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S:\Shared\RFP\Rate Study\2015 Rate Study\"/>
    </mc:Choice>
  </mc:AlternateContent>
  <bookViews>
    <workbookView xWindow="-10068" yWindow="12" windowWidth="28788" windowHeight="9192" tabRatio="730" firstSheet="5" activeTab="12"/>
  </bookViews>
  <sheets>
    <sheet name="Dashboard" sheetId="16" r:id="rId1"/>
    <sheet name="Control Panel" sheetId="11" r:id="rId2"/>
    <sheet name="O&amp;M" sheetId="1" r:id="rId3"/>
    <sheet name="Indirect Allocation" sheetId="30" r:id="rId4"/>
    <sheet name="Indirect Allocation Detail" sheetId="35" r:id="rId5"/>
    <sheet name="Existing Debt" sheetId="2" r:id="rId6"/>
    <sheet name="Projected Debt" sheetId="4" r:id="rId7"/>
    <sheet name="Capital Improvement Plan" sheetId="3" r:id="rId8"/>
    <sheet name="Asset Replacement" sheetId="14" r:id="rId9"/>
    <sheet name="Misc Revenues" sheetId="7" r:id="rId10"/>
    <sheet name="Revenue Requirements" sheetId="8" r:id="rId11"/>
    <sheet name="Customers and Consumption" sheetId="18" r:id="rId12"/>
    <sheet name="Water Rate Projections" sheetId="24" r:id="rId13"/>
    <sheet name="Sewer Rate Projections" sheetId="25" r:id="rId14"/>
    <sheet name="Stormwater Rate Projections" sheetId="26" r:id="rId15"/>
    <sheet name="Cash Flows and Cash Balances" sheetId="19" r:id="rId16"/>
    <sheet name="Fixed Assets" sheetId="12" r:id="rId17"/>
    <sheet name="Assets in Arrears Calculation" sheetId="29" r:id="rId18"/>
    <sheet name="Sample Bills" sheetId="31" r:id="rId19"/>
    <sheet name="Water Connection Fee" sheetId="32" r:id="rId20"/>
    <sheet name="Cost Escalators" sheetId="13" r:id="rId21"/>
    <sheet name="2014 Allocated Consuption" sheetId="22" r:id="rId22"/>
    <sheet name="2015 Allocated Consuption" sheetId="28" r:id="rId23"/>
    <sheet name="2014 Rate Reconciliation" sheetId="23" r:id="rId24"/>
    <sheet name="2015 Rate Reconciliation" sheetId="27" r:id="rId25"/>
    <sheet name="Presentation Charts" sheetId="34" r:id="rId26"/>
    <sheet name="Customer Impact Table" sheetId="37" r:id="rId27"/>
    <sheet name="March 7 Charts" sheetId="36" r:id="rId28"/>
    <sheet name="Proposed Rates" sheetId="39" r:id="rId29"/>
  </sheets>
  <externalReferences>
    <externalReference r:id="rId30"/>
    <externalReference r:id="rId31"/>
    <externalReference r:id="rId32"/>
  </externalReferences>
  <definedNames>
    <definedName name="_____1__123Graph_ACHART_10" localSheetId="23" hidden="1">#REF!</definedName>
    <definedName name="_____1__123Graph_ACHART_10" localSheetId="22" hidden="1">#REF!</definedName>
    <definedName name="_____1__123Graph_ACHART_10" localSheetId="24" hidden="1">#REF!</definedName>
    <definedName name="_____1__123Graph_ACHART_10" localSheetId="8" hidden="1">#REF!</definedName>
    <definedName name="_____1__123Graph_ACHART_10" localSheetId="7" hidden="1">#REF!</definedName>
    <definedName name="_____1__123Graph_ACHART_10" localSheetId="15" hidden="1">#REF!</definedName>
    <definedName name="_____1__123Graph_ACHART_10" localSheetId="1" hidden="1">#REF!</definedName>
    <definedName name="_____1__123Graph_ACHART_10" localSheetId="20" hidden="1">#REF!</definedName>
    <definedName name="_____1__123Graph_ACHART_10" localSheetId="26" hidden="1">#REF!</definedName>
    <definedName name="_____1__123Graph_ACHART_10" localSheetId="0" hidden="1">#REF!</definedName>
    <definedName name="_____1__123Graph_ACHART_10" localSheetId="16" hidden="1">#REF!</definedName>
    <definedName name="_____1__123Graph_ACHART_10" localSheetId="9" hidden="1">#REF!</definedName>
    <definedName name="_____1__123Graph_ACHART_10" localSheetId="6" hidden="1">#REF!</definedName>
    <definedName name="_____1__123Graph_ACHART_10" localSheetId="10" hidden="1">#REF!</definedName>
    <definedName name="_____1__123Graph_ACHART_10" localSheetId="13" hidden="1">#REF!</definedName>
    <definedName name="_____1__123Graph_ACHART_10" localSheetId="14" hidden="1">#REF!</definedName>
    <definedName name="_____1__123Graph_ACHART_10" hidden="1">#REF!</definedName>
    <definedName name="_____10__123Graph_XCHART_7" localSheetId="23" hidden="1">#REF!</definedName>
    <definedName name="_____10__123Graph_XCHART_7" localSheetId="22" hidden="1">#REF!</definedName>
    <definedName name="_____10__123Graph_XCHART_7" localSheetId="24" hidden="1">#REF!</definedName>
    <definedName name="_____10__123Graph_XCHART_7" localSheetId="8" hidden="1">#REF!</definedName>
    <definedName name="_____10__123Graph_XCHART_7" localSheetId="7" hidden="1">#REF!</definedName>
    <definedName name="_____10__123Graph_XCHART_7" localSheetId="15" hidden="1">#REF!</definedName>
    <definedName name="_____10__123Graph_XCHART_7" localSheetId="1" hidden="1">#REF!</definedName>
    <definedName name="_____10__123Graph_XCHART_7" localSheetId="20" hidden="1">#REF!</definedName>
    <definedName name="_____10__123Graph_XCHART_7" localSheetId="26" hidden="1">#REF!</definedName>
    <definedName name="_____10__123Graph_XCHART_7" localSheetId="0" hidden="1">#REF!</definedName>
    <definedName name="_____10__123Graph_XCHART_7" localSheetId="16" hidden="1">#REF!</definedName>
    <definedName name="_____10__123Graph_XCHART_7" localSheetId="9" hidden="1">#REF!</definedName>
    <definedName name="_____10__123Graph_XCHART_7" localSheetId="6" hidden="1">#REF!</definedName>
    <definedName name="_____10__123Graph_XCHART_7" localSheetId="10" hidden="1">#REF!</definedName>
    <definedName name="_____10__123Graph_XCHART_7" localSheetId="13" hidden="1">#REF!</definedName>
    <definedName name="_____10__123Graph_XCHART_7" localSheetId="14" hidden="1">#REF!</definedName>
    <definedName name="_____10__123Graph_XCHART_7" hidden="1">#REF!</definedName>
    <definedName name="_____11__123Graph_XCHART_8" localSheetId="23" hidden="1">#REF!</definedName>
    <definedName name="_____11__123Graph_XCHART_8" localSheetId="22" hidden="1">#REF!</definedName>
    <definedName name="_____11__123Graph_XCHART_8" localSheetId="24" hidden="1">#REF!</definedName>
    <definedName name="_____11__123Graph_XCHART_8" localSheetId="8" hidden="1">#REF!</definedName>
    <definedName name="_____11__123Graph_XCHART_8" localSheetId="7" hidden="1">#REF!</definedName>
    <definedName name="_____11__123Graph_XCHART_8" localSheetId="15" hidden="1">#REF!</definedName>
    <definedName name="_____11__123Graph_XCHART_8" localSheetId="1" hidden="1">#REF!</definedName>
    <definedName name="_____11__123Graph_XCHART_8" localSheetId="20" hidden="1">#REF!</definedName>
    <definedName name="_____11__123Graph_XCHART_8" localSheetId="26" hidden="1">#REF!</definedName>
    <definedName name="_____11__123Graph_XCHART_8" localSheetId="0" hidden="1">#REF!</definedName>
    <definedName name="_____11__123Graph_XCHART_8" localSheetId="16" hidden="1">#REF!</definedName>
    <definedName name="_____11__123Graph_XCHART_8" localSheetId="9" hidden="1">#REF!</definedName>
    <definedName name="_____11__123Graph_XCHART_8" localSheetId="6" hidden="1">#REF!</definedName>
    <definedName name="_____11__123Graph_XCHART_8" localSheetId="10" hidden="1">#REF!</definedName>
    <definedName name="_____11__123Graph_XCHART_8" localSheetId="13" hidden="1">#REF!</definedName>
    <definedName name="_____11__123Graph_XCHART_8" localSheetId="14" hidden="1">#REF!</definedName>
    <definedName name="_____11__123Graph_XCHART_8" hidden="1">#REF!</definedName>
    <definedName name="_____12__123Graph_XCHART_9" localSheetId="23" hidden="1">#REF!</definedName>
    <definedName name="_____12__123Graph_XCHART_9" localSheetId="22" hidden="1">#REF!</definedName>
    <definedName name="_____12__123Graph_XCHART_9" localSheetId="24" hidden="1">#REF!</definedName>
    <definedName name="_____12__123Graph_XCHART_9" localSheetId="8" hidden="1">#REF!</definedName>
    <definedName name="_____12__123Graph_XCHART_9" localSheetId="7" hidden="1">#REF!</definedName>
    <definedName name="_____12__123Graph_XCHART_9" localSheetId="15" hidden="1">#REF!</definedName>
    <definedName name="_____12__123Graph_XCHART_9" localSheetId="1" hidden="1">#REF!</definedName>
    <definedName name="_____12__123Graph_XCHART_9" localSheetId="20" hidden="1">#REF!</definedName>
    <definedName name="_____12__123Graph_XCHART_9" localSheetId="26" hidden="1">#REF!</definedName>
    <definedName name="_____12__123Graph_XCHART_9" localSheetId="0" hidden="1">#REF!</definedName>
    <definedName name="_____12__123Graph_XCHART_9" localSheetId="16" hidden="1">#REF!</definedName>
    <definedName name="_____12__123Graph_XCHART_9" localSheetId="9" hidden="1">#REF!</definedName>
    <definedName name="_____12__123Graph_XCHART_9" localSheetId="6" hidden="1">#REF!</definedName>
    <definedName name="_____12__123Graph_XCHART_9" localSheetId="10" hidden="1">#REF!</definedName>
    <definedName name="_____12__123Graph_XCHART_9" localSheetId="13" hidden="1">#REF!</definedName>
    <definedName name="_____12__123Graph_XCHART_9" localSheetId="14" hidden="1">#REF!</definedName>
    <definedName name="_____12__123Graph_XCHART_9" hidden="1">#REF!</definedName>
    <definedName name="_____2__123Graph_ACHART_5" localSheetId="23" hidden="1">#REF!</definedName>
    <definedName name="_____2__123Graph_ACHART_5" localSheetId="22" hidden="1">#REF!</definedName>
    <definedName name="_____2__123Graph_ACHART_5" localSheetId="24" hidden="1">#REF!</definedName>
    <definedName name="_____2__123Graph_ACHART_5" localSheetId="8" hidden="1">#REF!</definedName>
    <definedName name="_____2__123Graph_ACHART_5" localSheetId="7" hidden="1">#REF!</definedName>
    <definedName name="_____2__123Graph_ACHART_5" localSheetId="15" hidden="1">#REF!</definedName>
    <definedName name="_____2__123Graph_ACHART_5" localSheetId="1" hidden="1">#REF!</definedName>
    <definedName name="_____2__123Graph_ACHART_5" localSheetId="20" hidden="1">#REF!</definedName>
    <definedName name="_____2__123Graph_ACHART_5" localSheetId="26" hidden="1">#REF!</definedName>
    <definedName name="_____2__123Graph_ACHART_5" localSheetId="0" hidden="1">#REF!</definedName>
    <definedName name="_____2__123Graph_ACHART_5" localSheetId="16" hidden="1">#REF!</definedName>
    <definedName name="_____2__123Graph_ACHART_5" localSheetId="9" hidden="1">#REF!</definedName>
    <definedName name="_____2__123Graph_ACHART_5" localSheetId="6" hidden="1">#REF!</definedName>
    <definedName name="_____2__123Graph_ACHART_5" localSheetId="10" hidden="1">#REF!</definedName>
    <definedName name="_____2__123Graph_ACHART_5" localSheetId="13" hidden="1">#REF!</definedName>
    <definedName name="_____2__123Graph_ACHART_5" localSheetId="14" hidden="1">#REF!</definedName>
    <definedName name="_____2__123Graph_ACHART_5" hidden="1">#REF!</definedName>
    <definedName name="_____3__123Graph_ACHART_6" localSheetId="23" hidden="1">#REF!</definedName>
    <definedName name="_____3__123Graph_ACHART_6" localSheetId="22" hidden="1">#REF!</definedName>
    <definedName name="_____3__123Graph_ACHART_6" localSheetId="24" hidden="1">#REF!</definedName>
    <definedName name="_____3__123Graph_ACHART_6" localSheetId="8" hidden="1">#REF!</definedName>
    <definedName name="_____3__123Graph_ACHART_6" localSheetId="7" hidden="1">#REF!</definedName>
    <definedName name="_____3__123Graph_ACHART_6" localSheetId="15" hidden="1">#REF!</definedName>
    <definedName name="_____3__123Graph_ACHART_6" localSheetId="1" hidden="1">#REF!</definedName>
    <definedName name="_____3__123Graph_ACHART_6" localSheetId="20" hidden="1">#REF!</definedName>
    <definedName name="_____3__123Graph_ACHART_6" localSheetId="26" hidden="1">#REF!</definedName>
    <definedName name="_____3__123Graph_ACHART_6" localSheetId="0" hidden="1">#REF!</definedName>
    <definedName name="_____3__123Graph_ACHART_6" localSheetId="16" hidden="1">#REF!</definedName>
    <definedName name="_____3__123Graph_ACHART_6" localSheetId="9" hidden="1">#REF!</definedName>
    <definedName name="_____3__123Graph_ACHART_6" localSheetId="6" hidden="1">#REF!</definedName>
    <definedName name="_____3__123Graph_ACHART_6" localSheetId="10" hidden="1">#REF!</definedName>
    <definedName name="_____3__123Graph_ACHART_6" localSheetId="13" hidden="1">#REF!</definedName>
    <definedName name="_____3__123Graph_ACHART_6" localSheetId="14" hidden="1">#REF!</definedName>
    <definedName name="_____3__123Graph_ACHART_6" hidden="1">#REF!</definedName>
    <definedName name="_____4__123Graph_ACHART_7" localSheetId="23" hidden="1">#REF!</definedName>
    <definedName name="_____4__123Graph_ACHART_7" localSheetId="22" hidden="1">#REF!</definedName>
    <definedName name="_____4__123Graph_ACHART_7" localSheetId="24" hidden="1">#REF!</definedName>
    <definedName name="_____4__123Graph_ACHART_7" localSheetId="8" hidden="1">#REF!</definedName>
    <definedName name="_____4__123Graph_ACHART_7" localSheetId="7" hidden="1">#REF!</definedName>
    <definedName name="_____4__123Graph_ACHART_7" localSheetId="15" hidden="1">#REF!</definedName>
    <definedName name="_____4__123Graph_ACHART_7" localSheetId="1" hidden="1">#REF!</definedName>
    <definedName name="_____4__123Graph_ACHART_7" localSheetId="20" hidden="1">#REF!</definedName>
    <definedName name="_____4__123Graph_ACHART_7" localSheetId="26" hidden="1">#REF!</definedName>
    <definedName name="_____4__123Graph_ACHART_7" localSheetId="0" hidden="1">#REF!</definedName>
    <definedName name="_____4__123Graph_ACHART_7" localSheetId="16" hidden="1">#REF!</definedName>
    <definedName name="_____4__123Graph_ACHART_7" localSheetId="9" hidden="1">#REF!</definedName>
    <definedName name="_____4__123Graph_ACHART_7" localSheetId="6" hidden="1">#REF!</definedName>
    <definedName name="_____4__123Graph_ACHART_7" localSheetId="10" hidden="1">#REF!</definedName>
    <definedName name="_____4__123Graph_ACHART_7" localSheetId="13" hidden="1">#REF!</definedName>
    <definedName name="_____4__123Graph_ACHART_7" localSheetId="14" hidden="1">#REF!</definedName>
    <definedName name="_____4__123Graph_ACHART_7" hidden="1">#REF!</definedName>
    <definedName name="_____5__123Graph_ACHART_8" localSheetId="23" hidden="1">#REF!</definedName>
    <definedName name="_____5__123Graph_ACHART_8" localSheetId="22" hidden="1">#REF!</definedName>
    <definedName name="_____5__123Graph_ACHART_8" localSheetId="24" hidden="1">#REF!</definedName>
    <definedName name="_____5__123Graph_ACHART_8" localSheetId="8" hidden="1">#REF!</definedName>
    <definedName name="_____5__123Graph_ACHART_8" localSheetId="7" hidden="1">#REF!</definedName>
    <definedName name="_____5__123Graph_ACHART_8" localSheetId="15" hidden="1">#REF!</definedName>
    <definedName name="_____5__123Graph_ACHART_8" localSheetId="1" hidden="1">#REF!</definedName>
    <definedName name="_____5__123Graph_ACHART_8" localSheetId="20" hidden="1">#REF!</definedName>
    <definedName name="_____5__123Graph_ACHART_8" localSheetId="26" hidden="1">#REF!</definedName>
    <definedName name="_____5__123Graph_ACHART_8" localSheetId="0" hidden="1">#REF!</definedName>
    <definedName name="_____5__123Graph_ACHART_8" localSheetId="16" hidden="1">#REF!</definedName>
    <definedName name="_____5__123Graph_ACHART_8" localSheetId="9" hidden="1">#REF!</definedName>
    <definedName name="_____5__123Graph_ACHART_8" localSheetId="6" hidden="1">#REF!</definedName>
    <definedName name="_____5__123Graph_ACHART_8" localSheetId="10" hidden="1">#REF!</definedName>
    <definedName name="_____5__123Graph_ACHART_8" localSheetId="13" hidden="1">#REF!</definedName>
    <definedName name="_____5__123Graph_ACHART_8" localSheetId="14" hidden="1">#REF!</definedName>
    <definedName name="_____5__123Graph_ACHART_8" hidden="1">#REF!</definedName>
    <definedName name="_____6__123Graph_ACHART_9" localSheetId="23" hidden="1">#REF!</definedName>
    <definedName name="_____6__123Graph_ACHART_9" localSheetId="22" hidden="1">#REF!</definedName>
    <definedName name="_____6__123Graph_ACHART_9" localSheetId="24" hidden="1">#REF!</definedName>
    <definedName name="_____6__123Graph_ACHART_9" localSheetId="8" hidden="1">#REF!</definedName>
    <definedName name="_____6__123Graph_ACHART_9" localSheetId="7" hidden="1">#REF!</definedName>
    <definedName name="_____6__123Graph_ACHART_9" localSheetId="15" hidden="1">#REF!</definedName>
    <definedName name="_____6__123Graph_ACHART_9" localSheetId="1" hidden="1">#REF!</definedName>
    <definedName name="_____6__123Graph_ACHART_9" localSheetId="20" hidden="1">#REF!</definedName>
    <definedName name="_____6__123Graph_ACHART_9" localSheetId="26" hidden="1">#REF!</definedName>
    <definedName name="_____6__123Graph_ACHART_9" localSheetId="0" hidden="1">#REF!</definedName>
    <definedName name="_____6__123Graph_ACHART_9" localSheetId="16" hidden="1">#REF!</definedName>
    <definedName name="_____6__123Graph_ACHART_9" localSheetId="9" hidden="1">#REF!</definedName>
    <definedName name="_____6__123Graph_ACHART_9" localSheetId="6" hidden="1">#REF!</definedName>
    <definedName name="_____6__123Graph_ACHART_9" localSheetId="10" hidden="1">#REF!</definedName>
    <definedName name="_____6__123Graph_ACHART_9" localSheetId="13" hidden="1">#REF!</definedName>
    <definedName name="_____6__123Graph_ACHART_9" localSheetId="14" hidden="1">#REF!</definedName>
    <definedName name="_____6__123Graph_ACHART_9" hidden="1">#REF!</definedName>
    <definedName name="_____7__123Graph_XCHART_10" localSheetId="23" hidden="1">#REF!</definedName>
    <definedName name="_____7__123Graph_XCHART_10" localSheetId="22" hidden="1">#REF!</definedName>
    <definedName name="_____7__123Graph_XCHART_10" localSheetId="24" hidden="1">#REF!</definedName>
    <definedName name="_____7__123Graph_XCHART_10" localSheetId="8" hidden="1">#REF!</definedName>
    <definedName name="_____7__123Graph_XCHART_10" localSheetId="7" hidden="1">#REF!</definedName>
    <definedName name="_____7__123Graph_XCHART_10" localSheetId="15" hidden="1">#REF!</definedName>
    <definedName name="_____7__123Graph_XCHART_10" localSheetId="1" hidden="1">#REF!</definedName>
    <definedName name="_____7__123Graph_XCHART_10" localSheetId="20" hidden="1">#REF!</definedName>
    <definedName name="_____7__123Graph_XCHART_10" localSheetId="26" hidden="1">#REF!</definedName>
    <definedName name="_____7__123Graph_XCHART_10" localSheetId="0" hidden="1">#REF!</definedName>
    <definedName name="_____7__123Graph_XCHART_10" localSheetId="16" hidden="1">#REF!</definedName>
    <definedName name="_____7__123Graph_XCHART_10" localSheetId="9" hidden="1">#REF!</definedName>
    <definedName name="_____7__123Graph_XCHART_10" localSheetId="6" hidden="1">#REF!</definedName>
    <definedName name="_____7__123Graph_XCHART_10" localSheetId="10" hidden="1">#REF!</definedName>
    <definedName name="_____7__123Graph_XCHART_10" localSheetId="13" hidden="1">#REF!</definedName>
    <definedName name="_____7__123Graph_XCHART_10" localSheetId="14" hidden="1">#REF!</definedName>
    <definedName name="_____7__123Graph_XCHART_10" hidden="1">#REF!</definedName>
    <definedName name="_____8__123Graph_XCHART_5" localSheetId="23" hidden="1">#REF!</definedName>
    <definedName name="_____8__123Graph_XCHART_5" localSheetId="22" hidden="1">#REF!</definedName>
    <definedName name="_____8__123Graph_XCHART_5" localSheetId="24" hidden="1">#REF!</definedName>
    <definedName name="_____8__123Graph_XCHART_5" localSheetId="8" hidden="1">#REF!</definedName>
    <definedName name="_____8__123Graph_XCHART_5" localSheetId="7" hidden="1">#REF!</definedName>
    <definedName name="_____8__123Graph_XCHART_5" localSheetId="15" hidden="1">#REF!</definedName>
    <definedName name="_____8__123Graph_XCHART_5" localSheetId="1" hidden="1">#REF!</definedName>
    <definedName name="_____8__123Graph_XCHART_5" localSheetId="20" hidden="1">#REF!</definedName>
    <definedName name="_____8__123Graph_XCHART_5" localSheetId="26" hidden="1">#REF!</definedName>
    <definedName name="_____8__123Graph_XCHART_5" localSheetId="0" hidden="1">#REF!</definedName>
    <definedName name="_____8__123Graph_XCHART_5" localSheetId="16" hidden="1">#REF!</definedName>
    <definedName name="_____8__123Graph_XCHART_5" localSheetId="9" hidden="1">#REF!</definedName>
    <definedName name="_____8__123Graph_XCHART_5" localSheetId="6" hidden="1">#REF!</definedName>
    <definedName name="_____8__123Graph_XCHART_5" localSheetId="10" hidden="1">#REF!</definedName>
    <definedName name="_____8__123Graph_XCHART_5" localSheetId="13" hidden="1">#REF!</definedName>
    <definedName name="_____8__123Graph_XCHART_5" localSheetId="14" hidden="1">#REF!</definedName>
    <definedName name="_____8__123Graph_XCHART_5" hidden="1">#REF!</definedName>
    <definedName name="_____9__123Graph_XCHART_6" localSheetId="23" hidden="1">#REF!</definedName>
    <definedName name="_____9__123Graph_XCHART_6" localSheetId="22" hidden="1">#REF!</definedName>
    <definedName name="_____9__123Graph_XCHART_6" localSheetId="24" hidden="1">#REF!</definedName>
    <definedName name="_____9__123Graph_XCHART_6" localSheetId="8" hidden="1">#REF!</definedName>
    <definedName name="_____9__123Graph_XCHART_6" localSheetId="7" hidden="1">#REF!</definedName>
    <definedName name="_____9__123Graph_XCHART_6" localSheetId="15" hidden="1">#REF!</definedName>
    <definedName name="_____9__123Graph_XCHART_6" localSheetId="1" hidden="1">#REF!</definedName>
    <definedName name="_____9__123Graph_XCHART_6" localSheetId="20" hidden="1">#REF!</definedName>
    <definedName name="_____9__123Graph_XCHART_6" localSheetId="26" hidden="1">#REF!</definedName>
    <definedName name="_____9__123Graph_XCHART_6" localSheetId="0" hidden="1">#REF!</definedName>
    <definedName name="_____9__123Graph_XCHART_6" localSheetId="16" hidden="1">#REF!</definedName>
    <definedName name="_____9__123Graph_XCHART_6" localSheetId="9" hidden="1">#REF!</definedName>
    <definedName name="_____9__123Graph_XCHART_6" localSheetId="6" hidden="1">#REF!</definedName>
    <definedName name="_____9__123Graph_XCHART_6" localSheetId="10" hidden="1">#REF!</definedName>
    <definedName name="_____9__123Graph_XCHART_6" localSheetId="13" hidden="1">#REF!</definedName>
    <definedName name="_____9__123Graph_XCHART_6" localSheetId="14" hidden="1">#REF!</definedName>
    <definedName name="_____9__123Graph_XCHART_6" hidden="1">#REF!</definedName>
    <definedName name="____1__123Graph_ACHART_10" localSheetId="23" hidden="1">#REF!</definedName>
    <definedName name="____1__123Graph_ACHART_10" localSheetId="22" hidden="1">#REF!</definedName>
    <definedName name="____1__123Graph_ACHART_10" localSheetId="24" hidden="1">#REF!</definedName>
    <definedName name="____1__123Graph_ACHART_10" localSheetId="8" hidden="1">#REF!</definedName>
    <definedName name="____1__123Graph_ACHART_10" localSheetId="7" hidden="1">#REF!</definedName>
    <definedName name="____1__123Graph_ACHART_10" localSheetId="15" hidden="1">#REF!</definedName>
    <definedName name="____1__123Graph_ACHART_10" localSheetId="1" hidden="1">#REF!</definedName>
    <definedName name="____1__123Graph_ACHART_10" localSheetId="20" hidden="1">#REF!</definedName>
    <definedName name="____1__123Graph_ACHART_10" localSheetId="26" hidden="1">#REF!</definedName>
    <definedName name="____1__123Graph_ACHART_10" localSheetId="0" hidden="1">#REF!</definedName>
    <definedName name="____1__123Graph_ACHART_10" localSheetId="16" hidden="1">#REF!</definedName>
    <definedName name="____1__123Graph_ACHART_10" localSheetId="9" hidden="1">#REF!</definedName>
    <definedName name="____1__123Graph_ACHART_10" localSheetId="6" hidden="1">#REF!</definedName>
    <definedName name="____1__123Graph_ACHART_10" localSheetId="10" hidden="1">#REF!</definedName>
    <definedName name="____1__123Graph_ACHART_10" localSheetId="13" hidden="1">#REF!</definedName>
    <definedName name="____1__123Graph_ACHART_10" localSheetId="14" hidden="1">#REF!</definedName>
    <definedName name="____1__123Graph_ACHART_10" hidden="1">#REF!</definedName>
    <definedName name="____10__123Graph_XCHART_7" localSheetId="23" hidden="1">#REF!</definedName>
    <definedName name="____10__123Graph_XCHART_7" localSheetId="22" hidden="1">#REF!</definedName>
    <definedName name="____10__123Graph_XCHART_7" localSheetId="24" hidden="1">#REF!</definedName>
    <definedName name="____10__123Graph_XCHART_7" localSheetId="8" hidden="1">#REF!</definedName>
    <definedName name="____10__123Graph_XCHART_7" localSheetId="7" hidden="1">#REF!</definedName>
    <definedName name="____10__123Graph_XCHART_7" localSheetId="15" hidden="1">#REF!</definedName>
    <definedName name="____10__123Graph_XCHART_7" localSheetId="1" hidden="1">#REF!</definedName>
    <definedName name="____10__123Graph_XCHART_7" localSheetId="20" hidden="1">#REF!</definedName>
    <definedName name="____10__123Graph_XCHART_7" localSheetId="26" hidden="1">#REF!</definedName>
    <definedName name="____10__123Graph_XCHART_7" localSheetId="0" hidden="1">#REF!</definedName>
    <definedName name="____10__123Graph_XCHART_7" localSheetId="16" hidden="1">#REF!</definedName>
    <definedName name="____10__123Graph_XCHART_7" localSheetId="9" hidden="1">#REF!</definedName>
    <definedName name="____10__123Graph_XCHART_7" localSheetId="6" hidden="1">#REF!</definedName>
    <definedName name="____10__123Graph_XCHART_7" localSheetId="10" hidden="1">#REF!</definedName>
    <definedName name="____10__123Graph_XCHART_7" localSheetId="13" hidden="1">#REF!</definedName>
    <definedName name="____10__123Graph_XCHART_7" localSheetId="14" hidden="1">#REF!</definedName>
    <definedName name="____10__123Graph_XCHART_7" hidden="1">#REF!</definedName>
    <definedName name="____11__123Graph_XCHART_8" localSheetId="23" hidden="1">#REF!</definedName>
    <definedName name="____11__123Graph_XCHART_8" localSheetId="22" hidden="1">#REF!</definedName>
    <definedName name="____11__123Graph_XCHART_8" localSheetId="24" hidden="1">#REF!</definedName>
    <definedName name="____11__123Graph_XCHART_8" localSheetId="8" hidden="1">#REF!</definedName>
    <definedName name="____11__123Graph_XCHART_8" localSheetId="7" hidden="1">#REF!</definedName>
    <definedName name="____11__123Graph_XCHART_8" localSheetId="15" hidden="1">#REF!</definedName>
    <definedName name="____11__123Graph_XCHART_8" localSheetId="1" hidden="1">#REF!</definedName>
    <definedName name="____11__123Graph_XCHART_8" localSheetId="20" hidden="1">#REF!</definedName>
    <definedName name="____11__123Graph_XCHART_8" localSheetId="26" hidden="1">#REF!</definedName>
    <definedName name="____11__123Graph_XCHART_8" localSheetId="0" hidden="1">#REF!</definedName>
    <definedName name="____11__123Graph_XCHART_8" localSheetId="16" hidden="1">#REF!</definedName>
    <definedName name="____11__123Graph_XCHART_8" localSheetId="9" hidden="1">#REF!</definedName>
    <definedName name="____11__123Graph_XCHART_8" localSheetId="6" hidden="1">#REF!</definedName>
    <definedName name="____11__123Graph_XCHART_8" localSheetId="10" hidden="1">#REF!</definedName>
    <definedName name="____11__123Graph_XCHART_8" localSheetId="13" hidden="1">#REF!</definedName>
    <definedName name="____11__123Graph_XCHART_8" localSheetId="14" hidden="1">#REF!</definedName>
    <definedName name="____11__123Graph_XCHART_8" hidden="1">#REF!</definedName>
    <definedName name="____12__123Graph_XCHART_9" localSheetId="23" hidden="1">#REF!</definedName>
    <definedName name="____12__123Graph_XCHART_9" localSheetId="22" hidden="1">#REF!</definedName>
    <definedName name="____12__123Graph_XCHART_9" localSheetId="24" hidden="1">#REF!</definedName>
    <definedName name="____12__123Graph_XCHART_9" localSheetId="8" hidden="1">#REF!</definedName>
    <definedName name="____12__123Graph_XCHART_9" localSheetId="7" hidden="1">#REF!</definedName>
    <definedName name="____12__123Graph_XCHART_9" localSheetId="15" hidden="1">#REF!</definedName>
    <definedName name="____12__123Graph_XCHART_9" localSheetId="1" hidden="1">#REF!</definedName>
    <definedName name="____12__123Graph_XCHART_9" localSheetId="20" hidden="1">#REF!</definedName>
    <definedName name="____12__123Graph_XCHART_9" localSheetId="26" hidden="1">#REF!</definedName>
    <definedName name="____12__123Graph_XCHART_9" localSheetId="0" hidden="1">#REF!</definedName>
    <definedName name="____12__123Graph_XCHART_9" localSheetId="16" hidden="1">#REF!</definedName>
    <definedName name="____12__123Graph_XCHART_9" localSheetId="9" hidden="1">#REF!</definedName>
    <definedName name="____12__123Graph_XCHART_9" localSheetId="6" hidden="1">#REF!</definedName>
    <definedName name="____12__123Graph_XCHART_9" localSheetId="10" hidden="1">#REF!</definedName>
    <definedName name="____12__123Graph_XCHART_9" localSheetId="13" hidden="1">#REF!</definedName>
    <definedName name="____12__123Graph_XCHART_9" localSheetId="14" hidden="1">#REF!</definedName>
    <definedName name="____12__123Graph_XCHART_9" hidden="1">#REF!</definedName>
    <definedName name="____2__123Graph_ACHART_5" localSheetId="23" hidden="1">#REF!</definedName>
    <definedName name="____2__123Graph_ACHART_5" localSheetId="22" hidden="1">#REF!</definedName>
    <definedName name="____2__123Graph_ACHART_5" localSheetId="24" hidden="1">#REF!</definedName>
    <definedName name="____2__123Graph_ACHART_5" localSheetId="8" hidden="1">#REF!</definedName>
    <definedName name="____2__123Graph_ACHART_5" localSheetId="7" hidden="1">#REF!</definedName>
    <definedName name="____2__123Graph_ACHART_5" localSheetId="15" hidden="1">#REF!</definedName>
    <definedName name="____2__123Graph_ACHART_5" localSheetId="1" hidden="1">#REF!</definedName>
    <definedName name="____2__123Graph_ACHART_5" localSheetId="20" hidden="1">#REF!</definedName>
    <definedName name="____2__123Graph_ACHART_5" localSheetId="26" hidden="1">#REF!</definedName>
    <definedName name="____2__123Graph_ACHART_5" localSheetId="0" hidden="1">#REF!</definedName>
    <definedName name="____2__123Graph_ACHART_5" localSheetId="16" hidden="1">#REF!</definedName>
    <definedName name="____2__123Graph_ACHART_5" localSheetId="9" hidden="1">#REF!</definedName>
    <definedName name="____2__123Graph_ACHART_5" localSheetId="6" hidden="1">#REF!</definedName>
    <definedName name="____2__123Graph_ACHART_5" localSheetId="10" hidden="1">#REF!</definedName>
    <definedName name="____2__123Graph_ACHART_5" localSheetId="13" hidden="1">#REF!</definedName>
    <definedName name="____2__123Graph_ACHART_5" localSheetId="14" hidden="1">#REF!</definedName>
    <definedName name="____2__123Graph_ACHART_5" hidden="1">#REF!</definedName>
    <definedName name="____3__123Graph_ACHART_6" localSheetId="23" hidden="1">#REF!</definedName>
    <definedName name="____3__123Graph_ACHART_6" localSheetId="22" hidden="1">#REF!</definedName>
    <definedName name="____3__123Graph_ACHART_6" localSheetId="24" hidden="1">#REF!</definedName>
    <definedName name="____3__123Graph_ACHART_6" localSheetId="8" hidden="1">#REF!</definedName>
    <definedName name="____3__123Graph_ACHART_6" localSheetId="7" hidden="1">#REF!</definedName>
    <definedName name="____3__123Graph_ACHART_6" localSheetId="15" hidden="1">#REF!</definedName>
    <definedName name="____3__123Graph_ACHART_6" localSheetId="1" hidden="1">#REF!</definedName>
    <definedName name="____3__123Graph_ACHART_6" localSheetId="20" hidden="1">#REF!</definedName>
    <definedName name="____3__123Graph_ACHART_6" localSheetId="26" hidden="1">#REF!</definedName>
    <definedName name="____3__123Graph_ACHART_6" localSheetId="0" hidden="1">#REF!</definedName>
    <definedName name="____3__123Graph_ACHART_6" localSheetId="16" hidden="1">#REF!</definedName>
    <definedName name="____3__123Graph_ACHART_6" localSheetId="9" hidden="1">#REF!</definedName>
    <definedName name="____3__123Graph_ACHART_6" localSheetId="6" hidden="1">#REF!</definedName>
    <definedName name="____3__123Graph_ACHART_6" localSheetId="10" hidden="1">#REF!</definedName>
    <definedName name="____3__123Graph_ACHART_6" localSheetId="13" hidden="1">#REF!</definedName>
    <definedName name="____3__123Graph_ACHART_6" localSheetId="14" hidden="1">#REF!</definedName>
    <definedName name="____3__123Graph_ACHART_6" hidden="1">#REF!</definedName>
    <definedName name="____4__123Graph_ACHART_7" localSheetId="23" hidden="1">#REF!</definedName>
    <definedName name="____4__123Graph_ACHART_7" localSheetId="22" hidden="1">#REF!</definedName>
    <definedName name="____4__123Graph_ACHART_7" localSheetId="24" hidden="1">#REF!</definedName>
    <definedName name="____4__123Graph_ACHART_7" localSheetId="8" hidden="1">#REF!</definedName>
    <definedName name="____4__123Graph_ACHART_7" localSheetId="7" hidden="1">#REF!</definedName>
    <definedName name="____4__123Graph_ACHART_7" localSheetId="15" hidden="1">#REF!</definedName>
    <definedName name="____4__123Graph_ACHART_7" localSheetId="1" hidden="1">#REF!</definedName>
    <definedName name="____4__123Graph_ACHART_7" localSheetId="20" hidden="1">#REF!</definedName>
    <definedName name="____4__123Graph_ACHART_7" localSheetId="26" hidden="1">#REF!</definedName>
    <definedName name="____4__123Graph_ACHART_7" localSheetId="0" hidden="1">#REF!</definedName>
    <definedName name="____4__123Graph_ACHART_7" localSheetId="16" hidden="1">#REF!</definedName>
    <definedName name="____4__123Graph_ACHART_7" localSheetId="9" hidden="1">#REF!</definedName>
    <definedName name="____4__123Graph_ACHART_7" localSheetId="6" hidden="1">#REF!</definedName>
    <definedName name="____4__123Graph_ACHART_7" localSheetId="10" hidden="1">#REF!</definedName>
    <definedName name="____4__123Graph_ACHART_7" localSheetId="13" hidden="1">#REF!</definedName>
    <definedName name="____4__123Graph_ACHART_7" localSheetId="14" hidden="1">#REF!</definedName>
    <definedName name="____4__123Graph_ACHART_7" hidden="1">#REF!</definedName>
    <definedName name="____5__123Graph_ACHART_8" localSheetId="23" hidden="1">#REF!</definedName>
    <definedName name="____5__123Graph_ACHART_8" localSheetId="22" hidden="1">#REF!</definedName>
    <definedName name="____5__123Graph_ACHART_8" localSheetId="24" hidden="1">#REF!</definedName>
    <definedName name="____5__123Graph_ACHART_8" localSheetId="8" hidden="1">#REF!</definedName>
    <definedName name="____5__123Graph_ACHART_8" localSheetId="7" hidden="1">#REF!</definedName>
    <definedName name="____5__123Graph_ACHART_8" localSheetId="15" hidden="1">#REF!</definedName>
    <definedName name="____5__123Graph_ACHART_8" localSheetId="1" hidden="1">#REF!</definedName>
    <definedName name="____5__123Graph_ACHART_8" localSheetId="20" hidden="1">#REF!</definedName>
    <definedName name="____5__123Graph_ACHART_8" localSheetId="26" hidden="1">#REF!</definedName>
    <definedName name="____5__123Graph_ACHART_8" localSheetId="0" hidden="1">#REF!</definedName>
    <definedName name="____5__123Graph_ACHART_8" localSheetId="16" hidden="1">#REF!</definedName>
    <definedName name="____5__123Graph_ACHART_8" localSheetId="9" hidden="1">#REF!</definedName>
    <definedName name="____5__123Graph_ACHART_8" localSheetId="6" hidden="1">#REF!</definedName>
    <definedName name="____5__123Graph_ACHART_8" localSheetId="10" hidden="1">#REF!</definedName>
    <definedName name="____5__123Graph_ACHART_8" localSheetId="13" hidden="1">#REF!</definedName>
    <definedName name="____5__123Graph_ACHART_8" localSheetId="14" hidden="1">#REF!</definedName>
    <definedName name="____5__123Graph_ACHART_8" hidden="1">#REF!</definedName>
    <definedName name="____6__123Graph_ACHART_9" localSheetId="23" hidden="1">#REF!</definedName>
    <definedName name="____6__123Graph_ACHART_9" localSheetId="22" hidden="1">#REF!</definedName>
    <definedName name="____6__123Graph_ACHART_9" localSheetId="24" hidden="1">#REF!</definedName>
    <definedName name="____6__123Graph_ACHART_9" localSheetId="8" hidden="1">#REF!</definedName>
    <definedName name="____6__123Graph_ACHART_9" localSheetId="7" hidden="1">#REF!</definedName>
    <definedName name="____6__123Graph_ACHART_9" localSheetId="15" hidden="1">#REF!</definedName>
    <definedName name="____6__123Graph_ACHART_9" localSheetId="1" hidden="1">#REF!</definedName>
    <definedName name="____6__123Graph_ACHART_9" localSheetId="20" hidden="1">#REF!</definedName>
    <definedName name="____6__123Graph_ACHART_9" localSheetId="26" hidden="1">#REF!</definedName>
    <definedName name="____6__123Graph_ACHART_9" localSheetId="0" hidden="1">#REF!</definedName>
    <definedName name="____6__123Graph_ACHART_9" localSheetId="16" hidden="1">#REF!</definedName>
    <definedName name="____6__123Graph_ACHART_9" localSheetId="9" hidden="1">#REF!</definedName>
    <definedName name="____6__123Graph_ACHART_9" localSheetId="6" hidden="1">#REF!</definedName>
    <definedName name="____6__123Graph_ACHART_9" localSheetId="10" hidden="1">#REF!</definedName>
    <definedName name="____6__123Graph_ACHART_9" localSheetId="13" hidden="1">#REF!</definedName>
    <definedName name="____6__123Graph_ACHART_9" localSheetId="14" hidden="1">#REF!</definedName>
    <definedName name="____6__123Graph_ACHART_9" hidden="1">#REF!</definedName>
    <definedName name="____7__123Graph_XCHART_10" localSheetId="23" hidden="1">#REF!</definedName>
    <definedName name="____7__123Graph_XCHART_10" localSheetId="22" hidden="1">#REF!</definedName>
    <definedName name="____7__123Graph_XCHART_10" localSheetId="24" hidden="1">#REF!</definedName>
    <definedName name="____7__123Graph_XCHART_10" localSheetId="8" hidden="1">#REF!</definedName>
    <definedName name="____7__123Graph_XCHART_10" localSheetId="7" hidden="1">#REF!</definedName>
    <definedName name="____7__123Graph_XCHART_10" localSheetId="15" hidden="1">#REF!</definedName>
    <definedName name="____7__123Graph_XCHART_10" localSheetId="1" hidden="1">#REF!</definedName>
    <definedName name="____7__123Graph_XCHART_10" localSheetId="20" hidden="1">#REF!</definedName>
    <definedName name="____7__123Graph_XCHART_10" localSheetId="26" hidden="1">#REF!</definedName>
    <definedName name="____7__123Graph_XCHART_10" localSheetId="0" hidden="1">#REF!</definedName>
    <definedName name="____7__123Graph_XCHART_10" localSheetId="16" hidden="1">#REF!</definedName>
    <definedName name="____7__123Graph_XCHART_10" localSheetId="9" hidden="1">#REF!</definedName>
    <definedName name="____7__123Graph_XCHART_10" localSheetId="6" hidden="1">#REF!</definedName>
    <definedName name="____7__123Graph_XCHART_10" localSheetId="10" hidden="1">#REF!</definedName>
    <definedName name="____7__123Graph_XCHART_10" localSheetId="13" hidden="1">#REF!</definedName>
    <definedName name="____7__123Graph_XCHART_10" localSheetId="14" hidden="1">#REF!</definedName>
    <definedName name="____7__123Graph_XCHART_10" hidden="1">#REF!</definedName>
    <definedName name="____8__123Graph_XCHART_5" localSheetId="23" hidden="1">#REF!</definedName>
    <definedName name="____8__123Graph_XCHART_5" localSheetId="22" hidden="1">#REF!</definedName>
    <definedName name="____8__123Graph_XCHART_5" localSheetId="24" hidden="1">#REF!</definedName>
    <definedName name="____8__123Graph_XCHART_5" localSheetId="8" hidden="1">#REF!</definedName>
    <definedName name="____8__123Graph_XCHART_5" localSheetId="7" hidden="1">#REF!</definedName>
    <definedName name="____8__123Graph_XCHART_5" localSheetId="15" hidden="1">#REF!</definedName>
    <definedName name="____8__123Graph_XCHART_5" localSheetId="1" hidden="1">#REF!</definedName>
    <definedName name="____8__123Graph_XCHART_5" localSheetId="20" hidden="1">#REF!</definedName>
    <definedName name="____8__123Graph_XCHART_5" localSheetId="26" hidden="1">#REF!</definedName>
    <definedName name="____8__123Graph_XCHART_5" localSheetId="0" hidden="1">#REF!</definedName>
    <definedName name="____8__123Graph_XCHART_5" localSheetId="16" hidden="1">#REF!</definedName>
    <definedName name="____8__123Graph_XCHART_5" localSheetId="9" hidden="1">#REF!</definedName>
    <definedName name="____8__123Graph_XCHART_5" localSheetId="6" hidden="1">#REF!</definedName>
    <definedName name="____8__123Graph_XCHART_5" localSheetId="10" hidden="1">#REF!</definedName>
    <definedName name="____8__123Graph_XCHART_5" localSheetId="13" hidden="1">#REF!</definedName>
    <definedName name="____8__123Graph_XCHART_5" localSheetId="14" hidden="1">#REF!</definedName>
    <definedName name="____8__123Graph_XCHART_5" hidden="1">#REF!</definedName>
    <definedName name="____9__123Graph_XCHART_6" localSheetId="23" hidden="1">#REF!</definedName>
    <definedName name="____9__123Graph_XCHART_6" localSheetId="22" hidden="1">#REF!</definedName>
    <definedName name="____9__123Graph_XCHART_6" localSheetId="24" hidden="1">#REF!</definedName>
    <definedName name="____9__123Graph_XCHART_6" localSheetId="8" hidden="1">#REF!</definedName>
    <definedName name="____9__123Graph_XCHART_6" localSheetId="7" hidden="1">#REF!</definedName>
    <definedName name="____9__123Graph_XCHART_6" localSheetId="15" hidden="1">#REF!</definedName>
    <definedName name="____9__123Graph_XCHART_6" localSheetId="1" hidden="1">#REF!</definedName>
    <definedName name="____9__123Graph_XCHART_6" localSheetId="20" hidden="1">#REF!</definedName>
    <definedName name="____9__123Graph_XCHART_6" localSheetId="26" hidden="1">#REF!</definedName>
    <definedName name="____9__123Graph_XCHART_6" localSheetId="0" hidden="1">#REF!</definedName>
    <definedName name="____9__123Graph_XCHART_6" localSheetId="16" hidden="1">#REF!</definedName>
    <definedName name="____9__123Graph_XCHART_6" localSheetId="9" hidden="1">#REF!</definedName>
    <definedName name="____9__123Graph_XCHART_6" localSheetId="6" hidden="1">#REF!</definedName>
    <definedName name="____9__123Graph_XCHART_6" localSheetId="10" hidden="1">#REF!</definedName>
    <definedName name="____9__123Graph_XCHART_6" localSheetId="13" hidden="1">#REF!</definedName>
    <definedName name="____9__123Graph_XCHART_6" localSheetId="14" hidden="1">#REF!</definedName>
    <definedName name="____9__123Graph_XCHART_6" hidden="1">#REF!</definedName>
    <definedName name="___1__123Graph_ACHART_10" localSheetId="23" hidden="1">#REF!</definedName>
    <definedName name="___1__123Graph_ACHART_10" localSheetId="22" hidden="1">#REF!</definedName>
    <definedName name="___1__123Graph_ACHART_10" localSheetId="24" hidden="1">#REF!</definedName>
    <definedName name="___1__123Graph_ACHART_10" localSheetId="8" hidden="1">#REF!</definedName>
    <definedName name="___1__123Graph_ACHART_10" localSheetId="7" hidden="1">#REF!</definedName>
    <definedName name="___1__123Graph_ACHART_10" localSheetId="15" hidden="1">#REF!</definedName>
    <definedName name="___1__123Graph_ACHART_10" localSheetId="1" hidden="1">#REF!</definedName>
    <definedName name="___1__123Graph_ACHART_10" localSheetId="20" hidden="1">#REF!</definedName>
    <definedName name="___1__123Graph_ACHART_10" localSheetId="26" hidden="1">#REF!</definedName>
    <definedName name="___1__123Graph_ACHART_10" localSheetId="0" hidden="1">#REF!</definedName>
    <definedName name="___1__123Graph_ACHART_10" localSheetId="16" hidden="1">#REF!</definedName>
    <definedName name="___1__123Graph_ACHART_10" localSheetId="9" hidden="1">#REF!</definedName>
    <definedName name="___1__123Graph_ACHART_10" localSheetId="6" hidden="1">#REF!</definedName>
    <definedName name="___1__123Graph_ACHART_10" localSheetId="10" hidden="1">#REF!</definedName>
    <definedName name="___1__123Graph_ACHART_10" localSheetId="13" hidden="1">#REF!</definedName>
    <definedName name="___1__123Graph_ACHART_10" localSheetId="14" hidden="1">#REF!</definedName>
    <definedName name="___1__123Graph_ACHART_10" hidden="1">#REF!</definedName>
    <definedName name="___10__123Graph_XCHART_7" localSheetId="23" hidden="1">#REF!</definedName>
    <definedName name="___10__123Graph_XCHART_7" localSheetId="22" hidden="1">#REF!</definedName>
    <definedName name="___10__123Graph_XCHART_7" localSheetId="24" hidden="1">#REF!</definedName>
    <definedName name="___10__123Graph_XCHART_7" localSheetId="8" hidden="1">#REF!</definedName>
    <definedName name="___10__123Graph_XCHART_7" localSheetId="7" hidden="1">#REF!</definedName>
    <definedName name="___10__123Graph_XCHART_7" localSheetId="15" hidden="1">#REF!</definedName>
    <definedName name="___10__123Graph_XCHART_7" localSheetId="1" hidden="1">#REF!</definedName>
    <definedName name="___10__123Graph_XCHART_7" localSheetId="20" hidden="1">#REF!</definedName>
    <definedName name="___10__123Graph_XCHART_7" localSheetId="26" hidden="1">#REF!</definedName>
    <definedName name="___10__123Graph_XCHART_7" localSheetId="0" hidden="1">#REF!</definedName>
    <definedName name="___10__123Graph_XCHART_7" localSheetId="16" hidden="1">#REF!</definedName>
    <definedName name="___10__123Graph_XCHART_7" localSheetId="9" hidden="1">#REF!</definedName>
    <definedName name="___10__123Graph_XCHART_7" localSheetId="6" hidden="1">#REF!</definedName>
    <definedName name="___10__123Graph_XCHART_7" localSheetId="10" hidden="1">#REF!</definedName>
    <definedName name="___10__123Graph_XCHART_7" localSheetId="13" hidden="1">#REF!</definedName>
    <definedName name="___10__123Graph_XCHART_7" localSheetId="14" hidden="1">#REF!</definedName>
    <definedName name="___10__123Graph_XCHART_7" hidden="1">#REF!</definedName>
    <definedName name="___11__123Graph_XCHART_8" localSheetId="23" hidden="1">#REF!</definedName>
    <definedName name="___11__123Graph_XCHART_8" localSheetId="22" hidden="1">#REF!</definedName>
    <definedName name="___11__123Graph_XCHART_8" localSheetId="24" hidden="1">#REF!</definedName>
    <definedName name="___11__123Graph_XCHART_8" localSheetId="8" hidden="1">#REF!</definedName>
    <definedName name="___11__123Graph_XCHART_8" localSheetId="7" hidden="1">#REF!</definedName>
    <definedName name="___11__123Graph_XCHART_8" localSheetId="15" hidden="1">#REF!</definedName>
    <definedName name="___11__123Graph_XCHART_8" localSheetId="1" hidden="1">#REF!</definedName>
    <definedName name="___11__123Graph_XCHART_8" localSheetId="20" hidden="1">#REF!</definedName>
    <definedName name="___11__123Graph_XCHART_8" localSheetId="26" hidden="1">#REF!</definedName>
    <definedName name="___11__123Graph_XCHART_8" localSheetId="0" hidden="1">#REF!</definedName>
    <definedName name="___11__123Graph_XCHART_8" localSheetId="16" hidden="1">#REF!</definedName>
    <definedName name="___11__123Graph_XCHART_8" localSheetId="9" hidden="1">#REF!</definedName>
    <definedName name="___11__123Graph_XCHART_8" localSheetId="6" hidden="1">#REF!</definedName>
    <definedName name="___11__123Graph_XCHART_8" localSheetId="10" hidden="1">#REF!</definedName>
    <definedName name="___11__123Graph_XCHART_8" localSheetId="13" hidden="1">#REF!</definedName>
    <definedName name="___11__123Graph_XCHART_8" localSheetId="14" hidden="1">#REF!</definedName>
    <definedName name="___11__123Graph_XCHART_8" hidden="1">#REF!</definedName>
    <definedName name="___12__123Graph_XCHART_9" localSheetId="23" hidden="1">#REF!</definedName>
    <definedName name="___12__123Graph_XCHART_9" localSheetId="22" hidden="1">#REF!</definedName>
    <definedName name="___12__123Graph_XCHART_9" localSheetId="24" hidden="1">#REF!</definedName>
    <definedName name="___12__123Graph_XCHART_9" localSheetId="8" hidden="1">#REF!</definedName>
    <definedName name="___12__123Graph_XCHART_9" localSheetId="7" hidden="1">#REF!</definedName>
    <definedName name="___12__123Graph_XCHART_9" localSheetId="15" hidden="1">#REF!</definedName>
    <definedName name="___12__123Graph_XCHART_9" localSheetId="1" hidden="1">#REF!</definedName>
    <definedName name="___12__123Graph_XCHART_9" localSheetId="20" hidden="1">#REF!</definedName>
    <definedName name="___12__123Graph_XCHART_9" localSheetId="26" hidden="1">#REF!</definedName>
    <definedName name="___12__123Graph_XCHART_9" localSheetId="0" hidden="1">#REF!</definedName>
    <definedName name="___12__123Graph_XCHART_9" localSheetId="16" hidden="1">#REF!</definedName>
    <definedName name="___12__123Graph_XCHART_9" localSheetId="9" hidden="1">#REF!</definedName>
    <definedName name="___12__123Graph_XCHART_9" localSheetId="6" hidden="1">#REF!</definedName>
    <definedName name="___12__123Graph_XCHART_9" localSheetId="10" hidden="1">#REF!</definedName>
    <definedName name="___12__123Graph_XCHART_9" localSheetId="13" hidden="1">#REF!</definedName>
    <definedName name="___12__123Graph_XCHART_9" localSheetId="14" hidden="1">#REF!</definedName>
    <definedName name="___12__123Graph_XCHART_9" hidden="1">#REF!</definedName>
    <definedName name="___2__123Graph_ACHART_5" localSheetId="23" hidden="1">#REF!</definedName>
    <definedName name="___2__123Graph_ACHART_5" localSheetId="22" hidden="1">#REF!</definedName>
    <definedName name="___2__123Graph_ACHART_5" localSheetId="24" hidden="1">#REF!</definedName>
    <definedName name="___2__123Graph_ACHART_5" localSheetId="8" hidden="1">#REF!</definedName>
    <definedName name="___2__123Graph_ACHART_5" localSheetId="7" hidden="1">#REF!</definedName>
    <definedName name="___2__123Graph_ACHART_5" localSheetId="15" hidden="1">#REF!</definedName>
    <definedName name="___2__123Graph_ACHART_5" localSheetId="1" hidden="1">#REF!</definedName>
    <definedName name="___2__123Graph_ACHART_5" localSheetId="20" hidden="1">#REF!</definedName>
    <definedName name="___2__123Graph_ACHART_5" localSheetId="26" hidden="1">#REF!</definedName>
    <definedName name="___2__123Graph_ACHART_5" localSheetId="0" hidden="1">#REF!</definedName>
    <definedName name="___2__123Graph_ACHART_5" localSheetId="16" hidden="1">#REF!</definedName>
    <definedName name="___2__123Graph_ACHART_5" localSheetId="9" hidden="1">#REF!</definedName>
    <definedName name="___2__123Graph_ACHART_5" localSheetId="6" hidden="1">#REF!</definedName>
    <definedName name="___2__123Graph_ACHART_5" localSheetId="10" hidden="1">#REF!</definedName>
    <definedName name="___2__123Graph_ACHART_5" localSheetId="13" hidden="1">#REF!</definedName>
    <definedName name="___2__123Graph_ACHART_5" localSheetId="14" hidden="1">#REF!</definedName>
    <definedName name="___2__123Graph_ACHART_5" hidden="1">#REF!</definedName>
    <definedName name="___3__123Graph_ACHART_6" localSheetId="23" hidden="1">#REF!</definedName>
    <definedName name="___3__123Graph_ACHART_6" localSheetId="22" hidden="1">#REF!</definedName>
    <definedName name="___3__123Graph_ACHART_6" localSheetId="24" hidden="1">#REF!</definedName>
    <definedName name="___3__123Graph_ACHART_6" localSheetId="8" hidden="1">#REF!</definedName>
    <definedName name="___3__123Graph_ACHART_6" localSheetId="7" hidden="1">#REF!</definedName>
    <definedName name="___3__123Graph_ACHART_6" localSheetId="15" hidden="1">#REF!</definedName>
    <definedName name="___3__123Graph_ACHART_6" localSheetId="1" hidden="1">#REF!</definedName>
    <definedName name="___3__123Graph_ACHART_6" localSheetId="20" hidden="1">#REF!</definedName>
    <definedName name="___3__123Graph_ACHART_6" localSheetId="26" hidden="1">#REF!</definedName>
    <definedName name="___3__123Graph_ACHART_6" localSheetId="0" hidden="1">#REF!</definedName>
    <definedName name="___3__123Graph_ACHART_6" localSheetId="16" hidden="1">#REF!</definedName>
    <definedName name="___3__123Graph_ACHART_6" localSheetId="9" hidden="1">#REF!</definedName>
    <definedName name="___3__123Graph_ACHART_6" localSheetId="6" hidden="1">#REF!</definedName>
    <definedName name="___3__123Graph_ACHART_6" localSheetId="10" hidden="1">#REF!</definedName>
    <definedName name="___3__123Graph_ACHART_6" localSheetId="13" hidden="1">#REF!</definedName>
    <definedName name="___3__123Graph_ACHART_6" localSheetId="14" hidden="1">#REF!</definedName>
    <definedName name="___3__123Graph_ACHART_6" hidden="1">#REF!</definedName>
    <definedName name="___4__123Graph_ACHART_7" localSheetId="23" hidden="1">#REF!</definedName>
    <definedName name="___4__123Graph_ACHART_7" localSheetId="22" hidden="1">#REF!</definedName>
    <definedName name="___4__123Graph_ACHART_7" localSheetId="24" hidden="1">#REF!</definedName>
    <definedName name="___4__123Graph_ACHART_7" localSheetId="8" hidden="1">#REF!</definedName>
    <definedName name="___4__123Graph_ACHART_7" localSheetId="7" hidden="1">#REF!</definedName>
    <definedName name="___4__123Graph_ACHART_7" localSheetId="15" hidden="1">#REF!</definedName>
    <definedName name="___4__123Graph_ACHART_7" localSheetId="1" hidden="1">#REF!</definedName>
    <definedName name="___4__123Graph_ACHART_7" localSheetId="20" hidden="1">#REF!</definedName>
    <definedName name="___4__123Graph_ACHART_7" localSheetId="26" hidden="1">#REF!</definedName>
    <definedName name="___4__123Graph_ACHART_7" localSheetId="0" hidden="1">#REF!</definedName>
    <definedName name="___4__123Graph_ACHART_7" localSheetId="16" hidden="1">#REF!</definedName>
    <definedName name="___4__123Graph_ACHART_7" localSheetId="9" hidden="1">#REF!</definedName>
    <definedName name="___4__123Graph_ACHART_7" localSheetId="6" hidden="1">#REF!</definedName>
    <definedName name="___4__123Graph_ACHART_7" localSheetId="10" hidden="1">#REF!</definedName>
    <definedName name="___4__123Graph_ACHART_7" localSheetId="13" hidden="1">#REF!</definedName>
    <definedName name="___4__123Graph_ACHART_7" localSheetId="14" hidden="1">#REF!</definedName>
    <definedName name="___4__123Graph_ACHART_7" hidden="1">#REF!</definedName>
    <definedName name="___5__123Graph_ACHART_8" localSheetId="23" hidden="1">#REF!</definedName>
    <definedName name="___5__123Graph_ACHART_8" localSheetId="22" hidden="1">#REF!</definedName>
    <definedName name="___5__123Graph_ACHART_8" localSheetId="24" hidden="1">#REF!</definedName>
    <definedName name="___5__123Graph_ACHART_8" localSheetId="8" hidden="1">#REF!</definedName>
    <definedName name="___5__123Graph_ACHART_8" localSheetId="7" hidden="1">#REF!</definedName>
    <definedName name="___5__123Graph_ACHART_8" localSheetId="15" hidden="1">#REF!</definedName>
    <definedName name="___5__123Graph_ACHART_8" localSheetId="1" hidden="1">#REF!</definedName>
    <definedName name="___5__123Graph_ACHART_8" localSheetId="20" hidden="1">#REF!</definedName>
    <definedName name="___5__123Graph_ACHART_8" localSheetId="26" hidden="1">#REF!</definedName>
    <definedName name="___5__123Graph_ACHART_8" localSheetId="0" hidden="1">#REF!</definedName>
    <definedName name="___5__123Graph_ACHART_8" localSheetId="16" hidden="1">#REF!</definedName>
    <definedName name="___5__123Graph_ACHART_8" localSheetId="9" hidden="1">#REF!</definedName>
    <definedName name="___5__123Graph_ACHART_8" localSheetId="6" hidden="1">#REF!</definedName>
    <definedName name="___5__123Graph_ACHART_8" localSheetId="10" hidden="1">#REF!</definedName>
    <definedName name="___5__123Graph_ACHART_8" localSheetId="13" hidden="1">#REF!</definedName>
    <definedName name="___5__123Graph_ACHART_8" localSheetId="14" hidden="1">#REF!</definedName>
    <definedName name="___5__123Graph_ACHART_8" hidden="1">#REF!</definedName>
    <definedName name="___6__123Graph_ACHART_9" localSheetId="23" hidden="1">#REF!</definedName>
    <definedName name="___6__123Graph_ACHART_9" localSheetId="22" hidden="1">#REF!</definedName>
    <definedName name="___6__123Graph_ACHART_9" localSheetId="24" hidden="1">#REF!</definedName>
    <definedName name="___6__123Graph_ACHART_9" localSheetId="8" hidden="1">#REF!</definedName>
    <definedName name="___6__123Graph_ACHART_9" localSheetId="7" hidden="1">#REF!</definedName>
    <definedName name="___6__123Graph_ACHART_9" localSheetId="15" hidden="1">#REF!</definedName>
    <definedName name="___6__123Graph_ACHART_9" localSheetId="1" hidden="1">#REF!</definedName>
    <definedName name="___6__123Graph_ACHART_9" localSheetId="20" hidden="1">#REF!</definedName>
    <definedName name="___6__123Graph_ACHART_9" localSheetId="26" hidden="1">#REF!</definedName>
    <definedName name="___6__123Graph_ACHART_9" localSheetId="0" hidden="1">#REF!</definedName>
    <definedName name="___6__123Graph_ACHART_9" localSheetId="16" hidden="1">#REF!</definedName>
    <definedName name="___6__123Graph_ACHART_9" localSheetId="9" hidden="1">#REF!</definedName>
    <definedName name="___6__123Graph_ACHART_9" localSheetId="6" hidden="1">#REF!</definedName>
    <definedName name="___6__123Graph_ACHART_9" localSheetId="10" hidden="1">#REF!</definedName>
    <definedName name="___6__123Graph_ACHART_9" localSheetId="13" hidden="1">#REF!</definedName>
    <definedName name="___6__123Graph_ACHART_9" localSheetId="14" hidden="1">#REF!</definedName>
    <definedName name="___6__123Graph_ACHART_9" hidden="1">#REF!</definedName>
    <definedName name="___7__123Graph_XCHART_10" localSheetId="23" hidden="1">#REF!</definedName>
    <definedName name="___7__123Graph_XCHART_10" localSheetId="22" hidden="1">#REF!</definedName>
    <definedName name="___7__123Graph_XCHART_10" localSheetId="24" hidden="1">#REF!</definedName>
    <definedName name="___7__123Graph_XCHART_10" localSheetId="8" hidden="1">#REF!</definedName>
    <definedName name="___7__123Graph_XCHART_10" localSheetId="7" hidden="1">#REF!</definedName>
    <definedName name="___7__123Graph_XCHART_10" localSheetId="15" hidden="1">#REF!</definedName>
    <definedName name="___7__123Graph_XCHART_10" localSheetId="1" hidden="1">#REF!</definedName>
    <definedName name="___7__123Graph_XCHART_10" localSheetId="20" hidden="1">#REF!</definedName>
    <definedName name="___7__123Graph_XCHART_10" localSheetId="26" hidden="1">#REF!</definedName>
    <definedName name="___7__123Graph_XCHART_10" localSheetId="0" hidden="1">#REF!</definedName>
    <definedName name="___7__123Graph_XCHART_10" localSheetId="16" hidden="1">#REF!</definedName>
    <definedName name="___7__123Graph_XCHART_10" localSheetId="9" hidden="1">#REF!</definedName>
    <definedName name="___7__123Graph_XCHART_10" localSheetId="6" hidden="1">#REF!</definedName>
    <definedName name="___7__123Graph_XCHART_10" localSheetId="10" hidden="1">#REF!</definedName>
    <definedName name="___7__123Graph_XCHART_10" localSheetId="13" hidden="1">#REF!</definedName>
    <definedName name="___7__123Graph_XCHART_10" localSheetId="14" hidden="1">#REF!</definedName>
    <definedName name="___7__123Graph_XCHART_10" hidden="1">#REF!</definedName>
    <definedName name="___8__123Graph_XCHART_5" localSheetId="23" hidden="1">#REF!</definedName>
    <definedName name="___8__123Graph_XCHART_5" localSheetId="22" hidden="1">#REF!</definedName>
    <definedName name="___8__123Graph_XCHART_5" localSheetId="24" hidden="1">#REF!</definedName>
    <definedName name="___8__123Graph_XCHART_5" localSheetId="8" hidden="1">#REF!</definedName>
    <definedName name="___8__123Graph_XCHART_5" localSheetId="7" hidden="1">#REF!</definedName>
    <definedName name="___8__123Graph_XCHART_5" localSheetId="15" hidden="1">#REF!</definedName>
    <definedName name="___8__123Graph_XCHART_5" localSheetId="1" hidden="1">#REF!</definedName>
    <definedName name="___8__123Graph_XCHART_5" localSheetId="20" hidden="1">#REF!</definedName>
    <definedName name="___8__123Graph_XCHART_5" localSheetId="26" hidden="1">#REF!</definedName>
    <definedName name="___8__123Graph_XCHART_5" localSheetId="0" hidden="1">#REF!</definedName>
    <definedName name="___8__123Graph_XCHART_5" localSheetId="16" hidden="1">#REF!</definedName>
    <definedName name="___8__123Graph_XCHART_5" localSheetId="9" hidden="1">#REF!</definedName>
    <definedName name="___8__123Graph_XCHART_5" localSheetId="6" hidden="1">#REF!</definedName>
    <definedName name="___8__123Graph_XCHART_5" localSheetId="10" hidden="1">#REF!</definedName>
    <definedName name="___8__123Graph_XCHART_5" localSheetId="13" hidden="1">#REF!</definedName>
    <definedName name="___8__123Graph_XCHART_5" localSheetId="14" hidden="1">#REF!</definedName>
    <definedName name="___8__123Graph_XCHART_5" hidden="1">#REF!</definedName>
    <definedName name="___9__123Graph_XCHART_6" localSheetId="23" hidden="1">#REF!</definedName>
    <definedName name="___9__123Graph_XCHART_6" localSheetId="22" hidden="1">#REF!</definedName>
    <definedName name="___9__123Graph_XCHART_6" localSheetId="24" hidden="1">#REF!</definedName>
    <definedName name="___9__123Graph_XCHART_6" localSheetId="8" hidden="1">#REF!</definedName>
    <definedName name="___9__123Graph_XCHART_6" localSheetId="7" hidden="1">#REF!</definedName>
    <definedName name="___9__123Graph_XCHART_6" localSheetId="15" hidden="1">#REF!</definedName>
    <definedName name="___9__123Graph_XCHART_6" localSheetId="1" hidden="1">#REF!</definedName>
    <definedName name="___9__123Graph_XCHART_6" localSheetId="20" hidden="1">#REF!</definedName>
    <definedName name="___9__123Graph_XCHART_6" localSheetId="26" hidden="1">#REF!</definedName>
    <definedName name="___9__123Graph_XCHART_6" localSheetId="0" hidden="1">#REF!</definedName>
    <definedName name="___9__123Graph_XCHART_6" localSheetId="16" hidden="1">#REF!</definedName>
    <definedName name="___9__123Graph_XCHART_6" localSheetId="9" hidden="1">#REF!</definedName>
    <definedName name="___9__123Graph_XCHART_6" localSheetId="6" hidden="1">#REF!</definedName>
    <definedName name="___9__123Graph_XCHART_6" localSheetId="10" hidden="1">#REF!</definedName>
    <definedName name="___9__123Graph_XCHART_6" localSheetId="13" hidden="1">#REF!</definedName>
    <definedName name="___9__123Graph_XCHART_6" localSheetId="14" hidden="1">#REF!</definedName>
    <definedName name="___9__123Graph_XCHART_6" hidden="1">#REF!</definedName>
    <definedName name="__1__123Graph_ACHART_10" localSheetId="23" hidden="1">#REF!</definedName>
    <definedName name="__1__123Graph_ACHART_10" localSheetId="22" hidden="1">#REF!</definedName>
    <definedName name="__1__123Graph_ACHART_10" localSheetId="24" hidden="1">#REF!</definedName>
    <definedName name="__1__123Graph_ACHART_10" localSheetId="8" hidden="1">#REF!</definedName>
    <definedName name="__1__123Graph_ACHART_10" localSheetId="7" hidden="1">#REF!</definedName>
    <definedName name="__1__123Graph_ACHART_10" localSheetId="15" hidden="1">#REF!</definedName>
    <definedName name="__1__123Graph_ACHART_10" localSheetId="1" hidden="1">#REF!</definedName>
    <definedName name="__1__123Graph_ACHART_10" localSheetId="20" hidden="1">#REF!</definedName>
    <definedName name="__1__123Graph_ACHART_10" localSheetId="26" hidden="1">#REF!</definedName>
    <definedName name="__1__123Graph_ACHART_10" localSheetId="0" hidden="1">#REF!</definedName>
    <definedName name="__1__123Graph_ACHART_10" localSheetId="16" hidden="1">#REF!</definedName>
    <definedName name="__1__123Graph_ACHART_10" localSheetId="9" hidden="1">#REF!</definedName>
    <definedName name="__1__123Graph_ACHART_10" localSheetId="6" hidden="1">#REF!</definedName>
    <definedName name="__1__123Graph_ACHART_10" localSheetId="10" hidden="1">#REF!</definedName>
    <definedName name="__1__123Graph_ACHART_10" localSheetId="13" hidden="1">#REF!</definedName>
    <definedName name="__1__123Graph_ACHART_10" localSheetId="14" hidden="1">#REF!</definedName>
    <definedName name="__1__123Graph_ACHART_10" hidden="1">#REF!</definedName>
    <definedName name="__10__123Graph_XCHART_7" localSheetId="23" hidden="1">#REF!</definedName>
    <definedName name="__10__123Graph_XCHART_7" localSheetId="22" hidden="1">#REF!</definedName>
    <definedName name="__10__123Graph_XCHART_7" localSheetId="24" hidden="1">#REF!</definedName>
    <definedName name="__10__123Graph_XCHART_7" localSheetId="8" hidden="1">#REF!</definedName>
    <definedName name="__10__123Graph_XCHART_7" localSheetId="7" hidden="1">#REF!</definedName>
    <definedName name="__10__123Graph_XCHART_7" localSheetId="15" hidden="1">#REF!</definedName>
    <definedName name="__10__123Graph_XCHART_7" localSheetId="1" hidden="1">#REF!</definedName>
    <definedName name="__10__123Graph_XCHART_7" localSheetId="20" hidden="1">#REF!</definedName>
    <definedName name="__10__123Graph_XCHART_7" localSheetId="26" hidden="1">#REF!</definedName>
    <definedName name="__10__123Graph_XCHART_7" localSheetId="0" hidden="1">#REF!</definedName>
    <definedName name="__10__123Graph_XCHART_7" localSheetId="16" hidden="1">#REF!</definedName>
    <definedName name="__10__123Graph_XCHART_7" localSheetId="9" hidden="1">#REF!</definedName>
    <definedName name="__10__123Graph_XCHART_7" localSheetId="6" hidden="1">#REF!</definedName>
    <definedName name="__10__123Graph_XCHART_7" localSheetId="10" hidden="1">#REF!</definedName>
    <definedName name="__10__123Graph_XCHART_7" localSheetId="13" hidden="1">#REF!</definedName>
    <definedName name="__10__123Graph_XCHART_7" localSheetId="14" hidden="1">#REF!</definedName>
    <definedName name="__10__123Graph_XCHART_7" hidden="1">#REF!</definedName>
    <definedName name="__11__123Graph_XCHART_8" localSheetId="23" hidden="1">#REF!</definedName>
    <definedName name="__11__123Graph_XCHART_8" localSheetId="22" hidden="1">#REF!</definedName>
    <definedName name="__11__123Graph_XCHART_8" localSheetId="24" hidden="1">#REF!</definedName>
    <definedName name="__11__123Graph_XCHART_8" localSheetId="8" hidden="1">#REF!</definedName>
    <definedName name="__11__123Graph_XCHART_8" localSheetId="7" hidden="1">#REF!</definedName>
    <definedName name="__11__123Graph_XCHART_8" localSheetId="15" hidden="1">#REF!</definedName>
    <definedName name="__11__123Graph_XCHART_8" localSheetId="1" hidden="1">#REF!</definedName>
    <definedName name="__11__123Graph_XCHART_8" localSheetId="20" hidden="1">#REF!</definedName>
    <definedName name="__11__123Graph_XCHART_8" localSheetId="26" hidden="1">#REF!</definedName>
    <definedName name="__11__123Graph_XCHART_8" localSheetId="0" hidden="1">#REF!</definedName>
    <definedName name="__11__123Graph_XCHART_8" localSheetId="16" hidden="1">#REF!</definedName>
    <definedName name="__11__123Graph_XCHART_8" localSheetId="9" hidden="1">#REF!</definedName>
    <definedName name="__11__123Graph_XCHART_8" localSheetId="6" hidden="1">#REF!</definedName>
    <definedName name="__11__123Graph_XCHART_8" localSheetId="10" hidden="1">#REF!</definedName>
    <definedName name="__11__123Graph_XCHART_8" localSheetId="13" hidden="1">#REF!</definedName>
    <definedName name="__11__123Graph_XCHART_8" localSheetId="14" hidden="1">#REF!</definedName>
    <definedName name="__11__123Graph_XCHART_8" hidden="1">#REF!</definedName>
    <definedName name="__12__123Graph_XCHART_9" localSheetId="23" hidden="1">#REF!</definedName>
    <definedName name="__12__123Graph_XCHART_9" localSheetId="22" hidden="1">#REF!</definedName>
    <definedName name="__12__123Graph_XCHART_9" localSheetId="24" hidden="1">#REF!</definedName>
    <definedName name="__12__123Graph_XCHART_9" localSheetId="8" hidden="1">#REF!</definedName>
    <definedName name="__12__123Graph_XCHART_9" localSheetId="7" hidden="1">#REF!</definedName>
    <definedName name="__12__123Graph_XCHART_9" localSheetId="15" hidden="1">#REF!</definedName>
    <definedName name="__12__123Graph_XCHART_9" localSheetId="1" hidden="1">#REF!</definedName>
    <definedName name="__12__123Graph_XCHART_9" localSheetId="20" hidden="1">#REF!</definedName>
    <definedName name="__12__123Graph_XCHART_9" localSheetId="26" hidden="1">#REF!</definedName>
    <definedName name="__12__123Graph_XCHART_9" localSheetId="0" hidden="1">#REF!</definedName>
    <definedName name="__12__123Graph_XCHART_9" localSheetId="16" hidden="1">#REF!</definedName>
    <definedName name="__12__123Graph_XCHART_9" localSheetId="9" hidden="1">#REF!</definedName>
    <definedName name="__12__123Graph_XCHART_9" localSheetId="6" hidden="1">#REF!</definedName>
    <definedName name="__12__123Graph_XCHART_9" localSheetId="10" hidden="1">#REF!</definedName>
    <definedName name="__12__123Graph_XCHART_9" localSheetId="13" hidden="1">#REF!</definedName>
    <definedName name="__12__123Graph_XCHART_9" localSheetId="14" hidden="1">#REF!</definedName>
    <definedName name="__12__123Graph_XCHART_9" hidden="1">#REF!</definedName>
    <definedName name="__123Graph_A" localSheetId="23" hidden="1">#REF!</definedName>
    <definedName name="__123Graph_A" localSheetId="22" hidden="1">#REF!</definedName>
    <definedName name="__123Graph_A" localSheetId="24" hidden="1">#REF!</definedName>
    <definedName name="__123Graph_A" localSheetId="8" hidden="1">#REF!</definedName>
    <definedName name="__123Graph_A" localSheetId="7" hidden="1">#REF!</definedName>
    <definedName name="__123Graph_A" localSheetId="15" hidden="1">#REF!</definedName>
    <definedName name="__123Graph_A" localSheetId="1" hidden="1">#REF!</definedName>
    <definedName name="__123Graph_A" localSheetId="20" hidden="1">#REF!</definedName>
    <definedName name="__123Graph_A" localSheetId="26" hidden="1">#REF!</definedName>
    <definedName name="__123Graph_A" localSheetId="0" hidden="1">#REF!</definedName>
    <definedName name="__123Graph_A" localSheetId="16" hidden="1">#REF!</definedName>
    <definedName name="__123Graph_A" localSheetId="3" hidden="1">#REF!</definedName>
    <definedName name="__123Graph_A" localSheetId="9" hidden="1">#REF!</definedName>
    <definedName name="__123Graph_A" localSheetId="6" hidden="1">#REF!</definedName>
    <definedName name="__123Graph_A" localSheetId="10" hidden="1">#REF!</definedName>
    <definedName name="__123Graph_A" localSheetId="13" hidden="1">#REF!</definedName>
    <definedName name="__123Graph_A" localSheetId="14" hidden="1">#REF!</definedName>
    <definedName name="__123Graph_A" localSheetId="19" hidden="1">#REF!</definedName>
    <definedName name="__123Graph_A" hidden="1">#REF!</definedName>
    <definedName name="__123Graph_AWLTDI" localSheetId="23" hidden="1">#REF!</definedName>
    <definedName name="__123Graph_AWLTDI" localSheetId="22" hidden="1">#REF!</definedName>
    <definedName name="__123Graph_AWLTDI" localSheetId="24" hidden="1">#REF!</definedName>
    <definedName name="__123Graph_AWLTDI" localSheetId="8" hidden="1">#REF!</definedName>
    <definedName name="__123Graph_AWLTDI" localSheetId="7" hidden="1">#REF!</definedName>
    <definedName name="__123Graph_AWLTDI" localSheetId="15" hidden="1">#REF!</definedName>
    <definedName name="__123Graph_AWLTDI" localSheetId="1" hidden="1">#REF!</definedName>
    <definedName name="__123Graph_AWLTDI" localSheetId="20" hidden="1">#REF!</definedName>
    <definedName name="__123Graph_AWLTDI" localSheetId="26" hidden="1">#REF!</definedName>
    <definedName name="__123Graph_AWLTDI" localSheetId="0" hidden="1">#REF!</definedName>
    <definedName name="__123Graph_AWLTDI" localSheetId="16" hidden="1">#REF!</definedName>
    <definedName name="__123Graph_AWLTDI" localSheetId="9" hidden="1">#REF!</definedName>
    <definedName name="__123Graph_AWLTDI" localSheetId="6" hidden="1">#REF!</definedName>
    <definedName name="__123Graph_AWLTDI" localSheetId="10" hidden="1">#REF!</definedName>
    <definedName name="__123Graph_AWLTDI" localSheetId="13" hidden="1">#REF!</definedName>
    <definedName name="__123Graph_AWLTDI" localSheetId="14" hidden="1">#REF!</definedName>
    <definedName name="__123Graph_AWLTDI" hidden="1">#REF!</definedName>
    <definedName name="__123Graph_AWLTDP" localSheetId="23" hidden="1">#REF!</definedName>
    <definedName name="__123Graph_AWLTDP" localSheetId="22" hidden="1">#REF!</definedName>
    <definedName name="__123Graph_AWLTDP" localSheetId="24" hidden="1">#REF!</definedName>
    <definedName name="__123Graph_AWLTDP" localSheetId="8" hidden="1">#REF!</definedName>
    <definedName name="__123Graph_AWLTDP" localSheetId="7" hidden="1">#REF!</definedName>
    <definedName name="__123Graph_AWLTDP" localSheetId="15" hidden="1">#REF!</definedName>
    <definedName name="__123Graph_AWLTDP" localSheetId="1" hidden="1">#REF!</definedName>
    <definedName name="__123Graph_AWLTDP" localSheetId="20" hidden="1">#REF!</definedName>
    <definedName name="__123Graph_AWLTDP" localSheetId="26" hidden="1">#REF!</definedName>
    <definedName name="__123Graph_AWLTDP" localSheetId="0" hidden="1">#REF!</definedName>
    <definedName name="__123Graph_AWLTDP" localSheetId="16" hidden="1">#REF!</definedName>
    <definedName name="__123Graph_AWLTDP" localSheetId="9" hidden="1">#REF!</definedName>
    <definedName name="__123Graph_AWLTDP" localSheetId="6" hidden="1">#REF!</definedName>
    <definedName name="__123Graph_AWLTDP" localSheetId="10" hidden="1">#REF!</definedName>
    <definedName name="__123Graph_AWLTDP" localSheetId="13" hidden="1">#REF!</definedName>
    <definedName name="__123Graph_AWLTDP" localSheetId="14" hidden="1">#REF!</definedName>
    <definedName name="__123Graph_AWLTDP" hidden="1">#REF!</definedName>
    <definedName name="__123Graph_X" localSheetId="23" hidden="1">#REF!</definedName>
    <definedName name="__123Graph_X" localSheetId="22" hidden="1">#REF!</definedName>
    <definedName name="__123Graph_X" localSheetId="24" hidden="1">#REF!</definedName>
    <definedName name="__123Graph_X" localSheetId="8" hidden="1">#REF!</definedName>
    <definedName name="__123Graph_X" localSheetId="7" hidden="1">#REF!</definedName>
    <definedName name="__123Graph_X" localSheetId="15" hidden="1">#REF!</definedName>
    <definedName name="__123Graph_X" localSheetId="1" hidden="1">#REF!</definedName>
    <definedName name="__123Graph_X" localSheetId="20" hidden="1">#REF!</definedName>
    <definedName name="__123Graph_X" localSheetId="26" hidden="1">#REF!</definedName>
    <definedName name="__123Graph_X" localSheetId="0" hidden="1">#REF!</definedName>
    <definedName name="__123Graph_X" localSheetId="16" hidden="1">#REF!</definedName>
    <definedName name="__123Graph_X" localSheetId="3" hidden="1">#REF!</definedName>
    <definedName name="__123Graph_X" localSheetId="9" hidden="1">#REF!</definedName>
    <definedName name="__123Graph_X" localSheetId="6" hidden="1">#REF!</definedName>
    <definedName name="__123Graph_X" localSheetId="10" hidden="1">#REF!</definedName>
    <definedName name="__123Graph_X" localSheetId="13" hidden="1">#REF!</definedName>
    <definedName name="__123Graph_X" localSheetId="14" hidden="1">#REF!</definedName>
    <definedName name="__123Graph_X" localSheetId="19" hidden="1">#REF!</definedName>
    <definedName name="__123Graph_X" hidden="1">#REF!</definedName>
    <definedName name="__2__123Graph_ACHART_5" localSheetId="23" hidden="1">#REF!</definedName>
    <definedName name="__2__123Graph_ACHART_5" localSheetId="22" hidden="1">#REF!</definedName>
    <definedName name="__2__123Graph_ACHART_5" localSheetId="24" hidden="1">#REF!</definedName>
    <definedName name="__2__123Graph_ACHART_5" localSheetId="8" hidden="1">#REF!</definedName>
    <definedName name="__2__123Graph_ACHART_5" localSheetId="7" hidden="1">#REF!</definedName>
    <definedName name="__2__123Graph_ACHART_5" localSheetId="15" hidden="1">#REF!</definedName>
    <definedName name="__2__123Graph_ACHART_5" localSheetId="1" hidden="1">#REF!</definedName>
    <definedName name="__2__123Graph_ACHART_5" localSheetId="20" hidden="1">#REF!</definedName>
    <definedName name="__2__123Graph_ACHART_5" localSheetId="26" hidden="1">#REF!</definedName>
    <definedName name="__2__123Graph_ACHART_5" localSheetId="0" hidden="1">#REF!</definedName>
    <definedName name="__2__123Graph_ACHART_5" localSheetId="16" hidden="1">#REF!</definedName>
    <definedName name="__2__123Graph_ACHART_5" localSheetId="9" hidden="1">#REF!</definedName>
    <definedName name="__2__123Graph_ACHART_5" localSheetId="6" hidden="1">#REF!</definedName>
    <definedName name="__2__123Graph_ACHART_5" localSheetId="10" hidden="1">#REF!</definedName>
    <definedName name="__2__123Graph_ACHART_5" localSheetId="13" hidden="1">#REF!</definedName>
    <definedName name="__2__123Graph_ACHART_5" localSheetId="14" hidden="1">#REF!</definedName>
    <definedName name="__2__123Graph_ACHART_5" hidden="1">#REF!</definedName>
    <definedName name="__3__123Graph_ACHART_6" localSheetId="23" hidden="1">#REF!</definedName>
    <definedName name="__3__123Graph_ACHART_6" localSheetId="22" hidden="1">#REF!</definedName>
    <definedName name="__3__123Graph_ACHART_6" localSheetId="24" hidden="1">#REF!</definedName>
    <definedName name="__3__123Graph_ACHART_6" localSheetId="8" hidden="1">#REF!</definedName>
    <definedName name="__3__123Graph_ACHART_6" localSheetId="7" hidden="1">#REF!</definedName>
    <definedName name="__3__123Graph_ACHART_6" localSheetId="15" hidden="1">#REF!</definedName>
    <definedName name="__3__123Graph_ACHART_6" localSheetId="1" hidden="1">#REF!</definedName>
    <definedName name="__3__123Graph_ACHART_6" localSheetId="20" hidden="1">#REF!</definedName>
    <definedName name="__3__123Graph_ACHART_6" localSheetId="26" hidden="1">#REF!</definedName>
    <definedName name="__3__123Graph_ACHART_6" localSheetId="0" hidden="1">#REF!</definedName>
    <definedName name="__3__123Graph_ACHART_6" localSheetId="16" hidden="1">#REF!</definedName>
    <definedName name="__3__123Graph_ACHART_6" localSheetId="9" hidden="1">#REF!</definedName>
    <definedName name="__3__123Graph_ACHART_6" localSheetId="6" hidden="1">#REF!</definedName>
    <definedName name="__3__123Graph_ACHART_6" localSheetId="10" hidden="1">#REF!</definedName>
    <definedName name="__3__123Graph_ACHART_6" localSheetId="13" hidden="1">#REF!</definedName>
    <definedName name="__3__123Graph_ACHART_6" localSheetId="14" hidden="1">#REF!</definedName>
    <definedName name="__3__123Graph_ACHART_6" hidden="1">#REF!</definedName>
    <definedName name="__4__123Graph_ACHART_7" localSheetId="23" hidden="1">#REF!</definedName>
    <definedName name="__4__123Graph_ACHART_7" localSheetId="22" hidden="1">#REF!</definedName>
    <definedName name="__4__123Graph_ACHART_7" localSheetId="24" hidden="1">#REF!</definedName>
    <definedName name="__4__123Graph_ACHART_7" localSheetId="8" hidden="1">#REF!</definedName>
    <definedName name="__4__123Graph_ACHART_7" localSheetId="7" hidden="1">#REF!</definedName>
    <definedName name="__4__123Graph_ACHART_7" localSheetId="15" hidden="1">#REF!</definedName>
    <definedName name="__4__123Graph_ACHART_7" localSheetId="1" hidden="1">#REF!</definedName>
    <definedName name="__4__123Graph_ACHART_7" localSheetId="20" hidden="1">#REF!</definedName>
    <definedName name="__4__123Graph_ACHART_7" localSheetId="26" hidden="1">#REF!</definedName>
    <definedName name="__4__123Graph_ACHART_7" localSheetId="0" hidden="1">#REF!</definedName>
    <definedName name="__4__123Graph_ACHART_7" localSheetId="16" hidden="1">#REF!</definedName>
    <definedName name="__4__123Graph_ACHART_7" localSheetId="9" hidden="1">#REF!</definedName>
    <definedName name="__4__123Graph_ACHART_7" localSheetId="6" hidden="1">#REF!</definedName>
    <definedName name="__4__123Graph_ACHART_7" localSheetId="10" hidden="1">#REF!</definedName>
    <definedName name="__4__123Graph_ACHART_7" localSheetId="13" hidden="1">#REF!</definedName>
    <definedName name="__4__123Graph_ACHART_7" localSheetId="14" hidden="1">#REF!</definedName>
    <definedName name="__4__123Graph_ACHART_7" hidden="1">#REF!</definedName>
    <definedName name="__5__123Graph_ACHART_8" localSheetId="23" hidden="1">#REF!</definedName>
    <definedName name="__5__123Graph_ACHART_8" localSheetId="22" hidden="1">#REF!</definedName>
    <definedName name="__5__123Graph_ACHART_8" localSheetId="24" hidden="1">#REF!</definedName>
    <definedName name="__5__123Graph_ACHART_8" localSheetId="8" hidden="1">#REF!</definedName>
    <definedName name="__5__123Graph_ACHART_8" localSheetId="7" hidden="1">#REF!</definedName>
    <definedName name="__5__123Graph_ACHART_8" localSheetId="15" hidden="1">#REF!</definedName>
    <definedName name="__5__123Graph_ACHART_8" localSheetId="1" hidden="1">#REF!</definedName>
    <definedName name="__5__123Graph_ACHART_8" localSheetId="20" hidden="1">#REF!</definedName>
    <definedName name="__5__123Graph_ACHART_8" localSheetId="26" hidden="1">#REF!</definedName>
    <definedName name="__5__123Graph_ACHART_8" localSheetId="0" hidden="1">#REF!</definedName>
    <definedName name="__5__123Graph_ACHART_8" localSheetId="16" hidden="1">#REF!</definedName>
    <definedName name="__5__123Graph_ACHART_8" localSheetId="9" hidden="1">#REF!</definedName>
    <definedName name="__5__123Graph_ACHART_8" localSheetId="6" hidden="1">#REF!</definedName>
    <definedName name="__5__123Graph_ACHART_8" localSheetId="10" hidden="1">#REF!</definedName>
    <definedName name="__5__123Graph_ACHART_8" localSheetId="13" hidden="1">#REF!</definedName>
    <definedName name="__5__123Graph_ACHART_8" localSheetId="14" hidden="1">#REF!</definedName>
    <definedName name="__5__123Graph_ACHART_8" hidden="1">#REF!</definedName>
    <definedName name="__6__123Graph_ACHART_9" localSheetId="23" hidden="1">#REF!</definedName>
    <definedName name="__6__123Graph_ACHART_9" localSheetId="22" hidden="1">#REF!</definedName>
    <definedName name="__6__123Graph_ACHART_9" localSheetId="24" hidden="1">#REF!</definedName>
    <definedName name="__6__123Graph_ACHART_9" localSheetId="8" hidden="1">#REF!</definedName>
    <definedName name="__6__123Graph_ACHART_9" localSheetId="7" hidden="1">#REF!</definedName>
    <definedName name="__6__123Graph_ACHART_9" localSheetId="15" hidden="1">#REF!</definedName>
    <definedName name="__6__123Graph_ACHART_9" localSheetId="1" hidden="1">#REF!</definedName>
    <definedName name="__6__123Graph_ACHART_9" localSheetId="20" hidden="1">#REF!</definedName>
    <definedName name="__6__123Graph_ACHART_9" localSheetId="26" hidden="1">#REF!</definedName>
    <definedName name="__6__123Graph_ACHART_9" localSheetId="0" hidden="1">#REF!</definedName>
    <definedName name="__6__123Graph_ACHART_9" localSheetId="16" hidden="1">#REF!</definedName>
    <definedName name="__6__123Graph_ACHART_9" localSheetId="9" hidden="1">#REF!</definedName>
    <definedName name="__6__123Graph_ACHART_9" localSheetId="6" hidden="1">#REF!</definedName>
    <definedName name="__6__123Graph_ACHART_9" localSheetId="10" hidden="1">#REF!</definedName>
    <definedName name="__6__123Graph_ACHART_9" localSheetId="13" hidden="1">#REF!</definedName>
    <definedName name="__6__123Graph_ACHART_9" localSheetId="14" hidden="1">#REF!</definedName>
    <definedName name="__6__123Graph_ACHART_9" hidden="1">#REF!</definedName>
    <definedName name="__7__123Graph_XCHART_10" localSheetId="23" hidden="1">#REF!</definedName>
    <definedName name="__7__123Graph_XCHART_10" localSheetId="22" hidden="1">#REF!</definedName>
    <definedName name="__7__123Graph_XCHART_10" localSheetId="24" hidden="1">#REF!</definedName>
    <definedName name="__7__123Graph_XCHART_10" localSheetId="8" hidden="1">#REF!</definedName>
    <definedName name="__7__123Graph_XCHART_10" localSheetId="7" hidden="1">#REF!</definedName>
    <definedName name="__7__123Graph_XCHART_10" localSheetId="15" hidden="1">#REF!</definedName>
    <definedName name="__7__123Graph_XCHART_10" localSheetId="1" hidden="1">#REF!</definedName>
    <definedName name="__7__123Graph_XCHART_10" localSheetId="20" hidden="1">#REF!</definedName>
    <definedName name="__7__123Graph_XCHART_10" localSheetId="26" hidden="1">#REF!</definedName>
    <definedName name="__7__123Graph_XCHART_10" localSheetId="0" hidden="1">#REF!</definedName>
    <definedName name="__7__123Graph_XCHART_10" localSheetId="16" hidden="1">#REF!</definedName>
    <definedName name="__7__123Graph_XCHART_10" localSheetId="9" hidden="1">#REF!</definedName>
    <definedName name="__7__123Graph_XCHART_10" localSheetId="6" hidden="1">#REF!</definedName>
    <definedName name="__7__123Graph_XCHART_10" localSheetId="10" hidden="1">#REF!</definedName>
    <definedName name="__7__123Graph_XCHART_10" localSheetId="13" hidden="1">#REF!</definedName>
    <definedName name="__7__123Graph_XCHART_10" localSheetId="14" hidden="1">#REF!</definedName>
    <definedName name="__7__123Graph_XCHART_10" hidden="1">#REF!</definedName>
    <definedName name="__8__123Graph_XCHART_5" localSheetId="23" hidden="1">#REF!</definedName>
    <definedName name="__8__123Graph_XCHART_5" localSheetId="22" hidden="1">#REF!</definedName>
    <definedName name="__8__123Graph_XCHART_5" localSheetId="24" hidden="1">#REF!</definedName>
    <definedName name="__8__123Graph_XCHART_5" localSheetId="8" hidden="1">#REF!</definedName>
    <definedName name="__8__123Graph_XCHART_5" localSheetId="7" hidden="1">#REF!</definedName>
    <definedName name="__8__123Graph_XCHART_5" localSheetId="15" hidden="1">#REF!</definedName>
    <definedName name="__8__123Graph_XCHART_5" localSheetId="1" hidden="1">#REF!</definedName>
    <definedName name="__8__123Graph_XCHART_5" localSheetId="20" hidden="1">#REF!</definedName>
    <definedName name="__8__123Graph_XCHART_5" localSheetId="26" hidden="1">#REF!</definedName>
    <definedName name="__8__123Graph_XCHART_5" localSheetId="0" hidden="1">#REF!</definedName>
    <definedName name="__8__123Graph_XCHART_5" localSheetId="16" hidden="1">#REF!</definedName>
    <definedName name="__8__123Graph_XCHART_5" localSheetId="9" hidden="1">#REF!</definedName>
    <definedName name="__8__123Graph_XCHART_5" localSheetId="6" hidden="1">#REF!</definedName>
    <definedName name="__8__123Graph_XCHART_5" localSheetId="10" hidden="1">#REF!</definedName>
    <definedName name="__8__123Graph_XCHART_5" localSheetId="13" hidden="1">#REF!</definedName>
    <definedName name="__8__123Graph_XCHART_5" localSheetId="14" hidden="1">#REF!</definedName>
    <definedName name="__8__123Graph_XCHART_5" hidden="1">#REF!</definedName>
    <definedName name="__9__123Graph_XCHART_6" localSheetId="23" hidden="1">#REF!</definedName>
    <definedName name="__9__123Graph_XCHART_6" localSheetId="22" hidden="1">#REF!</definedName>
    <definedName name="__9__123Graph_XCHART_6" localSheetId="24" hidden="1">#REF!</definedName>
    <definedName name="__9__123Graph_XCHART_6" localSheetId="8" hidden="1">#REF!</definedName>
    <definedName name="__9__123Graph_XCHART_6" localSheetId="7" hidden="1">#REF!</definedName>
    <definedName name="__9__123Graph_XCHART_6" localSheetId="15" hidden="1">#REF!</definedName>
    <definedName name="__9__123Graph_XCHART_6" localSheetId="1" hidden="1">#REF!</definedName>
    <definedName name="__9__123Graph_XCHART_6" localSheetId="20" hidden="1">#REF!</definedName>
    <definedName name="__9__123Graph_XCHART_6" localSheetId="26" hidden="1">#REF!</definedName>
    <definedName name="__9__123Graph_XCHART_6" localSheetId="0" hidden="1">#REF!</definedName>
    <definedName name="__9__123Graph_XCHART_6" localSheetId="16" hidden="1">#REF!</definedName>
    <definedName name="__9__123Graph_XCHART_6" localSheetId="9" hidden="1">#REF!</definedName>
    <definedName name="__9__123Graph_XCHART_6" localSheetId="6" hidden="1">#REF!</definedName>
    <definedName name="__9__123Graph_XCHART_6" localSheetId="10" hidden="1">#REF!</definedName>
    <definedName name="__9__123Graph_XCHART_6" localSheetId="13" hidden="1">#REF!</definedName>
    <definedName name="__9__123Graph_XCHART_6" localSheetId="14" hidden="1">#REF!</definedName>
    <definedName name="__9__123Graph_XCHART_6" hidden="1">#REF!</definedName>
    <definedName name="_1__123Graph_ACHART_10" localSheetId="23" hidden="1">#REF!</definedName>
    <definedName name="_1__123Graph_ACHART_10" localSheetId="22" hidden="1">#REF!</definedName>
    <definedName name="_1__123Graph_ACHART_10" localSheetId="24" hidden="1">#REF!</definedName>
    <definedName name="_1__123Graph_ACHART_10" localSheetId="8" hidden="1">#REF!</definedName>
    <definedName name="_1__123Graph_ACHART_10" localSheetId="7" hidden="1">#REF!</definedName>
    <definedName name="_1__123Graph_ACHART_10" localSheetId="15" hidden="1">#REF!</definedName>
    <definedName name="_1__123Graph_ACHART_10" localSheetId="1" hidden="1">#REF!</definedName>
    <definedName name="_1__123Graph_ACHART_10" localSheetId="20" hidden="1">#REF!</definedName>
    <definedName name="_1__123Graph_ACHART_10" localSheetId="26" hidden="1">#REF!</definedName>
    <definedName name="_1__123Graph_ACHART_10" localSheetId="0" hidden="1">#REF!</definedName>
    <definedName name="_1__123Graph_ACHART_10" localSheetId="16" hidden="1">#REF!</definedName>
    <definedName name="_1__123Graph_ACHART_10" localSheetId="9" hidden="1">#REF!</definedName>
    <definedName name="_1__123Graph_ACHART_10" localSheetId="6" hidden="1">#REF!</definedName>
    <definedName name="_1__123Graph_ACHART_10" localSheetId="10" hidden="1">#REF!</definedName>
    <definedName name="_1__123Graph_ACHART_10" localSheetId="13" hidden="1">#REF!</definedName>
    <definedName name="_1__123Graph_ACHART_10" localSheetId="14" hidden="1">#REF!</definedName>
    <definedName name="_1__123Graph_ACHART_10" hidden="1">#REF!</definedName>
    <definedName name="_10__123Graph_XCHART_7" localSheetId="23" hidden="1">#REF!</definedName>
    <definedName name="_10__123Graph_XCHART_7" localSheetId="22" hidden="1">#REF!</definedName>
    <definedName name="_10__123Graph_XCHART_7" localSheetId="24" hidden="1">#REF!</definedName>
    <definedName name="_10__123Graph_XCHART_7" localSheetId="8" hidden="1">#REF!</definedName>
    <definedName name="_10__123Graph_XCHART_7" localSheetId="7" hidden="1">#REF!</definedName>
    <definedName name="_10__123Graph_XCHART_7" localSheetId="15" hidden="1">#REF!</definedName>
    <definedName name="_10__123Graph_XCHART_7" localSheetId="1" hidden="1">#REF!</definedName>
    <definedName name="_10__123Graph_XCHART_7" localSheetId="20" hidden="1">#REF!</definedName>
    <definedName name="_10__123Graph_XCHART_7" localSheetId="26" hidden="1">#REF!</definedName>
    <definedName name="_10__123Graph_XCHART_7" localSheetId="0" hidden="1">#REF!</definedName>
    <definedName name="_10__123Graph_XCHART_7" localSheetId="16" hidden="1">#REF!</definedName>
    <definedName name="_10__123Graph_XCHART_7" localSheetId="9" hidden="1">#REF!</definedName>
    <definedName name="_10__123Graph_XCHART_7" localSheetId="6" hidden="1">#REF!</definedName>
    <definedName name="_10__123Graph_XCHART_7" localSheetId="10" hidden="1">#REF!</definedName>
    <definedName name="_10__123Graph_XCHART_7" localSheetId="13" hidden="1">#REF!</definedName>
    <definedName name="_10__123Graph_XCHART_7" localSheetId="14" hidden="1">#REF!</definedName>
    <definedName name="_10__123Graph_XCHART_7" hidden="1">#REF!</definedName>
    <definedName name="_11__123Graph_XCHART_8" localSheetId="23" hidden="1">#REF!</definedName>
    <definedName name="_11__123Graph_XCHART_8" localSheetId="22" hidden="1">#REF!</definedName>
    <definedName name="_11__123Graph_XCHART_8" localSheetId="24" hidden="1">#REF!</definedName>
    <definedName name="_11__123Graph_XCHART_8" localSheetId="8" hidden="1">#REF!</definedName>
    <definedName name="_11__123Graph_XCHART_8" localSheetId="7" hidden="1">#REF!</definedName>
    <definedName name="_11__123Graph_XCHART_8" localSheetId="15" hidden="1">#REF!</definedName>
    <definedName name="_11__123Graph_XCHART_8" localSheetId="1" hidden="1">#REF!</definedName>
    <definedName name="_11__123Graph_XCHART_8" localSheetId="20" hidden="1">#REF!</definedName>
    <definedName name="_11__123Graph_XCHART_8" localSheetId="26" hidden="1">#REF!</definedName>
    <definedName name="_11__123Graph_XCHART_8" localSheetId="0" hidden="1">#REF!</definedName>
    <definedName name="_11__123Graph_XCHART_8" localSheetId="16" hidden="1">#REF!</definedName>
    <definedName name="_11__123Graph_XCHART_8" localSheetId="9" hidden="1">#REF!</definedName>
    <definedName name="_11__123Graph_XCHART_8" localSheetId="6" hidden="1">#REF!</definedName>
    <definedName name="_11__123Graph_XCHART_8" localSheetId="10" hidden="1">#REF!</definedName>
    <definedName name="_11__123Graph_XCHART_8" localSheetId="13" hidden="1">#REF!</definedName>
    <definedName name="_11__123Graph_XCHART_8" localSheetId="14" hidden="1">#REF!</definedName>
    <definedName name="_11__123Graph_XCHART_8" hidden="1">#REF!</definedName>
    <definedName name="_12__123Graph_XCHART_9" localSheetId="23" hidden="1">#REF!</definedName>
    <definedName name="_12__123Graph_XCHART_9" localSheetId="22" hidden="1">#REF!</definedName>
    <definedName name="_12__123Graph_XCHART_9" localSheetId="24" hidden="1">#REF!</definedName>
    <definedName name="_12__123Graph_XCHART_9" localSheetId="8" hidden="1">#REF!</definedName>
    <definedName name="_12__123Graph_XCHART_9" localSheetId="7" hidden="1">#REF!</definedName>
    <definedName name="_12__123Graph_XCHART_9" localSheetId="15" hidden="1">#REF!</definedName>
    <definedName name="_12__123Graph_XCHART_9" localSheetId="1" hidden="1">#REF!</definedName>
    <definedName name="_12__123Graph_XCHART_9" localSheetId="20" hidden="1">#REF!</definedName>
    <definedName name="_12__123Graph_XCHART_9" localSheetId="26" hidden="1">#REF!</definedName>
    <definedName name="_12__123Graph_XCHART_9" localSheetId="0" hidden="1">#REF!</definedName>
    <definedName name="_12__123Graph_XCHART_9" localSheetId="16" hidden="1">#REF!</definedName>
    <definedName name="_12__123Graph_XCHART_9" localSheetId="9" hidden="1">#REF!</definedName>
    <definedName name="_12__123Graph_XCHART_9" localSheetId="6" hidden="1">#REF!</definedName>
    <definedName name="_12__123Graph_XCHART_9" localSheetId="10" hidden="1">#REF!</definedName>
    <definedName name="_12__123Graph_XCHART_9" localSheetId="13" hidden="1">#REF!</definedName>
    <definedName name="_12__123Graph_XCHART_9" localSheetId="14" hidden="1">#REF!</definedName>
    <definedName name="_12__123Graph_XCHART_9" hidden="1">#REF!</definedName>
    <definedName name="_2__123Graph_ACHART_5" localSheetId="23" hidden="1">#REF!</definedName>
    <definedName name="_2__123Graph_ACHART_5" localSheetId="22" hidden="1">#REF!</definedName>
    <definedName name="_2__123Graph_ACHART_5" localSheetId="24" hidden="1">#REF!</definedName>
    <definedName name="_2__123Graph_ACHART_5" localSheetId="8" hidden="1">#REF!</definedName>
    <definedName name="_2__123Graph_ACHART_5" localSheetId="7" hidden="1">#REF!</definedName>
    <definedName name="_2__123Graph_ACHART_5" localSheetId="15" hidden="1">#REF!</definedName>
    <definedName name="_2__123Graph_ACHART_5" localSheetId="1" hidden="1">#REF!</definedName>
    <definedName name="_2__123Graph_ACHART_5" localSheetId="20" hidden="1">#REF!</definedName>
    <definedName name="_2__123Graph_ACHART_5" localSheetId="26" hidden="1">#REF!</definedName>
    <definedName name="_2__123Graph_ACHART_5" localSheetId="0" hidden="1">#REF!</definedName>
    <definedName name="_2__123Graph_ACHART_5" localSheetId="16" hidden="1">#REF!</definedName>
    <definedName name="_2__123Graph_ACHART_5" localSheetId="9" hidden="1">#REF!</definedName>
    <definedName name="_2__123Graph_ACHART_5" localSheetId="6" hidden="1">#REF!</definedName>
    <definedName name="_2__123Graph_ACHART_5" localSheetId="10" hidden="1">#REF!</definedName>
    <definedName name="_2__123Graph_ACHART_5" localSheetId="13" hidden="1">#REF!</definedName>
    <definedName name="_2__123Graph_ACHART_5" localSheetId="14" hidden="1">#REF!</definedName>
    <definedName name="_2__123Graph_ACHART_5" hidden="1">#REF!</definedName>
    <definedName name="_2_123Graph_ACHART_5" localSheetId="23" hidden="1">#REF!</definedName>
    <definedName name="_2_123Graph_ACHART_5" localSheetId="22" hidden="1">#REF!</definedName>
    <definedName name="_2_123Graph_ACHART_5" localSheetId="24" hidden="1">#REF!</definedName>
    <definedName name="_2_123Graph_ACHART_5" localSheetId="8" hidden="1">#REF!</definedName>
    <definedName name="_2_123Graph_ACHART_5" localSheetId="7" hidden="1">#REF!</definedName>
    <definedName name="_2_123Graph_ACHART_5" localSheetId="15" hidden="1">#REF!</definedName>
    <definedName name="_2_123Graph_ACHART_5" localSheetId="1" hidden="1">#REF!</definedName>
    <definedName name="_2_123Graph_ACHART_5" localSheetId="20" hidden="1">#REF!</definedName>
    <definedName name="_2_123Graph_ACHART_5" localSheetId="26" hidden="1">#REF!</definedName>
    <definedName name="_2_123Graph_ACHART_5" localSheetId="0" hidden="1">#REF!</definedName>
    <definedName name="_2_123Graph_ACHART_5" localSheetId="16" hidden="1">#REF!</definedName>
    <definedName name="_2_123Graph_ACHART_5" localSheetId="9" hidden="1">#REF!</definedName>
    <definedName name="_2_123Graph_ACHART_5" localSheetId="6" hidden="1">#REF!</definedName>
    <definedName name="_2_123Graph_ACHART_5" localSheetId="10" hidden="1">#REF!</definedName>
    <definedName name="_2_123Graph_ACHART_5" localSheetId="13" hidden="1">#REF!</definedName>
    <definedName name="_2_123Graph_ACHART_5" localSheetId="14" hidden="1">#REF!</definedName>
    <definedName name="_2_123Graph_ACHART_5" hidden="1">#REF!</definedName>
    <definedName name="_3__123Graph_ACHART_6" localSheetId="23" hidden="1">#REF!</definedName>
    <definedName name="_3__123Graph_ACHART_6" localSheetId="22" hidden="1">#REF!</definedName>
    <definedName name="_3__123Graph_ACHART_6" localSheetId="24" hidden="1">#REF!</definedName>
    <definedName name="_3__123Graph_ACHART_6" localSheetId="8" hidden="1">#REF!</definedName>
    <definedName name="_3__123Graph_ACHART_6" localSheetId="7" hidden="1">#REF!</definedName>
    <definedName name="_3__123Graph_ACHART_6" localSheetId="15" hidden="1">#REF!</definedName>
    <definedName name="_3__123Graph_ACHART_6" localSheetId="1" hidden="1">#REF!</definedName>
    <definedName name="_3__123Graph_ACHART_6" localSheetId="20" hidden="1">#REF!</definedName>
    <definedName name="_3__123Graph_ACHART_6" localSheetId="26" hidden="1">#REF!</definedName>
    <definedName name="_3__123Graph_ACHART_6" localSheetId="0" hidden="1">#REF!</definedName>
    <definedName name="_3__123Graph_ACHART_6" localSheetId="16" hidden="1">#REF!</definedName>
    <definedName name="_3__123Graph_ACHART_6" localSheetId="9" hidden="1">#REF!</definedName>
    <definedName name="_3__123Graph_ACHART_6" localSheetId="6" hidden="1">#REF!</definedName>
    <definedName name="_3__123Graph_ACHART_6" localSheetId="10" hidden="1">#REF!</definedName>
    <definedName name="_3__123Graph_ACHART_6" localSheetId="13" hidden="1">#REF!</definedName>
    <definedName name="_3__123Graph_ACHART_6" localSheetId="14" hidden="1">#REF!</definedName>
    <definedName name="_3__123Graph_ACHART_6" hidden="1">#REF!</definedName>
    <definedName name="_4__123Graph_ACHART_7" localSheetId="23" hidden="1">#REF!</definedName>
    <definedName name="_4__123Graph_ACHART_7" localSheetId="22" hidden="1">#REF!</definedName>
    <definedName name="_4__123Graph_ACHART_7" localSheetId="24" hidden="1">#REF!</definedName>
    <definedName name="_4__123Graph_ACHART_7" localSheetId="8" hidden="1">#REF!</definedName>
    <definedName name="_4__123Graph_ACHART_7" localSheetId="7" hidden="1">#REF!</definedName>
    <definedName name="_4__123Graph_ACHART_7" localSheetId="15" hidden="1">#REF!</definedName>
    <definedName name="_4__123Graph_ACHART_7" localSheetId="1" hidden="1">#REF!</definedName>
    <definedName name="_4__123Graph_ACHART_7" localSheetId="20" hidden="1">#REF!</definedName>
    <definedName name="_4__123Graph_ACHART_7" localSheetId="26" hidden="1">#REF!</definedName>
    <definedName name="_4__123Graph_ACHART_7" localSheetId="0" hidden="1">#REF!</definedName>
    <definedName name="_4__123Graph_ACHART_7" localSheetId="16" hidden="1">#REF!</definedName>
    <definedName name="_4__123Graph_ACHART_7" localSheetId="9" hidden="1">#REF!</definedName>
    <definedName name="_4__123Graph_ACHART_7" localSheetId="6" hidden="1">#REF!</definedName>
    <definedName name="_4__123Graph_ACHART_7" localSheetId="10" hidden="1">#REF!</definedName>
    <definedName name="_4__123Graph_ACHART_7" localSheetId="13" hidden="1">#REF!</definedName>
    <definedName name="_4__123Graph_ACHART_7" localSheetId="14" hidden="1">#REF!</definedName>
    <definedName name="_4__123Graph_ACHART_7" hidden="1">#REF!</definedName>
    <definedName name="_5__123Graph_ACHART_8" localSheetId="23" hidden="1">#REF!</definedName>
    <definedName name="_5__123Graph_ACHART_8" localSheetId="22" hidden="1">#REF!</definedName>
    <definedName name="_5__123Graph_ACHART_8" localSheetId="24" hidden="1">#REF!</definedName>
    <definedName name="_5__123Graph_ACHART_8" localSheetId="8" hidden="1">#REF!</definedName>
    <definedName name="_5__123Graph_ACHART_8" localSheetId="7" hidden="1">#REF!</definedName>
    <definedName name="_5__123Graph_ACHART_8" localSheetId="15" hidden="1">#REF!</definedName>
    <definedName name="_5__123Graph_ACHART_8" localSheetId="1" hidden="1">#REF!</definedName>
    <definedName name="_5__123Graph_ACHART_8" localSheetId="20" hidden="1">#REF!</definedName>
    <definedName name="_5__123Graph_ACHART_8" localSheetId="26" hidden="1">#REF!</definedName>
    <definedName name="_5__123Graph_ACHART_8" localSheetId="0" hidden="1">#REF!</definedName>
    <definedName name="_5__123Graph_ACHART_8" localSheetId="16" hidden="1">#REF!</definedName>
    <definedName name="_5__123Graph_ACHART_8" localSheetId="9" hidden="1">#REF!</definedName>
    <definedName name="_5__123Graph_ACHART_8" localSheetId="6" hidden="1">#REF!</definedName>
    <definedName name="_5__123Graph_ACHART_8" localSheetId="10" hidden="1">#REF!</definedName>
    <definedName name="_5__123Graph_ACHART_8" localSheetId="13" hidden="1">#REF!</definedName>
    <definedName name="_5__123Graph_ACHART_8" localSheetId="14" hidden="1">#REF!</definedName>
    <definedName name="_5__123Graph_ACHART_8" hidden="1">#REF!</definedName>
    <definedName name="_6__123Graph_ACHART_9" localSheetId="23" hidden="1">#REF!</definedName>
    <definedName name="_6__123Graph_ACHART_9" localSheetId="22" hidden="1">#REF!</definedName>
    <definedName name="_6__123Graph_ACHART_9" localSheetId="24" hidden="1">#REF!</definedName>
    <definedName name="_6__123Graph_ACHART_9" localSheetId="8" hidden="1">#REF!</definedName>
    <definedName name="_6__123Graph_ACHART_9" localSheetId="7" hidden="1">#REF!</definedName>
    <definedName name="_6__123Graph_ACHART_9" localSheetId="15" hidden="1">#REF!</definedName>
    <definedName name="_6__123Graph_ACHART_9" localSheetId="1" hidden="1">#REF!</definedName>
    <definedName name="_6__123Graph_ACHART_9" localSheetId="20" hidden="1">#REF!</definedName>
    <definedName name="_6__123Graph_ACHART_9" localSheetId="26" hidden="1">#REF!</definedName>
    <definedName name="_6__123Graph_ACHART_9" localSheetId="0" hidden="1">#REF!</definedName>
    <definedName name="_6__123Graph_ACHART_9" localSheetId="16" hidden="1">#REF!</definedName>
    <definedName name="_6__123Graph_ACHART_9" localSheetId="9" hidden="1">#REF!</definedName>
    <definedName name="_6__123Graph_ACHART_9" localSheetId="6" hidden="1">#REF!</definedName>
    <definedName name="_6__123Graph_ACHART_9" localSheetId="10" hidden="1">#REF!</definedName>
    <definedName name="_6__123Graph_ACHART_9" localSheetId="13" hidden="1">#REF!</definedName>
    <definedName name="_6__123Graph_ACHART_9" localSheetId="14" hidden="1">#REF!</definedName>
    <definedName name="_6__123Graph_ACHART_9" hidden="1">#REF!</definedName>
    <definedName name="_7__123Graph_XCHART_10" localSheetId="23" hidden="1">#REF!</definedName>
    <definedName name="_7__123Graph_XCHART_10" localSheetId="22" hidden="1">#REF!</definedName>
    <definedName name="_7__123Graph_XCHART_10" localSheetId="24" hidden="1">#REF!</definedName>
    <definedName name="_7__123Graph_XCHART_10" localSheetId="8" hidden="1">#REF!</definedName>
    <definedName name="_7__123Graph_XCHART_10" localSheetId="7" hidden="1">#REF!</definedName>
    <definedName name="_7__123Graph_XCHART_10" localSheetId="15" hidden="1">#REF!</definedName>
    <definedName name="_7__123Graph_XCHART_10" localSheetId="1" hidden="1">#REF!</definedName>
    <definedName name="_7__123Graph_XCHART_10" localSheetId="20" hidden="1">#REF!</definedName>
    <definedName name="_7__123Graph_XCHART_10" localSheetId="26" hidden="1">#REF!</definedName>
    <definedName name="_7__123Graph_XCHART_10" localSheetId="0" hidden="1">#REF!</definedName>
    <definedName name="_7__123Graph_XCHART_10" localSheetId="16" hidden="1">#REF!</definedName>
    <definedName name="_7__123Graph_XCHART_10" localSheetId="9" hidden="1">#REF!</definedName>
    <definedName name="_7__123Graph_XCHART_10" localSheetId="6" hidden="1">#REF!</definedName>
    <definedName name="_7__123Graph_XCHART_10" localSheetId="10" hidden="1">#REF!</definedName>
    <definedName name="_7__123Graph_XCHART_10" localSheetId="13" hidden="1">#REF!</definedName>
    <definedName name="_7__123Graph_XCHART_10" localSheetId="14" hidden="1">#REF!</definedName>
    <definedName name="_7__123Graph_XCHART_10" hidden="1">#REF!</definedName>
    <definedName name="_8__123Graph_XCHART_5" localSheetId="23" hidden="1">#REF!</definedName>
    <definedName name="_8__123Graph_XCHART_5" localSheetId="22" hidden="1">#REF!</definedName>
    <definedName name="_8__123Graph_XCHART_5" localSheetId="24" hidden="1">#REF!</definedName>
    <definedName name="_8__123Graph_XCHART_5" localSheetId="8" hidden="1">#REF!</definedName>
    <definedName name="_8__123Graph_XCHART_5" localSheetId="7" hidden="1">#REF!</definedName>
    <definedName name="_8__123Graph_XCHART_5" localSheetId="15" hidden="1">#REF!</definedName>
    <definedName name="_8__123Graph_XCHART_5" localSheetId="1" hidden="1">#REF!</definedName>
    <definedName name="_8__123Graph_XCHART_5" localSheetId="20" hidden="1">#REF!</definedName>
    <definedName name="_8__123Graph_XCHART_5" localSheetId="26" hidden="1">#REF!</definedName>
    <definedName name="_8__123Graph_XCHART_5" localSheetId="0" hidden="1">#REF!</definedName>
    <definedName name="_8__123Graph_XCHART_5" localSheetId="16" hidden="1">#REF!</definedName>
    <definedName name="_8__123Graph_XCHART_5" localSheetId="9" hidden="1">#REF!</definedName>
    <definedName name="_8__123Graph_XCHART_5" localSheetId="6" hidden="1">#REF!</definedName>
    <definedName name="_8__123Graph_XCHART_5" localSheetId="10" hidden="1">#REF!</definedName>
    <definedName name="_8__123Graph_XCHART_5" localSheetId="13" hidden="1">#REF!</definedName>
    <definedName name="_8__123Graph_XCHART_5" localSheetId="14" hidden="1">#REF!</definedName>
    <definedName name="_8__123Graph_XCHART_5" hidden="1">#REF!</definedName>
    <definedName name="_9__123Graph_XCHART_6" localSheetId="23" hidden="1">#REF!</definedName>
    <definedName name="_9__123Graph_XCHART_6" localSheetId="22" hidden="1">#REF!</definedName>
    <definedName name="_9__123Graph_XCHART_6" localSheetId="24" hidden="1">#REF!</definedName>
    <definedName name="_9__123Graph_XCHART_6" localSheetId="8" hidden="1">#REF!</definedName>
    <definedName name="_9__123Graph_XCHART_6" localSheetId="7" hidden="1">#REF!</definedName>
    <definedName name="_9__123Graph_XCHART_6" localSheetId="15" hidden="1">#REF!</definedName>
    <definedName name="_9__123Graph_XCHART_6" localSheetId="1" hidden="1">#REF!</definedName>
    <definedName name="_9__123Graph_XCHART_6" localSheetId="20" hidden="1">#REF!</definedName>
    <definedName name="_9__123Graph_XCHART_6" localSheetId="26" hidden="1">#REF!</definedName>
    <definedName name="_9__123Graph_XCHART_6" localSheetId="0" hidden="1">#REF!</definedName>
    <definedName name="_9__123Graph_XCHART_6" localSheetId="16" hidden="1">#REF!</definedName>
    <definedName name="_9__123Graph_XCHART_6" localSheetId="9" hidden="1">#REF!</definedName>
    <definedName name="_9__123Graph_XCHART_6" localSheetId="6" hidden="1">#REF!</definedName>
    <definedName name="_9__123Graph_XCHART_6" localSheetId="10" hidden="1">#REF!</definedName>
    <definedName name="_9__123Graph_XCHART_6" localSheetId="13" hidden="1">#REF!</definedName>
    <definedName name="_9__123Graph_XCHART_6" localSheetId="14" hidden="1">#REF!</definedName>
    <definedName name="_9__123Graph_XCHART_6" hidden="1">#REF!</definedName>
    <definedName name="_xlnm._FilterDatabase" localSheetId="16" hidden="1">'Fixed Assets'!$A$5:$U$597</definedName>
    <definedName name="aaa" localSheetId="23" hidden="1">#REF!</definedName>
    <definedName name="aaa" localSheetId="22" hidden="1">#REF!</definedName>
    <definedName name="aaa" localSheetId="24" hidden="1">#REF!</definedName>
    <definedName name="aaa" localSheetId="8" hidden="1">#REF!</definedName>
    <definedName name="aaa" localSheetId="7" hidden="1">#REF!</definedName>
    <definedName name="aaa" localSheetId="15" hidden="1">#REF!</definedName>
    <definedName name="aaa" localSheetId="1" hidden="1">#REF!</definedName>
    <definedName name="aaa" localSheetId="20" hidden="1">#REF!</definedName>
    <definedName name="aaa" localSheetId="26" hidden="1">#REF!</definedName>
    <definedName name="aaa" localSheetId="0" hidden="1">#REF!</definedName>
    <definedName name="aaa" localSheetId="16" hidden="1">#REF!</definedName>
    <definedName name="aaa" localSheetId="9" hidden="1">#REF!</definedName>
    <definedName name="aaa" localSheetId="6" hidden="1">#REF!</definedName>
    <definedName name="aaa" localSheetId="10" hidden="1">#REF!</definedName>
    <definedName name="aaa" localSheetId="13" hidden="1">#REF!</definedName>
    <definedName name="aaa" localSheetId="14" hidden="1">#REF!</definedName>
    <definedName name="aaa" hidden="1">#REF!</definedName>
    <definedName name="dave" localSheetId="23" hidden="1">#REF!</definedName>
    <definedName name="dave" localSheetId="22" hidden="1">#REF!</definedName>
    <definedName name="dave" localSheetId="24" hidden="1">#REF!</definedName>
    <definedName name="dave" localSheetId="8" hidden="1">#REF!</definedName>
    <definedName name="dave" localSheetId="7" hidden="1">#REF!</definedName>
    <definedName name="dave" localSheetId="15" hidden="1">#REF!</definedName>
    <definedName name="dave" localSheetId="1" hidden="1">#REF!</definedName>
    <definedName name="dave" localSheetId="20" hidden="1">#REF!</definedName>
    <definedName name="dave" localSheetId="26" hidden="1">#REF!</definedName>
    <definedName name="dave" localSheetId="0" hidden="1">#REF!</definedName>
    <definedName name="dave" localSheetId="16" hidden="1">#REF!</definedName>
    <definedName name="dave" localSheetId="9" hidden="1">#REF!</definedName>
    <definedName name="dave" localSheetId="6" hidden="1">#REF!</definedName>
    <definedName name="dave" localSheetId="10" hidden="1">#REF!</definedName>
    <definedName name="dave" localSheetId="13" hidden="1">#REF!</definedName>
    <definedName name="dave" localSheetId="14" hidden="1">#REF!</definedName>
    <definedName name="dave" hidden="1">#REF!</definedName>
    <definedName name="Indicies">'Control Panel'!$C$7:$C$13</definedName>
    <definedName name="_xlnm.Print_Area" localSheetId="15">'Cash Flows and Cash Balances'!$B$6:$I$156</definedName>
    <definedName name="_xlnm.Print_Area" localSheetId="26">'Customer Impact Table'!$C$674:$N$709</definedName>
    <definedName name="_xlnm.Print_Area" localSheetId="0">Dashboard!$B$38:$G$120</definedName>
    <definedName name="_xlnm.Print_Area" localSheetId="27">'March 7 Charts'!$I$69:$M$71</definedName>
    <definedName name="Z_9435B416_F112_45A9_BDD1_E5DB0152BE08_.wvu.PrintArea" localSheetId="3" hidden="1">'Indirect Allocation'!$A$2:$X$61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4" i="1" l="1"/>
  <c r="R678" i="37"/>
  <c r="R677" i="37"/>
  <c r="R676" i="37"/>
  <c r="B3" i="39" l="1"/>
  <c r="O12" i="28"/>
  <c r="O13" i="28"/>
  <c r="R1" i="28" l="1"/>
  <c r="N4" i="28"/>
  <c r="N5" i="28"/>
  <c r="N6" i="28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49" i="28"/>
  <c r="N150" i="28"/>
  <c r="N151" i="28"/>
  <c r="N152" i="28"/>
  <c r="N153" i="28"/>
  <c r="N154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4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03" i="28"/>
  <c r="N204" i="28"/>
  <c r="N205" i="28"/>
  <c r="N206" i="28"/>
  <c r="N207" i="28"/>
  <c r="N208" i="28"/>
  <c r="N209" i="28"/>
  <c r="N210" i="28"/>
  <c r="N211" i="28"/>
  <c r="N212" i="28"/>
  <c r="N213" i="28"/>
  <c r="N214" i="28"/>
  <c r="N215" i="28"/>
  <c r="N216" i="28"/>
  <c r="N217" i="28"/>
  <c r="N218" i="28"/>
  <c r="N219" i="28"/>
  <c r="N220" i="28"/>
  <c r="N221" i="28"/>
  <c r="N222" i="28"/>
  <c r="N223" i="28"/>
  <c r="N224" i="28"/>
  <c r="N225" i="28"/>
  <c r="N226" i="28"/>
  <c r="N227" i="28"/>
  <c r="N228" i="28"/>
  <c r="N229" i="28"/>
  <c r="N230" i="28"/>
  <c r="N231" i="28"/>
  <c r="N232" i="28"/>
  <c r="N233" i="28"/>
  <c r="N234" i="28"/>
  <c r="N235" i="28"/>
  <c r="N236" i="28"/>
  <c r="N237" i="28"/>
  <c r="N238" i="28"/>
  <c r="N239" i="28"/>
  <c r="N240" i="28"/>
  <c r="N241" i="28"/>
  <c r="N242" i="28"/>
  <c r="N243" i="28"/>
  <c r="N244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N318" i="28"/>
  <c r="N319" i="28"/>
  <c r="N320" i="28"/>
  <c r="N321" i="28"/>
  <c r="N322" i="28"/>
  <c r="N323" i="28"/>
  <c r="N324" i="28"/>
  <c r="N325" i="28"/>
  <c r="N326" i="28"/>
  <c r="N327" i="28"/>
  <c r="N328" i="28"/>
  <c r="N329" i="28"/>
  <c r="N330" i="28"/>
  <c r="N331" i="28"/>
  <c r="N332" i="28"/>
  <c r="N333" i="28"/>
  <c r="N334" i="28"/>
  <c r="N335" i="28"/>
  <c r="N336" i="28"/>
  <c r="N337" i="28"/>
  <c r="N338" i="28"/>
  <c r="N339" i="28"/>
  <c r="N340" i="28"/>
  <c r="N341" i="28"/>
  <c r="N342" i="28"/>
  <c r="N343" i="28"/>
  <c r="N344" i="28"/>
  <c r="N345" i="28"/>
  <c r="N346" i="28"/>
  <c r="N347" i="28"/>
  <c r="N348" i="28"/>
  <c r="N349" i="28"/>
  <c r="N350" i="28"/>
  <c r="N351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394" i="28"/>
  <c r="N395" i="28"/>
  <c r="N396" i="28"/>
  <c r="N397" i="28"/>
  <c r="N398" i="28"/>
  <c r="N399" i="28"/>
  <c r="N400" i="28"/>
  <c r="N401" i="28"/>
  <c r="N402" i="28"/>
  <c r="N403" i="28"/>
  <c r="N404" i="28"/>
  <c r="N405" i="28"/>
  <c r="N406" i="28"/>
  <c r="N407" i="28"/>
  <c r="N408" i="28"/>
  <c r="N409" i="28"/>
  <c r="N410" i="28"/>
  <c r="N411" i="28"/>
  <c r="N412" i="28"/>
  <c r="N413" i="28"/>
  <c r="N414" i="28"/>
  <c r="N415" i="28"/>
  <c r="N416" i="28"/>
  <c r="N417" i="28"/>
  <c r="N418" i="28"/>
  <c r="N419" i="28"/>
  <c r="N420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7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3" i="28"/>
  <c r="N474" i="28"/>
  <c r="N475" i="28"/>
  <c r="N476" i="28"/>
  <c r="N477" i="28"/>
  <c r="N478" i="28"/>
  <c r="N479" i="28"/>
  <c r="N480" i="28"/>
  <c r="N481" i="28"/>
  <c r="N482" i="28"/>
  <c r="N483" i="28"/>
  <c r="N484" i="28"/>
  <c r="N485" i="28"/>
  <c r="N486" i="28"/>
  <c r="N487" i="28"/>
  <c r="N488" i="28"/>
  <c r="N489" i="28"/>
  <c r="N490" i="28"/>
  <c r="N491" i="28"/>
  <c r="N492" i="28"/>
  <c r="N493" i="28"/>
  <c r="N494" i="28"/>
  <c r="N495" i="28"/>
  <c r="N496" i="28"/>
  <c r="N497" i="28"/>
  <c r="N498" i="28"/>
  <c r="N499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8" i="28"/>
  <c r="N549" i="28"/>
  <c r="N550" i="28"/>
  <c r="N551" i="28"/>
  <c r="N552" i="28"/>
  <c r="N553" i="28"/>
  <c r="N554" i="28"/>
  <c r="N555" i="28"/>
  <c r="N556" i="28"/>
  <c r="N557" i="28"/>
  <c r="N558" i="28"/>
  <c r="N559" i="28"/>
  <c r="N560" i="28"/>
  <c r="N561" i="28"/>
  <c r="N562" i="28"/>
  <c r="N563" i="28"/>
  <c r="N564" i="28"/>
  <c r="N565" i="28"/>
  <c r="N566" i="28"/>
  <c r="N567" i="28"/>
  <c r="N568" i="28"/>
  <c r="N569" i="28"/>
  <c r="N570" i="28"/>
  <c r="N571" i="28"/>
  <c r="N572" i="28"/>
  <c r="N573" i="28"/>
  <c r="N574" i="28"/>
  <c r="N575" i="28"/>
  <c r="N576" i="28"/>
  <c r="N577" i="28"/>
  <c r="N578" i="28"/>
  <c r="N579" i="28"/>
  <c r="N580" i="28"/>
  <c r="N581" i="28"/>
  <c r="N582" i="28"/>
  <c r="N583" i="28"/>
  <c r="N584" i="28"/>
  <c r="N585" i="28"/>
  <c r="N586" i="28"/>
  <c r="N587" i="28"/>
  <c r="N588" i="28"/>
  <c r="N589" i="28"/>
  <c r="N590" i="28"/>
  <c r="N591" i="28"/>
  <c r="N592" i="28"/>
  <c r="N593" i="28"/>
  <c r="N594" i="28"/>
  <c r="N595" i="28"/>
  <c r="N596" i="28"/>
  <c r="N597" i="28"/>
  <c r="N598" i="28"/>
  <c r="N599" i="28"/>
  <c r="N600" i="28"/>
  <c r="N601" i="28"/>
  <c r="N602" i="28"/>
  <c r="N603" i="28"/>
  <c r="N604" i="28"/>
  <c r="N605" i="28"/>
  <c r="N606" i="28"/>
  <c r="N607" i="28"/>
  <c r="N608" i="28"/>
  <c r="N609" i="28"/>
  <c r="N610" i="28"/>
  <c r="N611" i="28"/>
  <c r="N612" i="28"/>
  <c r="N613" i="28"/>
  <c r="N614" i="28"/>
  <c r="N615" i="28"/>
  <c r="N616" i="28"/>
  <c r="N617" i="28"/>
  <c r="N618" i="28"/>
  <c r="N619" i="28"/>
  <c r="N620" i="28"/>
  <c r="N621" i="28"/>
  <c r="N622" i="28"/>
  <c r="N623" i="28"/>
  <c r="N624" i="28"/>
  <c r="N625" i="28"/>
  <c r="N626" i="28"/>
  <c r="N627" i="28"/>
  <c r="N628" i="28"/>
  <c r="N629" i="28"/>
  <c r="N630" i="28"/>
  <c r="N631" i="28"/>
  <c r="N632" i="28"/>
  <c r="N633" i="28"/>
  <c r="N634" i="28"/>
  <c r="N635" i="28"/>
  <c r="N636" i="28"/>
  <c r="N637" i="28"/>
  <c r="N638" i="28"/>
  <c r="N639" i="28"/>
  <c r="N640" i="28"/>
  <c r="N641" i="28"/>
  <c r="N642" i="28"/>
  <c r="N643" i="28"/>
  <c r="N644" i="28"/>
  <c r="N645" i="28"/>
  <c r="N646" i="28"/>
  <c r="N647" i="28"/>
  <c r="N648" i="28"/>
  <c r="N649" i="28"/>
  <c r="N650" i="28"/>
  <c r="N651" i="28"/>
  <c r="N652" i="28"/>
  <c r="N653" i="28"/>
  <c r="N654" i="28"/>
  <c r="N655" i="28"/>
  <c r="N656" i="28"/>
  <c r="N657" i="28"/>
  <c r="N658" i="28"/>
  <c r="N659" i="28"/>
  <c r="N660" i="28"/>
  <c r="N661" i="28"/>
  <c r="N662" i="28"/>
  <c r="N663" i="28"/>
  <c r="N664" i="28"/>
  <c r="N665" i="28"/>
  <c r="N666" i="28"/>
  <c r="N667" i="28"/>
  <c r="N668" i="28"/>
  <c r="N669" i="28"/>
  <c r="N670" i="28"/>
  <c r="N671" i="28"/>
  <c r="N672" i="28"/>
  <c r="N673" i="28"/>
  <c r="N674" i="28"/>
  <c r="N675" i="28"/>
  <c r="N676" i="28"/>
  <c r="N677" i="28"/>
  <c r="N678" i="28"/>
  <c r="N679" i="28"/>
  <c r="N680" i="28"/>
  <c r="N681" i="28"/>
  <c r="N682" i="28"/>
  <c r="N683" i="28"/>
  <c r="N684" i="28"/>
  <c r="N685" i="28"/>
  <c r="N686" i="28"/>
  <c r="N687" i="28"/>
  <c r="N688" i="28"/>
  <c r="N689" i="28"/>
  <c r="N690" i="28"/>
  <c r="N691" i="28"/>
  <c r="N692" i="28"/>
  <c r="N693" i="28"/>
  <c r="N694" i="28"/>
  <c r="N695" i="28"/>
  <c r="N696" i="28"/>
  <c r="N697" i="28"/>
  <c r="N698" i="28"/>
  <c r="N699" i="28"/>
  <c r="N700" i="28"/>
  <c r="N701" i="28"/>
  <c r="N702" i="28"/>
  <c r="N703" i="28"/>
  <c r="N704" i="28"/>
  <c r="N705" i="28"/>
  <c r="N706" i="28"/>
  <c r="N707" i="28"/>
  <c r="N708" i="28"/>
  <c r="N709" i="28"/>
  <c r="N710" i="28"/>
  <c r="N711" i="28"/>
  <c r="N712" i="28"/>
  <c r="N713" i="28"/>
  <c r="N714" i="28"/>
  <c r="N715" i="28"/>
  <c r="N716" i="28"/>
  <c r="N717" i="28"/>
  <c r="N718" i="28"/>
  <c r="N719" i="28"/>
  <c r="N720" i="28"/>
  <c r="N721" i="28"/>
  <c r="N722" i="28"/>
  <c r="N723" i="28"/>
  <c r="N724" i="28"/>
  <c r="N725" i="28"/>
  <c r="N726" i="28"/>
  <c r="N727" i="28"/>
  <c r="N728" i="28"/>
  <c r="N729" i="28"/>
  <c r="N730" i="28"/>
  <c r="N731" i="28"/>
  <c r="N732" i="28"/>
  <c r="N733" i="28"/>
  <c r="N734" i="28"/>
  <c r="N735" i="28"/>
  <c r="N736" i="28"/>
  <c r="N737" i="28"/>
  <c r="N738" i="28"/>
  <c r="N739" i="28"/>
  <c r="N740" i="28"/>
  <c r="N741" i="28"/>
  <c r="N742" i="28"/>
  <c r="N743" i="28"/>
  <c r="N744" i="28"/>
  <c r="N745" i="28"/>
  <c r="N746" i="28"/>
  <c r="N747" i="28"/>
  <c r="N748" i="28"/>
  <c r="N749" i="28"/>
  <c r="N750" i="28"/>
  <c r="N751" i="28"/>
  <c r="N752" i="28"/>
  <c r="N753" i="28"/>
  <c r="N754" i="28"/>
  <c r="N755" i="28"/>
  <c r="N756" i="28"/>
  <c r="N757" i="28"/>
  <c r="N758" i="28"/>
  <c r="N759" i="28"/>
  <c r="N760" i="28"/>
  <c r="N761" i="28"/>
  <c r="N762" i="28"/>
  <c r="N763" i="28"/>
  <c r="N764" i="28"/>
  <c r="N765" i="28"/>
  <c r="N766" i="28"/>
  <c r="N767" i="28"/>
  <c r="N768" i="28"/>
  <c r="N769" i="28"/>
  <c r="N770" i="28"/>
  <c r="N771" i="28"/>
  <c r="N772" i="28"/>
  <c r="N773" i="28"/>
  <c r="N774" i="28"/>
  <c r="N775" i="28"/>
  <c r="N776" i="28"/>
  <c r="N777" i="28"/>
  <c r="N778" i="28"/>
  <c r="N779" i="28"/>
  <c r="N780" i="28"/>
  <c r="N781" i="28"/>
  <c r="N782" i="28"/>
  <c r="N783" i="28"/>
  <c r="N784" i="28"/>
  <c r="N785" i="28"/>
  <c r="N786" i="28"/>
  <c r="N787" i="28"/>
  <c r="N788" i="28"/>
  <c r="N789" i="28"/>
  <c r="N790" i="28"/>
  <c r="N791" i="28"/>
  <c r="N792" i="28"/>
  <c r="N793" i="28"/>
  <c r="N794" i="28"/>
  <c r="N795" i="28"/>
  <c r="N796" i="28"/>
  <c r="N797" i="28"/>
  <c r="N798" i="28"/>
  <c r="N799" i="28"/>
  <c r="N800" i="28"/>
  <c r="N801" i="28"/>
  <c r="N802" i="28"/>
  <c r="N803" i="28"/>
  <c r="N804" i="28"/>
  <c r="N805" i="28"/>
  <c r="N806" i="28"/>
  <c r="N807" i="28"/>
  <c r="N808" i="28"/>
  <c r="N809" i="28"/>
  <c r="N810" i="28"/>
  <c r="N811" i="28"/>
  <c r="N812" i="28"/>
  <c r="N813" i="28"/>
  <c r="N814" i="28"/>
  <c r="N815" i="28"/>
  <c r="N816" i="28"/>
  <c r="N817" i="28"/>
  <c r="N818" i="28"/>
  <c r="N819" i="28"/>
  <c r="N820" i="28"/>
  <c r="N821" i="28"/>
  <c r="N822" i="28"/>
  <c r="N823" i="28"/>
  <c r="N824" i="28"/>
  <c r="N825" i="28"/>
  <c r="N826" i="28"/>
  <c r="N827" i="28"/>
  <c r="N828" i="28"/>
  <c r="N829" i="28"/>
  <c r="N830" i="28"/>
  <c r="N831" i="28"/>
  <c r="N832" i="28"/>
  <c r="N833" i="28"/>
  <c r="N834" i="28"/>
  <c r="N835" i="28"/>
  <c r="N836" i="28"/>
  <c r="N837" i="28"/>
  <c r="N838" i="28"/>
  <c r="N839" i="28"/>
  <c r="N840" i="28"/>
  <c r="N841" i="28"/>
  <c r="N842" i="28"/>
  <c r="N843" i="28"/>
  <c r="N844" i="28"/>
  <c r="N845" i="28"/>
  <c r="N846" i="28"/>
  <c r="N847" i="28"/>
  <c r="N848" i="28"/>
  <c r="N849" i="28"/>
  <c r="N850" i="28"/>
  <c r="N851" i="28"/>
  <c r="N852" i="28"/>
  <c r="N853" i="28"/>
  <c r="N854" i="28"/>
  <c r="N855" i="28"/>
  <c r="N856" i="28"/>
  <c r="N857" i="28"/>
  <c r="N858" i="28"/>
  <c r="N859" i="28"/>
  <c r="N860" i="28"/>
  <c r="N861" i="28"/>
  <c r="N862" i="28"/>
  <c r="N863" i="28"/>
  <c r="N864" i="28"/>
  <c r="N865" i="28"/>
  <c r="N866" i="28"/>
  <c r="N867" i="28"/>
  <c r="N868" i="28"/>
  <c r="N869" i="28"/>
  <c r="N870" i="28"/>
  <c r="N871" i="28"/>
  <c r="N872" i="28"/>
  <c r="N873" i="28"/>
  <c r="N874" i="28"/>
  <c r="N875" i="28"/>
  <c r="N876" i="28"/>
  <c r="N877" i="28"/>
  <c r="N878" i="28"/>
  <c r="N879" i="28"/>
  <c r="N880" i="28"/>
  <c r="N881" i="28"/>
  <c r="N882" i="28"/>
  <c r="N883" i="28"/>
  <c r="N884" i="28"/>
  <c r="N885" i="28"/>
  <c r="N886" i="28"/>
  <c r="N887" i="28"/>
  <c r="N888" i="28"/>
  <c r="N889" i="28"/>
  <c r="N890" i="28"/>
  <c r="N891" i="28"/>
  <c r="N892" i="28"/>
  <c r="N893" i="28"/>
  <c r="N894" i="28"/>
  <c r="N895" i="28"/>
  <c r="N896" i="28"/>
  <c r="N897" i="28"/>
  <c r="N898" i="28"/>
  <c r="N899" i="28"/>
  <c r="N900" i="28"/>
  <c r="N901" i="28"/>
  <c r="N902" i="28"/>
  <c r="N903" i="28"/>
  <c r="N904" i="28"/>
  <c r="N905" i="28"/>
  <c r="N906" i="28"/>
  <c r="N907" i="28"/>
  <c r="N908" i="28"/>
  <c r="N909" i="28"/>
  <c r="N910" i="28"/>
  <c r="N911" i="28"/>
  <c r="N912" i="28"/>
  <c r="N913" i="28"/>
  <c r="N914" i="28"/>
  <c r="N915" i="28"/>
  <c r="N916" i="28"/>
  <c r="N917" i="28"/>
  <c r="N918" i="28"/>
  <c r="N919" i="28"/>
  <c r="N920" i="28"/>
  <c r="N921" i="28"/>
  <c r="N922" i="28"/>
  <c r="N923" i="28"/>
  <c r="N924" i="28"/>
  <c r="N925" i="28"/>
  <c r="N926" i="28"/>
  <c r="N927" i="28"/>
  <c r="N928" i="28"/>
  <c r="N929" i="28"/>
  <c r="N930" i="28"/>
  <c r="N931" i="28"/>
  <c r="N932" i="28"/>
  <c r="N933" i="28"/>
  <c r="N934" i="28"/>
  <c r="N935" i="28"/>
  <c r="N936" i="28"/>
  <c r="N937" i="28"/>
  <c r="N938" i="28"/>
  <c r="N939" i="28"/>
  <c r="N940" i="28"/>
  <c r="N941" i="28"/>
  <c r="N942" i="28"/>
  <c r="N943" i="28"/>
  <c r="N944" i="28"/>
  <c r="N945" i="28"/>
  <c r="N946" i="28"/>
  <c r="N947" i="28"/>
  <c r="N948" i="28"/>
  <c r="N949" i="28"/>
  <c r="N950" i="28"/>
  <c r="N951" i="28"/>
  <c r="N952" i="28"/>
  <c r="N953" i="28"/>
  <c r="N954" i="28"/>
  <c r="N955" i="28"/>
  <c r="N956" i="28"/>
  <c r="N957" i="28"/>
  <c r="N958" i="28"/>
  <c r="N959" i="28"/>
  <c r="N960" i="28"/>
  <c r="N961" i="28"/>
  <c r="N962" i="28"/>
  <c r="N963" i="28"/>
  <c r="N964" i="28"/>
  <c r="N965" i="28"/>
  <c r="N966" i="28"/>
  <c r="N967" i="28"/>
  <c r="N968" i="28"/>
  <c r="N969" i="28"/>
  <c r="N970" i="28"/>
  <c r="N971" i="28"/>
  <c r="N972" i="28"/>
  <c r="N973" i="28"/>
  <c r="N974" i="28"/>
  <c r="N975" i="28"/>
  <c r="N976" i="28"/>
  <c r="N977" i="28"/>
  <c r="N978" i="28"/>
  <c r="N979" i="28"/>
  <c r="N980" i="28"/>
  <c r="N981" i="28"/>
  <c r="N982" i="28"/>
  <c r="N983" i="28"/>
  <c r="N984" i="28"/>
  <c r="N985" i="28"/>
  <c r="N986" i="28"/>
  <c r="N987" i="28"/>
  <c r="N988" i="28"/>
  <c r="N989" i="28"/>
  <c r="N990" i="28"/>
  <c r="N991" i="28"/>
  <c r="N992" i="28"/>
  <c r="N993" i="28"/>
  <c r="N994" i="28"/>
  <c r="N995" i="28"/>
  <c r="N996" i="28"/>
  <c r="N997" i="28"/>
  <c r="N998" i="28"/>
  <c r="N999" i="28"/>
  <c r="N1000" i="28"/>
  <c r="N1001" i="28"/>
  <c r="N1002" i="28"/>
  <c r="N1003" i="28"/>
  <c r="N1004" i="28"/>
  <c r="N1005" i="28"/>
  <c r="N1006" i="28"/>
  <c r="N1007" i="28"/>
  <c r="N1008" i="28"/>
  <c r="N1009" i="28"/>
  <c r="N1010" i="28"/>
  <c r="N1011" i="28"/>
  <c r="N1012" i="28"/>
  <c r="N1013" i="28"/>
  <c r="N1014" i="28"/>
  <c r="N1015" i="28"/>
  <c r="N1016" i="28"/>
  <c r="N1017" i="28"/>
  <c r="N1018" i="28"/>
  <c r="N1019" i="28"/>
  <c r="N1020" i="28"/>
  <c r="N1021" i="28"/>
  <c r="N1022" i="28"/>
  <c r="N1023" i="28"/>
  <c r="N1024" i="28"/>
  <c r="N1025" i="28"/>
  <c r="N1026" i="28"/>
  <c r="N1027" i="28"/>
  <c r="N1028" i="28"/>
  <c r="N1029" i="28"/>
  <c r="N1030" i="28"/>
  <c r="N1031" i="28"/>
  <c r="N1032" i="28"/>
  <c r="N1033" i="28"/>
  <c r="N1034" i="28"/>
  <c r="N1035" i="28"/>
  <c r="N1036" i="28"/>
  <c r="N1037" i="28"/>
  <c r="N1038" i="28"/>
  <c r="N1039" i="28"/>
  <c r="N1040" i="28"/>
  <c r="N1041" i="28"/>
  <c r="N1042" i="28"/>
  <c r="N1043" i="28"/>
  <c r="N1044" i="28"/>
  <c r="N1045" i="28"/>
  <c r="N1046" i="28"/>
  <c r="N1047" i="28"/>
  <c r="N1048" i="28"/>
  <c r="N1049" i="28"/>
  <c r="N1050" i="28"/>
  <c r="N1051" i="28"/>
  <c r="N1052" i="28"/>
  <c r="N1053" i="28"/>
  <c r="N1054" i="28"/>
  <c r="N1055" i="28"/>
  <c r="N1056" i="28"/>
  <c r="N1057" i="28"/>
  <c r="N1058" i="28"/>
  <c r="N1059" i="28"/>
  <c r="N1060" i="28"/>
  <c r="N1061" i="28"/>
  <c r="N1062" i="28"/>
  <c r="N1063" i="28"/>
  <c r="N1064" i="28"/>
  <c r="N1065" i="28"/>
  <c r="N1066" i="28"/>
  <c r="N1067" i="28"/>
  <c r="N1068" i="28"/>
  <c r="N1069" i="28"/>
  <c r="N1070" i="28"/>
  <c r="N1071" i="28"/>
  <c r="N1072" i="28"/>
  <c r="N1073" i="28"/>
  <c r="N1074" i="28"/>
  <c r="N1075" i="28"/>
  <c r="N1076" i="28"/>
  <c r="N1077" i="28"/>
  <c r="N1078" i="28"/>
  <c r="N1079" i="28"/>
  <c r="N1080" i="28"/>
  <c r="N1081" i="28"/>
  <c r="N1082" i="28"/>
  <c r="N1083" i="28"/>
  <c r="N1084" i="28"/>
  <c r="N1085" i="28"/>
  <c r="N1086" i="28"/>
  <c r="N1087" i="28"/>
  <c r="N1088" i="28"/>
  <c r="N1089" i="28"/>
  <c r="N1090" i="28"/>
  <c r="N1091" i="28"/>
  <c r="N1092" i="28"/>
  <c r="N1093" i="28"/>
  <c r="N1094" i="28"/>
  <c r="N1095" i="28"/>
  <c r="N1096" i="28"/>
  <c r="N1097" i="28"/>
  <c r="N1098" i="28"/>
  <c r="N1099" i="28"/>
  <c r="N1100" i="28"/>
  <c r="N1101" i="28"/>
  <c r="N1102" i="28"/>
  <c r="N1103" i="28"/>
  <c r="N1104" i="28"/>
  <c r="N1105" i="28"/>
  <c r="N1106" i="28"/>
  <c r="N1107" i="28"/>
  <c r="N1108" i="28"/>
  <c r="N1109" i="28"/>
  <c r="N1110" i="28"/>
  <c r="N1111" i="28"/>
  <c r="N1112" i="28"/>
  <c r="N1113" i="28"/>
  <c r="N1114" i="28"/>
  <c r="N1115" i="28"/>
  <c r="N1116" i="28"/>
  <c r="N1117" i="28"/>
  <c r="N1118" i="28"/>
  <c r="N1119" i="28"/>
  <c r="N1120" i="28"/>
  <c r="N1121" i="28"/>
  <c r="N1122" i="28"/>
  <c r="N1123" i="28"/>
  <c r="N1124" i="28"/>
  <c r="N1125" i="28"/>
  <c r="N1126" i="28"/>
  <c r="N1127" i="28"/>
  <c r="N1128" i="28"/>
  <c r="N1129" i="28"/>
  <c r="N1130" i="28"/>
  <c r="N1131" i="28"/>
  <c r="N1132" i="28"/>
  <c r="N1133" i="28"/>
  <c r="N1134" i="28"/>
  <c r="N1135" i="28"/>
  <c r="N1136" i="28"/>
  <c r="N1137" i="28"/>
  <c r="N1138" i="28"/>
  <c r="N1139" i="28"/>
  <c r="N1140" i="28"/>
  <c r="N1141" i="28"/>
  <c r="N1142" i="28"/>
  <c r="N1143" i="28"/>
  <c r="N1144" i="28"/>
  <c r="N1145" i="28"/>
  <c r="N1146" i="28"/>
  <c r="N1147" i="28"/>
  <c r="N1148" i="28"/>
  <c r="N1149" i="28"/>
  <c r="N1150" i="28"/>
  <c r="N1151" i="28"/>
  <c r="N1152" i="28"/>
  <c r="N1153" i="28"/>
  <c r="N1154" i="28"/>
  <c r="N1155" i="28"/>
  <c r="N1156" i="28"/>
  <c r="N1157" i="28"/>
  <c r="N1158" i="28"/>
  <c r="N1159" i="28"/>
  <c r="N1160" i="28"/>
  <c r="N1161" i="28"/>
  <c r="N1162" i="28"/>
  <c r="N1163" i="28"/>
  <c r="N1164" i="28"/>
  <c r="N1165" i="28"/>
  <c r="N1166" i="28"/>
  <c r="N1167" i="28"/>
  <c r="N1168" i="28"/>
  <c r="N1169" i="28"/>
  <c r="N1170" i="28"/>
  <c r="N1171" i="28"/>
  <c r="N1172" i="28"/>
  <c r="N1173" i="28"/>
  <c r="N1174" i="28"/>
  <c r="N1175" i="28"/>
  <c r="N1176" i="28"/>
  <c r="N1177" i="28"/>
  <c r="N1178" i="28"/>
  <c r="N1179" i="28"/>
  <c r="N1180" i="28"/>
  <c r="N1181" i="28"/>
  <c r="N1182" i="28"/>
  <c r="N1183" i="28"/>
  <c r="N1184" i="28"/>
  <c r="N1185" i="28"/>
  <c r="N1186" i="28"/>
  <c r="N1187" i="28"/>
  <c r="N1188" i="28"/>
  <c r="N1189" i="28"/>
  <c r="N1190" i="28"/>
  <c r="N1191" i="28"/>
  <c r="N1192" i="28"/>
  <c r="N1193" i="28"/>
  <c r="N1194" i="28"/>
  <c r="N1195" i="28"/>
  <c r="N1196" i="28"/>
  <c r="N1197" i="28"/>
  <c r="N1198" i="28"/>
  <c r="N1199" i="28"/>
  <c r="N1200" i="28"/>
  <c r="N1201" i="28"/>
  <c r="N1202" i="28"/>
  <c r="N1203" i="28"/>
  <c r="N1204" i="28"/>
  <c r="N1205" i="28"/>
  <c r="N1206" i="28"/>
  <c r="N1207" i="28"/>
  <c r="N1208" i="28"/>
  <c r="N1209" i="28"/>
  <c r="N1210" i="28"/>
  <c r="N1211" i="28"/>
  <c r="N1212" i="28"/>
  <c r="N1213" i="28"/>
  <c r="N1214" i="28"/>
  <c r="N1215" i="28"/>
  <c r="N1216" i="28"/>
  <c r="N1217" i="28"/>
  <c r="N1218" i="28"/>
  <c r="N1219" i="28"/>
  <c r="N1220" i="28"/>
  <c r="N1221" i="28"/>
  <c r="N1222" i="28"/>
  <c r="N1223" i="28"/>
  <c r="N1224" i="28"/>
  <c r="N1225" i="28"/>
  <c r="N1226" i="28"/>
  <c r="N1227" i="28"/>
  <c r="N1228" i="28"/>
  <c r="N1229" i="28"/>
  <c r="N1230" i="28"/>
  <c r="N1231" i="28"/>
  <c r="N1232" i="28"/>
  <c r="N1233" i="28"/>
  <c r="N1234" i="28"/>
  <c r="N1235" i="28"/>
  <c r="N1236" i="28"/>
  <c r="N1237" i="28"/>
  <c r="N1238" i="28"/>
  <c r="N1239" i="28"/>
  <c r="N1240" i="28"/>
  <c r="N1241" i="28"/>
  <c r="N1242" i="28"/>
  <c r="N1243" i="28"/>
  <c r="N1244" i="28"/>
  <c r="N1245" i="28"/>
  <c r="N1246" i="28"/>
  <c r="N1247" i="28"/>
  <c r="N1248" i="28"/>
  <c r="N1249" i="28"/>
  <c r="N1250" i="28"/>
  <c r="N1251" i="28"/>
  <c r="N1252" i="28"/>
  <c r="N1253" i="28"/>
  <c r="N1254" i="28"/>
  <c r="N1255" i="28"/>
  <c r="N1256" i="28"/>
  <c r="N1257" i="28"/>
  <c r="N1258" i="28"/>
  <c r="N1259" i="28"/>
  <c r="N1260" i="28"/>
  <c r="N1261" i="28"/>
  <c r="N1262" i="28"/>
  <c r="N1263" i="28"/>
  <c r="N1264" i="28"/>
  <c r="N1265" i="28"/>
  <c r="N1266" i="28"/>
  <c r="N1267" i="28"/>
  <c r="N1268" i="28"/>
  <c r="N1269" i="28"/>
  <c r="N1270" i="28"/>
  <c r="N1271" i="28"/>
  <c r="N1272" i="28"/>
  <c r="N1273" i="28"/>
  <c r="N1274" i="28"/>
  <c r="N1275" i="28"/>
  <c r="N1276" i="28"/>
  <c r="N1277" i="28"/>
  <c r="N1278" i="28"/>
  <c r="N1279" i="28"/>
  <c r="N1280" i="28"/>
  <c r="N1281" i="28"/>
  <c r="N1282" i="28"/>
  <c r="N1283" i="28"/>
  <c r="N1284" i="28"/>
  <c r="N1285" i="28"/>
  <c r="N1286" i="28"/>
  <c r="N1287" i="28"/>
  <c r="N1288" i="28"/>
  <c r="N1289" i="28"/>
  <c r="N1290" i="28"/>
  <c r="N1291" i="28"/>
  <c r="N1292" i="28"/>
  <c r="N1293" i="28"/>
  <c r="N1294" i="28"/>
  <c r="N1295" i="28"/>
  <c r="N1296" i="28"/>
  <c r="N1297" i="28"/>
  <c r="N1298" i="28"/>
  <c r="N1299" i="28"/>
  <c r="N1300" i="28"/>
  <c r="N1301" i="28"/>
  <c r="N1302" i="28"/>
  <c r="N1303" i="28"/>
  <c r="N1304" i="28"/>
  <c r="N1305" i="28"/>
  <c r="N1306" i="28"/>
  <c r="N1307" i="28"/>
  <c r="N1308" i="28"/>
  <c r="N1309" i="28"/>
  <c r="N1310" i="28"/>
  <c r="N1311" i="28"/>
  <c r="N1312" i="28"/>
  <c r="N1313" i="28"/>
  <c r="N1314" i="28"/>
  <c r="N1315" i="28"/>
  <c r="N1316" i="28"/>
  <c r="N1317" i="28"/>
  <c r="N1318" i="28"/>
  <c r="N1319" i="28"/>
  <c r="N1320" i="28"/>
  <c r="N1321" i="28"/>
  <c r="N1322" i="28"/>
  <c r="N1323" i="28"/>
  <c r="N1324" i="28"/>
  <c r="N1325" i="28"/>
  <c r="N1326" i="28"/>
  <c r="N1327" i="28"/>
  <c r="N1328" i="28"/>
  <c r="N1329" i="28"/>
  <c r="N1330" i="28"/>
  <c r="N1331" i="28"/>
  <c r="N1332" i="28"/>
  <c r="N1333" i="28"/>
  <c r="N1334" i="28"/>
  <c r="N1335" i="28"/>
  <c r="N1336" i="28"/>
  <c r="N1337" i="28"/>
  <c r="N1338" i="28"/>
  <c r="N1339" i="28"/>
  <c r="N1340" i="28"/>
  <c r="N1341" i="28"/>
  <c r="N1342" i="28"/>
  <c r="N1343" i="28"/>
  <c r="N1344" i="28"/>
  <c r="N1345" i="28"/>
  <c r="N1346" i="28"/>
  <c r="N1347" i="28"/>
  <c r="N1348" i="28"/>
  <c r="N1349" i="28"/>
  <c r="N1350" i="28"/>
  <c r="N1351" i="28"/>
  <c r="N1352" i="28"/>
  <c r="N1353" i="28"/>
  <c r="N1354" i="28"/>
  <c r="N1355" i="28"/>
  <c r="N1356" i="28"/>
  <c r="N1357" i="28"/>
  <c r="N1358" i="28"/>
  <c r="N1359" i="28"/>
  <c r="N1360" i="28"/>
  <c r="N1361" i="28"/>
  <c r="N1362" i="28"/>
  <c r="N1363" i="28"/>
  <c r="N1364" i="28"/>
  <c r="N1365" i="28"/>
  <c r="N1366" i="28"/>
  <c r="N1367" i="28"/>
  <c r="N1368" i="28"/>
  <c r="N1369" i="28"/>
  <c r="N1370" i="28"/>
  <c r="N1371" i="28"/>
  <c r="N1372" i="28"/>
  <c r="N1373" i="28"/>
  <c r="N1374" i="28"/>
  <c r="N1375" i="28"/>
  <c r="N1376" i="28"/>
  <c r="N1377" i="28"/>
  <c r="N1378" i="28"/>
  <c r="N1379" i="28"/>
  <c r="N1380" i="28"/>
  <c r="N1381" i="28"/>
  <c r="N1382" i="28"/>
  <c r="N1383" i="28"/>
  <c r="N1384" i="28"/>
  <c r="N1385" i="28"/>
  <c r="N1386" i="28"/>
  <c r="N1387" i="28"/>
  <c r="N1388" i="28"/>
  <c r="N1389" i="28"/>
  <c r="N1390" i="28"/>
  <c r="N1391" i="28"/>
  <c r="N1392" i="28"/>
  <c r="N1393" i="28"/>
  <c r="N1394" i="28"/>
  <c r="N1395" i="28"/>
  <c r="N1396" i="28"/>
  <c r="N1397" i="28"/>
  <c r="N1398" i="28"/>
  <c r="N1399" i="28"/>
  <c r="N1400" i="28"/>
  <c r="N1401" i="28"/>
  <c r="N1402" i="28"/>
  <c r="N1403" i="28"/>
  <c r="N1404" i="28"/>
  <c r="N1405" i="28"/>
  <c r="N1406" i="28"/>
  <c r="N1407" i="28"/>
  <c r="N1408" i="28"/>
  <c r="N1409" i="28"/>
  <c r="N1410" i="28"/>
  <c r="N1411" i="28"/>
  <c r="N1412" i="28"/>
  <c r="N1413" i="28"/>
  <c r="N1414" i="28"/>
  <c r="N1415" i="28"/>
  <c r="N1416" i="28"/>
  <c r="N1417" i="28"/>
  <c r="N1418" i="28"/>
  <c r="N1419" i="28"/>
  <c r="N1420" i="28"/>
  <c r="N1421" i="28"/>
  <c r="N1422" i="28"/>
  <c r="N1423" i="28"/>
  <c r="N1424" i="28"/>
  <c r="N1425" i="28"/>
  <c r="N1426" i="28"/>
  <c r="N1427" i="28"/>
  <c r="N1428" i="28"/>
  <c r="N1429" i="28"/>
  <c r="N1430" i="28"/>
  <c r="N1431" i="28"/>
  <c r="N1432" i="28"/>
  <c r="N1433" i="28"/>
  <c r="N1434" i="28"/>
  <c r="N1435" i="28"/>
  <c r="N1436" i="28"/>
  <c r="N1437" i="28"/>
  <c r="N1438" i="28"/>
  <c r="N1439" i="28"/>
  <c r="N1440" i="28"/>
  <c r="N1441" i="28"/>
  <c r="N1442" i="28"/>
  <c r="N1443" i="28"/>
  <c r="N1444" i="28"/>
  <c r="N1445" i="28"/>
  <c r="N1446" i="28"/>
  <c r="N1447" i="28"/>
  <c r="N1448" i="28"/>
  <c r="N1449" i="28"/>
  <c r="N1450" i="28"/>
  <c r="N1451" i="28"/>
  <c r="N1452" i="28"/>
  <c r="N1453" i="28"/>
  <c r="N1454" i="28"/>
  <c r="N1455" i="28"/>
  <c r="N1456" i="28"/>
  <c r="N1457" i="28"/>
  <c r="N1458" i="28"/>
  <c r="N1459" i="28"/>
  <c r="N1460" i="28"/>
  <c r="N1461" i="28"/>
  <c r="N1462" i="28"/>
  <c r="N1463" i="28"/>
  <c r="N1464" i="28"/>
  <c r="N1465" i="28"/>
  <c r="N1466" i="28"/>
  <c r="N1467" i="28"/>
  <c r="N1468" i="28"/>
  <c r="N1469" i="28"/>
  <c r="N1470" i="28"/>
  <c r="N1471" i="28"/>
  <c r="N1472" i="28"/>
  <c r="N1473" i="28"/>
  <c r="N1474" i="28"/>
  <c r="N1475" i="28"/>
  <c r="N1476" i="28"/>
  <c r="N1477" i="28"/>
  <c r="N1478" i="28"/>
  <c r="N1479" i="28"/>
  <c r="N1480" i="28"/>
  <c r="N1481" i="28"/>
  <c r="N1482" i="28"/>
  <c r="N1483" i="28"/>
  <c r="N1484" i="28"/>
  <c r="N1485" i="28"/>
  <c r="N1486" i="28"/>
  <c r="N1487" i="28"/>
  <c r="N1488" i="28"/>
  <c r="N1489" i="28"/>
  <c r="N1490" i="28"/>
  <c r="N1491" i="28"/>
  <c r="N1492" i="28"/>
  <c r="N1493" i="28"/>
  <c r="N1494" i="28"/>
  <c r="N1495" i="28"/>
  <c r="N1496" i="28"/>
  <c r="N1497" i="28"/>
  <c r="N1498" i="28"/>
  <c r="N1499" i="28"/>
  <c r="N1500" i="28"/>
  <c r="N1501" i="28"/>
  <c r="N1502" i="28"/>
  <c r="N1503" i="28"/>
  <c r="N1504" i="28"/>
  <c r="N1505" i="28"/>
  <c r="N1506" i="28"/>
  <c r="N1507" i="28"/>
  <c r="N1508" i="28"/>
  <c r="N1509" i="28"/>
  <c r="N1510" i="28"/>
  <c r="N1511" i="28"/>
  <c r="N1512" i="28"/>
  <c r="N1513" i="28"/>
  <c r="N1514" i="28"/>
  <c r="N1515" i="28"/>
  <c r="N1516" i="28"/>
  <c r="N1517" i="28"/>
  <c r="N1518" i="28"/>
  <c r="N1519" i="28"/>
  <c r="N1520" i="28"/>
  <c r="N1521" i="28"/>
  <c r="N1522" i="28"/>
  <c r="N1523" i="28"/>
  <c r="N1524" i="28"/>
  <c r="N1525" i="28"/>
  <c r="N1526" i="28"/>
  <c r="N1527" i="28"/>
  <c r="N1528" i="28"/>
  <c r="N1529" i="28"/>
  <c r="N1530" i="28"/>
  <c r="N1531" i="28"/>
  <c r="N1532" i="28"/>
  <c r="N1533" i="28"/>
  <c r="N1534" i="28"/>
  <c r="N1535" i="28"/>
  <c r="N1536" i="28"/>
  <c r="N1537" i="28"/>
  <c r="N1538" i="28"/>
  <c r="N1539" i="28"/>
  <c r="N1540" i="28"/>
  <c r="N1541" i="28"/>
  <c r="N1542" i="28"/>
  <c r="N1543" i="28"/>
  <c r="N1544" i="28"/>
  <c r="N1545" i="28"/>
  <c r="N1546" i="28"/>
  <c r="N1547" i="28"/>
  <c r="N1548" i="28"/>
  <c r="N1549" i="28"/>
  <c r="N1550" i="28"/>
  <c r="N1551" i="28"/>
  <c r="N1552" i="28"/>
  <c r="N1553" i="28"/>
  <c r="N1554" i="28"/>
  <c r="N1555" i="28"/>
  <c r="N1556" i="28"/>
  <c r="N1557" i="28"/>
  <c r="N1558" i="28"/>
  <c r="N1559" i="28"/>
  <c r="N1560" i="28"/>
  <c r="N1561" i="28"/>
  <c r="N1562" i="28"/>
  <c r="N1563" i="28"/>
  <c r="N1564" i="28"/>
  <c r="N1565" i="28"/>
  <c r="N1566" i="28"/>
  <c r="N1567" i="28"/>
  <c r="N1568" i="28"/>
  <c r="N1569" i="28"/>
  <c r="N1570" i="28"/>
  <c r="N1571" i="28"/>
  <c r="N1572" i="28"/>
  <c r="N1573" i="28"/>
  <c r="N1574" i="28"/>
  <c r="N1575" i="28"/>
  <c r="N1576" i="28"/>
  <c r="N1577" i="28"/>
  <c r="N1578" i="28"/>
  <c r="N1579" i="28"/>
  <c r="N1580" i="28"/>
  <c r="N1581" i="28"/>
  <c r="N1582" i="28"/>
  <c r="N1583" i="28"/>
  <c r="N1584" i="28"/>
  <c r="N1585" i="28"/>
  <c r="N1586" i="28"/>
  <c r="N1587" i="28"/>
  <c r="N1588" i="28"/>
  <c r="N1589" i="28"/>
  <c r="N1590" i="28"/>
  <c r="N1591" i="28"/>
  <c r="N1592" i="28"/>
  <c r="N1593" i="28"/>
  <c r="N1594" i="28"/>
  <c r="N1595" i="28"/>
  <c r="N1596" i="28"/>
  <c r="N1597" i="28"/>
  <c r="N1598" i="28"/>
  <c r="N1599" i="28"/>
  <c r="N1600" i="28"/>
  <c r="N1601" i="28"/>
  <c r="N1602" i="28"/>
  <c r="N1603" i="28"/>
  <c r="N1604" i="28"/>
  <c r="N1605" i="28"/>
  <c r="N1606" i="28"/>
  <c r="N1607" i="28"/>
  <c r="N1608" i="28"/>
  <c r="N1609" i="28"/>
  <c r="N1610" i="28"/>
  <c r="N1611" i="28"/>
  <c r="N1612" i="28"/>
  <c r="N1613" i="28"/>
  <c r="N1614" i="28"/>
  <c r="N1615" i="28"/>
  <c r="N1616" i="28"/>
  <c r="N1617" i="28"/>
  <c r="N1618" i="28"/>
  <c r="N1619" i="28"/>
  <c r="N1620" i="28"/>
  <c r="N1621" i="28"/>
  <c r="N1622" i="28"/>
  <c r="N1623" i="28"/>
  <c r="N1624" i="28"/>
  <c r="N1625" i="28"/>
  <c r="N1626" i="28"/>
  <c r="N1627" i="28"/>
  <c r="N1628" i="28"/>
  <c r="N1629" i="28"/>
  <c r="N1630" i="28"/>
  <c r="N1631" i="28"/>
  <c r="N1632" i="28"/>
  <c r="N1633" i="28"/>
  <c r="N1634" i="28"/>
  <c r="N1635" i="28"/>
  <c r="N1636" i="28"/>
  <c r="N1637" i="28"/>
  <c r="N1638" i="28"/>
  <c r="N1639" i="28"/>
  <c r="N1640" i="28"/>
  <c r="N1641" i="28"/>
  <c r="N1642" i="28"/>
  <c r="N1643" i="28"/>
  <c r="N1644" i="28"/>
  <c r="N1645" i="28"/>
  <c r="N1646" i="28"/>
  <c r="N1647" i="28"/>
  <c r="N1648" i="28"/>
  <c r="N1649" i="28"/>
  <c r="N1650" i="28"/>
  <c r="N1651" i="28"/>
  <c r="N1652" i="28"/>
  <c r="N1653" i="28"/>
  <c r="N1654" i="28"/>
  <c r="N1655" i="28"/>
  <c r="N1656" i="28"/>
  <c r="N1657" i="28"/>
  <c r="N1658" i="28"/>
  <c r="N1659" i="28"/>
  <c r="N1660" i="28"/>
  <c r="N1661" i="28"/>
  <c r="N1662" i="28"/>
  <c r="N1663" i="28"/>
  <c r="N1664" i="28"/>
  <c r="N1665" i="28"/>
  <c r="N1666" i="28"/>
  <c r="N1667" i="28"/>
  <c r="N1668" i="28"/>
  <c r="N1669" i="28"/>
  <c r="N1670" i="28"/>
  <c r="N1671" i="28"/>
  <c r="N1672" i="28"/>
  <c r="N1673" i="28"/>
  <c r="N1674" i="28"/>
  <c r="N1675" i="28"/>
  <c r="N1676" i="28"/>
  <c r="N1677" i="28"/>
  <c r="N1678" i="28"/>
  <c r="N1679" i="28"/>
  <c r="N1680" i="28"/>
  <c r="N1681" i="28"/>
  <c r="N1682" i="28"/>
  <c r="N1683" i="28"/>
  <c r="N1684" i="28"/>
  <c r="N1685" i="28"/>
  <c r="N1686" i="28"/>
  <c r="N1687" i="28"/>
  <c r="N1688" i="28"/>
  <c r="N1689" i="28"/>
  <c r="N1690" i="28"/>
  <c r="N1691" i="28"/>
  <c r="N1692" i="28"/>
  <c r="N1693" i="28"/>
  <c r="N1694" i="28"/>
  <c r="N1695" i="28"/>
  <c r="N1696" i="28"/>
  <c r="N1697" i="28"/>
  <c r="N1698" i="28"/>
  <c r="N1699" i="28"/>
  <c r="N1700" i="28"/>
  <c r="N1701" i="28"/>
  <c r="N1702" i="28"/>
  <c r="N1703" i="28"/>
  <c r="N1704" i="28"/>
  <c r="N1705" i="28"/>
  <c r="N1706" i="28"/>
  <c r="N1707" i="28"/>
  <c r="N1708" i="28"/>
  <c r="N1709" i="28"/>
  <c r="N1710" i="28"/>
  <c r="N1711" i="28"/>
  <c r="N1712" i="28"/>
  <c r="N1713" i="28"/>
  <c r="N1714" i="28"/>
  <c r="N1715" i="28"/>
  <c r="N1716" i="28"/>
  <c r="N1717" i="28"/>
  <c r="N1718" i="28"/>
  <c r="N1719" i="28"/>
  <c r="N1720" i="28"/>
  <c r="N1721" i="28"/>
  <c r="N1722" i="28"/>
  <c r="N1723" i="28"/>
  <c r="N1724" i="28"/>
  <c r="N1725" i="28"/>
  <c r="N1726" i="28"/>
  <c r="N1727" i="28"/>
  <c r="N1728" i="28"/>
  <c r="N1729" i="28"/>
  <c r="N1730" i="28"/>
  <c r="N1731" i="28"/>
  <c r="N1732" i="28"/>
  <c r="N1733" i="28"/>
  <c r="N1734" i="28"/>
  <c r="N1735" i="28"/>
  <c r="N1736" i="28"/>
  <c r="N1737" i="28"/>
  <c r="N1738" i="28"/>
  <c r="N1739" i="28"/>
  <c r="N1740" i="28"/>
  <c r="N1741" i="28"/>
  <c r="N1742" i="28"/>
  <c r="N1743" i="28"/>
  <c r="N1744" i="28"/>
  <c r="N1745" i="28"/>
  <c r="N1746" i="28"/>
  <c r="N1747" i="28"/>
  <c r="N1748" i="28"/>
  <c r="N1749" i="28"/>
  <c r="N1750" i="28"/>
  <c r="N1751" i="28"/>
  <c r="N1752" i="28"/>
  <c r="N1753" i="28"/>
  <c r="N1754" i="28"/>
  <c r="N1755" i="28"/>
  <c r="N1756" i="28"/>
  <c r="N1757" i="28"/>
  <c r="N1758" i="28"/>
  <c r="N1759" i="28"/>
  <c r="N1760" i="28"/>
  <c r="N1761" i="28"/>
  <c r="N1762" i="28"/>
  <c r="N1763" i="28"/>
  <c r="N1764" i="28"/>
  <c r="N1765" i="28"/>
  <c r="N1766" i="28"/>
  <c r="N1767" i="28"/>
  <c r="N1768" i="28"/>
  <c r="N1769" i="28"/>
  <c r="N1770" i="28"/>
  <c r="N1771" i="28"/>
  <c r="N1772" i="28"/>
  <c r="N1773" i="28"/>
  <c r="N1774" i="28"/>
  <c r="N1775" i="28"/>
  <c r="N1776" i="28"/>
  <c r="N1777" i="28"/>
  <c r="N1778" i="28"/>
  <c r="N1779" i="28"/>
  <c r="N1780" i="28"/>
  <c r="N1781" i="28"/>
  <c r="N1782" i="28"/>
  <c r="N1783" i="28"/>
  <c r="N1784" i="28"/>
  <c r="N1785" i="28"/>
  <c r="N1786" i="28"/>
  <c r="N1787" i="28"/>
  <c r="N1788" i="28"/>
  <c r="N1789" i="28"/>
  <c r="N1790" i="28"/>
  <c r="N1791" i="28"/>
  <c r="N1792" i="28"/>
  <c r="N1793" i="28"/>
  <c r="N1794" i="28"/>
  <c r="N1795" i="28"/>
  <c r="N1796" i="28"/>
  <c r="N1797" i="28"/>
  <c r="N1798" i="28"/>
  <c r="N1799" i="28"/>
  <c r="N1800" i="28"/>
  <c r="N1801" i="28"/>
  <c r="N1802" i="28"/>
  <c r="N1803" i="28"/>
  <c r="N1804" i="28"/>
  <c r="N1805" i="28"/>
  <c r="N1806" i="28"/>
  <c r="N1807" i="28"/>
  <c r="N1808" i="28"/>
  <c r="N1809" i="28"/>
  <c r="N1810" i="28"/>
  <c r="N1811" i="28"/>
  <c r="N1812" i="28"/>
  <c r="N1813" i="28"/>
  <c r="N1814" i="28"/>
  <c r="N1815" i="28"/>
  <c r="N1816" i="28"/>
  <c r="N1817" i="28"/>
  <c r="N1818" i="28"/>
  <c r="N1819" i="28"/>
  <c r="N1820" i="28"/>
  <c r="N1821" i="28"/>
  <c r="N1822" i="28"/>
  <c r="N1823" i="28"/>
  <c r="N1824" i="28"/>
  <c r="N1825" i="28"/>
  <c r="N1826" i="28"/>
  <c r="N1827" i="28"/>
  <c r="N1828" i="28"/>
  <c r="N1829" i="28"/>
  <c r="N1830" i="28"/>
  <c r="N1831" i="28"/>
  <c r="N1832" i="28"/>
  <c r="N1833" i="28"/>
  <c r="N1834" i="28"/>
  <c r="N1835" i="28"/>
  <c r="N1836" i="28"/>
  <c r="N1837" i="28"/>
  <c r="N1838" i="28"/>
  <c r="N1839" i="28"/>
  <c r="N1840" i="28"/>
  <c r="N1841" i="28"/>
  <c r="N1842" i="28"/>
  <c r="N1843" i="28"/>
  <c r="N1844" i="28"/>
  <c r="N1845" i="28"/>
  <c r="N1846" i="28"/>
  <c r="N1847" i="28"/>
  <c r="N1848" i="28"/>
  <c r="N1849" i="28"/>
  <c r="N1850" i="28"/>
  <c r="N1851" i="28"/>
  <c r="N1852" i="28"/>
  <c r="N1853" i="28"/>
  <c r="N1854" i="28"/>
  <c r="N1855" i="28"/>
  <c r="N1856" i="28"/>
  <c r="N1857" i="28"/>
  <c r="N1858" i="28"/>
  <c r="N1859" i="28"/>
  <c r="N1860" i="28"/>
  <c r="N1861" i="28"/>
  <c r="N1862" i="28"/>
  <c r="N1863" i="28"/>
  <c r="N1864" i="28"/>
  <c r="N1865" i="28"/>
  <c r="N1866" i="28"/>
  <c r="N1867" i="28"/>
  <c r="N1868" i="28"/>
  <c r="N1869" i="28"/>
  <c r="N1870" i="28"/>
  <c r="N1871" i="28"/>
  <c r="N1872" i="28"/>
  <c r="N1873" i="28"/>
  <c r="N1874" i="28"/>
  <c r="N1875" i="28"/>
  <c r="N1876" i="28"/>
  <c r="N1877" i="28"/>
  <c r="N1878" i="28"/>
  <c r="N1879" i="28"/>
  <c r="N1880" i="28"/>
  <c r="N1881" i="28"/>
  <c r="N1882" i="28"/>
  <c r="N1883" i="28"/>
  <c r="N1884" i="28"/>
  <c r="N1885" i="28"/>
  <c r="N1886" i="28"/>
  <c r="N1887" i="28"/>
  <c r="N1888" i="28"/>
  <c r="N1889" i="28"/>
  <c r="N1890" i="28"/>
  <c r="N1891" i="28"/>
  <c r="N1892" i="28"/>
  <c r="N1893" i="28"/>
  <c r="N1894" i="28"/>
  <c r="N1895" i="28"/>
  <c r="N1896" i="28"/>
  <c r="N1897" i="28"/>
  <c r="N1898" i="28"/>
  <c r="N1899" i="28"/>
  <c r="N1900" i="28"/>
  <c r="N1901" i="28"/>
  <c r="N1902" i="28"/>
  <c r="N1903" i="28"/>
  <c r="N1904" i="28"/>
  <c r="N1905" i="28"/>
  <c r="N1906" i="28"/>
  <c r="N1907" i="28"/>
  <c r="N1908" i="28"/>
  <c r="N1909" i="28"/>
  <c r="N1910" i="28"/>
  <c r="N1911" i="28"/>
  <c r="N1912" i="28"/>
  <c r="N1913" i="28"/>
  <c r="N1914" i="28"/>
  <c r="N1915" i="28"/>
  <c r="N1916" i="28"/>
  <c r="N1917" i="28"/>
  <c r="N1918" i="28"/>
  <c r="N1919" i="28"/>
  <c r="N1920" i="28"/>
  <c r="N1921" i="28"/>
  <c r="N1922" i="28"/>
  <c r="N1923" i="28"/>
  <c r="N1924" i="28"/>
  <c r="N1925" i="28"/>
  <c r="N1926" i="28"/>
  <c r="N1927" i="28"/>
  <c r="N1928" i="28"/>
  <c r="N1929" i="28"/>
  <c r="N1930" i="28"/>
  <c r="N1931" i="28"/>
  <c r="N1932" i="28"/>
  <c r="N1933" i="28"/>
  <c r="N1934" i="28"/>
  <c r="N1935" i="28"/>
  <c r="N1936" i="28"/>
  <c r="N1937" i="28"/>
  <c r="N1938" i="28"/>
  <c r="N1939" i="28"/>
  <c r="N1940" i="28"/>
  <c r="N1941" i="28"/>
  <c r="N1942" i="28"/>
  <c r="N1943" i="28"/>
  <c r="N1944" i="28"/>
  <c r="N1945" i="28"/>
  <c r="N1946" i="28"/>
  <c r="N1947" i="28"/>
  <c r="N1948" i="28"/>
  <c r="N1949" i="28"/>
  <c r="N1950" i="28"/>
  <c r="N1951" i="28"/>
  <c r="N1952" i="28"/>
  <c r="N1953" i="28"/>
  <c r="N1954" i="28"/>
  <c r="N1955" i="28"/>
  <c r="N1956" i="28"/>
  <c r="N1957" i="28"/>
  <c r="N1958" i="28"/>
  <c r="N1959" i="28"/>
  <c r="N1960" i="28"/>
  <c r="N1961" i="28"/>
  <c r="N1962" i="28"/>
  <c r="N1963" i="28"/>
  <c r="N1964" i="28"/>
  <c r="N1965" i="28"/>
  <c r="N1966" i="28"/>
  <c r="N1967" i="28"/>
  <c r="N1968" i="28"/>
  <c r="N1969" i="28"/>
  <c r="N1970" i="28"/>
  <c r="N1971" i="28"/>
  <c r="N1972" i="28"/>
  <c r="N1973" i="28"/>
  <c r="N1974" i="28"/>
  <c r="N1975" i="28"/>
  <c r="N1976" i="28"/>
  <c r="N1977" i="28"/>
  <c r="N1978" i="28"/>
  <c r="N1979" i="28"/>
  <c r="N1980" i="28"/>
  <c r="N1981" i="28"/>
  <c r="N1982" i="28"/>
  <c r="N1983" i="28"/>
  <c r="N1984" i="28"/>
  <c r="N1985" i="28"/>
  <c r="N1986" i="28"/>
  <c r="N1987" i="28"/>
  <c r="N1988" i="28"/>
  <c r="N1989" i="28"/>
  <c r="N1990" i="28"/>
  <c r="N1991" i="28"/>
  <c r="N1992" i="28"/>
  <c r="N1993" i="28"/>
  <c r="N1994" i="28"/>
  <c r="N1995" i="28"/>
  <c r="N1996" i="28"/>
  <c r="N1997" i="28"/>
  <c r="N1998" i="28"/>
  <c r="N1999" i="28"/>
  <c r="N2000" i="28"/>
  <c r="N2001" i="28"/>
  <c r="N2002" i="28"/>
  <c r="N2003" i="28"/>
  <c r="N2004" i="28"/>
  <c r="N2005" i="28"/>
  <c r="N2006" i="28"/>
  <c r="N2007" i="28"/>
  <c r="N2008" i="28"/>
  <c r="N2009" i="28"/>
  <c r="N2010" i="28"/>
  <c r="N2011" i="28"/>
  <c r="N2012" i="28"/>
  <c r="N2013" i="28"/>
  <c r="N2014" i="28"/>
  <c r="N2015" i="28"/>
  <c r="N2016" i="28"/>
  <c r="N2017" i="28"/>
  <c r="N2018" i="28"/>
  <c r="N2019" i="28"/>
  <c r="N2020" i="28"/>
  <c r="N2021" i="28"/>
  <c r="N2022" i="28"/>
  <c r="N2023" i="28"/>
  <c r="N2024" i="28"/>
  <c r="N2025" i="28"/>
  <c r="N2026" i="28"/>
  <c r="N2027" i="28"/>
  <c r="N2028" i="28"/>
  <c r="N2029" i="28"/>
  <c r="N2030" i="28"/>
  <c r="N2031" i="28"/>
  <c r="N2032" i="28"/>
  <c r="N2033" i="28"/>
  <c r="N2034" i="28"/>
  <c r="N2035" i="28"/>
  <c r="N2036" i="28"/>
  <c r="N2037" i="28"/>
  <c r="N2038" i="28"/>
  <c r="N2039" i="28"/>
  <c r="N2040" i="28"/>
  <c r="N2041" i="28"/>
  <c r="N2042" i="28"/>
  <c r="N2043" i="28"/>
  <c r="N2044" i="28"/>
  <c r="N2045" i="28"/>
  <c r="N2046" i="28"/>
  <c r="N2047" i="28"/>
  <c r="N2048" i="28"/>
  <c r="N2049" i="28"/>
  <c r="N2050" i="28"/>
  <c r="N2051" i="28"/>
  <c r="N2052" i="28"/>
  <c r="N2053" i="28"/>
  <c r="N2054" i="28"/>
  <c r="N2055" i="28"/>
  <c r="N2056" i="28"/>
  <c r="N2057" i="28"/>
  <c r="N2058" i="28"/>
  <c r="N2059" i="28"/>
  <c r="N2060" i="28"/>
  <c r="N2061" i="28"/>
  <c r="N2062" i="28"/>
  <c r="N2063" i="28"/>
  <c r="N2064" i="28"/>
  <c r="N2065" i="28"/>
  <c r="N2066" i="28"/>
  <c r="N2067" i="28"/>
  <c r="N2068" i="28"/>
  <c r="N2069" i="28"/>
  <c r="N2070" i="28"/>
  <c r="N2071" i="28"/>
  <c r="N2072" i="28"/>
  <c r="N2073" i="28"/>
  <c r="N2074" i="28"/>
  <c r="N2075" i="28"/>
  <c r="N2076" i="28"/>
  <c r="N2077" i="28"/>
  <c r="N2078" i="28"/>
  <c r="N2079" i="28"/>
  <c r="N2080" i="28"/>
  <c r="N2081" i="28"/>
  <c r="N2082" i="28"/>
  <c r="N2083" i="28"/>
  <c r="N2084" i="28"/>
  <c r="N2085" i="28"/>
  <c r="N2086" i="28"/>
  <c r="N2087" i="28"/>
  <c r="N2088" i="28"/>
  <c r="N2089" i="28"/>
  <c r="N2090" i="28"/>
  <c r="N2091" i="28"/>
  <c r="N2092" i="28"/>
  <c r="N2093" i="28"/>
  <c r="N2094" i="28"/>
  <c r="N2095" i="28"/>
  <c r="N2096" i="28"/>
  <c r="N2097" i="28"/>
  <c r="N2098" i="28"/>
  <c r="N2099" i="28"/>
  <c r="N2100" i="28"/>
  <c r="N2101" i="28"/>
  <c r="N2102" i="28"/>
  <c r="N2103" i="28"/>
  <c r="N2104" i="28"/>
  <c r="N2105" i="28"/>
  <c r="N2106" i="28"/>
  <c r="N2107" i="28"/>
  <c r="N2108" i="28"/>
  <c r="N2109" i="28"/>
  <c r="N2110" i="28"/>
  <c r="N2111" i="28"/>
  <c r="N2112" i="28"/>
  <c r="N2113" i="28"/>
  <c r="N2114" i="28"/>
  <c r="N2115" i="28"/>
  <c r="N2116" i="28"/>
  <c r="N2117" i="28"/>
  <c r="N2118" i="28"/>
  <c r="N2119" i="28"/>
  <c r="N2120" i="28"/>
  <c r="N2121" i="28"/>
  <c r="N2122" i="28"/>
  <c r="N2123" i="28"/>
  <c r="N2124" i="28"/>
  <c r="N2125" i="28"/>
  <c r="N2126" i="28"/>
  <c r="N2127" i="28"/>
  <c r="N2128" i="28"/>
  <c r="N2129" i="28"/>
  <c r="N2130" i="28"/>
  <c r="N2131" i="28"/>
  <c r="N2132" i="28"/>
  <c r="N2133" i="28"/>
  <c r="N2134" i="28"/>
  <c r="N2135" i="28"/>
  <c r="N2136" i="28"/>
  <c r="N2137" i="28"/>
  <c r="N2138" i="28"/>
  <c r="N2139" i="28"/>
  <c r="N2140" i="28"/>
  <c r="N2141" i="28"/>
  <c r="N2142" i="28"/>
  <c r="N2143" i="28"/>
  <c r="N2144" i="28"/>
  <c r="N2145" i="28"/>
  <c r="N2146" i="28"/>
  <c r="N2147" i="28"/>
  <c r="N2148" i="28"/>
  <c r="N2149" i="28"/>
  <c r="N2150" i="28"/>
  <c r="N2151" i="28"/>
  <c r="N2152" i="28"/>
  <c r="N2153" i="28"/>
  <c r="N2154" i="28"/>
  <c r="N2155" i="28"/>
  <c r="N2156" i="28"/>
  <c r="N2157" i="28"/>
  <c r="N2158" i="28"/>
  <c r="N2159" i="28"/>
  <c r="N2160" i="28"/>
  <c r="N2161" i="28"/>
  <c r="N2162" i="28"/>
  <c r="N2163" i="28"/>
  <c r="N2164" i="28"/>
  <c r="N2165" i="28"/>
  <c r="N2166" i="28"/>
  <c r="N2167" i="28"/>
  <c r="N2168" i="28"/>
  <c r="N2169" i="28"/>
  <c r="N2170" i="28"/>
  <c r="N2171" i="28"/>
  <c r="N2172" i="28"/>
  <c r="N2173" i="28"/>
  <c r="N2174" i="28"/>
  <c r="N2175" i="28"/>
  <c r="N2176" i="28"/>
  <c r="N2177" i="28"/>
  <c r="N2178" i="28"/>
  <c r="N2179" i="28"/>
  <c r="N2180" i="28"/>
  <c r="N2181" i="28"/>
  <c r="N2182" i="28"/>
  <c r="N2183" i="28"/>
  <c r="N2184" i="28"/>
  <c r="N2185" i="28"/>
  <c r="N2186" i="28"/>
  <c r="N2187" i="28"/>
  <c r="N2188" i="28"/>
  <c r="N2189" i="28"/>
  <c r="N2190" i="28"/>
  <c r="N2191" i="28"/>
  <c r="N2192" i="28"/>
  <c r="N2193" i="28"/>
  <c r="N2194" i="28"/>
  <c r="N2195" i="28"/>
  <c r="N2196" i="28"/>
  <c r="N2197" i="28"/>
  <c r="N2198" i="28"/>
  <c r="N2199" i="28"/>
  <c r="N2200" i="28"/>
  <c r="N2201" i="28"/>
  <c r="N2202" i="28"/>
  <c r="N2203" i="28"/>
  <c r="N2204" i="28"/>
  <c r="N2205" i="28"/>
  <c r="N2206" i="28"/>
  <c r="N2207" i="28"/>
  <c r="N2208" i="28"/>
  <c r="N2209" i="28"/>
  <c r="N2210" i="28"/>
  <c r="N2211" i="28"/>
  <c r="N2212" i="28"/>
  <c r="N2213" i="28"/>
  <c r="N2214" i="28"/>
  <c r="N2215" i="28"/>
  <c r="N2216" i="28"/>
  <c r="N2217" i="28"/>
  <c r="N2218" i="28"/>
  <c r="N2219" i="28"/>
  <c r="N2220" i="28"/>
  <c r="N2221" i="28"/>
  <c r="N2222" i="28"/>
  <c r="N2223" i="28"/>
  <c r="N2224" i="28"/>
  <c r="N2225" i="28"/>
  <c r="N2226" i="28"/>
  <c r="N2227" i="28"/>
  <c r="N2228" i="28"/>
  <c r="N2229" i="28"/>
  <c r="N2230" i="28"/>
  <c r="N2231" i="28"/>
  <c r="N2232" i="28"/>
  <c r="N2233" i="28"/>
  <c r="N2234" i="28"/>
  <c r="N2235" i="28"/>
  <c r="N2236" i="28"/>
  <c r="N2237" i="28"/>
  <c r="N2238" i="28"/>
  <c r="N2239" i="28"/>
  <c r="N2240" i="28"/>
  <c r="N2241" i="28"/>
  <c r="N2242" i="28"/>
  <c r="N2243" i="28"/>
  <c r="N2244" i="28"/>
  <c r="N2245" i="28"/>
  <c r="N2246" i="28"/>
  <c r="N2247" i="28"/>
  <c r="N2248" i="28"/>
  <c r="N2249" i="28"/>
  <c r="N2250" i="28"/>
  <c r="N2251" i="28"/>
  <c r="N2252" i="28"/>
  <c r="N2253" i="28"/>
  <c r="N2254" i="28"/>
  <c r="N2255" i="28"/>
  <c r="N2256" i="28"/>
  <c r="N2257" i="28"/>
  <c r="N2258" i="28"/>
  <c r="N2259" i="28"/>
  <c r="N2260" i="28"/>
  <c r="N2261" i="28"/>
  <c r="N2262" i="28"/>
  <c r="N2263" i="28"/>
  <c r="N2264" i="28"/>
  <c r="N2265" i="28"/>
  <c r="N2266" i="28"/>
  <c r="N2267" i="28"/>
  <c r="N2268" i="28"/>
  <c r="N2269" i="28"/>
  <c r="N2270" i="28"/>
  <c r="N2271" i="28"/>
  <c r="N2272" i="28"/>
  <c r="N2273" i="28"/>
  <c r="N2274" i="28"/>
  <c r="N2275" i="28"/>
  <c r="N2276" i="28"/>
  <c r="N2277" i="28"/>
  <c r="N2278" i="28"/>
  <c r="N2279" i="28"/>
  <c r="N2280" i="28"/>
  <c r="N2281" i="28"/>
  <c r="N2282" i="28"/>
  <c r="N2283" i="28"/>
  <c r="N2284" i="28"/>
  <c r="N2285" i="28"/>
  <c r="N2286" i="28"/>
  <c r="N2287" i="28"/>
  <c r="N2288" i="28"/>
  <c r="N2289" i="28"/>
  <c r="N2290" i="28"/>
  <c r="N2291" i="28"/>
  <c r="N2292" i="28"/>
  <c r="N2293" i="28"/>
  <c r="N2294" i="28"/>
  <c r="N2295" i="28"/>
  <c r="N2296" i="28"/>
  <c r="N2297" i="28"/>
  <c r="N2298" i="28"/>
  <c r="N2299" i="28"/>
  <c r="N2300" i="28"/>
  <c r="N2301" i="28"/>
  <c r="N2302" i="28"/>
  <c r="N2303" i="28"/>
  <c r="N2304" i="28"/>
  <c r="N2305" i="28"/>
  <c r="N2306" i="28"/>
  <c r="N2307" i="28"/>
  <c r="N2308" i="28"/>
  <c r="N2309" i="28"/>
  <c r="N2310" i="28"/>
  <c r="N2311" i="28"/>
  <c r="N2312" i="28"/>
  <c r="N2313" i="28"/>
  <c r="N2314" i="28"/>
  <c r="N2315" i="28"/>
  <c r="N2316" i="28"/>
  <c r="N2317" i="28"/>
  <c r="N2318" i="28"/>
  <c r="N2319" i="28"/>
  <c r="N2320" i="28"/>
  <c r="N2321" i="28"/>
  <c r="N2322" i="28"/>
  <c r="N2323" i="28"/>
  <c r="N2324" i="28"/>
  <c r="N2325" i="28"/>
  <c r="N2326" i="28"/>
  <c r="N2327" i="28"/>
  <c r="N2328" i="28"/>
  <c r="N2329" i="28"/>
  <c r="N2330" i="28"/>
  <c r="N2331" i="28"/>
  <c r="N2332" i="28"/>
  <c r="N2333" i="28"/>
  <c r="N2334" i="28"/>
  <c r="N2335" i="28"/>
  <c r="N2336" i="28"/>
  <c r="N2337" i="28"/>
  <c r="N2338" i="28"/>
  <c r="N2339" i="28"/>
  <c r="N2340" i="28"/>
  <c r="N2341" i="28"/>
  <c r="N2342" i="28"/>
  <c r="N2343" i="28"/>
  <c r="N2344" i="28"/>
  <c r="N2345" i="28"/>
  <c r="N2346" i="28"/>
  <c r="N2347" i="28"/>
  <c r="N2348" i="28"/>
  <c r="N2349" i="28"/>
  <c r="N2350" i="28"/>
  <c r="N2351" i="28"/>
  <c r="N2352" i="28"/>
  <c r="N2353" i="28"/>
  <c r="N2354" i="28"/>
  <c r="N2355" i="28"/>
  <c r="N2356" i="28"/>
  <c r="N2357" i="28"/>
  <c r="N2358" i="28"/>
  <c r="N2359" i="28"/>
  <c r="N2360" i="28"/>
  <c r="N2361" i="28"/>
  <c r="N2362" i="28"/>
  <c r="N2363" i="28"/>
  <c r="N2364" i="28"/>
  <c r="N2365" i="28"/>
  <c r="N2366" i="28"/>
  <c r="N2367" i="28"/>
  <c r="N2368" i="28"/>
  <c r="N2369" i="28"/>
  <c r="N2370" i="28"/>
  <c r="N2371" i="28"/>
  <c r="N2372" i="28"/>
  <c r="N2373" i="28"/>
  <c r="N2374" i="28"/>
  <c r="N2375" i="28"/>
  <c r="N2376" i="28"/>
  <c r="N2377" i="28"/>
  <c r="N2378" i="28"/>
  <c r="N2379" i="28"/>
  <c r="N2380" i="28"/>
  <c r="N2381" i="28"/>
  <c r="N2382" i="28"/>
  <c r="N2383" i="28"/>
  <c r="N2384" i="28"/>
  <c r="N2385" i="28"/>
  <c r="N2386" i="28"/>
  <c r="N2387" i="28"/>
  <c r="N2388" i="28"/>
  <c r="N2389" i="28"/>
  <c r="N2390" i="28"/>
  <c r="N2391" i="28"/>
  <c r="N2392" i="28"/>
  <c r="N2393" i="28"/>
  <c r="N2394" i="28"/>
  <c r="N2395" i="28"/>
  <c r="N2396" i="28"/>
  <c r="N2397" i="28"/>
  <c r="N2398" i="28"/>
  <c r="N2399" i="28"/>
  <c r="N2400" i="28"/>
  <c r="N2401" i="28"/>
  <c r="N2402" i="28"/>
  <c r="N2403" i="28"/>
  <c r="N2404" i="28"/>
  <c r="N2405" i="28"/>
  <c r="N2406" i="28"/>
  <c r="N2407" i="28"/>
  <c r="N2408" i="28"/>
  <c r="N2409" i="28"/>
  <c r="N2410" i="28"/>
  <c r="N2411" i="28"/>
  <c r="N2412" i="28"/>
  <c r="N2413" i="28"/>
  <c r="N2414" i="28"/>
  <c r="N2415" i="28"/>
  <c r="N2416" i="28"/>
  <c r="N2417" i="28"/>
  <c r="N2418" i="28"/>
  <c r="N2419" i="28"/>
  <c r="N2420" i="28"/>
  <c r="N2421" i="28"/>
  <c r="N2422" i="28"/>
  <c r="N2423" i="28"/>
  <c r="N2424" i="28"/>
  <c r="N2425" i="28"/>
  <c r="N2426" i="28"/>
  <c r="N2427" i="28"/>
  <c r="N2428" i="28"/>
  <c r="N2429" i="28"/>
  <c r="N2430" i="28"/>
  <c r="N2431" i="28"/>
  <c r="N2432" i="28"/>
  <c r="N2433" i="28"/>
  <c r="N2434" i="28"/>
  <c r="N2435" i="28"/>
  <c r="N2436" i="28"/>
  <c r="N2437" i="28"/>
  <c r="N2438" i="28"/>
  <c r="N2439" i="28"/>
  <c r="N2440" i="28"/>
  <c r="N2441" i="28"/>
  <c r="N2442" i="28"/>
  <c r="N2443" i="28"/>
  <c r="N2444" i="28"/>
  <c r="N2445" i="28"/>
  <c r="N2446" i="28"/>
  <c r="N2447" i="28"/>
  <c r="N2448" i="28"/>
  <c r="N2449" i="28"/>
  <c r="N2450" i="28"/>
  <c r="N2451" i="28"/>
  <c r="N2452" i="28"/>
  <c r="N2453" i="28"/>
  <c r="N2454" i="28"/>
  <c r="N2455" i="28"/>
  <c r="N2456" i="28"/>
  <c r="N2457" i="28"/>
  <c r="N2458" i="28"/>
  <c r="N2459" i="28"/>
  <c r="N2460" i="28"/>
  <c r="N2461" i="28"/>
  <c r="N2462" i="28"/>
  <c r="N2463" i="28"/>
  <c r="N2464" i="28"/>
  <c r="N2465" i="28"/>
  <c r="N2466" i="28"/>
  <c r="N2467" i="28"/>
  <c r="N2468" i="28"/>
  <c r="N2469" i="28"/>
  <c r="N2470" i="28"/>
  <c r="N2471" i="28"/>
  <c r="N2472" i="28"/>
  <c r="N2473" i="28"/>
  <c r="N2474" i="28"/>
  <c r="N2475" i="28"/>
  <c r="N2476" i="28"/>
  <c r="N2477" i="28"/>
  <c r="N2478" i="28"/>
  <c r="N2479" i="28"/>
  <c r="N2480" i="28"/>
  <c r="N2481" i="28"/>
  <c r="N2482" i="28"/>
  <c r="N2483" i="28"/>
  <c r="N2484" i="28"/>
  <c r="N2485" i="28"/>
  <c r="N2486" i="28"/>
  <c r="N2487" i="28"/>
  <c r="N2488" i="28"/>
  <c r="N2489" i="28"/>
  <c r="N2490" i="28"/>
  <c r="N2491" i="28"/>
  <c r="N2492" i="28"/>
  <c r="N2493" i="28"/>
  <c r="N2494" i="28"/>
  <c r="N2495" i="28"/>
  <c r="N2496" i="28"/>
  <c r="N2497" i="28"/>
  <c r="N2498" i="28"/>
  <c r="N2499" i="28"/>
  <c r="N2500" i="28"/>
  <c r="N2501" i="28"/>
  <c r="N2502" i="28"/>
  <c r="N2503" i="28"/>
  <c r="N2504" i="28"/>
  <c r="N2505" i="28"/>
  <c r="N2506" i="28"/>
  <c r="N2507" i="28"/>
  <c r="N2508" i="28"/>
  <c r="N2509" i="28"/>
  <c r="N2510" i="28"/>
  <c r="N2511" i="28"/>
  <c r="N2512" i="28"/>
  <c r="N2513" i="28"/>
  <c r="N2514" i="28"/>
  <c r="N2515" i="28"/>
  <c r="N2516" i="28"/>
  <c r="N2517" i="28"/>
  <c r="N2518" i="28"/>
  <c r="N2519" i="28"/>
  <c r="N2520" i="28"/>
  <c r="N2521" i="28"/>
  <c r="N2522" i="28"/>
  <c r="N2523" i="28"/>
  <c r="N2524" i="28"/>
  <c r="N2525" i="28"/>
  <c r="N2526" i="28"/>
  <c r="N2527" i="28"/>
  <c r="N2528" i="28"/>
  <c r="N2529" i="28"/>
  <c r="N2530" i="28"/>
  <c r="N2531" i="28"/>
  <c r="N2532" i="28"/>
  <c r="N2533" i="28"/>
  <c r="N2534" i="28"/>
  <c r="N2535" i="28"/>
  <c r="N2536" i="28"/>
  <c r="N2537" i="28"/>
  <c r="N2538" i="28"/>
  <c r="N2539" i="28"/>
  <c r="N2540" i="28"/>
  <c r="N2541" i="28"/>
  <c r="N2542" i="28"/>
  <c r="N2543" i="28"/>
  <c r="N2544" i="28"/>
  <c r="N2545" i="28"/>
  <c r="N2546" i="28"/>
  <c r="N2547" i="28"/>
  <c r="N2548" i="28"/>
  <c r="N2549" i="28"/>
  <c r="N2550" i="28"/>
  <c r="N2551" i="28"/>
  <c r="N2552" i="28"/>
  <c r="N2553" i="28"/>
  <c r="N2554" i="28"/>
  <c r="N2555" i="28"/>
  <c r="N2556" i="28"/>
  <c r="N2557" i="28"/>
  <c r="N2558" i="28"/>
  <c r="N2559" i="28"/>
  <c r="N2560" i="28"/>
  <c r="N2561" i="28"/>
  <c r="N2562" i="28"/>
  <c r="N2563" i="28"/>
  <c r="N2564" i="28"/>
  <c r="N2565" i="28"/>
  <c r="N2566" i="28"/>
  <c r="N2567" i="28"/>
  <c r="N2568" i="28"/>
  <c r="N2569" i="28"/>
  <c r="N2570" i="28"/>
  <c r="N2571" i="28"/>
  <c r="N2572" i="28"/>
  <c r="N2573" i="28"/>
  <c r="N2574" i="28"/>
  <c r="N2575" i="28"/>
  <c r="N2576" i="28"/>
  <c r="N2577" i="28"/>
  <c r="N2578" i="28"/>
  <c r="N2579" i="28"/>
  <c r="N2580" i="28"/>
  <c r="N2581" i="28"/>
  <c r="N2582" i="28"/>
  <c r="N2583" i="28"/>
  <c r="N2584" i="28"/>
  <c r="N2585" i="28"/>
  <c r="N2586" i="28"/>
  <c r="N2587" i="28"/>
  <c r="N2588" i="28"/>
  <c r="N2589" i="28"/>
  <c r="N2590" i="28"/>
  <c r="N2591" i="28"/>
  <c r="N2592" i="28"/>
  <c r="N2593" i="28"/>
  <c r="N2594" i="28"/>
  <c r="N2595" i="28"/>
  <c r="N2596" i="28"/>
  <c r="N2597" i="28"/>
  <c r="N2598" i="28"/>
  <c r="N2599" i="28"/>
  <c r="N2600" i="28"/>
  <c r="N2601" i="28"/>
  <c r="N2602" i="28"/>
  <c r="N2603" i="28"/>
  <c r="N2604" i="28"/>
  <c r="N2605" i="28"/>
  <c r="N2606" i="28"/>
  <c r="N2607" i="28"/>
  <c r="N2608" i="28"/>
  <c r="N2609" i="28"/>
  <c r="N2610" i="28"/>
  <c r="N2611" i="28"/>
  <c r="N2612" i="28"/>
  <c r="N2613" i="28"/>
  <c r="N2614" i="28"/>
  <c r="N2615" i="28"/>
  <c r="N2616" i="28"/>
  <c r="N2617" i="28"/>
  <c r="N2618" i="28"/>
  <c r="N2619" i="28"/>
  <c r="N2620" i="28"/>
  <c r="N2621" i="28"/>
  <c r="N2622" i="28"/>
  <c r="N2623" i="28"/>
  <c r="N2624" i="28"/>
  <c r="N2625" i="28"/>
  <c r="N2626" i="28"/>
  <c r="N2627" i="28"/>
  <c r="N2628" i="28"/>
  <c r="N2629" i="28"/>
  <c r="N2630" i="28"/>
  <c r="N2631" i="28"/>
  <c r="N2632" i="28"/>
  <c r="N2633" i="28"/>
  <c r="N2634" i="28"/>
  <c r="N2635" i="28"/>
  <c r="N2636" i="28"/>
  <c r="N2637" i="28"/>
  <c r="N2638" i="28"/>
  <c r="N2639" i="28"/>
  <c r="N2640" i="28"/>
  <c r="N2641" i="28"/>
  <c r="N2642" i="28"/>
  <c r="N2643" i="28"/>
  <c r="N2644" i="28"/>
  <c r="N2645" i="28"/>
  <c r="N2646" i="28"/>
  <c r="N2647" i="28"/>
  <c r="N2648" i="28"/>
  <c r="N2649" i="28"/>
  <c r="N2650" i="28"/>
  <c r="N2651" i="28"/>
  <c r="N2652" i="28"/>
  <c r="N2653" i="28"/>
  <c r="N2654" i="28"/>
  <c r="N2655" i="28"/>
  <c r="N2656" i="28"/>
  <c r="N2657" i="28"/>
  <c r="N2658" i="28"/>
  <c r="N2659" i="28"/>
  <c r="N2660" i="28"/>
  <c r="N2661" i="28"/>
  <c r="N2662" i="28"/>
  <c r="N2663" i="28"/>
  <c r="N2664" i="28"/>
  <c r="N2665" i="28"/>
  <c r="N2666" i="28"/>
  <c r="N2667" i="28"/>
  <c r="N2668" i="28"/>
  <c r="N2669" i="28"/>
  <c r="N2670" i="28"/>
  <c r="N2671" i="28"/>
  <c r="N2672" i="28"/>
  <c r="N2673" i="28"/>
  <c r="N2674" i="28"/>
  <c r="N2675" i="28"/>
  <c r="N2676" i="28"/>
  <c r="N2677" i="28"/>
  <c r="N2678" i="28"/>
  <c r="N2679" i="28"/>
  <c r="N2680" i="28"/>
  <c r="N2681" i="28"/>
  <c r="N2682" i="28"/>
  <c r="N2683" i="28"/>
  <c r="N2684" i="28"/>
  <c r="N2685" i="28"/>
  <c r="N2686" i="28"/>
  <c r="N2687" i="28"/>
  <c r="N2688" i="28"/>
  <c r="N2689" i="28"/>
  <c r="N2690" i="28"/>
  <c r="N2691" i="28"/>
  <c r="N2692" i="28"/>
  <c r="N2693" i="28"/>
  <c r="N2694" i="28"/>
  <c r="N2695" i="28"/>
  <c r="N2696" i="28"/>
  <c r="N2697" i="28"/>
  <c r="N2698" i="28"/>
  <c r="N2699" i="28"/>
  <c r="N2700" i="28"/>
  <c r="N2701" i="28"/>
  <c r="N2702" i="28"/>
  <c r="N2703" i="28"/>
  <c r="N2704" i="28"/>
  <c r="N2705" i="28"/>
  <c r="N2706" i="28"/>
  <c r="N2707" i="28"/>
  <c r="N2708" i="28"/>
  <c r="N2709" i="28"/>
  <c r="N2710" i="28"/>
  <c r="N2711" i="28"/>
  <c r="N2712" i="28"/>
  <c r="N2713" i="28"/>
  <c r="N2714" i="28"/>
  <c r="N2715" i="28"/>
  <c r="N2716" i="28"/>
  <c r="N2717" i="28"/>
  <c r="N2718" i="28"/>
  <c r="N2719" i="28"/>
  <c r="N2720" i="28"/>
  <c r="N2721" i="28"/>
  <c r="N2722" i="28"/>
  <c r="N2723" i="28"/>
  <c r="N2724" i="28"/>
  <c r="N2725" i="28"/>
  <c r="N2726" i="28"/>
  <c r="N2727" i="28"/>
  <c r="N2728" i="28"/>
  <c r="N2729" i="28"/>
  <c r="N2730" i="28"/>
  <c r="N2731" i="28"/>
  <c r="N2732" i="28"/>
  <c r="N2733" i="28"/>
  <c r="N2734" i="28"/>
  <c r="N2735" i="28"/>
  <c r="N2736" i="28"/>
  <c r="N2737" i="28"/>
  <c r="N2738" i="28"/>
  <c r="N2739" i="28"/>
  <c r="N2740" i="28"/>
  <c r="N2741" i="28"/>
  <c r="N2742" i="28"/>
  <c r="N2743" i="28"/>
  <c r="N2744" i="28"/>
  <c r="N2745" i="28"/>
  <c r="N2746" i="28"/>
  <c r="N2747" i="28"/>
  <c r="N2748" i="28"/>
  <c r="N2749" i="28"/>
  <c r="N2750" i="28"/>
  <c r="N2751" i="28"/>
  <c r="N2752" i="28"/>
  <c r="N2753" i="28"/>
  <c r="N2754" i="28"/>
  <c r="N2755" i="28"/>
  <c r="N2756" i="28"/>
  <c r="N2757" i="28"/>
  <c r="N2758" i="28"/>
  <c r="N2759" i="28"/>
  <c r="N2760" i="28"/>
  <c r="N2761" i="28"/>
  <c r="N2762" i="28"/>
  <c r="N2763" i="28"/>
  <c r="N2764" i="28"/>
  <c r="N2765" i="28"/>
  <c r="N2766" i="28"/>
  <c r="N2767" i="28"/>
  <c r="N2768" i="28"/>
  <c r="N2769" i="28"/>
  <c r="N2770" i="28"/>
  <c r="N2771" i="28"/>
  <c r="N2772" i="28"/>
  <c r="N2773" i="28"/>
  <c r="N2774" i="28"/>
  <c r="N2775" i="28"/>
  <c r="N2776" i="28"/>
  <c r="N2777" i="28"/>
  <c r="N2778" i="28"/>
  <c r="N2779" i="28"/>
  <c r="N2780" i="28"/>
  <c r="N2781" i="28"/>
  <c r="N2782" i="28"/>
  <c r="N2783" i="28"/>
  <c r="N2784" i="28"/>
  <c r="N2785" i="28"/>
  <c r="N2786" i="28"/>
  <c r="N2787" i="28"/>
  <c r="N2788" i="28"/>
  <c r="N2789" i="28"/>
  <c r="N2790" i="28"/>
  <c r="N2791" i="28"/>
  <c r="N2792" i="28"/>
  <c r="N2793" i="28"/>
  <c r="N2794" i="28"/>
  <c r="N2795" i="28"/>
  <c r="N2796" i="28"/>
  <c r="N2797" i="28"/>
  <c r="P15" i="22"/>
  <c r="P16" i="22"/>
  <c r="P17" i="22"/>
  <c r="P18" i="22"/>
  <c r="P19" i="22"/>
  <c r="P20" i="22"/>
  <c r="P21" i="22"/>
  <c r="P22" i="22"/>
  <c r="P23" i="22"/>
  <c r="P24" i="22"/>
  <c r="P25" i="22"/>
  <c r="P26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S28" i="28" l="1"/>
  <c r="S31" i="28"/>
  <c r="S24" i="28"/>
  <c r="S12" i="28"/>
  <c r="S27" i="28"/>
  <c r="S10" i="28"/>
  <c r="S19" i="28"/>
  <c r="S26" i="28"/>
  <c r="S22" i="28"/>
  <c r="S18" i="28"/>
  <c r="S14" i="28"/>
  <c r="S33" i="28"/>
  <c r="S29" i="28"/>
  <c r="S11" i="28"/>
  <c r="S20" i="28"/>
  <c r="S16" i="28"/>
  <c r="S23" i="28"/>
  <c r="S15" i="28"/>
  <c r="S30" i="28"/>
  <c r="S9" i="28"/>
  <c r="S25" i="28"/>
  <c r="S21" i="28"/>
  <c r="S17" i="28"/>
  <c r="S13" i="28"/>
  <c r="N2799" i="28"/>
  <c r="S32" i="28"/>
  <c r="E70" i="31"/>
  <c r="E65" i="31"/>
  <c r="E73" i="31" s="1"/>
  <c r="E64" i="31"/>
  <c r="E63" i="31"/>
  <c r="E61" i="31"/>
  <c r="E69" i="31" s="1"/>
  <c r="E62" i="31"/>
  <c r="E71" i="31" l="1"/>
  <c r="E72" i="31"/>
  <c r="U31" i="28"/>
  <c r="U13" i="28"/>
  <c r="U9" i="28"/>
  <c r="U16" i="28"/>
  <c r="U33" i="28"/>
  <c r="U26" i="28"/>
  <c r="U12" i="28"/>
  <c r="U17" i="28"/>
  <c r="U30" i="28"/>
  <c r="U20" i="28"/>
  <c r="U14" i="28"/>
  <c r="U19" i="28"/>
  <c r="U24" i="28"/>
  <c r="U32" i="28"/>
  <c r="U21" i="28"/>
  <c r="U15" i="28"/>
  <c r="U11" i="28"/>
  <c r="U18" i="28"/>
  <c r="U10" i="28"/>
  <c r="U28" i="28"/>
  <c r="U25" i="28"/>
  <c r="U23" i="28"/>
  <c r="U29" i="28"/>
  <c r="U22" i="28"/>
  <c r="U27" i="28"/>
  <c r="G38" i="36" l="1"/>
  <c r="G120" i="16"/>
  <c r="G85" i="24" l="1"/>
  <c r="B10" i="39" s="1"/>
  <c r="B168" i="37" l="1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366" i="37" s="1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C260" i="37"/>
  <c r="C363" i="37" s="1"/>
  <c r="C465" i="37" s="1"/>
  <c r="C567" i="37" s="1"/>
  <c r="C669" i="37" s="1"/>
  <c r="C261" i="37"/>
  <c r="C364" i="37" s="1"/>
  <c r="C466" i="37" s="1"/>
  <c r="C568" i="37" s="1"/>
  <c r="C670" i="37" s="1"/>
  <c r="C262" i="37"/>
  <c r="C365" i="37" s="1"/>
  <c r="C467" i="37" s="1"/>
  <c r="C569" i="37" s="1"/>
  <c r="C671" i="37" s="1"/>
  <c r="C263" i="37"/>
  <c r="C366" i="37" s="1"/>
  <c r="C468" i="37" s="1"/>
  <c r="C570" i="37" s="1"/>
  <c r="C672" i="37" s="1"/>
  <c r="C234" i="37"/>
  <c r="C337" i="37" s="1"/>
  <c r="C439" i="37" s="1"/>
  <c r="C235" i="37"/>
  <c r="C338" i="37" s="1"/>
  <c r="C440" i="37" s="1"/>
  <c r="C542" i="37" s="1"/>
  <c r="C644" i="37" s="1"/>
  <c r="C236" i="37"/>
  <c r="C339" i="37" s="1"/>
  <c r="C441" i="37" s="1"/>
  <c r="C543" i="37" s="1"/>
  <c r="C645" i="37" s="1"/>
  <c r="C237" i="37"/>
  <c r="C340" i="37" s="1"/>
  <c r="C442" i="37" s="1"/>
  <c r="C544" i="37" s="1"/>
  <c r="C646" i="37" s="1"/>
  <c r="C238" i="37"/>
  <c r="C341" i="37" s="1"/>
  <c r="C443" i="37" s="1"/>
  <c r="C239" i="37"/>
  <c r="C342" i="37" s="1"/>
  <c r="C444" i="37" s="1"/>
  <c r="C546" i="37" s="1"/>
  <c r="C648" i="37" s="1"/>
  <c r="C240" i="37"/>
  <c r="C343" i="37" s="1"/>
  <c r="C445" i="37" s="1"/>
  <c r="C547" i="37" s="1"/>
  <c r="C649" i="37" s="1"/>
  <c r="C241" i="37"/>
  <c r="C344" i="37" s="1"/>
  <c r="C446" i="37" s="1"/>
  <c r="C242" i="37"/>
  <c r="C345" i="37" s="1"/>
  <c r="C447" i="37" s="1"/>
  <c r="C549" i="37" s="1"/>
  <c r="C651" i="37" s="1"/>
  <c r="C243" i="37"/>
  <c r="C346" i="37" s="1"/>
  <c r="C448" i="37" s="1"/>
  <c r="C550" i="37" s="1"/>
  <c r="C652" i="37" s="1"/>
  <c r="C244" i="37"/>
  <c r="C347" i="37" s="1"/>
  <c r="C449" i="37" s="1"/>
  <c r="C551" i="37" s="1"/>
  <c r="C653" i="37" s="1"/>
  <c r="C245" i="37"/>
  <c r="C348" i="37" s="1"/>
  <c r="C450" i="37" s="1"/>
  <c r="C552" i="37" s="1"/>
  <c r="C654" i="37" s="1"/>
  <c r="C246" i="37"/>
  <c r="C349" i="37" s="1"/>
  <c r="C451" i="37" s="1"/>
  <c r="C553" i="37" s="1"/>
  <c r="C655" i="37" s="1"/>
  <c r="C247" i="37"/>
  <c r="C350" i="37" s="1"/>
  <c r="C452" i="37" s="1"/>
  <c r="C554" i="37" s="1"/>
  <c r="C656" i="37" s="1"/>
  <c r="C248" i="37"/>
  <c r="C351" i="37" s="1"/>
  <c r="C453" i="37" s="1"/>
  <c r="C555" i="37" s="1"/>
  <c r="C657" i="37" s="1"/>
  <c r="C249" i="37"/>
  <c r="C352" i="37" s="1"/>
  <c r="C454" i="37" s="1"/>
  <c r="C556" i="37" s="1"/>
  <c r="C658" i="37" s="1"/>
  <c r="C250" i="37"/>
  <c r="C353" i="37" s="1"/>
  <c r="C455" i="37" s="1"/>
  <c r="C557" i="37" s="1"/>
  <c r="C659" i="37" s="1"/>
  <c r="C251" i="37"/>
  <c r="C354" i="37" s="1"/>
  <c r="C456" i="37" s="1"/>
  <c r="C558" i="37" s="1"/>
  <c r="C660" i="37" s="1"/>
  <c r="C252" i="37"/>
  <c r="C355" i="37" s="1"/>
  <c r="C457" i="37" s="1"/>
  <c r="C559" i="37" s="1"/>
  <c r="C661" i="37" s="1"/>
  <c r="C253" i="37"/>
  <c r="C356" i="37" s="1"/>
  <c r="C458" i="37" s="1"/>
  <c r="C560" i="37" s="1"/>
  <c r="C662" i="37" s="1"/>
  <c r="C254" i="37"/>
  <c r="C357" i="37" s="1"/>
  <c r="C459" i="37" s="1"/>
  <c r="C561" i="37" s="1"/>
  <c r="C663" i="37" s="1"/>
  <c r="C255" i="37"/>
  <c r="C358" i="37" s="1"/>
  <c r="C460" i="37" s="1"/>
  <c r="C562" i="37" s="1"/>
  <c r="C664" i="37" s="1"/>
  <c r="C256" i="37"/>
  <c r="C359" i="37" s="1"/>
  <c r="C461" i="37" s="1"/>
  <c r="C563" i="37" s="1"/>
  <c r="C665" i="37" s="1"/>
  <c r="C257" i="37"/>
  <c r="C360" i="37" s="1"/>
  <c r="C462" i="37" s="1"/>
  <c r="C564" i="37" s="1"/>
  <c r="C666" i="37" s="1"/>
  <c r="C258" i="37"/>
  <c r="C361" i="37" s="1"/>
  <c r="C463" i="37" s="1"/>
  <c r="C565" i="37" s="1"/>
  <c r="C667" i="37" s="1"/>
  <c r="C259" i="37"/>
  <c r="C362" i="37" s="1"/>
  <c r="C464" i="37" s="1"/>
  <c r="C566" i="37" s="1"/>
  <c r="C668" i="37" s="1"/>
  <c r="C168" i="37"/>
  <c r="C271" i="37" s="1"/>
  <c r="C373" i="37" s="1"/>
  <c r="C475" i="37" s="1"/>
  <c r="C577" i="37" s="1"/>
  <c r="C169" i="37"/>
  <c r="C272" i="37" s="1"/>
  <c r="C374" i="37" s="1"/>
  <c r="C476" i="37" s="1"/>
  <c r="C578" i="37" s="1"/>
  <c r="C170" i="37"/>
  <c r="C273" i="37" s="1"/>
  <c r="C375" i="37" s="1"/>
  <c r="C477" i="37" s="1"/>
  <c r="C579" i="37" s="1"/>
  <c r="C171" i="37"/>
  <c r="C274" i="37" s="1"/>
  <c r="C376" i="37" s="1"/>
  <c r="C478" i="37" s="1"/>
  <c r="C580" i="37" s="1"/>
  <c r="C172" i="37"/>
  <c r="C275" i="37" s="1"/>
  <c r="C377" i="37" s="1"/>
  <c r="C479" i="37" s="1"/>
  <c r="C581" i="37" s="1"/>
  <c r="C173" i="37"/>
  <c r="C276" i="37" s="1"/>
  <c r="C378" i="37" s="1"/>
  <c r="C480" i="37" s="1"/>
  <c r="C582" i="37" s="1"/>
  <c r="C174" i="37"/>
  <c r="C277" i="37" s="1"/>
  <c r="C379" i="37" s="1"/>
  <c r="C481" i="37" s="1"/>
  <c r="C583" i="37" s="1"/>
  <c r="C175" i="37"/>
  <c r="C278" i="37" s="1"/>
  <c r="C380" i="37" s="1"/>
  <c r="C482" i="37" s="1"/>
  <c r="C584" i="37" s="1"/>
  <c r="C176" i="37"/>
  <c r="C279" i="37" s="1"/>
  <c r="C381" i="37" s="1"/>
  <c r="C483" i="37" s="1"/>
  <c r="C585" i="37" s="1"/>
  <c r="C177" i="37"/>
  <c r="C280" i="37" s="1"/>
  <c r="C382" i="37" s="1"/>
  <c r="C484" i="37" s="1"/>
  <c r="C586" i="37" s="1"/>
  <c r="C178" i="37"/>
  <c r="C281" i="37" s="1"/>
  <c r="C383" i="37" s="1"/>
  <c r="C485" i="37" s="1"/>
  <c r="C587" i="37" s="1"/>
  <c r="C179" i="37"/>
  <c r="C282" i="37" s="1"/>
  <c r="C384" i="37" s="1"/>
  <c r="C486" i="37" s="1"/>
  <c r="C588" i="37" s="1"/>
  <c r="C180" i="37"/>
  <c r="C283" i="37" s="1"/>
  <c r="C385" i="37" s="1"/>
  <c r="C487" i="37" s="1"/>
  <c r="C589" i="37" s="1"/>
  <c r="C181" i="37"/>
  <c r="C284" i="37" s="1"/>
  <c r="C386" i="37" s="1"/>
  <c r="C488" i="37" s="1"/>
  <c r="C590" i="37" s="1"/>
  <c r="C182" i="37"/>
  <c r="C285" i="37" s="1"/>
  <c r="C387" i="37" s="1"/>
  <c r="C489" i="37" s="1"/>
  <c r="C591" i="37" s="1"/>
  <c r="C183" i="37"/>
  <c r="C286" i="37" s="1"/>
  <c r="C388" i="37" s="1"/>
  <c r="C490" i="37" s="1"/>
  <c r="C592" i="37" s="1"/>
  <c r="C184" i="37"/>
  <c r="C287" i="37" s="1"/>
  <c r="C389" i="37" s="1"/>
  <c r="C491" i="37" s="1"/>
  <c r="C593" i="37" s="1"/>
  <c r="C185" i="37"/>
  <c r="C288" i="37" s="1"/>
  <c r="C390" i="37" s="1"/>
  <c r="C492" i="37" s="1"/>
  <c r="C594" i="37" s="1"/>
  <c r="C186" i="37"/>
  <c r="C289" i="37" s="1"/>
  <c r="C391" i="37" s="1"/>
  <c r="C493" i="37" s="1"/>
  <c r="C595" i="37" s="1"/>
  <c r="C187" i="37"/>
  <c r="C290" i="37" s="1"/>
  <c r="C392" i="37" s="1"/>
  <c r="C494" i="37" s="1"/>
  <c r="C596" i="37" s="1"/>
  <c r="C188" i="37"/>
  <c r="C291" i="37" s="1"/>
  <c r="C393" i="37" s="1"/>
  <c r="C495" i="37" s="1"/>
  <c r="C597" i="37" s="1"/>
  <c r="C189" i="37"/>
  <c r="C292" i="37" s="1"/>
  <c r="C394" i="37" s="1"/>
  <c r="C496" i="37" s="1"/>
  <c r="C598" i="37" s="1"/>
  <c r="C190" i="37"/>
  <c r="C293" i="37" s="1"/>
  <c r="C395" i="37" s="1"/>
  <c r="C497" i="37" s="1"/>
  <c r="C599" i="37" s="1"/>
  <c r="C191" i="37"/>
  <c r="C294" i="37" s="1"/>
  <c r="C396" i="37" s="1"/>
  <c r="C498" i="37" s="1"/>
  <c r="C600" i="37" s="1"/>
  <c r="C192" i="37"/>
  <c r="C295" i="37" s="1"/>
  <c r="C397" i="37" s="1"/>
  <c r="C499" i="37" s="1"/>
  <c r="C601" i="37" s="1"/>
  <c r="C193" i="37"/>
  <c r="C296" i="37" s="1"/>
  <c r="C398" i="37" s="1"/>
  <c r="C500" i="37" s="1"/>
  <c r="C602" i="37" s="1"/>
  <c r="C194" i="37"/>
  <c r="C297" i="37" s="1"/>
  <c r="C399" i="37" s="1"/>
  <c r="C501" i="37" s="1"/>
  <c r="C603" i="37" s="1"/>
  <c r="C195" i="37"/>
  <c r="C298" i="37" s="1"/>
  <c r="C400" i="37" s="1"/>
  <c r="C502" i="37" s="1"/>
  <c r="C604" i="37" s="1"/>
  <c r="C196" i="37"/>
  <c r="C299" i="37" s="1"/>
  <c r="C401" i="37" s="1"/>
  <c r="C503" i="37" s="1"/>
  <c r="C605" i="37" s="1"/>
  <c r="C197" i="37"/>
  <c r="C300" i="37" s="1"/>
  <c r="C402" i="37" s="1"/>
  <c r="C504" i="37" s="1"/>
  <c r="C606" i="37" s="1"/>
  <c r="C198" i="37"/>
  <c r="C301" i="37" s="1"/>
  <c r="C403" i="37" s="1"/>
  <c r="C505" i="37" s="1"/>
  <c r="C607" i="37" s="1"/>
  <c r="C199" i="37"/>
  <c r="C302" i="37" s="1"/>
  <c r="C404" i="37" s="1"/>
  <c r="C506" i="37" s="1"/>
  <c r="C608" i="37" s="1"/>
  <c r="C200" i="37"/>
  <c r="C303" i="37" s="1"/>
  <c r="C405" i="37" s="1"/>
  <c r="C507" i="37" s="1"/>
  <c r="C609" i="37" s="1"/>
  <c r="C201" i="37"/>
  <c r="C304" i="37" s="1"/>
  <c r="C406" i="37" s="1"/>
  <c r="C508" i="37" s="1"/>
  <c r="C610" i="37" s="1"/>
  <c r="C202" i="37"/>
  <c r="C305" i="37" s="1"/>
  <c r="C407" i="37" s="1"/>
  <c r="C509" i="37" s="1"/>
  <c r="C611" i="37" s="1"/>
  <c r="C203" i="37"/>
  <c r="C306" i="37" s="1"/>
  <c r="C408" i="37" s="1"/>
  <c r="C510" i="37" s="1"/>
  <c r="C612" i="37" s="1"/>
  <c r="C204" i="37"/>
  <c r="C307" i="37" s="1"/>
  <c r="C409" i="37" s="1"/>
  <c r="C511" i="37" s="1"/>
  <c r="C613" i="37" s="1"/>
  <c r="C205" i="37"/>
  <c r="C308" i="37" s="1"/>
  <c r="C410" i="37" s="1"/>
  <c r="C512" i="37" s="1"/>
  <c r="C614" i="37" s="1"/>
  <c r="C206" i="37"/>
  <c r="C309" i="37" s="1"/>
  <c r="C411" i="37" s="1"/>
  <c r="C513" i="37" s="1"/>
  <c r="C615" i="37" s="1"/>
  <c r="C207" i="37"/>
  <c r="C310" i="37" s="1"/>
  <c r="C412" i="37" s="1"/>
  <c r="C514" i="37" s="1"/>
  <c r="C616" i="37" s="1"/>
  <c r="C208" i="37"/>
  <c r="C311" i="37" s="1"/>
  <c r="C413" i="37" s="1"/>
  <c r="C515" i="37" s="1"/>
  <c r="C617" i="37" s="1"/>
  <c r="C209" i="37"/>
  <c r="C312" i="37" s="1"/>
  <c r="C414" i="37" s="1"/>
  <c r="C516" i="37" s="1"/>
  <c r="C618" i="37" s="1"/>
  <c r="C210" i="37"/>
  <c r="C313" i="37" s="1"/>
  <c r="C415" i="37" s="1"/>
  <c r="C517" i="37" s="1"/>
  <c r="C619" i="37" s="1"/>
  <c r="C211" i="37"/>
  <c r="C314" i="37" s="1"/>
  <c r="C416" i="37" s="1"/>
  <c r="C518" i="37" s="1"/>
  <c r="C620" i="37" s="1"/>
  <c r="C212" i="37"/>
  <c r="C315" i="37" s="1"/>
  <c r="C417" i="37" s="1"/>
  <c r="C519" i="37" s="1"/>
  <c r="C621" i="37" s="1"/>
  <c r="C213" i="37"/>
  <c r="C316" i="37" s="1"/>
  <c r="C418" i="37" s="1"/>
  <c r="C520" i="37" s="1"/>
  <c r="C622" i="37" s="1"/>
  <c r="C214" i="37"/>
  <c r="C317" i="37" s="1"/>
  <c r="C419" i="37" s="1"/>
  <c r="C521" i="37" s="1"/>
  <c r="C623" i="37" s="1"/>
  <c r="C215" i="37"/>
  <c r="C318" i="37" s="1"/>
  <c r="C420" i="37" s="1"/>
  <c r="C522" i="37" s="1"/>
  <c r="C624" i="37" s="1"/>
  <c r="C216" i="37"/>
  <c r="C319" i="37" s="1"/>
  <c r="C421" i="37" s="1"/>
  <c r="C523" i="37" s="1"/>
  <c r="C625" i="37" s="1"/>
  <c r="C217" i="37"/>
  <c r="C320" i="37" s="1"/>
  <c r="C422" i="37" s="1"/>
  <c r="C524" i="37" s="1"/>
  <c r="C626" i="37" s="1"/>
  <c r="C218" i="37"/>
  <c r="C321" i="37" s="1"/>
  <c r="C423" i="37" s="1"/>
  <c r="C525" i="37" s="1"/>
  <c r="C627" i="37" s="1"/>
  <c r="C219" i="37"/>
  <c r="C322" i="37" s="1"/>
  <c r="C424" i="37" s="1"/>
  <c r="C526" i="37" s="1"/>
  <c r="C628" i="37" s="1"/>
  <c r="C220" i="37"/>
  <c r="C323" i="37" s="1"/>
  <c r="C425" i="37" s="1"/>
  <c r="C527" i="37" s="1"/>
  <c r="C629" i="37" s="1"/>
  <c r="C221" i="37"/>
  <c r="C324" i="37" s="1"/>
  <c r="C426" i="37" s="1"/>
  <c r="C528" i="37" s="1"/>
  <c r="C630" i="37" s="1"/>
  <c r="C222" i="37"/>
  <c r="C325" i="37" s="1"/>
  <c r="C427" i="37" s="1"/>
  <c r="C529" i="37" s="1"/>
  <c r="C631" i="37" s="1"/>
  <c r="C223" i="37"/>
  <c r="C326" i="37" s="1"/>
  <c r="C428" i="37" s="1"/>
  <c r="C530" i="37" s="1"/>
  <c r="C632" i="37" s="1"/>
  <c r="C224" i="37"/>
  <c r="C327" i="37" s="1"/>
  <c r="C429" i="37" s="1"/>
  <c r="C531" i="37" s="1"/>
  <c r="C633" i="37" s="1"/>
  <c r="C225" i="37"/>
  <c r="C328" i="37" s="1"/>
  <c r="C430" i="37" s="1"/>
  <c r="C532" i="37" s="1"/>
  <c r="C634" i="37" s="1"/>
  <c r="C226" i="37"/>
  <c r="C329" i="37" s="1"/>
  <c r="C431" i="37" s="1"/>
  <c r="C533" i="37" s="1"/>
  <c r="C635" i="37" s="1"/>
  <c r="C227" i="37"/>
  <c r="C330" i="37" s="1"/>
  <c r="C432" i="37" s="1"/>
  <c r="C534" i="37" s="1"/>
  <c r="C636" i="37" s="1"/>
  <c r="C228" i="37"/>
  <c r="C331" i="37" s="1"/>
  <c r="C433" i="37" s="1"/>
  <c r="C535" i="37" s="1"/>
  <c r="C637" i="37" s="1"/>
  <c r="C229" i="37"/>
  <c r="C332" i="37" s="1"/>
  <c r="C434" i="37" s="1"/>
  <c r="C536" i="37" s="1"/>
  <c r="C638" i="37" s="1"/>
  <c r="C230" i="37"/>
  <c r="C333" i="37" s="1"/>
  <c r="C435" i="37" s="1"/>
  <c r="C231" i="37"/>
  <c r="C334" i="37" s="1"/>
  <c r="C436" i="37" s="1"/>
  <c r="C538" i="37" s="1"/>
  <c r="C640" i="37" s="1"/>
  <c r="C232" i="37"/>
  <c r="C335" i="37" s="1"/>
  <c r="C437" i="37" s="1"/>
  <c r="C539" i="37" s="1"/>
  <c r="C641" i="37" s="1"/>
  <c r="C233" i="37"/>
  <c r="C336" i="37" s="1"/>
  <c r="C438" i="37" s="1"/>
  <c r="C165" i="37"/>
  <c r="C268" i="37" s="1"/>
  <c r="C370" i="37" s="1"/>
  <c r="C472" i="37" s="1"/>
  <c r="C574" i="37" s="1"/>
  <c r="C166" i="37"/>
  <c r="C269" i="37" s="1"/>
  <c r="C371" i="37" s="1"/>
  <c r="C473" i="37" s="1"/>
  <c r="C575" i="37" s="1"/>
  <c r="C167" i="37"/>
  <c r="C270" i="37" s="1"/>
  <c r="C372" i="37" s="1"/>
  <c r="C474" i="37" s="1"/>
  <c r="C576" i="37" s="1"/>
  <c r="C572" i="37"/>
  <c r="B167" i="37"/>
  <c r="B166" i="37"/>
  <c r="B165" i="37"/>
  <c r="B268" i="37" s="1"/>
  <c r="C164" i="37"/>
  <c r="C267" i="37" s="1"/>
  <c r="C369" i="37" s="1"/>
  <c r="C471" i="37" s="1"/>
  <c r="B164" i="37"/>
  <c r="B267" i="37" s="1"/>
  <c r="D56" i="37"/>
  <c r="C56" i="37"/>
  <c r="C55" i="37"/>
  <c r="D53" i="37"/>
  <c r="C53" i="37"/>
  <c r="C52" i="37"/>
  <c r="D49" i="37"/>
  <c r="C49" i="37"/>
  <c r="C48" i="37"/>
  <c r="D46" i="37"/>
  <c r="C46" i="37"/>
  <c r="C45" i="37"/>
  <c r="C42" i="37"/>
  <c r="F35" i="37"/>
  <c r="C35" i="37"/>
  <c r="C34" i="37"/>
  <c r="B32" i="37"/>
  <c r="B31" i="37"/>
  <c r="B39" i="37" s="1"/>
  <c r="B30" i="37"/>
  <c r="B38" i="37" s="1"/>
  <c r="F27" i="37"/>
  <c r="C27" i="37"/>
  <c r="C26" i="37"/>
  <c r="D23" i="37"/>
  <c r="C23" i="37"/>
  <c r="D21" i="37"/>
  <c r="C21" i="37"/>
  <c r="D20" i="37"/>
  <c r="C20" i="37"/>
  <c r="D19" i="37"/>
  <c r="C19" i="37"/>
  <c r="D17" i="37"/>
  <c r="C17" i="37"/>
  <c r="C16" i="37"/>
  <c r="D13" i="37"/>
  <c r="C13" i="37"/>
  <c r="D12" i="37"/>
  <c r="C12" i="37"/>
  <c r="D11" i="37"/>
  <c r="C11" i="37"/>
  <c r="F9" i="37"/>
  <c r="D9" i="37"/>
  <c r="E9" i="37" s="1"/>
  <c r="C9" i="37"/>
  <c r="C8" i="37"/>
  <c r="E267" i="37" l="1"/>
  <c r="E366" i="37"/>
  <c r="B464" i="37"/>
  <c r="E362" i="37"/>
  <c r="B456" i="37"/>
  <c r="E354" i="37"/>
  <c r="B448" i="37"/>
  <c r="D448" i="37" s="1"/>
  <c r="E346" i="37"/>
  <c r="B440" i="37"/>
  <c r="E338" i="37"/>
  <c r="B432" i="37"/>
  <c r="D432" i="37" s="1"/>
  <c r="E330" i="37"/>
  <c r="B420" i="37"/>
  <c r="E318" i="37"/>
  <c r="B463" i="37"/>
  <c r="D463" i="37" s="1"/>
  <c r="E361" i="37"/>
  <c r="B455" i="37"/>
  <c r="E353" i="37"/>
  <c r="B447" i="37"/>
  <c r="D447" i="37" s="1"/>
  <c r="E345" i="37"/>
  <c r="B439" i="37"/>
  <c r="E337" i="37"/>
  <c r="B431" i="37"/>
  <c r="D431" i="37" s="1"/>
  <c r="E329" i="37"/>
  <c r="B423" i="37"/>
  <c r="E321" i="37"/>
  <c r="B415" i="37"/>
  <c r="D415" i="37" s="1"/>
  <c r="E313" i="37"/>
  <c r="B407" i="37"/>
  <c r="E305" i="37"/>
  <c r="B399" i="37"/>
  <c r="D399" i="37" s="1"/>
  <c r="E297" i="37"/>
  <c r="B391" i="37"/>
  <c r="E289" i="37"/>
  <c r="B383" i="37"/>
  <c r="E281" i="37"/>
  <c r="B375" i="37"/>
  <c r="E273" i="37"/>
  <c r="B370" i="37"/>
  <c r="E268" i="37"/>
  <c r="B466" i="37"/>
  <c r="E364" i="37"/>
  <c r="B462" i="37"/>
  <c r="D462" i="37" s="1"/>
  <c r="E360" i="37"/>
  <c r="B458" i="37"/>
  <c r="E356" i="37"/>
  <c r="B454" i="37"/>
  <c r="D454" i="37" s="1"/>
  <c r="E352" i="37"/>
  <c r="B450" i="37"/>
  <c r="E348" i="37"/>
  <c r="B446" i="37"/>
  <c r="D446" i="37" s="1"/>
  <c r="E344" i="37"/>
  <c r="B442" i="37"/>
  <c r="E340" i="37"/>
  <c r="B438" i="37"/>
  <c r="E336" i="37"/>
  <c r="B434" i="37"/>
  <c r="E332" i="37"/>
  <c r="B430" i="37"/>
  <c r="D430" i="37" s="1"/>
  <c r="E328" i="37"/>
  <c r="B426" i="37"/>
  <c r="E324" i="37"/>
  <c r="B422" i="37"/>
  <c r="D422" i="37" s="1"/>
  <c r="E320" i="37"/>
  <c r="B418" i="37"/>
  <c r="E316" i="37"/>
  <c r="B414" i="37"/>
  <c r="E312" i="37"/>
  <c r="B410" i="37"/>
  <c r="E308" i="37"/>
  <c r="B406" i="37"/>
  <c r="D406" i="37" s="1"/>
  <c r="E304" i="37"/>
  <c r="B402" i="37"/>
  <c r="E300" i="37"/>
  <c r="B398" i="37"/>
  <c r="D398" i="37" s="1"/>
  <c r="E296" i="37"/>
  <c r="B394" i="37"/>
  <c r="E292" i="37"/>
  <c r="B390" i="37"/>
  <c r="D390" i="37" s="1"/>
  <c r="E288" i="37"/>
  <c r="B386" i="37"/>
  <c r="E284" i="37"/>
  <c r="B382" i="37"/>
  <c r="D382" i="37" s="1"/>
  <c r="E280" i="37"/>
  <c r="B378" i="37"/>
  <c r="E276" i="37"/>
  <c r="B374" i="37"/>
  <c r="D374" i="37" s="1"/>
  <c r="E272" i="37"/>
  <c r="B460" i="37"/>
  <c r="E358" i="37"/>
  <c r="B452" i="37"/>
  <c r="E350" i="37"/>
  <c r="B444" i="37"/>
  <c r="E342" i="37"/>
  <c r="B436" i="37"/>
  <c r="D436" i="37" s="1"/>
  <c r="E334" i="37"/>
  <c r="B428" i="37"/>
  <c r="E326" i="37"/>
  <c r="B424" i="37"/>
  <c r="D424" i="37" s="1"/>
  <c r="E322" i="37"/>
  <c r="B416" i="37"/>
  <c r="D416" i="37" s="1"/>
  <c r="E314" i="37"/>
  <c r="B412" i="37"/>
  <c r="D412" i="37" s="1"/>
  <c r="E310" i="37"/>
  <c r="B408" i="37"/>
  <c r="E306" i="37"/>
  <c r="B404" i="37"/>
  <c r="E302" i="37"/>
  <c r="B400" i="37"/>
  <c r="D400" i="37" s="1"/>
  <c r="E298" i="37"/>
  <c r="B396" i="37"/>
  <c r="D396" i="37" s="1"/>
  <c r="E294" i="37"/>
  <c r="B392" i="37"/>
  <c r="E290" i="37"/>
  <c r="B388" i="37"/>
  <c r="D388" i="37" s="1"/>
  <c r="E286" i="37"/>
  <c r="B384" i="37"/>
  <c r="D384" i="37" s="1"/>
  <c r="E282" i="37"/>
  <c r="B380" i="37"/>
  <c r="D380" i="37" s="1"/>
  <c r="E278" i="37"/>
  <c r="B376" i="37"/>
  <c r="E274" i="37"/>
  <c r="B467" i="37"/>
  <c r="D467" i="37" s="1"/>
  <c r="E365" i="37"/>
  <c r="B459" i="37"/>
  <c r="E357" i="37"/>
  <c r="B451" i="37"/>
  <c r="D451" i="37" s="1"/>
  <c r="E349" i="37"/>
  <c r="B443" i="37"/>
  <c r="E341" i="37"/>
  <c r="B435" i="37"/>
  <c r="E333" i="37"/>
  <c r="B427" i="37"/>
  <c r="E325" i="37"/>
  <c r="B419" i="37"/>
  <c r="D419" i="37" s="1"/>
  <c r="E317" i="37"/>
  <c r="B411" i="37"/>
  <c r="E309" i="37"/>
  <c r="B403" i="37"/>
  <c r="D403" i="37" s="1"/>
  <c r="E301" i="37"/>
  <c r="B395" i="37"/>
  <c r="E293" i="37"/>
  <c r="B387" i="37"/>
  <c r="D387" i="37" s="1"/>
  <c r="E285" i="37"/>
  <c r="B379" i="37"/>
  <c r="E277" i="37"/>
  <c r="B465" i="37"/>
  <c r="D465" i="37" s="1"/>
  <c r="E363" i="37"/>
  <c r="B461" i="37"/>
  <c r="D461" i="37" s="1"/>
  <c r="E359" i="37"/>
  <c r="B457" i="37"/>
  <c r="D457" i="37" s="1"/>
  <c r="E355" i="37"/>
  <c r="B453" i="37"/>
  <c r="E351" i="37"/>
  <c r="B449" i="37"/>
  <c r="D449" i="37" s="1"/>
  <c r="E347" i="37"/>
  <c r="B445" i="37"/>
  <c r="E343" i="37"/>
  <c r="B441" i="37"/>
  <c r="D441" i="37" s="1"/>
  <c r="E339" i="37"/>
  <c r="B437" i="37"/>
  <c r="E335" i="37"/>
  <c r="B433" i="37"/>
  <c r="E331" i="37"/>
  <c r="B429" i="37"/>
  <c r="E327" i="37"/>
  <c r="B425" i="37"/>
  <c r="D425" i="37" s="1"/>
  <c r="E323" i="37"/>
  <c r="B421" i="37"/>
  <c r="E319" i="37"/>
  <c r="B417" i="37"/>
  <c r="D417" i="37" s="1"/>
  <c r="E315" i="37"/>
  <c r="B413" i="37"/>
  <c r="D413" i="37" s="1"/>
  <c r="E311" i="37"/>
  <c r="B409" i="37"/>
  <c r="D409" i="37" s="1"/>
  <c r="E307" i="37"/>
  <c r="B405" i="37"/>
  <c r="E303" i="37"/>
  <c r="B401" i="37"/>
  <c r="E299" i="37"/>
  <c r="B397" i="37"/>
  <c r="E295" i="37"/>
  <c r="B393" i="37"/>
  <c r="D393" i="37" s="1"/>
  <c r="E291" i="37"/>
  <c r="B389" i="37"/>
  <c r="E287" i="37"/>
  <c r="B385" i="37"/>
  <c r="D385" i="37" s="1"/>
  <c r="E283" i="37"/>
  <c r="B381" i="37"/>
  <c r="E279" i="37"/>
  <c r="B377" i="37"/>
  <c r="D377" i="37" s="1"/>
  <c r="E275" i="37"/>
  <c r="B373" i="37"/>
  <c r="E271" i="37"/>
  <c r="E159" i="37"/>
  <c r="E155" i="37"/>
  <c r="E151" i="37"/>
  <c r="E147" i="37"/>
  <c r="E143" i="37"/>
  <c r="E139" i="37"/>
  <c r="E135" i="37"/>
  <c r="E131" i="37"/>
  <c r="E158" i="37"/>
  <c r="E154" i="37"/>
  <c r="E150" i="37"/>
  <c r="E146" i="37"/>
  <c r="E142" i="37"/>
  <c r="E138" i="37"/>
  <c r="E134" i="37"/>
  <c r="E153" i="37"/>
  <c r="E145" i="37"/>
  <c r="E137" i="37"/>
  <c r="E130" i="37"/>
  <c r="E126" i="37"/>
  <c r="E122" i="37"/>
  <c r="E118" i="37"/>
  <c r="E114" i="37"/>
  <c r="E110" i="37"/>
  <c r="E106" i="37"/>
  <c r="E102" i="37"/>
  <c r="E98" i="37"/>
  <c r="E94" i="37"/>
  <c r="E90" i="37"/>
  <c r="E86" i="37"/>
  <c r="E82" i="37"/>
  <c r="E78" i="37"/>
  <c r="E74" i="37"/>
  <c r="E70" i="37"/>
  <c r="E66" i="37"/>
  <c r="E62" i="37"/>
  <c r="E149" i="37"/>
  <c r="E133" i="37"/>
  <c r="E124" i="37"/>
  <c r="E116" i="37"/>
  <c r="E112" i="37"/>
  <c r="E104" i="37"/>
  <c r="E96" i="37"/>
  <c r="E88" i="37"/>
  <c r="E80" i="37"/>
  <c r="E72" i="37"/>
  <c r="E64" i="37"/>
  <c r="E160" i="37"/>
  <c r="E152" i="37"/>
  <c r="E144" i="37"/>
  <c r="E136" i="37"/>
  <c r="E129" i="37"/>
  <c r="E125" i="37"/>
  <c r="E121" i="37"/>
  <c r="E117" i="37"/>
  <c r="E113" i="37"/>
  <c r="E109" i="37"/>
  <c r="E105" i="37"/>
  <c r="E101" i="37"/>
  <c r="E97" i="37"/>
  <c r="E93" i="37"/>
  <c r="E89" i="37"/>
  <c r="E85" i="37"/>
  <c r="E81" i="37"/>
  <c r="E77" i="37"/>
  <c r="E73" i="37"/>
  <c r="E69" i="37"/>
  <c r="E65" i="37"/>
  <c r="E61" i="37"/>
  <c r="E157" i="37"/>
  <c r="E141" i="37"/>
  <c r="E128" i="37"/>
  <c r="E120" i="37"/>
  <c r="E108" i="37"/>
  <c r="E100" i="37"/>
  <c r="E92" i="37"/>
  <c r="E84" i="37"/>
  <c r="E76" i="37"/>
  <c r="E68" i="37"/>
  <c r="E63" i="37"/>
  <c r="E148" i="37"/>
  <c r="E123" i="37"/>
  <c r="E107" i="37"/>
  <c r="E91" i="37"/>
  <c r="E75" i="37"/>
  <c r="E140" i="37"/>
  <c r="E119" i="37"/>
  <c r="E103" i="37"/>
  <c r="E87" i="37"/>
  <c r="E71" i="37"/>
  <c r="E132" i="37"/>
  <c r="E115" i="37"/>
  <c r="E99" i="37"/>
  <c r="E83" i="37"/>
  <c r="E67" i="37"/>
  <c r="E156" i="37"/>
  <c r="E127" i="37"/>
  <c r="E111" i="37"/>
  <c r="E95" i="37"/>
  <c r="E79" i="37"/>
  <c r="B503" i="37"/>
  <c r="B605" i="37" s="1"/>
  <c r="C548" i="37"/>
  <c r="C650" i="37" s="1"/>
  <c r="C540" i="37"/>
  <c r="C642" i="37" s="1"/>
  <c r="C545" i="37"/>
  <c r="C647" i="37" s="1"/>
  <c r="C541" i="37"/>
  <c r="C643" i="37" s="1"/>
  <c r="C537" i="37"/>
  <c r="C639" i="37" s="1"/>
  <c r="D455" i="37"/>
  <c r="D408" i="37"/>
  <c r="D440" i="37"/>
  <c r="D401" i="37"/>
  <c r="D433" i="37"/>
  <c r="D386" i="37"/>
  <c r="D402" i="37"/>
  <c r="D414" i="37"/>
  <c r="D418" i="37"/>
  <c r="D464" i="37"/>
  <c r="D423" i="37"/>
  <c r="D383" i="37"/>
  <c r="D434" i="37"/>
  <c r="D442" i="37"/>
  <c r="D452" i="37"/>
  <c r="D420" i="37"/>
  <c r="D404" i="37"/>
  <c r="D438" i="37"/>
  <c r="D459" i="37"/>
  <c r="D407" i="37"/>
  <c r="D391" i="37"/>
  <c r="D445" i="37"/>
  <c r="D456" i="37"/>
  <c r="D435" i="37"/>
  <c r="D427" i="37"/>
  <c r="D395" i="37"/>
  <c r="D275" i="37"/>
  <c r="D277" i="37"/>
  <c r="D288" i="37"/>
  <c r="D299" i="37"/>
  <c r="D309" i="37"/>
  <c r="D320" i="37"/>
  <c r="D331" i="37"/>
  <c r="D283" i="37"/>
  <c r="D304" i="37"/>
  <c r="D336" i="37"/>
  <c r="D305" i="37"/>
  <c r="D279" i="37"/>
  <c r="D289" i="37"/>
  <c r="D300" i="37"/>
  <c r="D311" i="37"/>
  <c r="D321" i="37"/>
  <c r="D272" i="37"/>
  <c r="D293" i="37"/>
  <c r="D315" i="37"/>
  <c r="D325" i="37"/>
  <c r="D352" i="37"/>
  <c r="D273" i="37"/>
  <c r="D284" i="37"/>
  <c r="D295" i="37"/>
  <c r="D316" i="37"/>
  <c r="D327" i="37"/>
  <c r="D359" i="37"/>
  <c r="D347" i="37"/>
  <c r="D343" i="37"/>
  <c r="D65" i="37"/>
  <c r="D350" i="37"/>
  <c r="D338" i="37"/>
  <c r="D348" i="37"/>
  <c r="D332" i="37"/>
  <c r="D362" i="37"/>
  <c r="D354" i="37"/>
  <c r="D364" i="37"/>
  <c r="D333" i="37"/>
  <c r="D361" i="37"/>
  <c r="D349" i="37"/>
  <c r="D357" i="37"/>
  <c r="D353" i="37"/>
  <c r="D363" i="37"/>
  <c r="D341" i="37"/>
  <c r="D345" i="37"/>
  <c r="D337" i="37"/>
  <c r="D356" i="37"/>
  <c r="D351" i="37"/>
  <c r="D340" i="37"/>
  <c r="D335" i="37"/>
  <c r="D329" i="37"/>
  <c r="D324" i="37"/>
  <c r="D319" i="37"/>
  <c r="D313" i="37"/>
  <c r="D308" i="37"/>
  <c r="D303" i="37"/>
  <c r="D297" i="37"/>
  <c r="D292" i="37"/>
  <c r="D287" i="37"/>
  <c r="D281" i="37"/>
  <c r="D276" i="37"/>
  <c r="D271" i="37"/>
  <c r="D365" i="37"/>
  <c r="D360" i="37"/>
  <c r="D355" i="37"/>
  <c r="D344" i="37"/>
  <c r="D339" i="37"/>
  <c r="D328" i="37"/>
  <c r="D323" i="37"/>
  <c r="D317" i="37"/>
  <c r="D312" i="37"/>
  <c r="D307" i="37"/>
  <c r="D301" i="37"/>
  <c r="D296" i="37"/>
  <c r="D291" i="37"/>
  <c r="D285" i="37"/>
  <c r="D280" i="37"/>
  <c r="D366" i="37"/>
  <c r="D358" i="37"/>
  <c r="D346" i="37"/>
  <c r="D342" i="37"/>
  <c r="D330" i="37"/>
  <c r="D314" i="37"/>
  <c r="D306" i="37"/>
  <c r="D294" i="37"/>
  <c r="D290" i="37"/>
  <c r="D274" i="37"/>
  <c r="D334" i="37"/>
  <c r="D322" i="37"/>
  <c r="D310" i="37"/>
  <c r="D298" i="37"/>
  <c r="D286" i="37"/>
  <c r="D278" i="37"/>
  <c r="D326" i="37"/>
  <c r="D318" i="37"/>
  <c r="D302" i="37"/>
  <c r="D282" i="37"/>
  <c r="D152" i="37"/>
  <c r="D88" i="37"/>
  <c r="D136" i="37"/>
  <c r="D69" i="37"/>
  <c r="D120" i="37"/>
  <c r="D104" i="37"/>
  <c r="D148" i="37"/>
  <c r="D132" i="37"/>
  <c r="D116" i="37"/>
  <c r="D100" i="37"/>
  <c r="D84" i="37"/>
  <c r="D144" i="37"/>
  <c r="D128" i="37"/>
  <c r="D112" i="37"/>
  <c r="D96" i="37"/>
  <c r="D80" i="37"/>
  <c r="D156" i="37"/>
  <c r="D140" i="37"/>
  <c r="D124" i="37"/>
  <c r="D108" i="37"/>
  <c r="D92" i="37"/>
  <c r="D76" i="37"/>
  <c r="D155" i="37"/>
  <c r="D143" i="37"/>
  <c r="D131" i="37"/>
  <c r="D119" i="37"/>
  <c r="D107" i="37"/>
  <c r="D95" i="37"/>
  <c r="D83" i="37"/>
  <c r="D151" i="37"/>
  <c r="D139" i="37"/>
  <c r="D127" i="37"/>
  <c r="D115" i="37"/>
  <c r="D103" i="37"/>
  <c r="D91" i="37"/>
  <c r="D79" i="37"/>
  <c r="D68" i="37"/>
  <c r="D158" i="37"/>
  <c r="D154" i="37"/>
  <c r="D150" i="37"/>
  <c r="D146" i="37"/>
  <c r="D142" i="37"/>
  <c r="D138" i="37"/>
  <c r="D134" i="37"/>
  <c r="D130" i="37"/>
  <c r="D126" i="37"/>
  <c r="D122" i="37"/>
  <c r="D118" i="37"/>
  <c r="D114" i="37"/>
  <c r="D110" i="37"/>
  <c r="D106" i="37"/>
  <c r="D102" i="37"/>
  <c r="D98" i="37"/>
  <c r="D94" i="37"/>
  <c r="D90" i="37"/>
  <c r="D86" i="37"/>
  <c r="D82" i="37"/>
  <c r="D78" i="37"/>
  <c r="D73" i="37"/>
  <c r="D160" i="37"/>
  <c r="D263" i="37" s="1"/>
  <c r="D62" i="37"/>
  <c r="D63" i="37"/>
  <c r="D66" i="37"/>
  <c r="D70" i="37"/>
  <c r="D67" i="37"/>
  <c r="D71" i="37"/>
  <c r="D75" i="37"/>
  <c r="D159" i="37"/>
  <c r="D147" i="37"/>
  <c r="D135" i="37"/>
  <c r="D123" i="37"/>
  <c r="D111" i="37"/>
  <c r="D99" i="37"/>
  <c r="D87" i="37"/>
  <c r="D74" i="37"/>
  <c r="D157" i="37"/>
  <c r="D153" i="37"/>
  <c r="D149" i="37"/>
  <c r="D145" i="37"/>
  <c r="D141" i="37"/>
  <c r="D137" i="37"/>
  <c r="D133" i="37"/>
  <c r="D129" i="37"/>
  <c r="D125" i="37"/>
  <c r="D121" i="37"/>
  <c r="D117" i="37"/>
  <c r="D113" i="37"/>
  <c r="D109" i="37"/>
  <c r="D105" i="37"/>
  <c r="D101" i="37"/>
  <c r="D97" i="37"/>
  <c r="D93" i="37"/>
  <c r="D89" i="37"/>
  <c r="D85" i="37"/>
  <c r="D81" i="37"/>
  <c r="D77" i="37"/>
  <c r="D72" i="37"/>
  <c r="D64" i="37"/>
  <c r="C573" i="37"/>
  <c r="B40" i="37"/>
  <c r="B369" i="37"/>
  <c r="E369" i="37" s="1"/>
  <c r="D267" i="37"/>
  <c r="B269" i="37"/>
  <c r="B270" i="37"/>
  <c r="D61" i="37"/>
  <c r="D268" i="37"/>
  <c r="F2831" i="28"/>
  <c r="F2835" i="28"/>
  <c r="F2834" i="28"/>
  <c r="F2833" i="28"/>
  <c r="F2832" i="28"/>
  <c r="C62" i="36"/>
  <c r="C63" i="36"/>
  <c r="C64" i="36"/>
  <c r="C65" i="36"/>
  <c r="C61" i="36"/>
  <c r="D55" i="36"/>
  <c r="G55" i="36" s="1"/>
  <c r="D52" i="36"/>
  <c r="G52" i="36" s="1"/>
  <c r="E39" i="36"/>
  <c r="E40" i="36"/>
  <c r="E38" i="36"/>
  <c r="E23" i="36"/>
  <c r="F23" i="36"/>
  <c r="G23" i="36"/>
  <c r="H23" i="36"/>
  <c r="I23" i="36"/>
  <c r="D23" i="36"/>
  <c r="E14" i="36"/>
  <c r="F14" i="36"/>
  <c r="G14" i="36"/>
  <c r="H14" i="36"/>
  <c r="I14" i="36"/>
  <c r="D14" i="36"/>
  <c r="E4" i="36"/>
  <c r="F4" i="36"/>
  <c r="G4" i="36"/>
  <c r="H4" i="36"/>
  <c r="I4" i="36"/>
  <c r="D4" i="36"/>
  <c r="H38" i="36" l="1"/>
  <c r="G58" i="36"/>
  <c r="E55" i="36"/>
  <c r="H55" i="36" s="1"/>
  <c r="E52" i="36"/>
  <c r="H52" i="36" s="1"/>
  <c r="B475" i="37"/>
  <c r="B577" i="37" s="1"/>
  <c r="E373" i="37"/>
  <c r="E475" i="37" s="1"/>
  <c r="B491" i="37"/>
  <c r="B593" i="37" s="1"/>
  <c r="E389" i="37"/>
  <c r="E491" i="37" s="1"/>
  <c r="B507" i="37"/>
  <c r="B609" i="37" s="1"/>
  <c r="E405" i="37"/>
  <c r="E507" i="37" s="1"/>
  <c r="B523" i="37"/>
  <c r="B625" i="37" s="1"/>
  <c r="E421" i="37"/>
  <c r="B539" i="37"/>
  <c r="B641" i="37" s="1"/>
  <c r="E437" i="37"/>
  <c r="E539" i="37" s="1"/>
  <c r="B555" i="37"/>
  <c r="B657" i="37" s="1"/>
  <c r="E453" i="37"/>
  <c r="E555" i="37" s="1"/>
  <c r="B481" i="37"/>
  <c r="B583" i="37" s="1"/>
  <c r="E379" i="37"/>
  <c r="E481" i="37" s="1"/>
  <c r="B513" i="37"/>
  <c r="B615" i="37" s="1"/>
  <c r="E411" i="37"/>
  <c r="B545" i="37"/>
  <c r="B647" i="37" s="1"/>
  <c r="E443" i="37"/>
  <c r="E545" i="37" s="1"/>
  <c r="B478" i="37"/>
  <c r="B580" i="37" s="1"/>
  <c r="E376" i="37"/>
  <c r="B494" i="37"/>
  <c r="B596" i="37" s="1"/>
  <c r="E392" i="37"/>
  <c r="E494" i="37" s="1"/>
  <c r="B510" i="37"/>
  <c r="B612" i="37" s="1"/>
  <c r="E408" i="37"/>
  <c r="B530" i="37"/>
  <c r="B632" i="37" s="1"/>
  <c r="E428" i="37"/>
  <c r="E530" i="37" s="1"/>
  <c r="B546" i="37"/>
  <c r="B648" i="37" s="1"/>
  <c r="E444" i="37"/>
  <c r="E546" i="37" s="1"/>
  <c r="B372" i="37"/>
  <c r="E270" i="37"/>
  <c r="B480" i="37"/>
  <c r="B582" i="37" s="1"/>
  <c r="E378" i="37"/>
  <c r="B488" i="37"/>
  <c r="B590" i="37" s="1"/>
  <c r="E386" i="37"/>
  <c r="E488" i="37" s="1"/>
  <c r="B496" i="37"/>
  <c r="B598" i="37" s="1"/>
  <c r="E394" i="37"/>
  <c r="B504" i="37"/>
  <c r="B606" i="37" s="1"/>
  <c r="E402" i="37"/>
  <c r="E504" i="37" s="1"/>
  <c r="B512" i="37"/>
  <c r="B614" i="37" s="1"/>
  <c r="E410" i="37"/>
  <c r="E512" i="37" s="1"/>
  <c r="B520" i="37"/>
  <c r="B622" i="37" s="1"/>
  <c r="E418" i="37"/>
  <c r="B528" i="37"/>
  <c r="B630" i="37" s="1"/>
  <c r="E426" i="37"/>
  <c r="E528" i="37" s="1"/>
  <c r="B536" i="37"/>
  <c r="B638" i="37" s="1"/>
  <c r="E434" i="37"/>
  <c r="E536" i="37" s="1"/>
  <c r="B544" i="37"/>
  <c r="B646" i="37" s="1"/>
  <c r="E442" i="37"/>
  <c r="B552" i="37"/>
  <c r="B654" i="37" s="1"/>
  <c r="E450" i="37"/>
  <c r="E552" i="37" s="1"/>
  <c r="B560" i="37"/>
  <c r="B662" i="37" s="1"/>
  <c r="E458" i="37"/>
  <c r="E560" i="37" s="1"/>
  <c r="B568" i="37"/>
  <c r="B670" i="37" s="1"/>
  <c r="E466" i="37"/>
  <c r="E568" i="37" s="1"/>
  <c r="B477" i="37"/>
  <c r="B579" i="37" s="1"/>
  <c r="E375" i="37"/>
  <c r="B493" i="37"/>
  <c r="B595" i="37" s="1"/>
  <c r="E391" i="37"/>
  <c r="B509" i="37"/>
  <c r="B611" i="37" s="1"/>
  <c r="E407" i="37"/>
  <c r="E509" i="37" s="1"/>
  <c r="B525" i="37"/>
  <c r="B627" i="37" s="1"/>
  <c r="E423" i="37"/>
  <c r="E525" i="37" s="1"/>
  <c r="B541" i="37"/>
  <c r="B643" i="37" s="1"/>
  <c r="E439" i="37"/>
  <c r="B557" i="37"/>
  <c r="B659" i="37" s="1"/>
  <c r="E455" i="37"/>
  <c r="E557" i="37" s="1"/>
  <c r="B522" i="37"/>
  <c r="B624" i="37" s="1"/>
  <c r="E420" i="37"/>
  <c r="E522" i="37" s="1"/>
  <c r="B542" i="37"/>
  <c r="B644" i="37" s="1"/>
  <c r="E440" i="37"/>
  <c r="E542" i="37" s="1"/>
  <c r="B558" i="37"/>
  <c r="B660" i="37" s="1"/>
  <c r="E456" i="37"/>
  <c r="B371" i="37"/>
  <c r="E269" i="37"/>
  <c r="D379" i="37"/>
  <c r="D481" i="37" s="1"/>
  <c r="D411" i="37"/>
  <c r="D513" i="37" s="1"/>
  <c r="D443" i="37"/>
  <c r="D466" i="37"/>
  <c r="D437" i="37"/>
  <c r="D539" i="37" s="1"/>
  <c r="D428" i="37"/>
  <c r="D450" i="37"/>
  <c r="D439" i="37"/>
  <c r="D426" i="37"/>
  <c r="D528" i="37" s="1"/>
  <c r="D410" i="37"/>
  <c r="D512" i="37" s="1"/>
  <c r="D394" i="37"/>
  <c r="D378" i="37"/>
  <c r="D480" i="37" s="1"/>
  <c r="D444" i="37"/>
  <c r="D546" i="37" s="1"/>
  <c r="D392" i="37"/>
  <c r="B479" i="37"/>
  <c r="B581" i="37" s="1"/>
  <c r="E377" i="37"/>
  <c r="E479" i="37" s="1"/>
  <c r="B487" i="37"/>
  <c r="B589" i="37" s="1"/>
  <c r="E385" i="37"/>
  <c r="E487" i="37" s="1"/>
  <c r="B495" i="37"/>
  <c r="B597" i="37" s="1"/>
  <c r="E393" i="37"/>
  <c r="E495" i="37" s="1"/>
  <c r="B468" i="37"/>
  <c r="E401" i="37"/>
  <c r="B511" i="37"/>
  <c r="B613" i="37" s="1"/>
  <c r="E409" i="37"/>
  <c r="E511" i="37" s="1"/>
  <c r="B519" i="37"/>
  <c r="B621" i="37" s="1"/>
  <c r="E417" i="37"/>
  <c r="E519" i="37" s="1"/>
  <c r="B527" i="37"/>
  <c r="B629" i="37" s="1"/>
  <c r="E425" i="37"/>
  <c r="E527" i="37" s="1"/>
  <c r="B535" i="37"/>
  <c r="B637" i="37" s="1"/>
  <c r="E433" i="37"/>
  <c r="E535" i="37" s="1"/>
  <c r="B543" i="37"/>
  <c r="B645" i="37" s="1"/>
  <c r="E441" i="37"/>
  <c r="E543" i="37" s="1"/>
  <c r="B551" i="37"/>
  <c r="B653" i="37" s="1"/>
  <c r="E449" i="37"/>
  <c r="E551" i="37" s="1"/>
  <c r="B559" i="37"/>
  <c r="B661" i="37" s="1"/>
  <c r="E457" i="37"/>
  <c r="E559" i="37" s="1"/>
  <c r="B567" i="37"/>
  <c r="B669" i="37" s="1"/>
  <c r="E465" i="37"/>
  <c r="B489" i="37"/>
  <c r="B591" i="37" s="1"/>
  <c r="E387" i="37"/>
  <c r="E489" i="37" s="1"/>
  <c r="B505" i="37"/>
  <c r="B607" i="37" s="1"/>
  <c r="E403" i="37"/>
  <c r="E505" i="37" s="1"/>
  <c r="B521" i="37"/>
  <c r="B623" i="37" s="1"/>
  <c r="E419" i="37"/>
  <c r="B537" i="37"/>
  <c r="B639" i="37" s="1"/>
  <c r="E435" i="37"/>
  <c r="E537" i="37" s="1"/>
  <c r="B553" i="37"/>
  <c r="B655" i="37" s="1"/>
  <c r="E451" i="37"/>
  <c r="E553" i="37" s="1"/>
  <c r="B569" i="37"/>
  <c r="B671" i="37" s="1"/>
  <c r="E467" i="37"/>
  <c r="E569" i="37" s="1"/>
  <c r="B482" i="37"/>
  <c r="B584" i="37" s="1"/>
  <c r="E380" i="37"/>
  <c r="B490" i="37"/>
  <c r="B592" i="37" s="1"/>
  <c r="E388" i="37"/>
  <c r="B498" i="37"/>
  <c r="B600" i="37" s="1"/>
  <c r="E396" i="37"/>
  <c r="E498" i="37" s="1"/>
  <c r="B506" i="37"/>
  <c r="B608" i="37" s="1"/>
  <c r="E404" i="37"/>
  <c r="E506" i="37" s="1"/>
  <c r="B514" i="37"/>
  <c r="B616" i="37" s="1"/>
  <c r="E412" i="37"/>
  <c r="E514" i="37" s="1"/>
  <c r="B526" i="37"/>
  <c r="B628" i="37" s="1"/>
  <c r="E424" i="37"/>
  <c r="B538" i="37"/>
  <c r="B640" i="37" s="1"/>
  <c r="E436" i="37"/>
  <c r="E538" i="37" s="1"/>
  <c r="B554" i="37"/>
  <c r="B656" i="37" s="1"/>
  <c r="E452" i="37"/>
  <c r="B483" i="37"/>
  <c r="B585" i="37" s="1"/>
  <c r="E381" i="37"/>
  <c r="B499" i="37"/>
  <c r="B601" i="37" s="1"/>
  <c r="E397" i="37"/>
  <c r="B515" i="37"/>
  <c r="B617" i="37" s="1"/>
  <c r="E413" i="37"/>
  <c r="E515" i="37" s="1"/>
  <c r="B531" i="37"/>
  <c r="B633" i="37" s="1"/>
  <c r="E429" i="37"/>
  <c r="E531" i="37" s="1"/>
  <c r="B547" i="37"/>
  <c r="B649" i="37" s="1"/>
  <c r="E445" i="37"/>
  <c r="B563" i="37"/>
  <c r="B665" i="37" s="1"/>
  <c r="E461" i="37"/>
  <c r="E563" i="37" s="1"/>
  <c r="B497" i="37"/>
  <c r="B599" i="37" s="1"/>
  <c r="E395" i="37"/>
  <c r="B529" i="37"/>
  <c r="B631" i="37" s="1"/>
  <c r="E427" i="37"/>
  <c r="E529" i="37" s="1"/>
  <c r="B561" i="37"/>
  <c r="B663" i="37" s="1"/>
  <c r="E459" i="37"/>
  <c r="E561" i="37" s="1"/>
  <c r="B486" i="37"/>
  <c r="B588" i="37" s="1"/>
  <c r="E384" i="37"/>
  <c r="E486" i="37" s="1"/>
  <c r="B502" i="37"/>
  <c r="B604" i="37" s="1"/>
  <c r="E400" i="37"/>
  <c r="E502" i="37" s="1"/>
  <c r="B518" i="37"/>
  <c r="B620" i="37" s="1"/>
  <c r="E416" i="37"/>
  <c r="E518" i="37" s="1"/>
  <c r="B562" i="37"/>
  <c r="B664" i="37" s="1"/>
  <c r="E460" i="37"/>
  <c r="E562" i="37" s="1"/>
  <c r="D429" i="37"/>
  <c r="D531" i="37" s="1"/>
  <c r="D397" i="37"/>
  <c r="D499" i="37" s="1"/>
  <c r="D381" i="37"/>
  <c r="D375" i="37"/>
  <c r="D458" i="37"/>
  <c r="D560" i="37" s="1"/>
  <c r="D453" i="37"/>
  <c r="D421" i="37"/>
  <c r="D523" i="37" s="1"/>
  <c r="D405" i="37"/>
  <c r="D507" i="37" s="1"/>
  <c r="D389" i="37"/>
  <c r="D373" i="37"/>
  <c r="D460" i="37"/>
  <c r="D376" i="37"/>
  <c r="D478" i="37" s="1"/>
  <c r="B476" i="37"/>
  <c r="B578" i="37" s="1"/>
  <c r="E374" i="37"/>
  <c r="B484" i="37"/>
  <c r="B586" i="37" s="1"/>
  <c r="E382" i="37"/>
  <c r="E484" i="37" s="1"/>
  <c r="B492" i="37"/>
  <c r="B594" i="37" s="1"/>
  <c r="E390" i="37"/>
  <c r="B500" i="37"/>
  <c r="B602" i="37" s="1"/>
  <c r="E398" i="37"/>
  <c r="E500" i="37" s="1"/>
  <c r="B508" i="37"/>
  <c r="B610" i="37" s="1"/>
  <c r="E406" i="37"/>
  <c r="E508" i="37" s="1"/>
  <c r="B516" i="37"/>
  <c r="B618" i="37" s="1"/>
  <c r="E414" i="37"/>
  <c r="B524" i="37"/>
  <c r="B626" i="37" s="1"/>
  <c r="E422" i="37"/>
  <c r="E524" i="37" s="1"/>
  <c r="B532" i="37"/>
  <c r="B634" i="37" s="1"/>
  <c r="E430" i="37"/>
  <c r="E532" i="37" s="1"/>
  <c r="B540" i="37"/>
  <c r="B642" i="37" s="1"/>
  <c r="E438" i="37"/>
  <c r="E540" i="37" s="1"/>
  <c r="B548" i="37"/>
  <c r="B650" i="37" s="1"/>
  <c r="E446" i="37"/>
  <c r="E548" i="37" s="1"/>
  <c r="B556" i="37"/>
  <c r="B658" i="37" s="1"/>
  <c r="E454" i="37"/>
  <c r="B564" i="37"/>
  <c r="B666" i="37" s="1"/>
  <c r="E462" i="37"/>
  <c r="E564" i="37" s="1"/>
  <c r="B472" i="37"/>
  <c r="B574" i="37" s="1"/>
  <c r="E370" i="37"/>
  <c r="E472" i="37" s="1"/>
  <c r="B485" i="37"/>
  <c r="B587" i="37" s="1"/>
  <c r="E383" i="37"/>
  <c r="E485" i="37" s="1"/>
  <c r="B501" i="37"/>
  <c r="B603" i="37" s="1"/>
  <c r="E399" i="37"/>
  <c r="E501" i="37" s="1"/>
  <c r="B517" i="37"/>
  <c r="B619" i="37" s="1"/>
  <c r="E415" i="37"/>
  <c r="E517" i="37" s="1"/>
  <c r="B533" i="37"/>
  <c r="B635" i="37" s="1"/>
  <c r="E431" i="37"/>
  <c r="E533" i="37" s="1"/>
  <c r="B549" i="37"/>
  <c r="B651" i="37" s="1"/>
  <c r="E447" i="37"/>
  <c r="E549" i="37" s="1"/>
  <c r="B565" i="37"/>
  <c r="B667" i="37" s="1"/>
  <c r="E463" i="37"/>
  <c r="B534" i="37"/>
  <c r="B636" i="37" s="1"/>
  <c r="E432" i="37"/>
  <c r="E534" i="37" s="1"/>
  <c r="B550" i="37"/>
  <c r="B652" i="37" s="1"/>
  <c r="E448" i="37"/>
  <c r="E550" i="37" s="1"/>
  <c r="B566" i="37"/>
  <c r="B668" i="37" s="1"/>
  <c r="E464" i="37"/>
  <c r="E566" i="37" s="1"/>
  <c r="E170" i="37"/>
  <c r="E477" i="37"/>
  <c r="E222" i="37"/>
  <c r="E171" i="37"/>
  <c r="E478" i="37"/>
  <c r="E244" i="37"/>
  <c r="E188" i="37"/>
  <c r="E597" i="37" s="1"/>
  <c r="E220" i="37"/>
  <c r="E167" i="37"/>
  <c r="E227" i="37"/>
  <c r="E185" i="37"/>
  <c r="E594" i="37" s="1"/>
  <c r="E492" i="37"/>
  <c r="E217" i="37"/>
  <c r="E626" i="37" s="1"/>
  <c r="E237" i="37"/>
  <c r="E544" i="37"/>
  <c r="E253" i="37"/>
  <c r="E254" i="37"/>
  <c r="E186" i="37"/>
  <c r="E493" i="37"/>
  <c r="E243" i="37"/>
  <c r="E179" i="37"/>
  <c r="E588" i="37" s="1"/>
  <c r="E260" i="37"/>
  <c r="E567" i="37"/>
  <c r="E192" i="37"/>
  <c r="E601" i="37" s="1"/>
  <c r="E499" i="37"/>
  <c r="E224" i="37"/>
  <c r="E175" i="37"/>
  <c r="E482" i="37"/>
  <c r="E236" i="37"/>
  <c r="E189" i="37"/>
  <c r="E496" i="37"/>
  <c r="E221" i="37"/>
  <c r="E240" i="37"/>
  <c r="E547" i="37"/>
  <c r="E257" i="37"/>
  <c r="E666" i="37" s="1"/>
  <c r="E258" i="37"/>
  <c r="E565" i="37"/>
  <c r="E182" i="37"/>
  <c r="E591" i="37" s="1"/>
  <c r="E259" i="37"/>
  <c r="E218" i="37"/>
  <c r="E206" i="37"/>
  <c r="E513" i="37"/>
  <c r="E194" i="37"/>
  <c r="E166" i="37"/>
  <c r="E195" i="37"/>
  <c r="E604" i="37" s="1"/>
  <c r="E231" i="37"/>
  <c r="E168" i="37"/>
  <c r="E577" i="37" s="1"/>
  <c r="E184" i="37"/>
  <c r="E200" i="37"/>
  <c r="E216" i="37"/>
  <c r="E523" i="37"/>
  <c r="E232" i="37"/>
  <c r="E263" i="37"/>
  <c r="E191" i="37"/>
  <c r="E600" i="37" s="1"/>
  <c r="E219" i="37"/>
  <c r="E526" i="37"/>
  <c r="E165" i="37"/>
  <c r="E181" i="37"/>
  <c r="E197" i="37"/>
  <c r="E213" i="37"/>
  <c r="E520" i="37"/>
  <c r="E229" i="37"/>
  <c r="E256" i="37"/>
  <c r="E665" i="37" s="1"/>
  <c r="E249" i="37"/>
  <c r="E556" i="37"/>
  <c r="E234" i="37"/>
  <c r="E643" i="37" s="1"/>
  <c r="E541" i="37"/>
  <c r="E250" i="37"/>
  <c r="E659" i="37" s="1"/>
  <c r="E198" i="37"/>
  <c r="E235" i="37"/>
  <c r="E644" i="37" s="1"/>
  <c r="E210" i="37"/>
  <c r="E203" i="37"/>
  <c r="E612" i="37" s="1"/>
  <c r="E510" i="37"/>
  <c r="E172" i="37"/>
  <c r="E204" i="37"/>
  <c r="E239" i="37"/>
  <c r="E199" i="37"/>
  <c r="E169" i="37"/>
  <c r="E476" i="37"/>
  <c r="E201" i="37"/>
  <c r="E610" i="37" s="1"/>
  <c r="E233" i="37"/>
  <c r="E238" i="37"/>
  <c r="E214" i="37"/>
  <c r="E521" i="37"/>
  <c r="E174" i="37"/>
  <c r="E226" i="37"/>
  <c r="E635" i="37" s="1"/>
  <c r="E211" i="37"/>
  <c r="E176" i="37"/>
  <c r="E483" i="37"/>
  <c r="E208" i="37"/>
  <c r="E617" i="37" s="1"/>
  <c r="E247" i="37"/>
  <c r="E656" i="37" s="1"/>
  <c r="E554" i="37"/>
  <c r="E207" i="37"/>
  <c r="E616" i="37" s="1"/>
  <c r="E173" i="37"/>
  <c r="E480" i="37"/>
  <c r="E205" i="37"/>
  <c r="E241" i="37"/>
  <c r="E242" i="37"/>
  <c r="E230" i="37"/>
  <c r="E639" i="37" s="1"/>
  <c r="E202" i="37"/>
  <c r="E190" i="37"/>
  <c r="E497" i="37"/>
  <c r="E178" i="37"/>
  <c r="E251" i="37"/>
  <c r="E660" i="37" s="1"/>
  <c r="E558" i="37"/>
  <c r="E187" i="37"/>
  <c r="E596" i="37" s="1"/>
  <c r="E223" i="37"/>
  <c r="E164" i="37"/>
  <c r="E573" i="37" s="1"/>
  <c r="E471" i="37"/>
  <c r="E180" i="37"/>
  <c r="E196" i="37"/>
  <c r="E605" i="37" s="1"/>
  <c r="E503" i="37"/>
  <c r="E212" i="37"/>
  <c r="E228" i="37"/>
  <c r="E637" i="37" s="1"/>
  <c r="E255" i="37"/>
  <c r="E183" i="37"/>
  <c r="E592" i="37" s="1"/>
  <c r="E490" i="37"/>
  <c r="E215" i="37"/>
  <c r="E624" i="37" s="1"/>
  <c r="E252" i="37"/>
  <c r="E661" i="37" s="1"/>
  <c r="E177" i="37"/>
  <c r="E193" i="37"/>
  <c r="E209" i="37"/>
  <c r="E516" i="37"/>
  <c r="E225" i="37"/>
  <c r="E248" i="37"/>
  <c r="E657" i="37" s="1"/>
  <c r="E245" i="37"/>
  <c r="E654" i="37" s="1"/>
  <c r="E261" i="37"/>
  <c r="E246" i="37"/>
  <c r="E655" i="37" s="1"/>
  <c r="E262" i="37"/>
  <c r="D175" i="37"/>
  <c r="D584" i="37" s="1"/>
  <c r="D687" i="37" s="1"/>
  <c r="D482" i="37"/>
  <c r="D240" i="37"/>
  <c r="D649" i="37" s="1"/>
  <c r="L686" i="37" s="1"/>
  <c r="D547" i="37"/>
  <c r="D262" i="37"/>
  <c r="D671" i="37" s="1"/>
  <c r="L708" i="37" s="1"/>
  <c r="D569" i="37"/>
  <c r="D185" i="37"/>
  <c r="D594" i="37" s="1"/>
  <c r="D697" i="37" s="1"/>
  <c r="D492" i="37"/>
  <c r="D249" i="37"/>
  <c r="D658" i="37" s="1"/>
  <c r="L695" i="37" s="1"/>
  <c r="D556" i="37"/>
  <c r="D258" i="37"/>
  <c r="D667" i="37" s="1"/>
  <c r="L704" i="37" s="1"/>
  <c r="D565" i="37"/>
  <c r="D195" i="37"/>
  <c r="D604" i="37" s="1"/>
  <c r="D707" i="37" s="1"/>
  <c r="D502" i="37"/>
  <c r="D180" i="37"/>
  <c r="D589" i="37" s="1"/>
  <c r="D692" i="37" s="1"/>
  <c r="D487" i="37"/>
  <c r="D196" i="37"/>
  <c r="D605" i="37" s="1"/>
  <c r="D708" i="37" s="1"/>
  <c r="D503" i="37"/>
  <c r="D212" i="37"/>
  <c r="D621" i="37" s="1"/>
  <c r="H691" i="37" s="1"/>
  <c r="D519" i="37"/>
  <c r="D228" i="37"/>
  <c r="D637" i="37" s="1"/>
  <c r="H707" i="37" s="1"/>
  <c r="D535" i="37"/>
  <c r="D244" i="37"/>
  <c r="D653" i="37" s="1"/>
  <c r="L690" i="37" s="1"/>
  <c r="D551" i="37"/>
  <c r="D260" i="37"/>
  <c r="D669" i="37" s="1"/>
  <c r="L706" i="37" s="1"/>
  <c r="D567" i="37"/>
  <c r="D177" i="37"/>
  <c r="D586" i="37" s="1"/>
  <c r="D689" i="37" s="1"/>
  <c r="D484" i="37"/>
  <c r="D226" i="37"/>
  <c r="D635" i="37" s="1"/>
  <c r="H705" i="37" s="1"/>
  <c r="D533" i="37"/>
  <c r="D178" i="37"/>
  <c r="D587" i="37" s="1"/>
  <c r="D690" i="37" s="1"/>
  <c r="D485" i="37"/>
  <c r="D169" i="37"/>
  <c r="D578" i="37" s="1"/>
  <c r="D681" i="37" s="1"/>
  <c r="D476" i="37"/>
  <c r="D165" i="37"/>
  <c r="D189" i="37"/>
  <c r="D496" i="37"/>
  <c r="D205" i="37"/>
  <c r="D221" i="37"/>
  <c r="D237" i="37"/>
  <c r="D646" i="37" s="1"/>
  <c r="L683" i="37" s="1"/>
  <c r="D544" i="37"/>
  <c r="D253" i="37"/>
  <c r="D171" i="37"/>
  <c r="D218" i="37"/>
  <c r="D627" i="37" s="1"/>
  <c r="H697" i="37" s="1"/>
  <c r="D525" i="37"/>
  <c r="D222" i="37"/>
  <c r="D631" i="37" s="1"/>
  <c r="H701" i="37" s="1"/>
  <c r="D529" i="37"/>
  <c r="D211" i="37"/>
  <c r="D620" i="37" s="1"/>
  <c r="H690" i="37" s="1"/>
  <c r="D518" i="37"/>
  <c r="D215" i="37"/>
  <c r="D624" i="37" s="1"/>
  <c r="H694" i="37" s="1"/>
  <c r="D522" i="37"/>
  <c r="D187" i="37"/>
  <c r="D596" i="37" s="1"/>
  <c r="D699" i="37" s="1"/>
  <c r="D494" i="37"/>
  <c r="D251" i="37"/>
  <c r="D660" i="37" s="1"/>
  <c r="L697" i="37" s="1"/>
  <c r="D558" i="37"/>
  <c r="D168" i="37"/>
  <c r="D577" i="37" s="1"/>
  <c r="D680" i="37" s="1"/>
  <c r="D475" i="37"/>
  <c r="D192" i="37"/>
  <c r="D224" i="37"/>
  <c r="D173" i="37"/>
  <c r="D201" i="37"/>
  <c r="D610" i="37" s="1"/>
  <c r="H680" i="37" s="1"/>
  <c r="D508" i="37"/>
  <c r="D233" i="37"/>
  <c r="D642" i="37" s="1"/>
  <c r="L679" i="37" s="1"/>
  <c r="D540" i="37"/>
  <c r="D254" i="37"/>
  <c r="D663" i="37" s="1"/>
  <c r="L700" i="37" s="1"/>
  <c r="D561" i="37"/>
  <c r="D259" i="37"/>
  <c r="D668" i="37" s="1"/>
  <c r="L705" i="37" s="1"/>
  <c r="D566" i="37"/>
  <c r="D199" i="37"/>
  <c r="D608" i="37" s="1"/>
  <c r="H678" i="37" s="1"/>
  <c r="D506" i="37"/>
  <c r="D223" i="37"/>
  <c r="D632" i="37" s="1"/>
  <c r="H702" i="37" s="1"/>
  <c r="D530" i="37"/>
  <c r="D184" i="37"/>
  <c r="D491" i="37"/>
  <c r="D200" i="37"/>
  <c r="D216" i="37"/>
  <c r="D625" i="37" s="1"/>
  <c r="H695" i="37" s="1"/>
  <c r="D232" i="37"/>
  <c r="D248" i="37"/>
  <c r="D657" i="37" s="1"/>
  <c r="L694" i="37" s="1"/>
  <c r="D555" i="37"/>
  <c r="D190" i="37"/>
  <c r="D599" i="37" s="1"/>
  <c r="D702" i="37" s="1"/>
  <c r="D497" i="37"/>
  <c r="D238" i="37"/>
  <c r="D647" i="37" s="1"/>
  <c r="L684" i="37" s="1"/>
  <c r="D545" i="37"/>
  <c r="D174" i="37"/>
  <c r="D176" i="37"/>
  <c r="D585" i="37" s="1"/>
  <c r="D688" i="37" s="1"/>
  <c r="J71" i="36" s="1"/>
  <c r="D483" i="37"/>
  <c r="D193" i="37"/>
  <c r="D602" i="37" s="1"/>
  <c r="D705" i="37" s="1"/>
  <c r="D500" i="37"/>
  <c r="D209" i="37"/>
  <c r="D618" i="37" s="1"/>
  <c r="H688" i="37" s="1"/>
  <c r="D516" i="37"/>
  <c r="D225" i="37"/>
  <c r="D634" i="37" s="1"/>
  <c r="H704" i="37" s="1"/>
  <c r="D532" i="37"/>
  <c r="D241" i="37"/>
  <c r="D650" i="37" s="1"/>
  <c r="L687" i="37" s="1"/>
  <c r="D548" i="37"/>
  <c r="D257" i="37"/>
  <c r="D666" i="37" s="1"/>
  <c r="L703" i="37" s="1"/>
  <c r="D564" i="37"/>
  <c r="D182" i="37"/>
  <c r="D591" i="37" s="1"/>
  <c r="D694" i="37" s="1"/>
  <c r="D489" i="37"/>
  <c r="D230" i="37"/>
  <c r="D639" i="37" s="1"/>
  <c r="L676" i="37" s="1"/>
  <c r="D537" i="37"/>
  <c r="D186" i="37"/>
  <c r="D595" i="37" s="1"/>
  <c r="D698" i="37" s="1"/>
  <c r="D493" i="37"/>
  <c r="D234" i="37"/>
  <c r="D541" i="37"/>
  <c r="D227" i="37"/>
  <c r="D636" i="37" s="1"/>
  <c r="H706" i="37" s="1"/>
  <c r="D534" i="37"/>
  <c r="D231" i="37"/>
  <c r="D640" i="37" s="1"/>
  <c r="L677" i="37" s="1"/>
  <c r="D538" i="37"/>
  <c r="D203" i="37"/>
  <c r="D612" i="37" s="1"/>
  <c r="H682" i="37" s="1"/>
  <c r="D510" i="37"/>
  <c r="D172" i="37"/>
  <c r="D581" i="37" s="1"/>
  <c r="D684" i="37" s="1"/>
  <c r="D479" i="37"/>
  <c r="D208" i="37"/>
  <c r="D617" i="37" s="1"/>
  <c r="H687" i="37" s="1"/>
  <c r="D515" i="37"/>
  <c r="D256" i="37"/>
  <c r="D665" i="37" s="1"/>
  <c r="L702" i="37" s="1"/>
  <c r="D563" i="37"/>
  <c r="D214" i="37"/>
  <c r="D623" i="37" s="1"/>
  <c r="H693" i="37" s="1"/>
  <c r="D521" i="37"/>
  <c r="D166" i="37"/>
  <c r="D217" i="37"/>
  <c r="D626" i="37" s="1"/>
  <c r="H696" i="37" s="1"/>
  <c r="D524" i="37"/>
  <c r="D206" i="37"/>
  <c r="D210" i="37"/>
  <c r="D619" i="37" s="1"/>
  <c r="H689" i="37" s="1"/>
  <c r="D517" i="37"/>
  <c r="D235" i="37"/>
  <c r="D644" i="37" s="1"/>
  <c r="L681" i="37" s="1"/>
  <c r="D542" i="37"/>
  <c r="D167" i="37"/>
  <c r="D188" i="37"/>
  <c r="D597" i="37" s="1"/>
  <c r="D700" i="37" s="1"/>
  <c r="D495" i="37"/>
  <c r="D204" i="37"/>
  <c r="D613" i="37" s="1"/>
  <c r="H683" i="37" s="1"/>
  <c r="D511" i="37"/>
  <c r="D220" i="37"/>
  <c r="D629" i="37" s="1"/>
  <c r="H699" i="37" s="1"/>
  <c r="D527" i="37"/>
  <c r="D236" i="37"/>
  <c r="D645" i="37" s="1"/>
  <c r="L682" i="37" s="1"/>
  <c r="D543" i="37"/>
  <c r="D252" i="37"/>
  <c r="D661" i="37" s="1"/>
  <c r="L698" i="37" s="1"/>
  <c r="D559" i="37"/>
  <c r="D202" i="37"/>
  <c r="D611" i="37" s="1"/>
  <c r="H681" i="37" s="1"/>
  <c r="D509" i="37"/>
  <c r="D250" i="37"/>
  <c r="D659" i="37" s="1"/>
  <c r="L696" i="37" s="1"/>
  <c r="D557" i="37"/>
  <c r="D170" i="37"/>
  <c r="D477" i="37"/>
  <c r="D181" i="37"/>
  <c r="D590" i="37" s="1"/>
  <c r="D693" i="37" s="1"/>
  <c r="D488" i="37"/>
  <c r="D197" i="37"/>
  <c r="D606" i="37" s="1"/>
  <c r="H676" i="37" s="1"/>
  <c r="D504" i="37"/>
  <c r="D213" i="37"/>
  <c r="D622" i="37" s="1"/>
  <c r="H692" i="37" s="1"/>
  <c r="D520" i="37"/>
  <c r="D229" i="37"/>
  <c r="D638" i="37" s="1"/>
  <c r="H708" i="37" s="1"/>
  <c r="D536" i="37"/>
  <c r="D245" i="37"/>
  <c r="D654" i="37" s="1"/>
  <c r="L691" i="37" s="1"/>
  <c r="D552" i="37"/>
  <c r="D261" i="37"/>
  <c r="D568" i="37"/>
  <c r="D194" i="37"/>
  <c r="D603" i="37" s="1"/>
  <c r="D706" i="37" s="1"/>
  <c r="D501" i="37"/>
  <c r="D242" i="37"/>
  <c r="D651" i="37" s="1"/>
  <c r="L688" i="37" s="1"/>
  <c r="D549" i="37"/>
  <c r="D198" i="37"/>
  <c r="D607" i="37" s="1"/>
  <c r="H677" i="37" s="1"/>
  <c r="D505" i="37"/>
  <c r="D246" i="37"/>
  <c r="D655" i="37" s="1"/>
  <c r="L692" i="37" s="1"/>
  <c r="D553" i="37"/>
  <c r="D179" i="37"/>
  <c r="D588" i="37" s="1"/>
  <c r="D691" i="37" s="1"/>
  <c r="D486" i="37"/>
  <c r="D243" i="37"/>
  <c r="D652" i="37" s="1"/>
  <c r="L689" i="37" s="1"/>
  <c r="D550" i="37"/>
  <c r="D183" i="37"/>
  <c r="D592" i="37" s="1"/>
  <c r="D695" i="37" s="1"/>
  <c r="D490" i="37"/>
  <c r="D247" i="37"/>
  <c r="D656" i="37" s="1"/>
  <c r="L693" i="37" s="1"/>
  <c r="D554" i="37"/>
  <c r="D219" i="37"/>
  <c r="D628" i="37" s="1"/>
  <c r="H698" i="37" s="1"/>
  <c r="D526" i="37"/>
  <c r="D207" i="37"/>
  <c r="D616" i="37" s="1"/>
  <c r="H686" i="37" s="1"/>
  <c r="D514" i="37"/>
  <c r="D239" i="37"/>
  <c r="D648" i="37" s="1"/>
  <c r="L685" i="37" s="1"/>
  <c r="D191" i="37"/>
  <c r="D600" i="37" s="1"/>
  <c r="D703" i="37" s="1"/>
  <c r="D498" i="37"/>
  <c r="D255" i="37"/>
  <c r="D664" i="37" s="1"/>
  <c r="L701" i="37" s="1"/>
  <c r="D562" i="37"/>
  <c r="B471" i="37"/>
  <c r="B573" i="37" s="1"/>
  <c r="D369" i="37"/>
  <c r="D471" i="37" s="1"/>
  <c r="D164" i="37"/>
  <c r="D269" i="37"/>
  <c r="D270" i="37"/>
  <c r="T8" i="7"/>
  <c r="U8" i="7" s="1"/>
  <c r="V8" i="7" s="1"/>
  <c r="W8" i="7" s="1"/>
  <c r="X8" i="7" s="1"/>
  <c r="Y8" i="7" s="1"/>
  <c r="Z8" i="7" s="1"/>
  <c r="AA8" i="7" s="1"/>
  <c r="AB8" i="7" s="1"/>
  <c r="T9" i="7"/>
  <c r="U9" i="7" s="1"/>
  <c r="W21" i="30"/>
  <c r="E598" i="37" l="1"/>
  <c r="E671" i="37"/>
  <c r="E589" i="37"/>
  <c r="E658" i="37"/>
  <c r="E625" i="37"/>
  <c r="E667" i="37"/>
  <c r="E669" i="37"/>
  <c r="D614" i="37"/>
  <c r="H684" i="37" s="1"/>
  <c r="E614" i="37"/>
  <c r="E608" i="37"/>
  <c r="E574" i="37"/>
  <c r="E603" i="37"/>
  <c r="E662" i="37"/>
  <c r="E631" i="37"/>
  <c r="E578" i="37"/>
  <c r="E580" i="37"/>
  <c r="D615" i="37"/>
  <c r="H685" i="37" s="1"/>
  <c r="D598" i="37"/>
  <c r="D701" i="37" s="1"/>
  <c r="E611" i="37"/>
  <c r="E582" i="37"/>
  <c r="E620" i="37"/>
  <c r="E642" i="37"/>
  <c r="E648" i="37"/>
  <c r="E628" i="37"/>
  <c r="E593" i="37"/>
  <c r="E615" i="37"/>
  <c r="E646" i="37"/>
  <c r="E579" i="37"/>
  <c r="E607" i="37"/>
  <c r="D601" i="37"/>
  <c r="D704" i="37" s="1"/>
  <c r="E621" i="37"/>
  <c r="E633" i="37"/>
  <c r="E652" i="37"/>
  <c r="E630" i="37"/>
  <c r="E653" i="37"/>
  <c r="E634" i="37"/>
  <c r="E587" i="37"/>
  <c r="E583" i="37"/>
  <c r="E638" i="37"/>
  <c r="E641" i="37"/>
  <c r="E645" i="37"/>
  <c r="E602" i="37"/>
  <c r="E651" i="37"/>
  <c r="E613" i="37"/>
  <c r="E606" i="37"/>
  <c r="E609" i="37"/>
  <c r="E627" i="37"/>
  <c r="E663" i="37"/>
  <c r="H58" i="36"/>
  <c r="D630" i="37"/>
  <c r="H700" i="37" s="1"/>
  <c r="D670" i="37"/>
  <c r="L707" i="37" s="1"/>
  <c r="E670" i="37"/>
  <c r="E618" i="37"/>
  <c r="E586" i="37"/>
  <c r="E664" i="37"/>
  <c r="E599" i="37"/>
  <c r="E650" i="37"/>
  <c r="E581" i="37"/>
  <c r="E590" i="37"/>
  <c r="D583" i="37"/>
  <c r="D686" i="37" s="1"/>
  <c r="D641" i="37"/>
  <c r="L678" i="37" s="1"/>
  <c r="D609" i="37"/>
  <c r="H679" i="37" s="1"/>
  <c r="D582" i="37"/>
  <c r="D685" i="37" s="1"/>
  <c r="D580" i="37"/>
  <c r="D683" i="37" s="1"/>
  <c r="E647" i="37"/>
  <c r="B570" i="37"/>
  <c r="B672" i="37" s="1"/>
  <c r="E468" i="37"/>
  <c r="E570" i="37" s="1"/>
  <c r="D468" i="37"/>
  <c r="D570" i="37" s="1"/>
  <c r="D593" i="37"/>
  <c r="D696" i="37" s="1"/>
  <c r="D633" i="37"/>
  <c r="H703" i="37" s="1"/>
  <c r="D662" i="37"/>
  <c r="L699" i="37" s="1"/>
  <c r="D579" i="37"/>
  <c r="D682" i="37" s="1"/>
  <c r="D643" i="37"/>
  <c r="L680" i="37" s="1"/>
  <c r="E632" i="37"/>
  <c r="E585" i="37"/>
  <c r="E623" i="37"/>
  <c r="E619" i="37"/>
  <c r="E622" i="37"/>
  <c r="E640" i="37"/>
  <c r="E668" i="37"/>
  <c r="E649" i="37"/>
  <c r="E584" i="37"/>
  <c r="E595" i="37"/>
  <c r="E636" i="37"/>
  <c r="E629" i="37"/>
  <c r="B473" i="37"/>
  <c r="B575" i="37" s="1"/>
  <c r="E371" i="37"/>
  <c r="E473" i="37" s="1"/>
  <c r="B474" i="37"/>
  <c r="B576" i="37" s="1"/>
  <c r="E372" i="37"/>
  <c r="E474" i="37" s="1"/>
  <c r="D573" i="37"/>
  <c r="D676" i="37" s="1"/>
  <c r="D372" i="37"/>
  <c r="D474" i="37" s="1"/>
  <c r="D370" i="37"/>
  <c r="D472" i="37" s="1"/>
  <c r="D371" i="37"/>
  <c r="D575" i="37" s="1"/>
  <c r="D678" i="37" s="1"/>
  <c r="V9" i="7"/>
  <c r="W9" i="7" s="1"/>
  <c r="X9" i="7" s="1"/>
  <c r="Y9" i="7" s="1"/>
  <c r="Z9" i="7" s="1"/>
  <c r="AA9" i="7" s="1"/>
  <c r="AB9" i="7" s="1"/>
  <c r="D17" i="31"/>
  <c r="G7" i="24"/>
  <c r="I28" i="3"/>
  <c r="F28" i="3"/>
  <c r="F34" i="3" s="1"/>
  <c r="H29" i="3"/>
  <c r="G11" i="8" s="1"/>
  <c r="H28" i="3"/>
  <c r="K24" i="3"/>
  <c r="G24" i="3"/>
  <c r="M18" i="2"/>
  <c r="S6" i="1"/>
  <c r="E576" i="37" l="1"/>
  <c r="E672" i="37"/>
  <c r="E575" i="37"/>
  <c r="D574" i="37"/>
  <c r="D677" i="37" s="1"/>
  <c r="D473" i="37"/>
  <c r="D576" i="37"/>
  <c r="D679" i="37" s="1"/>
  <c r="D672" i="37"/>
  <c r="L709" i="37" s="1"/>
  <c r="E103" i="19"/>
  <c r="E64" i="19"/>
  <c r="E25" i="19"/>
  <c r="H7" i="24"/>
  <c r="H9" i="24" s="1"/>
  <c r="G9" i="37" s="1"/>
  <c r="F147" i="19"/>
  <c r="B118" i="19"/>
  <c r="B113" i="19"/>
  <c r="B103" i="19"/>
  <c r="B81" i="19"/>
  <c r="B76" i="19"/>
  <c r="B64" i="19"/>
  <c r="B42" i="19"/>
  <c r="B37" i="19"/>
  <c r="B25" i="19"/>
  <c r="B155" i="19"/>
  <c r="E140" i="19" l="1"/>
  <c r="F137" i="19" s="1"/>
  <c r="E155" i="19" l="1"/>
  <c r="F153" i="19" s="1"/>
  <c r="E158" i="19" l="1"/>
  <c r="B140" i="19"/>
  <c r="G88" i="18" l="1"/>
  <c r="C25" i="8"/>
  <c r="D25" i="8"/>
  <c r="C52" i="8"/>
  <c r="D52" i="8"/>
  <c r="C79" i="8"/>
  <c r="D79" i="8"/>
  <c r="C92" i="8"/>
  <c r="D92" i="8"/>
  <c r="C94" i="8"/>
  <c r="D94" i="8"/>
  <c r="E94" i="8"/>
  <c r="C95" i="8"/>
  <c r="D95" i="8"/>
  <c r="E95" i="8"/>
  <c r="P10" i="7"/>
  <c r="P15" i="7" s="1"/>
  <c r="Q10" i="7"/>
  <c r="Q33" i="7" s="1"/>
  <c r="R15" i="7"/>
  <c r="P18" i="7"/>
  <c r="Q18" i="7"/>
  <c r="R18" i="7"/>
  <c r="P19" i="7"/>
  <c r="Q19" i="7"/>
  <c r="R19" i="7"/>
  <c r="P20" i="7"/>
  <c r="Q20" i="7"/>
  <c r="R20" i="7"/>
  <c r="R21" i="7"/>
  <c r="P22" i="7"/>
  <c r="Q22" i="7"/>
  <c r="R22" i="7"/>
  <c r="P23" i="7"/>
  <c r="Q23" i="7"/>
  <c r="R23" i="7"/>
  <c r="P24" i="7"/>
  <c r="Q24" i="7"/>
  <c r="R24" i="7"/>
  <c r="P25" i="7"/>
  <c r="Q25" i="7"/>
  <c r="R25" i="7"/>
  <c r="P30" i="7"/>
  <c r="Q30" i="7"/>
  <c r="R30" i="7"/>
  <c r="P31" i="7"/>
  <c r="Q31" i="7"/>
  <c r="R31" i="7"/>
  <c r="P32" i="7"/>
  <c r="Q32" i="7"/>
  <c r="R32" i="7"/>
  <c r="R33" i="7"/>
  <c r="P34" i="7"/>
  <c r="Q34" i="7"/>
  <c r="R34" i="7"/>
  <c r="P35" i="7"/>
  <c r="Q35" i="7"/>
  <c r="R35" i="7"/>
  <c r="P36" i="7"/>
  <c r="Q36" i="7"/>
  <c r="R36" i="7"/>
  <c r="P37" i="7"/>
  <c r="Q37" i="7"/>
  <c r="R37" i="7"/>
  <c r="D106" i="8" l="1"/>
  <c r="P33" i="7"/>
  <c r="C106" i="8"/>
  <c r="R26" i="7"/>
  <c r="E19" i="8" s="1"/>
  <c r="P38" i="7"/>
  <c r="C46" i="8" s="1"/>
  <c r="R38" i="7"/>
  <c r="E46" i="8" s="1"/>
  <c r="Q38" i="7"/>
  <c r="D46" i="8" s="1"/>
  <c r="Q21" i="7"/>
  <c r="Q26" i="7" s="1"/>
  <c r="D19" i="8" s="1"/>
  <c r="Q15" i="7"/>
  <c r="P21" i="7"/>
  <c r="P26" i="7" s="1"/>
  <c r="C19" i="8" s="1"/>
  <c r="N65" i="14" l="1"/>
  <c r="N36" i="14"/>
  <c r="N7" i="14"/>
  <c r="B150" i="19"/>
  <c r="N85" i="14" l="1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A111" i="14" l="1"/>
  <c r="AW111" i="14"/>
  <c r="AK111" i="14"/>
  <c r="AG111" i="14"/>
  <c r="U111" i="14"/>
  <c r="Q111" i="14"/>
  <c r="AS111" i="14"/>
  <c r="AY111" i="14"/>
  <c r="AU111" i="14"/>
  <c r="AQ111" i="14"/>
  <c r="AM111" i="14"/>
  <c r="AI111" i="14"/>
  <c r="AE111" i="14"/>
  <c r="AA111" i="14"/>
  <c r="W111" i="14"/>
  <c r="S111" i="14"/>
  <c r="O111" i="14"/>
  <c r="AC111" i="14"/>
  <c r="AO111" i="14"/>
  <c r="Y111" i="14"/>
  <c r="AX111" i="14"/>
  <c r="AP111" i="14"/>
  <c r="AL111" i="14"/>
  <c r="AD111" i="14"/>
  <c r="Z111" i="14"/>
  <c r="V111" i="14"/>
  <c r="R111" i="14"/>
  <c r="N111" i="14"/>
  <c r="BB111" i="14"/>
  <c r="AT111" i="14"/>
  <c r="AH111" i="14"/>
  <c r="AZ111" i="14"/>
  <c r="AV111" i="14"/>
  <c r="AR111" i="14"/>
  <c r="AN111" i="14"/>
  <c r="AJ111" i="14"/>
  <c r="AF111" i="14"/>
  <c r="AB111" i="14"/>
  <c r="X111" i="14"/>
  <c r="T111" i="14"/>
  <c r="P111" i="14"/>
  <c r="L31" i="30" l="1"/>
  <c r="K31" i="30"/>
  <c r="J31" i="30"/>
  <c r="I31" i="30"/>
  <c r="H31" i="30"/>
  <c r="G31" i="30"/>
  <c r="F31" i="30"/>
  <c r="E31" i="30"/>
  <c r="D31" i="30"/>
  <c r="C31" i="30"/>
  <c r="F53" i="35" l="1"/>
  <c r="F52" i="35"/>
  <c r="F51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6" i="35"/>
  <c r="F35" i="35"/>
  <c r="F34" i="35"/>
  <c r="F33" i="35"/>
  <c r="F31" i="35"/>
  <c r="F30" i="35"/>
  <c r="F29" i="35"/>
  <c r="F28" i="35"/>
  <c r="F27" i="35"/>
  <c r="F26" i="35"/>
  <c r="F24" i="35"/>
  <c r="F25" i="35"/>
  <c r="F23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F5" i="35"/>
  <c r="F4" i="35"/>
  <c r="F3" i="35"/>
  <c r="F2" i="35"/>
  <c r="W29" i="30" l="1"/>
  <c r="W31" i="30"/>
  <c r="X31" i="30" s="1"/>
  <c r="Y31" i="30" s="1"/>
  <c r="Z31" i="30" s="1"/>
  <c r="AA31" i="30" s="1"/>
  <c r="AB31" i="30" s="1"/>
  <c r="AC31" i="30" s="1"/>
  <c r="AD31" i="30" s="1"/>
  <c r="AE31" i="30" s="1"/>
  <c r="AF31" i="30" s="1"/>
  <c r="W28" i="30"/>
  <c r="W30" i="30"/>
  <c r="W26" i="30"/>
  <c r="C98" i="31" l="1"/>
  <c r="P10" i="22"/>
  <c r="P11" i="22"/>
  <c r="P12" i="22"/>
  <c r="P13" i="22"/>
  <c r="P14" i="22"/>
  <c r="P9" i="22"/>
  <c r="M11" i="22"/>
  <c r="M12" i="22"/>
  <c r="M13" i="22"/>
  <c r="M14" i="22"/>
  <c r="M10" i="22"/>
  <c r="M9" i="22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4" i="28"/>
  <c r="P15" i="28" l="1"/>
  <c r="P23" i="28"/>
  <c r="P9" i="28"/>
  <c r="P17" i="28"/>
  <c r="P25" i="28"/>
  <c r="P11" i="28"/>
  <c r="P20" i="28"/>
  <c r="P13" i="28"/>
  <c r="P21" i="28"/>
  <c r="P10" i="28"/>
  <c r="P18" i="28"/>
  <c r="P26" i="28"/>
  <c r="P19" i="28"/>
  <c r="P12" i="28"/>
  <c r="P14" i="28"/>
  <c r="P22" i="28"/>
  <c r="P16" i="28"/>
  <c r="P24" i="28"/>
  <c r="G68" i="18"/>
  <c r="Z5" i="34" l="1"/>
  <c r="Z6" i="34"/>
  <c r="Z7" i="34"/>
  <c r="Z8" i="34"/>
  <c r="Z9" i="34"/>
  <c r="Z10" i="34"/>
  <c r="Z11" i="34"/>
  <c r="Z4" i="34"/>
  <c r="W10" i="30" l="1"/>
  <c r="W12" i="30"/>
  <c r="W8" i="30"/>
  <c r="W7" i="30"/>
  <c r="F63" i="35"/>
  <c r="S328" i="1" l="1"/>
  <c r="S460" i="1"/>
  <c r="S100" i="1"/>
  <c r="S92" i="1"/>
  <c r="F25" i="18" l="1"/>
  <c r="G25" i="18" s="1"/>
  <c r="H25" i="18" s="1"/>
  <c r="H23" i="18"/>
  <c r="I23" i="18" s="1"/>
  <c r="D211" i="12"/>
  <c r="J23" i="18" l="1"/>
  <c r="G89" i="18"/>
  <c r="E299" i="1" l="1"/>
  <c r="E191" i="1"/>
  <c r="R191" i="1" s="1"/>
  <c r="S68" i="1"/>
  <c r="R68" i="1"/>
  <c r="Q68" i="1"/>
  <c r="P68" i="1"/>
  <c r="D68" i="1"/>
  <c r="O413" i="1"/>
  <c r="N413" i="1"/>
  <c r="M413" i="1"/>
  <c r="L413" i="1"/>
  <c r="K413" i="1"/>
  <c r="J413" i="1"/>
  <c r="I413" i="1"/>
  <c r="H413" i="1"/>
  <c r="G413" i="1"/>
  <c r="T413" i="1" s="1"/>
  <c r="T191" i="1" s="1"/>
  <c r="F413" i="1"/>
  <c r="O339" i="1"/>
  <c r="N339" i="1"/>
  <c r="M339" i="1"/>
  <c r="L339" i="1"/>
  <c r="K339" i="1"/>
  <c r="J339" i="1"/>
  <c r="I339" i="1"/>
  <c r="H339" i="1"/>
  <c r="G339" i="1"/>
  <c r="T339" i="1" s="1"/>
  <c r="F339" i="1"/>
  <c r="O333" i="1"/>
  <c r="N333" i="1"/>
  <c r="M333" i="1"/>
  <c r="L333" i="1"/>
  <c r="K333" i="1"/>
  <c r="J333" i="1"/>
  <c r="I333" i="1"/>
  <c r="H333" i="1"/>
  <c r="G333" i="1"/>
  <c r="T333" i="1" s="1"/>
  <c r="F333" i="1"/>
  <c r="O327" i="1"/>
  <c r="N327" i="1"/>
  <c r="M327" i="1"/>
  <c r="L327" i="1"/>
  <c r="K327" i="1"/>
  <c r="J327" i="1"/>
  <c r="I327" i="1"/>
  <c r="H327" i="1"/>
  <c r="G327" i="1"/>
  <c r="T327" i="1" s="1"/>
  <c r="F327" i="1"/>
  <c r="O219" i="1"/>
  <c r="N219" i="1"/>
  <c r="M219" i="1"/>
  <c r="L219" i="1"/>
  <c r="K219" i="1"/>
  <c r="J219" i="1"/>
  <c r="I219" i="1"/>
  <c r="H219" i="1"/>
  <c r="G219" i="1"/>
  <c r="T219" i="1" s="1"/>
  <c r="F219" i="1"/>
  <c r="Q232" i="1"/>
  <c r="R232" i="1"/>
  <c r="S232" i="1"/>
  <c r="P232" i="1"/>
  <c r="O213" i="1"/>
  <c r="N213" i="1"/>
  <c r="M213" i="1"/>
  <c r="L213" i="1"/>
  <c r="K213" i="1"/>
  <c r="J213" i="1"/>
  <c r="I213" i="1"/>
  <c r="H213" i="1"/>
  <c r="U213" i="1" s="1"/>
  <c r="G213" i="1"/>
  <c r="F213" i="1"/>
  <c r="U219" i="1" l="1"/>
  <c r="V219" i="1" s="1"/>
  <c r="W219" i="1" s="1"/>
  <c r="X219" i="1" s="1"/>
  <c r="Y219" i="1" s="1"/>
  <c r="Z219" i="1" s="1"/>
  <c r="AA219" i="1" s="1"/>
  <c r="AB219" i="1" s="1"/>
  <c r="P191" i="1"/>
  <c r="Q191" i="1"/>
  <c r="Q299" i="1"/>
  <c r="S299" i="1"/>
  <c r="P299" i="1"/>
  <c r="T299" i="1"/>
  <c r="R299" i="1"/>
  <c r="S191" i="1"/>
  <c r="U413" i="1"/>
  <c r="U191" i="1" s="1"/>
  <c r="T68" i="1"/>
  <c r="U339" i="1"/>
  <c r="V339" i="1" s="1"/>
  <c r="W339" i="1" s="1"/>
  <c r="X339" i="1" s="1"/>
  <c r="Y339" i="1" s="1"/>
  <c r="Z339" i="1" s="1"/>
  <c r="AA339" i="1" s="1"/>
  <c r="AB339" i="1" s="1"/>
  <c r="U333" i="1"/>
  <c r="V333" i="1" s="1"/>
  <c r="W333" i="1" s="1"/>
  <c r="X333" i="1" s="1"/>
  <c r="Y333" i="1" s="1"/>
  <c r="Z333" i="1" s="1"/>
  <c r="AA333" i="1" s="1"/>
  <c r="AB333" i="1" s="1"/>
  <c r="U327" i="1"/>
  <c r="V327" i="1" s="1"/>
  <c r="W327" i="1" s="1"/>
  <c r="X327" i="1" s="1"/>
  <c r="Y327" i="1" s="1"/>
  <c r="Z327" i="1" s="1"/>
  <c r="AA327" i="1" s="1"/>
  <c r="AB327" i="1" s="1"/>
  <c r="V213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U299" i="1" l="1"/>
  <c r="V413" i="1"/>
  <c r="U68" i="1"/>
  <c r="W213" i="1"/>
  <c r="I13" i="34"/>
  <c r="J13" i="34"/>
  <c r="K13" i="34"/>
  <c r="L13" i="34"/>
  <c r="M13" i="34"/>
  <c r="N13" i="34"/>
  <c r="O13" i="34"/>
  <c r="P13" i="34"/>
  <c r="Q13" i="34"/>
  <c r="H13" i="34"/>
  <c r="H10" i="34"/>
  <c r="H6" i="34"/>
  <c r="V191" i="1" l="1"/>
  <c r="V299" i="1"/>
  <c r="W413" i="1"/>
  <c r="V68" i="1"/>
  <c r="X213" i="1"/>
  <c r="H8" i="34"/>
  <c r="G8" i="34"/>
  <c r="H12" i="34"/>
  <c r="F10" i="34"/>
  <c r="E10" i="34"/>
  <c r="D10" i="34"/>
  <c r="G10" i="34"/>
  <c r="G12" i="34" s="1"/>
  <c r="W191" i="1" l="1"/>
  <c r="W299" i="1"/>
  <c r="X413" i="1"/>
  <c r="W68" i="1"/>
  <c r="Y213" i="1"/>
  <c r="J10" i="34"/>
  <c r="J12" i="34" s="1"/>
  <c r="K10" i="34"/>
  <c r="K12" i="34" s="1"/>
  <c r="L10" i="34"/>
  <c r="L12" i="34" s="1"/>
  <c r="M10" i="34"/>
  <c r="M12" i="34" s="1"/>
  <c r="N10" i="34"/>
  <c r="N12" i="34" s="1"/>
  <c r="O10" i="34"/>
  <c r="O12" i="34" s="1"/>
  <c r="P10" i="34"/>
  <c r="P12" i="34" s="1"/>
  <c r="I10" i="34"/>
  <c r="I12" i="34" s="1"/>
  <c r="Q12" i="34"/>
  <c r="X191" i="1" l="1"/>
  <c r="X299" i="1"/>
  <c r="Y413" i="1"/>
  <c r="X68" i="1"/>
  <c r="Z213" i="1"/>
  <c r="P8" i="34"/>
  <c r="Q8" i="34"/>
  <c r="O6" i="34"/>
  <c r="O8" i="34" s="1"/>
  <c r="N6" i="34"/>
  <c r="N8" i="34" s="1"/>
  <c r="M6" i="34"/>
  <c r="M8" i="34" s="1"/>
  <c r="L6" i="34"/>
  <c r="L8" i="34" s="1"/>
  <c r="K6" i="34"/>
  <c r="K8" i="34" s="1"/>
  <c r="J6" i="34"/>
  <c r="J8" i="34" s="1"/>
  <c r="I6" i="34"/>
  <c r="I8" i="34" s="1"/>
  <c r="Y191" i="1" l="1"/>
  <c r="Y299" i="1"/>
  <c r="Z413" i="1"/>
  <c r="Y68" i="1"/>
  <c r="AA213" i="1"/>
  <c r="F5" i="26"/>
  <c r="E5" i="25"/>
  <c r="F4" i="26"/>
  <c r="Q9" i="26" s="1"/>
  <c r="E4" i="25"/>
  <c r="P9" i="25" s="1"/>
  <c r="Z191" i="1" l="1"/>
  <c r="Z299" i="1"/>
  <c r="AA413" i="1"/>
  <c r="Z68" i="1"/>
  <c r="AB213" i="1"/>
  <c r="G4" i="24"/>
  <c r="R11" i="24" s="1"/>
  <c r="L37" i="34"/>
  <c r="L36" i="34"/>
  <c r="N3" i="34"/>
  <c r="O3" i="34"/>
  <c r="M3" i="34"/>
  <c r="E18" i="18"/>
  <c r="D18" i="18"/>
  <c r="E15" i="18"/>
  <c r="D15" i="18"/>
  <c r="E12" i="18"/>
  <c r="D12" i="18"/>
  <c r="AA191" i="1" l="1"/>
  <c r="AA299" i="1"/>
  <c r="AB413" i="1"/>
  <c r="AB299" i="1" s="1"/>
  <c r="AA68" i="1"/>
  <c r="AB68" i="1" l="1"/>
  <c r="AB191" i="1"/>
  <c r="Q345" i="1"/>
  <c r="R345" i="1"/>
  <c r="S345" i="1"/>
  <c r="P345" i="1"/>
  <c r="F344" i="1"/>
  <c r="G344" i="1"/>
  <c r="T344" i="1" s="1"/>
  <c r="H344" i="1"/>
  <c r="I344" i="1"/>
  <c r="J344" i="1"/>
  <c r="K344" i="1"/>
  <c r="L344" i="1"/>
  <c r="M344" i="1"/>
  <c r="N344" i="1"/>
  <c r="O344" i="1"/>
  <c r="E273" i="1"/>
  <c r="S24" i="7"/>
  <c r="F7" i="7"/>
  <c r="T7" i="7" s="1"/>
  <c r="G7" i="7"/>
  <c r="H7" i="7"/>
  <c r="I7" i="7"/>
  <c r="J7" i="7"/>
  <c r="K7" i="7"/>
  <c r="L7" i="7"/>
  <c r="M7" i="7"/>
  <c r="N7" i="7"/>
  <c r="F10" i="7"/>
  <c r="T10" i="7" s="1"/>
  <c r="U10" i="7" s="1"/>
  <c r="V10" i="7" s="1"/>
  <c r="W10" i="7" s="1"/>
  <c r="G10" i="7"/>
  <c r="H10" i="7"/>
  <c r="I10" i="7"/>
  <c r="J10" i="7"/>
  <c r="K10" i="7"/>
  <c r="L10" i="7"/>
  <c r="M10" i="7"/>
  <c r="N10" i="7"/>
  <c r="F11" i="7"/>
  <c r="T11" i="7" s="1"/>
  <c r="G11" i="7"/>
  <c r="H11" i="7"/>
  <c r="I11" i="7"/>
  <c r="J11" i="7"/>
  <c r="K11" i="7"/>
  <c r="L11" i="7"/>
  <c r="M11" i="7"/>
  <c r="N11" i="7"/>
  <c r="F12" i="7"/>
  <c r="T12" i="7" s="1"/>
  <c r="G12" i="7"/>
  <c r="H12" i="7"/>
  <c r="I12" i="7"/>
  <c r="J12" i="7"/>
  <c r="K12" i="7"/>
  <c r="L12" i="7"/>
  <c r="M12" i="7"/>
  <c r="N12" i="7"/>
  <c r="F13" i="7"/>
  <c r="T13" i="7" s="1"/>
  <c r="G13" i="7"/>
  <c r="H13" i="7"/>
  <c r="I13" i="7"/>
  <c r="J13" i="7"/>
  <c r="K13" i="7"/>
  <c r="L13" i="7"/>
  <c r="M13" i="7"/>
  <c r="N13" i="7"/>
  <c r="F14" i="7"/>
  <c r="T14" i="7" s="1"/>
  <c r="U14" i="7" s="1"/>
  <c r="V14" i="7" s="1"/>
  <c r="W14" i="7" s="1"/>
  <c r="G14" i="7"/>
  <c r="H14" i="7"/>
  <c r="I14" i="7"/>
  <c r="J14" i="7"/>
  <c r="K14" i="7"/>
  <c r="L14" i="7"/>
  <c r="M14" i="7"/>
  <c r="N14" i="7"/>
  <c r="E10" i="7"/>
  <c r="E11" i="7"/>
  <c r="E12" i="7"/>
  <c r="E13" i="7"/>
  <c r="E14" i="7"/>
  <c r="E7" i="7"/>
  <c r="X14" i="7" l="1"/>
  <c r="Y14" i="7" s="1"/>
  <c r="Z14" i="7" s="1"/>
  <c r="AA14" i="7" s="1"/>
  <c r="AB14" i="7" s="1"/>
  <c r="X10" i="7"/>
  <c r="Y10" i="7" s="1"/>
  <c r="Z10" i="7" s="1"/>
  <c r="AA10" i="7" s="1"/>
  <c r="AB10" i="7" s="1"/>
  <c r="U11" i="7"/>
  <c r="V11" i="7" s="1"/>
  <c r="U13" i="7"/>
  <c r="V13" i="7" s="1"/>
  <c r="W13" i="7" s="1"/>
  <c r="X13" i="7" s="1"/>
  <c r="Y13" i="7" s="1"/>
  <c r="Z13" i="7" s="1"/>
  <c r="AA13" i="7" s="1"/>
  <c r="AB13" i="7" s="1"/>
  <c r="U7" i="7"/>
  <c r="V7" i="7" s="1"/>
  <c r="W7" i="7" s="1"/>
  <c r="X7" i="7" s="1"/>
  <c r="Y7" i="7" s="1"/>
  <c r="Z7" i="7" s="1"/>
  <c r="AA7" i="7" s="1"/>
  <c r="AB7" i="7" s="1"/>
  <c r="U12" i="7"/>
  <c r="V12" i="7" s="1"/>
  <c r="W12" i="7" s="1"/>
  <c r="X12" i="7" s="1"/>
  <c r="Y12" i="7" s="1"/>
  <c r="Z12" i="7" s="1"/>
  <c r="AA12" i="7" s="1"/>
  <c r="AB12" i="7" s="1"/>
  <c r="W11" i="7"/>
  <c r="X11" i="7" s="1"/>
  <c r="Y11" i="7" s="1"/>
  <c r="Z11" i="7" s="1"/>
  <c r="AA11" i="7" s="1"/>
  <c r="AB11" i="7" s="1"/>
  <c r="U344" i="1"/>
  <c r="V344" i="1" s="1"/>
  <c r="W344" i="1" s="1"/>
  <c r="X344" i="1" s="1"/>
  <c r="Y344" i="1" s="1"/>
  <c r="Z344" i="1" l="1"/>
  <c r="C29" i="30"/>
  <c r="D29" i="30"/>
  <c r="E29" i="30"/>
  <c r="F29" i="30"/>
  <c r="G29" i="30"/>
  <c r="H29" i="30"/>
  <c r="I29" i="30"/>
  <c r="J29" i="30"/>
  <c r="K29" i="30"/>
  <c r="L29" i="30"/>
  <c r="AA344" i="1" l="1"/>
  <c r="F31" i="26"/>
  <c r="G30" i="26"/>
  <c r="G29" i="26"/>
  <c r="H29" i="26" s="1"/>
  <c r="F34" i="26"/>
  <c r="F33" i="26"/>
  <c r="H33" i="26" l="1"/>
  <c r="G34" i="26"/>
  <c r="H30" i="26"/>
  <c r="H31" i="26" s="1"/>
  <c r="F35" i="26"/>
  <c r="G31" i="26"/>
  <c r="AB344" i="1"/>
  <c r="G33" i="26"/>
  <c r="E2819" i="28"/>
  <c r="E2816" i="28"/>
  <c r="G35" i="26" l="1"/>
  <c r="H34" i="26"/>
  <c r="I30" i="26"/>
  <c r="H35" i="26"/>
  <c r="I29" i="26"/>
  <c r="F10" i="18"/>
  <c r="J30" i="26" l="1"/>
  <c r="I34" i="26"/>
  <c r="J29" i="26"/>
  <c r="I31" i="26"/>
  <c r="I33" i="26"/>
  <c r="I35" i="26" l="1"/>
  <c r="K30" i="26"/>
  <c r="J34" i="26"/>
  <c r="J33" i="26"/>
  <c r="J31" i="26"/>
  <c r="K29" i="26"/>
  <c r="G99" i="3"/>
  <c r="H99" i="3"/>
  <c r="I99" i="3"/>
  <c r="J99" i="3"/>
  <c r="K99" i="3"/>
  <c r="L99" i="3"/>
  <c r="M99" i="3"/>
  <c r="N99" i="3"/>
  <c r="O99" i="3"/>
  <c r="P99" i="3"/>
  <c r="G100" i="3"/>
  <c r="H100" i="3"/>
  <c r="I100" i="3"/>
  <c r="J100" i="3"/>
  <c r="K100" i="3"/>
  <c r="L100" i="3"/>
  <c r="M100" i="3"/>
  <c r="N100" i="3"/>
  <c r="O100" i="3"/>
  <c r="P100" i="3"/>
  <c r="G101" i="3"/>
  <c r="F102" i="19" s="1"/>
  <c r="H101" i="3"/>
  <c r="G102" i="19" s="1"/>
  <c r="I101" i="3"/>
  <c r="H102" i="19" s="1"/>
  <c r="J101" i="3"/>
  <c r="I102" i="19" s="1"/>
  <c r="K101" i="3"/>
  <c r="J102" i="19" s="1"/>
  <c r="L101" i="3"/>
  <c r="K102" i="19" s="1"/>
  <c r="M101" i="3"/>
  <c r="L102" i="19" s="1"/>
  <c r="N101" i="3"/>
  <c r="M102" i="19" s="1"/>
  <c r="O101" i="3"/>
  <c r="N102" i="19" s="1"/>
  <c r="P101" i="3"/>
  <c r="O102" i="19" s="1"/>
  <c r="F101" i="3"/>
  <c r="F100" i="3"/>
  <c r="E65" i="8" s="1"/>
  <c r="G64" i="3"/>
  <c r="C110" i="16" s="1"/>
  <c r="H64" i="3"/>
  <c r="D110" i="16" s="1"/>
  <c r="I64" i="3"/>
  <c r="E110" i="16" s="1"/>
  <c r="J64" i="3"/>
  <c r="F110" i="16" s="1"/>
  <c r="K64" i="3"/>
  <c r="G110" i="16" s="1"/>
  <c r="L64" i="3"/>
  <c r="O110" i="16" s="1"/>
  <c r="M64" i="3"/>
  <c r="P110" i="16" s="1"/>
  <c r="N64" i="3"/>
  <c r="Q110" i="16" s="1"/>
  <c r="O64" i="3"/>
  <c r="R110" i="16" s="1"/>
  <c r="P64" i="3"/>
  <c r="S110" i="16" s="1"/>
  <c r="G65" i="3"/>
  <c r="C112" i="16" s="1"/>
  <c r="H65" i="3"/>
  <c r="D112" i="16" s="1"/>
  <c r="I65" i="3"/>
  <c r="E112" i="16" s="1"/>
  <c r="J65" i="3"/>
  <c r="F112" i="16" s="1"/>
  <c r="K65" i="3"/>
  <c r="G112" i="16" s="1"/>
  <c r="L65" i="3"/>
  <c r="O112" i="16" s="1"/>
  <c r="M65" i="3"/>
  <c r="P112" i="16" s="1"/>
  <c r="N65" i="3"/>
  <c r="Q112" i="16" s="1"/>
  <c r="O65" i="3"/>
  <c r="R112" i="16" s="1"/>
  <c r="P65" i="3"/>
  <c r="S112" i="16" s="1"/>
  <c r="G66" i="3"/>
  <c r="F63" i="19" s="1"/>
  <c r="H66" i="3"/>
  <c r="G63" i="19" s="1"/>
  <c r="I66" i="3"/>
  <c r="H63" i="19" s="1"/>
  <c r="J66" i="3"/>
  <c r="I63" i="19" s="1"/>
  <c r="K66" i="3"/>
  <c r="J63" i="19" s="1"/>
  <c r="L66" i="3"/>
  <c r="K63" i="19" s="1"/>
  <c r="M66" i="3"/>
  <c r="L63" i="19" s="1"/>
  <c r="N66" i="3"/>
  <c r="M63" i="19" s="1"/>
  <c r="O66" i="3"/>
  <c r="N63" i="19" s="1"/>
  <c r="P66" i="3"/>
  <c r="O63" i="19" s="1"/>
  <c r="F66" i="3"/>
  <c r="F64" i="3"/>
  <c r="F65" i="3"/>
  <c r="D7" i="4" l="1"/>
  <c r="H108" i="3"/>
  <c r="H110" i="16"/>
  <c r="J35" i="26"/>
  <c r="L30" i="26"/>
  <c r="K34" i="26"/>
  <c r="J112" i="19"/>
  <c r="G89" i="16"/>
  <c r="I75" i="19"/>
  <c r="F74" i="16"/>
  <c r="M112" i="19"/>
  <c r="Q89" i="16"/>
  <c r="H75" i="19"/>
  <c r="E74" i="16"/>
  <c r="L112" i="19"/>
  <c r="P89" i="16"/>
  <c r="H112" i="19"/>
  <c r="E89" i="16"/>
  <c r="N75" i="19"/>
  <c r="R74" i="16"/>
  <c r="J75" i="19"/>
  <c r="G74" i="16"/>
  <c r="F75" i="19"/>
  <c r="C74" i="16"/>
  <c r="N112" i="19"/>
  <c r="R89" i="16"/>
  <c r="F112" i="19"/>
  <c r="C89" i="16"/>
  <c r="M75" i="19"/>
  <c r="Q74" i="16"/>
  <c r="I112" i="19"/>
  <c r="F89" i="16"/>
  <c r="L75" i="19"/>
  <c r="P74" i="16"/>
  <c r="O75" i="19"/>
  <c r="S74" i="16"/>
  <c r="K75" i="19"/>
  <c r="O74" i="16"/>
  <c r="G75" i="19"/>
  <c r="D74" i="16"/>
  <c r="O112" i="19"/>
  <c r="S89" i="16"/>
  <c r="K112" i="19"/>
  <c r="O89" i="16"/>
  <c r="G112" i="19"/>
  <c r="D89" i="16"/>
  <c r="E92" i="8"/>
  <c r="J56" i="14"/>
  <c r="P111" i="16"/>
  <c r="E56" i="14"/>
  <c r="D111" i="16"/>
  <c r="L56" i="14"/>
  <c r="R111" i="16"/>
  <c r="H56" i="14"/>
  <c r="G111" i="16"/>
  <c r="D56" i="14"/>
  <c r="C111" i="16"/>
  <c r="F56" i="14"/>
  <c r="E111" i="16"/>
  <c r="S111" i="16"/>
  <c r="M56" i="14"/>
  <c r="O111" i="16"/>
  <c r="I56" i="14"/>
  <c r="K56" i="14"/>
  <c r="Q111" i="16"/>
  <c r="G56" i="14"/>
  <c r="F111" i="16"/>
  <c r="J85" i="14"/>
  <c r="P116" i="16"/>
  <c r="C117" i="16"/>
  <c r="O116" i="16"/>
  <c r="I85" i="14"/>
  <c r="L85" i="14"/>
  <c r="R116" i="16"/>
  <c r="H85" i="14"/>
  <c r="G116" i="16"/>
  <c r="D85" i="14"/>
  <c r="C116" i="16"/>
  <c r="F85" i="14"/>
  <c r="E116" i="16"/>
  <c r="S116" i="16"/>
  <c r="M85" i="14"/>
  <c r="D116" i="16"/>
  <c r="E85" i="14"/>
  <c r="K85" i="14"/>
  <c r="Q116" i="16"/>
  <c r="G85" i="14"/>
  <c r="F116" i="16"/>
  <c r="O115" i="16"/>
  <c r="R115" i="16"/>
  <c r="G115" i="16"/>
  <c r="C115" i="16"/>
  <c r="P115" i="16"/>
  <c r="E115" i="16"/>
  <c r="S115" i="16"/>
  <c r="Q115" i="16"/>
  <c r="F115" i="16"/>
  <c r="R117" i="16"/>
  <c r="G117" i="16"/>
  <c r="N62" i="34"/>
  <c r="Q117" i="16"/>
  <c r="F117" i="16"/>
  <c r="P117" i="16"/>
  <c r="E117" i="16"/>
  <c r="S117" i="16"/>
  <c r="O117" i="16"/>
  <c r="N61" i="34"/>
  <c r="M61" i="34"/>
  <c r="O61" i="34"/>
  <c r="D115" i="16"/>
  <c r="D117" i="16"/>
  <c r="M62" i="34"/>
  <c r="L29" i="26"/>
  <c r="K31" i="26"/>
  <c r="K33" i="26"/>
  <c r="K35" i="26" s="1"/>
  <c r="G28" i="3"/>
  <c r="C105" i="16" s="1"/>
  <c r="D105" i="16"/>
  <c r="E105" i="16"/>
  <c r="J28" i="3"/>
  <c r="F105" i="16" s="1"/>
  <c r="K28" i="3"/>
  <c r="G105" i="16" s="1"/>
  <c r="L28" i="3"/>
  <c r="O105" i="16" s="1"/>
  <c r="M28" i="3"/>
  <c r="P105" i="16" s="1"/>
  <c r="N28" i="3"/>
  <c r="Q105" i="16" s="1"/>
  <c r="O28" i="3"/>
  <c r="R105" i="16" s="1"/>
  <c r="P28" i="3"/>
  <c r="S105" i="16" s="1"/>
  <c r="G29" i="3"/>
  <c r="C107" i="16" s="1"/>
  <c r="D107" i="16"/>
  <c r="I29" i="3"/>
  <c r="E107" i="16" s="1"/>
  <c r="J29" i="3"/>
  <c r="F107" i="16" s="1"/>
  <c r="K29" i="3"/>
  <c r="G107" i="16" s="1"/>
  <c r="L29" i="3"/>
  <c r="O107" i="16" s="1"/>
  <c r="M29" i="3"/>
  <c r="P107" i="16" s="1"/>
  <c r="N29" i="3"/>
  <c r="Q107" i="16" s="1"/>
  <c r="O29" i="3"/>
  <c r="R107" i="16" s="1"/>
  <c r="P29" i="3"/>
  <c r="S107" i="16" s="1"/>
  <c r="F29" i="3"/>
  <c r="G30" i="3"/>
  <c r="H30" i="3"/>
  <c r="I30" i="3"/>
  <c r="H24" i="19" s="1"/>
  <c r="J30" i="3"/>
  <c r="K30" i="3"/>
  <c r="L30" i="3"/>
  <c r="M30" i="3"/>
  <c r="N30" i="3"/>
  <c r="O30" i="3"/>
  <c r="P30" i="3"/>
  <c r="F30" i="3"/>
  <c r="E60" i="14"/>
  <c r="E89" i="14" s="1"/>
  <c r="F60" i="14"/>
  <c r="F89" i="14" s="1"/>
  <c r="G60" i="14"/>
  <c r="G89" i="14" s="1"/>
  <c r="H60" i="14"/>
  <c r="H89" i="14" s="1"/>
  <c r="I60" i="14"/>
  <c r="I89" i="14" s="1"/>
  <c r="J60" i="14"/>
  <c r="J89" i="14" s="1"/>
  <c r="K60" i="14"/>
  <c r="K89" i="14" s="1"/>
  <c r="L60" i="14"/>
  <c r="L89" i="14" s="1"/>
  <c r="M60" i="14"/>
  <c r="M89" i="14" s="1"/>
  <c r="N60" i="14"/>
  <c r="N89" i="14" s="1"/>
  <c r="O60" i="14"/>
  <c r="O89" i="14" s="1"/>
  <c r="P60" i="14"/>
  <c r="P89" i="14" s="1"/>
  <c r="Q60" i="14"/>
  <c r="Q89" i="14" s="1"/>
  <c r="R60" i="14"/>
  <c r="R89" i="14" s="1"/>
  <c r="S60" i="14"/>
  <c r="S89" i="14" s="1"/>
  <c r="T60" i="14"/>
  <c r="T89" i="14" s="1"/>
  <c r="U60" i="14"/>
  <c r="U89" i="14" s="1"/>
  <c r="V60" i="14"/>
  <c r="V89" i="14" s="1"/>
  <c r="W60" i="14"/>
  <c r="W89" i="14" s="1"/>
  <c r="X60" i="14"/>
  <c r="X89" i="14" s="1"/>
  <c r="Y60" i="14"/>
  <c r="Y89" i="14" s="1"/>
  <c r="Z60" i="14"/>
  <c r="Z89" i="14" s="1"/>
  <c r="AA60" i="14"/>
  <c r="AA89" i="14" s="1"/>
  <c r="AB60" i="14"/>
  <c r="AB89" i="14" s="1"/>
  <c r="AC60" i="14"/>
  <c r="AC89" i="14" s="1"/>
  <c r="AD60" i="14"/>
  <c r="AD89" i="14" s="1"/>
  <c r="AE60" i="14"/>
  <c r="AE89" i="14" s="1"/>
  <c r="AF60" i="14"/>
  <c r="AF89" i="14" s="1"/>
  <c r="AG60" i="14"/>
  <c r="AG89" i="14" s="1"/>
  <c r="AH60" i="14"/>
  <c r="AH89" i="14" s="1"/>
  <c r="AI60" i="14"/>
  <c r="AI89" i="14" s="1"/>
  <c r="AJ60" i="14"/>
  <c r="AJ89" i="14" s="1"/>
  <c r="AK60" i="14"/>
  <c r="AK89" i="14" s="1"/>
  <c r="AL60" i="14"/>
  <c r="AL89" i="14" s="1"/>
  <c r="AM60" i="14"/>
  <c r="AM89" i="14" s="1"/>
  <c r="AN60" i="14"/>
  <c r="AN89" i="14" s="1"/>
  <c r="AO60" i="14"/>
  <c r="AO89" i="14" s="1"/>
  <c r="AP60" i="14"/>
  <c r="AP89" i="14" s="1"/>
  <c r="AQ60" i="14"/>
  <c r="AQ89" i="14" s="1"/>
  <c r="AR60" i="14"/>
  <c r="AR89" i="14" s="1"/>
  <c r="AS60" i="14"/>
  <c r="AS89" i="14" s="1"/>
  <c r="AT60" i="14"/>
  <c r="AT89" i="14" s="1"/>
  <c r="AU60" i="14"/>
  <c r="AU89" i="14" s="1"/>
  <c r="AV60" i="14"/>
  <c r="AV89" i="14" s="1"/>
  <c r="AW60" i="14"/>
  <c r="AW89" i="14" s="1"/>
  <c r="AX60" i="14"/>
  <c r="AX89" i="14" s="1"/>
  <c r="AY60" i="14"/>
  <c r="AY89" i="14" s="1"/>
  <c r="AZ60" i="14"/>
  <c r="AZ89" i="14" s="1"/>
  <c r="BA60" i="14"/>
  <c r="BA89" i="14" s="1"/>
  <c r="BB60" i="14"/>
  <c r="BB89" i="14" s="1"/>
  <c r="D60" i="14"/>
  <c r="D89" i="14" s="1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H115" i="16" l="1"/>
  <c r="H105" i="16"/>
  <c r="L34" i="26"/>
  <c r="M30" i="26"/>
  <c r="P109" i="3"/>
  <c r="O24" i="19"/>
  <c r="K109" i="3"/>
  <c r="J24" i="19"/>
  <c r="G109" i="3"/>
  <c r="F24" i="19"/>
  <c r="L109" i="3"/>
  <c r="K24" i="19"/>
  <c r="O109" i="3"/>
  <c r="N24" i="19"/>
  <c r="N109" i="3"/>
  <c r="M24" i="19"/>
  <c r="J109" i="3"/>
  <c r="I24" i="19"/>
  <c r="H109" i="3"/>
  <c r="G24" i="19"/>
  <c r="G36" i="19" s="1"/>
  <c r="M109" i="3"/>
  <c r="L24" i="19"/>
  <c r="I109" i="3"/>
  <c r="J108" i="3"/>
  <c r="K108" i="3"/>
  <c r="L107" i="3"/>
  <c r="G108" i="3"/>
  <c r="O108" i="3"/>
  <c r="M27" i="14"/>
  <c r="M111" i="14" s="1"/>
  <c r="S106" i="16"/>
  <c r="I27" i="14"/>
  <c r="I111" i="14" s="1"/>
  <c r="O106" i="16"/>
  <c r="H27" i="14"/>
  <c r="H111" i="14" s="1"/>
  <c r="G106" i="16"/>
  <c r="D27" i="14"/>
  <c r="D111" i="14" s="1"/>
  <c r="C106" i="16"/>
  <c r="J107" i="3"/>
  <c r="P108" i="3"/>
  <c r="M108" i="3"/>
  <c r="L108" i="3"/>
  <c r="K27" i="14"/>
  <c r="K111" i="14" s="1"/>
  <c r="Q106" i="16"/>
  <c r="G27" i="14"/>
  <c r="G111" i="14" s="1"/>
  <c r="F106" i="16"/>
  <c r="G107" i="3"/>
  <c r="E27" i="14"/>
  <c r="E111" i="14" s="1"/>
  <c r="D106" i="16"/>
  <c r="L27" i="14"/>
  <c r="L111" i="14" s="1"/>
  <c r="R106" i="16"/>
  <c r="J27" i="14"/>
  <c r="J111" i="14" s="1"/>
  <c r="P106" i="16"/>
  <c r="F27" i="14"/>
  <c r="F111" i="14" s="1"/>
  <c r="E106" i="16"/>
  <c r="N107" i="3"/>
  <c r="O107" i="3"/>
  <c r="N108" i="3"/>
  <c r="I108" i="3"/>
  <c r="I107" i="3"/>
  <c r="P107" i="3"/>
  <c r="M107" i="3"/>
  <c r="K107" i="3"/>
  <c r="H107" i="3"/>
  <c r="P61" i="34"/>
  <c r="M60" i="34"/>
  <c r="M63" i="34" s="1"/>
  <c r="N60" i="34"/>
  <c r="N63" i="34" s="1"/>
  <c r="M29" i="26"/>
  <c r="L33" i="26"/>
  <c r="L35" i="26" s="1"/>
  <c r="L31" i="26"/>
  <c r="G10" i="18"/>
  <c r="L114" i="3" l="1"/>
  <c r="H118" i="16"/>
  <c r="N30" i="26"/>
  <c r="M34" i="26"/>
  <c r="J36" i="19"/>
  <c r="J149" i="19" s="1"/>
  <c r="G44" i="16" s="1"/>
  <c r="G59" i="16"/>
  <c r="L36" i="19"/>
  <c r="L149" i="19" s="1"/>
  <c r="P44" i="16" s="1"/>
  <c r="P59" i="16"/>
  <c r="I36" i="19"/>
  <c r="I149" i="19" s="1"/>
  <c r="F44" i="16" s="1"/>
  <c r="F59" i="16"/>
  <c r="N36" i="19"/>
  <c r="N149" i="19" s="1"/>
  <c r="R44" i="16" s="1"/>
  <c r="R59" i="16"/>
  <c r="F36" i="19"/>
  <c r="F149" i="19" s="1"/>
  <c r="C44" i="16" s="1"/>
  <c r="C59" i="16"/>
  <c r="O36" i="19"/>
  <c r="O149" i="19" s="1"/>
  <c r="S44" i="16" s="1"/>
  <c r="S59" i="16"/>
  <c r="H36" i="19"/>
  <c r="H149" i="19" s="1"/>
  <c r="E44" i="16" s="1"/>
  <c r="E59" i="16"/>
  <c r="G149" i="19"/>
  <c r="D44" i="16" s="1"/>
  <c r="D59" i="16"/>
  <c r="M36" i="19"/>
  <c r="M149" i="19" s="1"/>
  <c r="Q44" i="16" s="1"/>
  <c r="Q59" i="16"/>
  <c r="K36" i="19"/>
  <c r="K149" i="19" s="1"/>
  <c r="O44" i="16" s="1"/>
  <c r="O59" i="16"/>
  <c r="N29" i="26"/>
  <c r="M31" i="26"/>
  <c r="M33" i="26"/>
  <c r="M35" i="26" s="1"/>
  <c r="K2802" i="28"/>
  <c r="G62" i="18" s="1"/>
  <c r="G2802" i="28"/>
  <c r="K2799" i="28"/>
  <c r="J2799" i="28"/>
  <c r="I2799" i="28"/>
  <c r="F2799" i="28"/>
  <c r="G2799" i="28"/>
  <c r="E2799" i="28"/>
  <c r="G2832" i="28" l="1"/>
  <c r="G2831" i="28"/>
  <c r="G2835" i="28"/>
  <c r="G2834" i="28"/>
  <c r="G2833" i="28"/>
  <c r="K2803" i="28"/>
  <c r="G63" i="18" s="1"/>
  <c r="O30" i="26"/>
  <c r="O34" i="26" s="1"/>
  <c r="N34" i="26"/>
  <c r="G2803" i="28"/>
  <c r="G56" i="18" s="1"/>
  <c r="G55" i="18"/>
  <c r="M2799" i="28"/>
  <c r="O29" i="26"/>
  <c r="N31" i="26"/>
  <c r="N33" i="26"/>
  <c r="C8" i="32"/>
  <c r="C9" i="32" s="1"/>
  <c r="B47" i="7"/>
  <c r="S36" i="7"/>
  <c r="T36" i="7"/>
  <c r="N35" i="26" l="1"/>
  <c r="R21" i="28"/>
  <c r="R19" i="28"/>
  <c r="R15" i="28"/>
  <c r="R12" i="28"/>
  <c r="R11" i="28"/>
  <c r="R22" i="28"/>
  <c r="R18" i="28"/>
  <c r="R13" i="28"/>
  <c r="R9" i="28"/>
  <c r="R14" i="28"/>
  <c r="R20" i="28"/>
  <c r="R23" i="28"/>
  <c r="R25" i="28"/>
  <c r="R24" i="28"/>
  <c r="R16" i="28"/>
  <c r="R26" i="28"/>
  <c r="R10" i="28"/>
  <c r="R17" i="28"/>
  <c r="R47" i="7"/>
  <c r="P47" i="7"/>
  <c r="Q47" i="7"/>
  <c r="S47" i="7"/>
  <c r="O31" i="26"/>
  <c r="O33" i="26"/>
  <c r="O35" i="26" s="1"/>
  <c r="T47" i="7"/>
  <c r="T24" i="7"/>
  <c r="U36" i="7" l="1"/>
  <c r="U47" i="7"/>
  <c r="U24" i="7"/>
  <c r="V36" i="7" l="1"/>
  <c r="V47" i="7"/>
  <c r="V24" i="7"/>
  <c r="C38" i="23"/>
  <c r="C37" i="23"/>
  <c r="D45" i="27"/>
  <c r="C38" i="27"/>
  <c r="C37" i="27"/>
  <c r="C39" i="23" l="1"/>
  <c r="C45" i="23" s="1"/>
  <c r="C39" i="27"/>
  <c r="C45" i="27" s="1"/>
  <c r="W36" i="7"/>
  <c r="W47" i="7"/>
  <c r="W24" i="7"/>
  <c r="X36" i="7" l="1"/>
  <c r="X47" i="7"/>
  <c r="X24" i="7"/>
  <c r="Y36" i="7" l="1"/>
  <c r="Y47" i="7"/>
  <c r="Y24" i="7"/>
  <c r="D21" i="24"/>
  <c r="D20" i="24"/>
  <c r="D19" i="24"/>
  <c r="Z36" i="7" l="1"/>
  <c r="Z47" i="7"/>
  <c r="Z24" i="7"/>
  <c r="AA36" i="7" l="1"/>
  <c r="AA47" i="7"/>
  <c r="AB47" i="7"/>
  <c r="AA24" i="7"/>
  <c r="D42" i="14"/>
  <c r="D43" i="14"/>
  <c r="D72" i="14" s="1"/>
  <c r="D41" i="14"/>
  <c r="D70" i="14" s="1"/>
  <c r="C97" i="14"/>
  <c r="B74" i="14"/>
  <c r="B45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16" i="14"/>
  <c r="BA45" i="14" l="1"/>
  <c r="AK45" i="14"/>
  <c r="AB24" i="7"/>
  <c r="AB36" i="7"/>
  <c r="AW45" i="14"/>
  <c r="AG45" i="14"/>
  <c r="AS45" i="14"/>
  <c r="AC45" i="14"/>
  <c r="Z45" i="14"/>
  <c r="AO45" i="14"/>
  <c r="Y45" i="14"/>
  <c r="AZ45" i="14"/>
  <c r="AV45" i="14"/>
  <c r="AR45" i="14"/>
  <c r="AN45" i="14"/>
  <c r="AJ45" i="14"/>
  <c r="AF45" i="14"/>
  <c r="AB45" i="14"/>
  <c r="X45" i="14"/>
  <c r="AY45" i="14"/>
  <c r="AU45" i="14"/>
  <c r="AQ45" i="14"/>
  <c r="AM45" i="14"/>
  <c r="AI45" i="14"/>
  <c r="AE45" i="14"/>
  <c r="AA45" i="14"/>
  <c r="D71" i="14"/>
  <c r="AG74" i="14" s="1"/>
  <c r="BB45" i="14"/>
  <c r="AX45" i="14"/>
  <c r="AT45" i="14"/>
  <c r="AP45" i="14"/>
  <c r="AL45" i="14"/>
  <c r="AH45" i="14"/>
  <c r="AD45" i="14"/>
  <c r="AV74" i="14"/>
  <c r="AY74" i="14"/>
  <c r="AD74" i="14" l="1"/>
  <c r="AX74" i="14"/>
  <c r="AA74" i="14"/>
  <c r="AH74" i="14"/>
  <c r="AI74" i="14"/>
  <c r="R74" i="14"/>
  <c r="AL74" i="14"/>
  <c r="S74" i="14"/>
  <c r="AM74" i="14"/>
  <c r="AF74" i="14"/>
  <c r="BB74" i="14"/>
  <c r="P74" i="14"/>
  <c r="Y74" i="14"/>
  <c r="V74" i="14"/>
  <c r="AT74" i="14"/>
  <c r="W74" i="14"/>
  <c r="AQ74" i="14"/>
  <c r="AN74" i="14"/>
  <c r="T74" i="14"/>
  <c r="AB74" i="14"/>
  <c r="AJ74" i="14"/>
  <c r="AR74" i="14"/>
  <c r="AZ74" i="14"/>
  <c r="U74" i="14"/>
  <c r="AC74" i="14"/>
  <c r="AK74" i="14"/>
  <c r="AS74" i="14"/>
  <c r="BA74" i="14"/>
  <c r="AO74" i="14"/>
  <c r="Z74" i="14"/>
  <c r="AP74" i="14"/>
  <c r="O74" i="14"/>
  <c r="AE74" i="14"/>
  <c r="AU74" i="14"/>
  <c r="X74" i="14"/>
  <c r="Q74" i="14"/>
  <c r="AW74" i="14"/>
  <c r="N74" i="14"/>
  <c r="Q45" i="14"/>
  <c r="U45" i="14"/>
  <c r="N45" i="14"/>
  <c r="R45" i="14"/>
  <c r="V45" i="14"/>
  <c r="O45" i="14"/>
  <c r="S45" i="14"/>
  <c r="W45" i="14"/>
  <c r="P45" i="14"/>
  <c r="T45" i="14"/>
  <c r="B69" i="31" l="1"/>
  <c r="B70" i="31"/>
  <c r="B71" i="31"/>
  <c r="B72" i="31"/>
  <c r="B73" i="31"/>
  <c r="B31" i="31"/>
  <c r="B32" i="31"/>
  <c r="B30" i="31"/>
  <c r="D56" i="31"/>
  <c r="D53" i="31"/>
  <c r="C53" i="31"/>
  <c r="C55" i="31"/>
  <c r="C56" i="31"/>
  <c r="C52" i="31"/>
  <c r="D49" i="31"/>
  <c r="D46" i="31"/>
  <c r="C46" i="31"/>
  <c r="C48" i="31"/>
  <c r="C49" i="31"/>
  <c r="C45" i="31"/>
  <c r="C42" i="31"/>
  <c r="C27" i="31"/>
  <c r="C34" i="31"/>
  <c r="C35" i="31"/>
  <c r="C26" i="31"/>
  <c r="D11" i="31"/>
  <c r="D12" i="31"/>
  <c r="D13" i="31"/>
  <c r="D19" i="31"/>
  <c r="D20" i="31"/>
  <c r="D21" i="31"/>
  <c r="D23" i="31"/>
  <c r="D9" i="31"/>
  <c r="C23" i="31"/>
  <c r="C9" i="31"/>
  <c r="C11" i="31"/>
  <c r="C12" i="31"/>
  <c r="C13" i="31"/>
  <c r="C16" i="31"/>
  <c r="C17" i="31"/>
  <c r="C19" i="31"/>
  <c r="C20" i="31"/>
  <c r="C21" i="31"/>
  <c r="C8" i="31"/>
  <c r="C70" i="31"/>
  <c r="C71" i="31"/>
  <c r="C72" i="31"/>
  <c r="C73" i="31"/>
  <c r="C69" i="31"/>
  <c r="D63" i="31" l="1"/>
  <c r="D61" i="31"/>
  <c r="D64" i="31"/>
  <c r="D65" i="31"/>
  <c r="D62" i="31"/>
  <c r="B38" i="31"/>
  <c r="B40" i="31"/>
  <c r="B39" i="31"/>
  <c r="C79" i="31"/>
  <c r="C86" i="31" s="1"/>
  <c r="C94" i="31" s="1"/>
  <c r="C101" i="31" s="1"/>
  <c r="C80" i="31"/>
  <c r="C87" i="31" s="1"/>
  <c r="C95" i="31" s="1"/>
  <c r="C102" i="31" s="1"/>
  <c r="C77" i="31"/>
  <c r="C84" i="31" s="1"/>
  <c r="C92" i="31" s="1"/>
  <c r="C99" i="31" s="1"/>
  <c r="C78" i="31"/>
  <c r="C85" i="31" s="1"/>
  <c r="C93" i="31" s="1"/>
  <c r="C100" i="31" s="1"/>
  <c r="C81" i="31"/>
  <c r="C88" i="31" s="1"/>
  <c r="C96" i="31" s="1"/>
  <c r="C103" i="31" s="1"/>
  <c r="B80" i="31"/>
  <c r="E80" i="31" s="1"/>
  <c r="B79" i="31"/>
  <c r="E79" i="31" s="1"/>
  <c r="B78" i="31"/>
  <c r="E78" i="31" s="1"/>
  <c r="B81" i="31"/>
  <c r="E81" i="31" s="1"/>
  <c r="B77" i="31"/>
  <c r="E77" i="31" s="1"/>
  <c r="D77" i="31" l="1"/>
  <c r="D70" i="31"/>
  <c r="D73" i="31"/>
  <c r="D72" i="31"/>
  <c r="D71" i="31"/>
  <c r="D81" i="31"/>
  <c r="B87" i="31"/>
  <c r="D80" i="31"/>
  <c r="B88" i="31"/>
  <c r="E88" i="31" s="1"/>
  <c r="E103" i="31" s="1"/>
  <c r="B85" i="31"/>
  <c r="E85" i="31" s="1"/>
  <c r="E100" i="31" s="1"/>
  <c r="D78" i="31"/>
  <c r="B84" i="31"/>
  <c r="E84" i="31" s="1"/>
  <c r="E99" i="31" s="1"/>
  <c r="D79" i="31"/>
  <c r="B86" i="31"/>
  <c r="E86" i="31" s="1"/>
  <c r="E94" i="31" s="1"/>
  <c r="L32" i="30"/>
  <c r="K32" i="30"/>
  <c r="J32" i="30"/>
  <c r="I32" i="30"/>
  <c r="H32" i="30"/>
  <c r="G32" i="30"/>
  <c r="F32" i="30"/>
  <c r="E32" i="30"/>
  <c r="D32" i="30"/>
  <c r="C32" i="30"/>
  <c r="L30" i="30"/>
  <c r="K30" i="30"/>
  <c r="J30" i="30"/>
  <c r="I30" i="30"/>
  <c r="H30" i="30"/>
  <c r="G30" i="30"/>
  <c r="F30" i="30"/>
  <c r="E30" i="30"/>
  <c r="D30" i="30"/>
  <c r="C30" i="30"/>
  <c r="L28" i="30"/>
  <c r="K28" i="30"/>
  <c r="J28" i="30"/>
  <c r="I28" i="30"/>
  <c r="H28" i="30"/>
  <c r="G28" i="30"/>
  <c r="F28" i="30"/>
  <c r="E28" i="30"/>
  <c r="D28" i="30"/>
  <c r="C28" i="30"/>
  <c r="D26" i="30"/>
  <c r="E26" i="30"/>
  <c r="F26" i="30"/>
  <c r="G26" i="30"/>
  <c r="H26" i="30"/>
  <c r="I26" i="30"/>
  <c r="J26" i="30"/>
  <c r="K26" i="30"/>
  <c r="L26" i="30"/>
  <c r="C26" i="30"/>
  <c r="C7" i="30"/>
  <c r="D7" i="30"/>
  <c r="X7" i="30" s="1"/>
  <c r="E7" i="30"/>
  <c r="F7" i="30"/>
  <c r="G7" i="30"/>
  <c r="H7" i="30"/>
  <c r="I7" i="30"/>
  <c r="J7" i="30"/>
  <c r="K7" i="30"/>
  <c r="L7" i="30"/>
  <c r="C8" i="30"/>
  <c r="D8" i="30"/>
  <c r="E8" i="30"/>
  <c r="F8" i="30"/>
  <c r="G8" i="30"/>
  <c r="H8" i="30"/>
  <c r="I8" i="30"/>
  <c r="J8" i="30"/>
  <c r="K8" i="30"/>
  <c r="L8" i="30"/>
  <c r="C9" i="30"/>
  <c r="D9" i="30"/>
  <c r="E9" i="30"/>
  <c r="F9" i="30"/>
  <c r="G9" i="30"/>
  <c r="H9" i="30"/>
  <c r="I9" i="30"/>
  <c r="J9" i="30"/>
  <c r="K9" i="30"/>
  <c r="L9" i="30"/>
  <c r="C10" i="30"/>
  <c r="D10" i="30"/>
  <c r="E10" i="30"/>
  <c r="F10" i="30"/>
  <c r="G10" i="30"/>
  <c r="H10" i="30"/>
  <c r="I10" i="30"/>
  <c r="J10" i="30"/>
  <c r="K10" i="30"/>
  <c r="L10" i="30"/>
  <c r="C12" i="30"/>
  <c r="W27" i="30" s="1"/>
  <c r="X27" i="30" s="1"/>
  <c r="Y27" i="30" s="1"/>
  <c r="Z27" i="30" s="1"/>
  <c r="AA27" i="30" s="1"/>
  <c r="AB27" i="30" s="1"/>
  <c r="AC27" i="30" s="1"/>
  <c r="AD27" i="30" s="1"/>
  <c r="AE27" i="30" s="1"/>
  <c r="AF27" i="30" s="1"/>
  <c r="D12" i="30"/>
  <c r="E12" i="30"/>
  <c r="F12" i="30"/>
  <c r="G12" i="30"/>
  <c r="H12" i="30"/>
  <c r="I12" i="30"/>
  <c r="J12" i="30"/>
  <c r="K12" i="30"/>
  <c r="L12" i="30"/>
  <c r="D6" i="30"/>
  <c r="E6" i="30"/>
  <c r="F6" i="30"/>
  <c r="G6" i="30"/>
  <c r="H6" i="30"/>
  <c r="I6" i="30"/>
  <c r="T6" i="30" s="1"/>
  <c r="J6" i="30"/>
  <c r="K6" i="30"/>
  <c r="L6" i="30"/>
  <c r="C6" i="30"/>
  <c r="S14" i="30"/>
  <c r="R14" i="30"/>
  <c r="Q14" i="30"/>
  <c r="N14" i="30"/>
  <c r="S12" i="30"/>
  <c r="P12" i="30"/>
  <c r="N12" i="30"/>
  <c r="U10" i="30"/>
  <c r="S10" i="30"/>
  <c r="Q10" i="30"/>
  <c r="P10" i="30"/>
  <c r="N10" i="30"/>
  <c r="S9" i="30"/>
  <c r="P9" i="30"/>
  <c r="N9" i="30"/>
  <c r="S8" i="30"/>
  <c r="P8" i="30"/>
  <c r="N8" i="30"/>
  <c r="S7" i="30"/>
  <c r="P7" i="30"/>
  <c r="N7" i="30"/>
  <c r="E92" i="31" l="1"/>
  <c r="E101" i="31"/>
  <c r="E96" i="31"/>
  <c r="E93" i="31"/>
  <c r="B95" i="31"/>
  <c r="B102" i="31" s="1"/>
  <c r="E87" i="31"/>
  <c r="O6" i="30"/>
  <c r="X6" i="30"/>
  <c r="D69" i="31"/>
  <c r="X28" i="30"/>
  <c r="Y28" i="30" s="1"/>
  <c r="Z28" i="30" s="1"/>
  <c r="AA28" i="30" s="1"/>
  <c r="AB28" i="30" s="1"/>
  <c r="AC28" i="30" s="1"/>
  <c r="AD28" i="30" s="1"/>
  <c r="AE28" i="30" s="1"/>
  <c r="AF28" i="30" s="1"/>
  <c r="D87" i="31"/>
  <c r="D95" i="31" s="1"/>
  <c r="D64" i="36" s="1"/>
  <c r="X26" i="30"/>
  <c r="Y26" i="30" s="1"/>
  <c r="Z26" i="30" s="1"/>
  <c r="AA26" i="30" s="1"/>
  <c r="AB26" i="30" s="1"/>
  <c r="AC26" i="30" s="1"/>
  <c r="AD26" i="30" s="1"/>
  <c r="AE26" i="30" s="1"/>
  <c r="AF26" i="30" s="1"/>
  <c r="T8" i="30"/>
  <c r="T10" i="30"/>
  <c r="X10" i="30"/>
  <c r="Y10" i="30" s="1"/>
  <c r="Z10" i="30" s="1"/>
  <c r="AA10" i="30" s="1"/>
  <c r="AB10" i="30" s="1"/>
  <c r="AC10" i="30" s="1"/>
  <c r="AD10" i="30" s="1"/>
  <c r="AE10" i="30" s="1"/>
  <c r="AF10" i="30" s="1"/>
  <c r="B92" i="31"/>
  <c r="B99" i="31" s="1"/>
  <c r="D84" i="31"/>
  <c r="D92" i="31" s="1"/>
  <c r="D61" i="36" s="1"/>
  <c r="B94" i="31"/>
  <c r="B101" i="31" s="1"/>
  <c r="D86" i="31"/>
  <c r="D94" i="31" s="1"/>
  <c r="D63" i="36" s="1"/>
  <c r="B93" i="31"/>
  <c r="B100" i="31" s="1"/>
  <c r="D85" i="31"/>
  <c r="D93" i="31" s="1"/>
  <c r="D62" i="36" s="1"/>
  <c r="B96" i="31"/>
  <c r="B103" i="31" s="1"/>
  <c r="D88" i="31"/>
  <c r="D96" i="31" s="1"/>
  <c r="D65" i="36" s="1"/>
  <c r="X11" i="30"/>
  <c r="Y11" i="30" s="1"/>
  <c r="Z11" i="30" s="1"/>
  <c r="AA11" i="30" s="1"/>
  <c r="AB11" i="30" s="1"/>
  <c r="AC11" i="30" s="1"/>
  <c r="AD11" i="30" s="1"/>
  <c r="AE11" i="30" s="1"/>
  <c r="AF11" i="30" s="1"/>
  <c r="X9" i="30"/>
  <c r="X13" i="30"/>
  <c r="Y13" i="30" s="1"/>
  <c r="Z13" i="30" s="1"/>
  <c r="AA13" i="30" s="1"/>
  <c r="AB13" i="30" s="1"/>
  <c r="AC13" i="30" s="1"/>
  <c r="AD13" i="30" s="1"/>
  <c r="AE13" i="30" s="1"/>
  <c r="AF13" i="30" s="1"/>
  <c r="Y7" i="30"/>
  <c r="Z7" i="30" s="1"/>
  <c r="AA7" i="30" s="1"/>
  <c r="AB7" i="30" s="1"/>
  <c r="AC7" i="30" s="1"/>
  <c r="AD7" i="30" s="1"/>
  <c r="AE7" i="30" s="1"/>
  <c r="AF7" i="30" s="1"/>
  <c r="W22" i="30"/>
  <c r="W25" i="30"/>
  <c r="W24" i="30"/>
  <c r="X12" i="30"/>
  <c r="Y12" i="30" s="1"/>
  <c r="Z12" i="30" s="1"/>
  <c r="AA12" i="30" s="1"/>
  <c r="AB12" i="30" s="1"/>
  <c r="AC12" i="30" s="1"/>
  <c r="AD12" i="30" s="1"/>
  <c r="AE12" i="30" s="1"/>
  <c r="AF12" i="30" s="1"/>
  <c r="X8" i="30"/>
  <c r="T7" i="30"/>
  <c r="W23" i="30"/>
  <c r="Y6" i="30"/>
  <c r="Z6" i="30" s="1"/>
  <c r="T9" i="30"/>
  <c r="O7" i="30"/>
  <c r="X32" i="30"/>
  <c r="Y32" i="30" s="1"/>
  <c r="Z32" i="30" s="1"/>
  <c r="AA32" i="30" s="1"/>
  <c r="AB32" i="30" s="1"/>
  <c r="AC32" i="30" s="1"/>
  <c r="AD32" i="30" s="1"/>
  <c r="AE32" i="30" s="1"/>
  <c r="AF32" i="30" s="1"/>
  <c r="O10" i="30"/>
  <c r="O14" i="30"/>
  <c r="P14" i="30" s="1"/>
  <c r="T12" i="30"/>
  <c r="O8" i="30"/>
  <c r="O9" i="30"/>
  <c r="T14" i="30"/>
  <c r="O12" i="30"/>
  <c r="E95" i="31" l="1"/>
  <c r="E102" i="31"/>
  <c r="D101" i="31"/>
  <c r="D99" i="31"/>
  <c r="D102" i="31"/>
  <c r="D103" i="31"/>
  <c r="D100" i="31"/>
  <c r="Y9" i="30"/>
  <c r="Z9" i="30" s="1"/>
  <c r="AA9" i="30" s="1"/>
  <c r="AB9" i="30" s="1"/>
  <c r="AC9" i="30" s="1"/>
  <c r="AD9" i="30" s="1"/>
  <c r="AE9" i="30" s="1"/>
  <c r="AF9" i="30" s="1"/>
  <c r="W34" i="30"/>
  <c r="Y8" i="30"/>
  <c r="Z8" i="30" s="1"/>
  <c r="AA8" i="30" s="1"/>
  <c r="AB8" i="30" s="1"/>
  <c r="AC8" i="30" s="1"/>
  <c r="AD8" i="30" s="1"/>
  <c r="AE8" i="30" s="1"/>
  <c r="AF8" i="30" s="1"/>
  <c r="AA6" i="30"/>
  <c r="AB6" i="30" s="1"/>
  <c r="AC6" i="30" s="1"/>
  <c r="AD6" i="30" s="1"/>
  <c r="AE6" i="30" s="1"/>
  <c r="AF6" i="30" s="1"/>
  <c r="X14" i="30"/>
  <c r="Y14" i="30" s="1"/>
  <c r="Z14" i="30" s="1"/>
  <c r="AA14" i="30" s="1"/>
  <c r="AB14" i="30" s="1"/>
  <c r="AC14" i="30" s="1"/>
  <c r="AD14" i="30" s="1"/>
  <c r="AE14" i="30" s="1"/>
  <c r="AF14" i="30" s="1"/>
  <c r="X29" i="30"/>
  <c r="Y29" i="30" s="1"/>
  <c r="Z29" i="30" s="1"/>
  <c r="AA29" i="30" s="1"/>
  <c r="AB29" i="30" s="1"/>
  <c r="AC29" i="30" s="1"/>
  <c r="AD29" i="30" s="1"/>
  <c r="AE29" i="30" s="1"/>
  <c r="AF29" i="30" s="1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0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6" i="12"/>
  <c r="Q6" i="12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57" i="1"/>
  <c r="R57" i="1"/>
  <c r="Q58" i="1"/>
  <c r="R58" i="1"/>
  <c r="Q59" i="1"/>
  <c r="R59" i="1"/>
  <c r="Q60" i="1"/>
  <c r="R60" i="1"/>
  <c r="Q61" i="1"/>
  <c r="R61" i="1"/>
  <c r="Q62" i="1"/>
  <c r="R62" i="1"/>
  <c r="Q63" i="1"/>
  <c r="R63" i="1"/>
  <c r="Q64" i="1"/>
  <c r="R64" i="1"/>
  <c r="Q65" i="1"/>
  <c r="R65" i="1"/>
  <c r="Q66" i="1"/>
  <c r="R66" i="1"/>
  <c r="Q67" i="1"/>
  <c r="R67" i="1"/>
  <c r="Q69" i="1"/>
  <c r="R69" i="1"/>
  <c r="Q70" i="1"/>
  <c r="R70" i="1"/>
  <c r="Q71" i="1"/>
  <c r="R71" i="1"/>
  <c r="Q72" i="1"/>
  <c r="R72" i="1"/>
  <c r="Q73" i="1"/>
  <c r="R73" i="1"/>
  <c r="Q74" i="1"/>
  <c r="R74" i="1"/>
  <c r="Q75" i="1"/>
  <c r="R75" i="1"/>
  <c r="Q76" i="1"/>
  <c r="R76" i="1"/>
  <c r="Q77" i="1"/>
  <c r="R77" i="1"/>
  <c r="Q78" i="1"/>
  <c r="R78" i="1"/>
  <c r="Q79" i="1"/>
  <c r="R79" i="1"/>
  <c r="Q80" i="1"/>
  <c r="R80" i="1"/>
  <c r="Q81" i="1"/>
  <c r="R81" i="1"/>
  <c r="Q82" i="1"/>
  <c r="R82" i="1"/>
  <c r="Q83" i="1"/>
  <c r="R83" i="1"/>
  <c r="Q84" i="1"/>
  <c r="R84" i="1"/>
  <c r="Q85" i="1"/>
  <c r="R85" i="1"/>
  <c r="Q86" i="1"/>
  <c r="R86" i="1"/>
  <c r="P47" i="1"/>
  <c r="P48" i="1"/>
  <c r="P49" i="1"/>
  <c r="P50" i="1"/>
  <c r="P51" i="1"/>
  <c r="P52" i="1"/>
  <c r="P53" i="1"/>
  <c r="P58" i="1"/>
  <c r="P59" i="1"/>
  <c r="P60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46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1" i="1"/>
  <c r="Q42" i="1"/>
  <c r="Q5" i="1"/>
  <c r="E237" i="1"/>
  <c r="P237" i="1" s="1"/>
  <c r="E238" i="1"/>
  <c r="P238" i="1" s="1"/>
  <c r="E239" i="1"/>
  <c r="E240" i="1"/>
  <c r="E241" i="1"/>
  <c r="P241" i="1" s="1"/>
  <c r="E242" i="1"/>
  <c r="P242" i="1" s="1"/>
  <c r="E243" i="1"/>
  <c r="P243" i="1" s="1"/>
  <c r="E244" i="1"/>
  <c r="E245" i="1"/>
  <c r="P245" i="1" s="1"/>
  <c r="E246" i="1"/>
  <c r="P246" i="1" s="1"/>
  <c r="E247" i="1"/>
  <c r="E248" i="1"/>
  <c r="E249" i="1"/>
  <c r="P249" i="1" s="1"/>
  <c r="E250" i="1"/>
  <c r="P250" i="1" s="1"/>
  <c r="E251" i="1"/>
  <c r="P251" i="1" s="1"/>
  <c r="E252" i="1"/>
  <c r="E253" i="1"/>
  <c r="P253" i="1" s="1"/>
  <c r="E254" i="1"/>
  <c r="P254" i="1" s="1"/>
  <c r="E255" i="1"/>
  <c r="E256" i="1"/>
  <c r="E257" i="1"/>
  <c r="P257" i="1" s="1"/>
  <c r="E258" i="1"/>
  <c r="P258" i="1" s="1"/>
  <c r="E259" i="1"/>
  <c r="P259" i="1" s="1"/>
  <c r="E260" i="1"/>
  <c r="E261" i="1"/>
  <c r="R261" i="1" s="1"/>
  <c r="E262" i="1"/>
  <c r="P262" i="1" s="1"/>
  <c r="E263" i="1"/>
  <c r="E264" i="1"/>
  <c r="E265" i="1"/>
  <c r="R265" i="1" s="1"/>
  <c r="E266" i="1"/>
  <c r="P266" i="1" s="1"/>
  <c r="E267" i="1"/>
  <c r="P267" i="1" s="1"/>
  <c r="E268" i="1"/>
  <c r="E269" i="1"/>
  <c r="R269" i="1" s="1"/>
  <c r="E270" i="1"/>
  <c r="E272" i="1"/>
  <c r="R273" i="1"/>
  <c r="E129" i="1"/>
  <c r="P129" i="1" s="1"/>
  <c r="E130" i="1"/>
  <c r="E131" i="1"/>
  <c r="P131" i="1" s="1"/>
  <c r="E132" i="1"/>
  <c r="P132" i="1" s="1"/>
  <c r="E133" i="1"/>
  <c r="P133" i="1" s="1"/>
  <c r="E134" i="1"/>
  <c r="E135" i="1"/>
  <c r="P135" i="1" s="1"/>
  <c r="E136" i="1"/>
  <c r="P136" i="1" s="1"/>
  <c r="E137" i="1"/>
  <c r="P137" i="1" s="1"/>
  <c r="E138" i="1"/>
  <c r="R138" i="1" s="1"/>
  <c r="E139" i="1"/>
  <c r="P139" i="1" s="1"/>
  <c r="E140" i="1"/>
  <c r="P140" i="1" s="1"/>
  <c r="E141" i="1"/>
  <c r="P141" i="1" s="1"/>
  <c r="E142" i="1"/>
  <c r="R142" i="1" s="1"/>
  <c r="E143" i="1"/>
  <c r="P143" i="1" s="1"/>
  <c r="E144" i="1"/>
  <c r="P144" i="1" s="1"/>
  <c r="E145" i="1"/>
  <c r="R145" i="1" s="1"/>
  <c r="E146" i="1"/>
  <c r="E147" i="1"/>
  <c r="P147" i="1" s="1"/>
  <c r="E148" i="1"/>
  <c r="P148" i="1" s="1"/>
  <c r="E149" i="1"/>
  <c r="R149" i="1" s="1"/>
  <c r="E150" i="1"/>
  <c r="E151" i="1"/>
  <c r="P151" i="1" s="1"/>
  <c r="E152" i="1"/>
  <c r="P152" i="1" s="1"/>
  <c r="E153" i="1"/>
  <c r="R153" i="1" s="1"/>
  <c r="E154" i="1"/>
  <c r="E155" i="1"/>
  <c r="P155" i="1" s="1"/>
  <c r="E156" i="1"/>
  <c r="P156" i="1" s="1"/>
  <c r="E157" i="1"/>
  <c r="R157" i="1" s="1"/>
  <c r="E158" i="1"/>
  <c r="E159" i="1"/>
  <c r="E160" i="1"/>
  <c r="P160" i="1" s="1"/>
  <c r="E161" i="1"/>
  <c r="R161" i="1" s="1"/>
  <c r="E162" i="1"/>
  <c r="E164" i="1"/>
  <c r="E165" i="1"/>
  <c r="R165" i="1" s="1"/>
  <c r="G91" i="1"/>
  <c r="T91" i="1" s="1"/>
  <c r="H91" i="1"/>
  <c r="I91" i="1"/>
  <c r="J91" i="1"/>
  <c r="K91" i="1"/>
  <c r="L91" i="1"/>
  <c r="M91" i="1"/>
  <c r="N91" i="1"/>
  <c r="O91" i="1"/>
  <c r="G92" i="1"/>
  <c r="T92" i="1" s="1"/>
  <c r="H92" i="1"/>
  <c r="I92" i="1"/>
  <c r="J92" i="1"/>
  <c r="K92" i="1"/>
  <c r="L92" i="1"/>
  <c r="M92" i="1"/>
  <c r="N92" i="1"/>
  <c r="O92" i="1"/>
  <c r="G93" i="1"/>
  <c r="T93" i="1" s="1"/>
  <c r="H93" i="1"/>
  <c r="I93" i="1"/>
  <c r="J93" i="1"/>
  <c r="K93" i="1"/>
  <c r="L93" i="1"/>
  <c r="M93" i="1"/>
  <c r="N93" i="1"/>
  <c r="O93" i="1"/>
  <c r="G94" i="1"/>
  <c r="T94" i="1" s="1"/>
  <c r="H94" i="1"/>
  <c r="I94" i="1"/>
  <c r="J94" i="1"/>
  <c r="K94" i="1"/>
  <c r="L94" i="1"/>
  <c r="M94" i="1"/>
  <c r="N94" i="1"/>
  <c r="O94" i="1"/>
  <c r="G95" i="1"/>
  <c r="T95" i="1" s="1"/>
  <c r="H95" i="1"/>
  <c r="I95" i="1"/>
  <c r="J95" i="1"/>
  <c r="K95" i="1"/>
  <c r="L95" i="1"/>
  <c r="M95" i="1"/>
  <c r="N95" i="1"/>
  <c r="O95" i="1"/>
  <c r="G96" i="1"/>
  <c r="T96" i="1" s="1"/>
  <c r="H96" i="1"/>
  <c r="I96" i="1"/>
  <c r="J96" i="1"/>
  <c r="K96" i="1"/>
  <c r="L96" i="1"/>
  <c r="M96" i="1"/>
  <c r="N96" i="1"/>
  <c r="O96" i="1"/>
  <c r="G97" i="1"/>
  <c r="T97" i="1" s="1"/>
  <c r="H97" i="1"/>
  <c r="I97" i="1"/>
  <c r="J97" i="1"/>
  <c r="K97" i="1"/>
  <c r="L97" i="1"/>
  <c r="M97" i="1"/>
  <c r="N97" i="1"/>
  <c r="O97" i="1"/>
  <c r="G98" i="1"/>
  <c r="T98" i="1" s="1"/>
  <c r="H98" i="1"/>
  <c r="I98" i="1"/>
  <c r="J98" i="1"/>
  <c r="K98" i="1"/>
  <c r="L98" i="1"/>
  <c r="M98" i="1"/>
  <c r="N98" i="1"/>
  <c r="O98" i="1"/>
  <c r="G99" i="1"/>
  <c r="T99" i="1" s="1"/>
  <c r="H99" i="1"/>
  <c r="I99" i="1"/>
  <c r="J99" i="1"/>
  <c r="K99" i="1"/>
  <c r="L99" i="1"/>
  <c r="M99" i="1"/>
  <c r="N99" i="1"/>
  <c r="O99" i="1"/>
  <c r="G100" i="1"/>
  <c r="T100" i="1" s="1"/>
  <c r="H100" i="1"/>
  <c r="I100" i="1"/>
  <c r="J100" i="1"/>
  <c r="K100" i="1"/>
  <c r="L100" i="1"/>
  <c r="M100" i="1"/>
  <c r="N100" i="1"/>
  <c r="O100" i="1"/>
  <c r="G101" i="1"/>
  <c r="T101" i="1" s="1"/>
  <c r="H101" i="1"/>
  <c r="I101" i="1"/>
  <c r="J101" i="1"/>
  <c r="K101" i="1"/>
  <c r="L101" i="1"/>
  <c r="M101" i="1"/>
  <c r="N101" i="1"/>
  <c r="O101" i="1"/>
  <c r="G102" i="1"/>
  <c r="T102" i="1" s="1"/>
  <c r="H102" i="1"/>
  <c r="I102" i="1"/>
  <c r="J102" i="1"/>
  <c r="K102" i="1"/>
  <c r="L102" i="1"/>
  <c r="M102" i="1"/>
  <c r="N102" i="1"/>
  <c r="O102" i="1"/>
  <c r="G103" i="1"/>
  <c r="T103" i="1" s="1"/>
  <c r="H103" i="1"/>
  <c r="I103" i="1"/>
  <c r="J103" i="1"/>
  <c r="K103" i="1"/>
  <c r="L103" i="1"/>
  <c r="M103" i="1"/>
  <c r="N103" i="1"/>
  <c r="O103" i="1"/>
  <c r="G104" i="1"/>
  <c r="T104" i="1" s="1"/>
  <c r="H104" i="1"/>
  <c r="I104" i="1"/>
  <c r="J104" i="1"/>
  <c r="K104" i="1"/>
  <c r="L104" i="1"/>
  <c r="M104" i="1"/>
  <c r="N104" i="1"/>
  <c r="O104" i="1"/>
  <c r="G105" i="1"/>
  <c r="T105" i="1" s="1"/>
  <c r="H105" i="1"/>
  <c r="I105" i="1"/>
  <c r="J105" i="1"/>
  <c r="K105" i="1"/>
  <c r="L105" i="1"/>
  <c r="M105" i="1"/>
  <c r="N105" i="1"/>
  <c r="O105" i="1"/>
  <c r="G106" i="1"/>
  <c r="T106" i="1" s="1"/>
  <c r="H106" i="1"/>
  <c r="I106" i="1"/>
  <c r="J106" i="1"/>
  <c r="K106" i="1"/>
  <c r="L106" i="1"/>
  <c r="M106" i="1"/>
  <c r="N106" i="1"/>
  <c r="O106" i="1"/>
  <c r="G107" i="1"/>
  <c r="T107" i="1" s="1"/>
  <c r="H107" i="1"/>
  <c r="I107" i="1"/>
  <c r="J107" i="1"/>
  <c r="K107" i="1"/>
  <c r="L107" i="1"/>
  <c r="M107" i="1"/>
  <c r="N107" i="1"/>
  <c r="O107" i="1"/>
  <c r="G108" i="1"/>
  <c r="T108" i="1" s="1"/>
  <c r="H108" i="1"/>
  <c r="I108" i="1"/>
  <c r="J108" i="1"/>
  <c r="K108" i="1"/>
  <c r="L108" i="1"/>
  <c r="M108" i="1"/>
  <c r="N108" i="1"/>
  <c r="O108" i="1"/>
  <c r="G109" i="1"/>
  <c r="T109" i="1" s="1"/>
  <c r="H109" i="1"/>
  <c r="I109" i="1"/>
  <c r="J109" i="1"/>
  <c r="K109" i="1"/>
  <c r="L109" i="1"/>
  <c r="M109" i="1"/>
  <c r="N109" i="1"/>
  <c r="O109" i="1"/>
  <c r="G110" i="1"/>
  <c r="T110" i="1" s="1"/>
  <c r="H110" i="1"/>
  <c r="I110" i="1"/>
  <c r="J110" i="1"/>
  <c r="K110" i="1"/>
  <c r="L110" i="1"/>
  <c r="M110" i="1"/>
  <c r="N110" i="1"/>
  <c r="O110" i="1"/>
  <c r="G111" i="1"/>
  <c r="T111" i="1" s="1"/>
  <c r="H111" i="1"/>
  <c r="I111" i="1"/>
  <c r="J111" i="1"/>
  <c r="K111" i="1"/>
  <c r="L111" i="1"/>
  <c r="M111" i="1"/>
  <c r="N111" i="1"/>
  <c r="O111" i="1"/>
  <c r="G112" i="1"/>
  <c r="T112" i="1" s="1"/>
  <c r="H112" i="1"/>
  <c r="I112" i="1"/>
  <c r="J112" i="1"/>
  <c r="K112" i="1"/>
  <c r="L112" i="1"/>
  <c r="M112" i="1"/>
  <c r="N112" i="1"/>
  <c r="O112" i="1"/>
  <c r="G113" i="1"/>
  <c r="T113" i="1" s="1"/>
  <c r="H113" i="1"/>
  <c r="I113" i="1"/>
  <c r="J113" i="1"/>
  <c r="K113" i="1"/>
  <c r="L113" i="1"/>
  <c r="M113" i="1"/>
  <c r="N113" i="1"/>
  <c r="O113" i="1"/>
  <c r="G114" i="1"/>
  <c r="T114" i="1" s="1"/>
  <c r="H114" i="1"/>
  <c r="I114" i="1"/>
  <c r="J114" i="1"/>
  <c r="K114" i="1"/>
  <c r="L114" i="1"/>
  <c r="M114" i="1"/>
  <c r="N114" i="1"/>
  <c r="O114" i="1"/>
  <c r="G115" i="1"/>
  <c r="T115" i="1" s="1"/>
  <c r="H115" i="1"/>
  <c r="I115" i="1"/>
  <c r="J115" i="1"/>
  <c r="K115" i="1"/>
  <c r="L115" i="1"/>
  <c r="M115" i="1"/>
  <c r="N115" i="1"/>
  <c r="O115" i="1"/>
  <c r="G116" i="1"/>
  <c r="T116" i="1" s="1"/>
  <c r="H116" i="1"/>
  <c r="I116" i="1"/>
  <c r="J116" i="1"/>
  <c r="K116" i="1"/>
  <c r="L116" i="1"/>
  <c r="M116" i="1"/>
  <c r="N116" i="1"/>
  <c r="O116" i="1"/>
  <c r="G117" i="1"/>
  <c r="T117" i="1" s="1"/>
  <c r="H117" i="1"/>
  <c r="I117" i="1"/>
  <c r="J117" i="1"/>
  <c r="K117" i="1"/>
  <c r="L117" i="1"/>
  <c r="M117" i="1"/>
  <c r="N117" i="1"/>
  <c r="O117" i="1"/>
  <c r="G118" i="1"/>
  <c r="T118" i="1" s="1"/>
  <c r="H118" i="1"/>
  <c r="I118" i="1"/>
  <c r="J118" i="1"/>
  <c r="K118" i="1"/>
  <c r="L118" i="1"/>
  <c r="M118" i="1"/>
  <c r="N118" i="1"/>
  <c r="O118" i="1"/>
  <c r="G119" i="1"/>
  <c r="T119" i="1" s="1"/>
  <c r="H119" i="1"/>
  <c r="I119" i="1"/>
  <c r="J119" i="1"/>
  <c r="K119" i="1"/>
  <c r="L119" i="1"/>
  <c r="M119" i="1"/>
  <c r="N119" i="1"/>
  <c r="O119" i="1"/>
  <c r="G120" i="1"/>
  <c r="T120" i="1" s="1"/>
  <c r="H120" i="1"/>
  <c r="I120" i="1"/>
  <c r="J120" i="1"/>
  <c r="K120" i="1"/>
  <c r="L120" i="1"/>
  <c r="M120" i="1"/>
  <c r="N120" i="1"/>
  <c r="O120" i="1"/>
  <c r="G121" i="1"/>
  <c r="T121" i="1" s="1"/>
  <c r="H121" i="1"/>
  <c r="I121" i="1"/>
  <c r="J121" i="1"/>
  <c r="K121" i="1"/>
  <c r="L121" i="1"/>
  <c r="M121" i="1"/>
  <c r="N121" i="1"/>
  <c r="O121" i="1"/>
  <c r="G122" i="1"/>
  <c r="T122" i="1" s="1"/>
  <c r="H122" i="1"/>
  <c r="I122" i="1"/>
  <c r="J122" i="1"/>
  <c r="K122" i="1"/>
  <c r="L122" i="1"/>
  <c r="M122" i="1"/>
  <c r="N122" i="1"/>
  <c r="O122" i="1"/>
  <c r="G123" i="1"/>
  <c r="T123" i="1" s="1"/>
  <c r="H123" i="1"/>
  <c r="I123" i="1"/>
  <c r="J123" i="1"/>
  <c r="K123" i="1"/>
  <c r="L123" i="1"/>
  <c r="M123" i="1"/>
  <c r="N123" i="1"/>
  <c r="O123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G214" i="1"/>
  <c r="T214" i="1" s="1"/>
  <c r="H214" i="1"/>
  <c r="I214" i="1"/>
  <c r="J214" i="1"/>
  <c r="K214" i="1"/>
  <c r="L214" i="1"/>
  <c r="M214" i="1"/>
  <c r="N214" i="1"/>
  <c r="O214" i="1"/>
  <c r="G215" i="1"/>
  <c r="T215" i="1" s="1"/>
  <c r="H215" i="1"/>
  <c r="I215" i="1"/>
  <c r="J215" i="1"/>
  <c r="K215" i="1"/>
  <c r="L215" i="1"/>
  <c r="M215" i="1"/>
  <c r="N215" i="1"/>
  <c r="O215" i="1"/>
  <c r="G216" i="1"/>
  <c r="T216" i="1" s="1"/>
  <c r="H216" i="1"/>
  <c r="I216" i="1"/>
  <c r="J216" i="1"/>
  <c r="K216" i="1"/>
  <c r="L216" i="1"/>
  <c r="M216" i="1"/>
  <c r="N216" i="1"/>
  <c r="O216" i="1"/>
  <c r="G217" i="1"/>
  <c r="T217" i="1" s="1"/>
  <c r="H217" i="1"/>
  <c r="I217" i="1"/>
  <c r="J217" i="1"/>
  <c r="K217" i="1"/>
  <c r="L217" i="1"/>
  <c r="M217" i="1"/>
  <c r="N217" i="1"/>
  <c r="O217" i="1"/>
  <c r="G218" i="1"/>
  <c r="T218" i="1" s="1"/>
  <c r="H218" i="1"/>
  <c r="I218" i="1"/>
  <c r="J218" i="1"/>
  <c r="K218" i="1"/>
  <c r="L218" i="1"/>
  <c r="M218" i="1"/>
  <c r="N218" i="1"/>
  <c r="O218" i="1"/>
  <c r="G220" i="1"/>
  <c r="T220" i="1" s="1"/>
  <c r="H220" i="1"/>
  <c r="I220" i="1"/>
  <c r="J220" i="1"/>
  <c r="K220" i="1"/>
  <c r="L220" i="1"/>
  <c r="M220" i="1"/>
  <c r="N220" i="1"/>
  <c r="O220" i="1"/>
  <c r="G221" i="1"/>
  <c r="T221" i="1" s="1"/>
  <c r="H221" i="1"/>
  <c r="I221" i="1"/>
  <c r="J221" i="1"/>
  <c r="K221" i="1"/>
  <c r="L221" i="1"/>
  <c r="M221" i="1"/>
  <c r="N221" i="1"/>
  <c r="O221" i="1"/>
  <c r="G222" i="1"/>
  <c r="T222" i="1" s="1"/>
  <c r="H222" i="1"/>
  <c r="I222" i="1"/>
  <c r="J222" i="1"/>
  <c r="K222" i="1"/>
  <c r="L222" i="1"/>
  <c r="M222" i="1"/>
  <c r="N222" i="1"/>
  <c r="O222" i="1"/>
  <c r="G223" i="1"/>
  <c r="T223" i="1" s="1"/>
  <c r="H223" i="1"/>
  <c r="I223" i="1"/>
  <c r="J223" i="1"/>
  <c r="K223" i="1"/>
  <c r="L223" i="1"/>
  <c r="M223" i="1"/>
  <c r="N223" i="1"/>
  <c r="O223" i="1"/>
  <c r="G224" i="1"/>
  <c r="T224" i="1" s="1"/>
  <c r="H224" i="1"/>
  <c r="I224" i="1"/>
  <c r="J224" i="1"/>
  <c r="K224" i="1"/>
  <c r="L224" i="1"/>
  <c r="M224" i="1"/>
  <c r="N224" i="1"/>
  <c r="O224" i="1"/>
  <c r="G225" i="1"/>
  <c r="T225" i="1" s="1"/>
  <c r="H225" i="1"/>
  <c r="I225" i="1"/>
  <c r="J225" i="1"/>
  <c r="K225" i="1"/>
  <c r="L225" i="1"/>
  <c r="M225" i="1"/>
  <c r="N225" i="1"/>
  <c r="O225" i="1"/>
  <c r="G226" i="1"/>
  <c r="T226" i="1" s="1"/>
  <c r="H226" i="1"/>
  <c r="I226" i="1"/>
  <c r="J226" i="1"/>
  <c r="K226" i="1"/>
  <c r="L226" i="1"/>
  <c r="M226" i="1"/>
  <c r="N226" i="1"/>
  <c r="O226" i="1"/>
  <c r="G227" i="1"/>
  <c r="T227" i="1" s="1"/>
  <c r="H227" i="1"/>
  <c r="I227" i="1"/>
  <c r="J227" i="1"/>
  <c r="K227" i="1"/>
  <c r="L227" i="1"/>
  <c r="M227" i="1"/>
  <c r="N227" i="1"/>
  <c r="O227" i="1"/>
  <c r="G228" i="1"/>
  <c r="T228" i="1" s="1"/>
  <c r="H228" i="1"/>
  <c r="I228" i="1"/>
  <c r="J228" i="1"/>
  <c r="K228" i="1"/>
  <c r="L228" i="1"/>
  <c r="M228" i="1"/>
  <c r="N228" i="1"/>
  <c r="O228" i="1"/>
  <c r="G229" i="1"/>
  <c r="T229" i="1" s="1"/>
  <c r="H229" i="1"/>
  <c r="I229" i="1"/>
  <c r="J229" i="1"/>
  <c r="K229" i="1"/>
  <c r="L229" i="1"/>
  <c r="M229" i="1"/>
  <c r="N229" i="1"/>
  <c r="O229" i="1"/>
  <c r="G230" i="1"/>
  <c r="T230" i="1" s="1"/>
  <c r="H230" i="1"/>
  <c r="I230" i="1"/>
  <c r="J230" i="1"/>
  <c r="K230" i="1"/>
  <c r="L230" i="1"/>
  <c r="M230" i="1"/>
  <c r="N230" i="1"/>
  <c r="O230" i="1"/>
  <c r="G231" i="1"/>
  <c r="T231" i="1" s="1"/>
  <c r="H231" i="1"/>
  <c r="I231" i="1"/>
  <c r="J231" i="1"/>
  <c r="K231" i="1"/>
  <c r="L231" i="1"/>
  <c r="M231" i="1"/>
  <c r="N231" i="1"/>
  <c r="O231" i="1"/>
  <c r="F215" i="1"/>
  <c r="F216" i="1"/>
  <c r="F217" i="1"/>
  <c r="F218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14" i="1"/>
  <c r="F322" i="1"/>
  <c r="G322" i="1"/>
  <c r="T322" i="1" s="1"/>
  <c r="H322" i="1"/>
  <c r="I322" i="1"/>
  <c r="J322" i="1"/>
  <c r="K322" i="1"/>
  <c r="L322" i="1"/>
  <c r="M322" i="1"/>
  <c r="N322" i="1"/>
  <c r="F323" i="1"/>
  <c r="G323" i="1"/>
  <c r="T323" i="1" s="1"/>
  <c r="H323" i="1"/>
  <c r="I323" i="1"/>
  <c r="J323" i="1"/>
  <c r="K323" i="1"/>
  <c r="L323" i="1"/>
  <c r="M323" i="1"/>
  <c r="N323" i="1"/>
  <c r="F324" i="1"/>
  <c r="G324" i="1"/>
  <c r="T324" i="1" s="1"/>
  <c r="H324" i="1"/>
  <c r="I324" i="1"/>
  <c r="J324" i="1"/>
  <c r="K324" i="1"/>
  <c r="L324" i="1"/>
  <c r="M324" i="1"/>
  <c r="N324" i="1"/>
  <c r="F325" i="1"/>
  <c r="G325" i="1"/>
  <c r="T325" i="1" s="1"/>
  <c r="H325" i="1"/>
  <c r="I325" i="1"/>
  <c r="J325" i="1"/>
  <c r="K325" i="1"/>
  <c r="L325" i="1"/>
  <c r="M325" i="1"/>
  <c r="N325" i="1"/>
  <c r="F326" i="1"/>
  <c r="G326" i="1"/>
  <c r="T326" i="1" s="1"/>
  <c r="H326" i="1"/>
  <c r="I326" i="1"/>
  <c r="J326" i="1"/>
  <c r="K326" i="1"/>
  <c r="L326" i="1"/>
  <c r="M326" i="1"/>
  <c r="N326" i="1"/>
  <c r="F328" i="1"/>
  <c r="G328" i="1"/>
  <c r="T328" i="1" s="1"/>
  <c r="H328" i="1"/>
  <c r="I328" i="1"/>
  <c r="J328" i="1"/>
  <c r="K328" i="1"/>
  <c r="L328" i="1"/>
  <c r="M328" i="1"/>
  <c r="N328" i="1"/>
  <c r="F329" i="1"/>
  <c r="G329" i="1"/>
  <c r="T329" i="1" s="1"/>
  <c r="H329" i="1"/>
  <c r="I329" i="1"/>
  <c r="J329" i="1"/>
  <c r="K329" i="1"/>
  <c r="L329" i="1"/>
  <c r="M329" i="1"/>
  <c r="N329" i="1"/>
  <c r="F330" i="1"/>
  <c r="G330" i="1"/>
  <c r="T330" i="1" s="1"/>
  <c r="H330" i="1"/>
  <c r="I330" i="1"/>
  <c r="J330" i="1"/>
  <c r="K330" i="1"/>
  <c r="L330" i="1"/>
  <c r="M330" i="1"/>
  <c r="N330" i="1"/>
  <c r="F331" i="1"/>
  <c r="G331" i="1"/>
  <c r="T331" i="1" s="1"/>
  <c r="H331" i="1"/>
  <c r="I331" i="1"/>
  <c r="J331" i="1"/>
  <c r="K331" i="1"/>
  <c r="L331" i="1"/>
  <c r="M331" i="1"/>
  <c r="N331" i="1"/>
  <c r="F332" i="1"/>
  <c r="G332" i="1"/>
  <c r="T332" i="1" s="1"/>
  <c r="H332" i="1"/>
  <c r="I332" i="1"/>
  <c r="J332" i="1"/>
  <c r="K332" i="1"/>
  <c r="L332" i="1"/>
  <c r="M332" i="1"/>
  <c r="N332" i="1"/>
  <c r="F334" i="1"/>
  <c r="G334" i="1"/>
  <c r="T334" i="1" s="1"/>
  <c r="H334" i="1"/>
  <c r="I334" i="1"/>
  <c r="J334" i="1"/>
  <c r="K334" i="1"/>
  <c r="L334" i="1"/>
  <c r="M334" i="1"/>
  <c r="N334" i="1"/>
  <c r="F335" i="1"/>
  <c r="G335" i="1"/>
  <c r="T335" i="1" s="1"/>
  <c r="H335" i="1"/>
  <c r="I335" i="1"/>
  <c r="J335" i="1"/>
  <c r="K335" i="1"/>
  <c r="L335" i="1"/>
  <c r="M335" i="1"/>
  <c r="N335" i="1"/>
  <c r="F321" i="1"/>
  <c r="G321" i="1"/>
  <c r="T321" i="1" s="1"/>
  <c r="H321" i="1"/>
  <c r="I321" i="1"/>
  <c r="J321" i="1"/>
  <c r="K321" i="1"/>
  <c r="L321" i="1"/>
  <c r="M321" i="1"/>
  <c r="P239" i="1"/>
  <c r="P247" i="1"/>
  <c r="P255" i="1"/>
  <c r="P263" i="1"/>
  <c r="P159" i="1"/>
  <c r="E209" i="1"/>
  <c r="E317" i="1"/>
  <c r="O431" i="1"/>
  <c r="N431" i="1"/>
  <c r="M431" i="1"/>
  <c r="L431" i="1"/>
  <c r="K431" i="1"/>
  <c r="J431" i="1"/>
  <c r="I431" i="1"/>
  <c r="H431" i="1"/>
  <c r="G431" i="1"/>
  <c r="F431" i="1"/>
  <c r="Q432" i="1"/>
  <c r="R432" i="1"/>
  <c r="P432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1" i="1"/>
  <c r="P42" i="1"/>
  <c r="R388" i="1"/>
  <c r="O387" i="1"/>
  <c r="N387" i="1"/>
  <c r="M387" i="1"/>
  <c r="L387" i="1"/>
  <c r="K387" i="1"/>
  <c r="J387" i="1"/>
  <c r="I387" i="1"/>
  <c r="H387" i="1"/>
  <c r="G387" i="1"/>
  <c r="F387" i="1"/>
  <c r="S42" i="1" s="1"/>
  <c r="O386" i="1"/>
  <c r="N386" i="1"/>
  <c r="M386" i="1"/>
  <c r="L386" i="1"/>
  <c r="K386" i="1"/>
  <c r="J386" i="1"/>
  <c r="I386" i="1"/>
  <c r="H386" i="1"/>
  <c r="G386" i="1"/>
  <c r="F386" i="1"/>
  <c r="S41" i="1" s="1"/>
  <c r="O385" i="1"/>
  <c r="N385" i="1"/>
  <c r="M385" i="1"/>
  <c r="L385" i="1"/>
  <c r="K385" i="1"/>
  <c r="J385" i="1"/>
  <c r="I385" i="1"/>
  <c r="H385" i="1"/>
  <c r="G385" i="1"/>
  <c r="F385" i="1"/>
  <c r="U98" i="1" l="1"/>
  <c r="S385" i="1"/>
  <c r="S473" i="1" s="1"/>
  <c r="S476" i="1" s="1"/>
  <c r="R433" i="1"/>
  <c r="Q433" i="1"/>
  <c r="T232" i="1"/>
  <c r="P157" i="1"/>
  <c r="P149" i="1"/>
  <c r="P153" i="1"/>
  <c r="P145" i="1"/>
  <c r="P261" i="1"/>
  <c r="P273" i="1"/>
  <c r="P265" i="1"/>
  <c r="P269" i="1"/>
  <c r="X30" i="30"/>
  <c r="Y30" i="30" s="1"/>
  <c r="Z30" i="30" s="1"/>
  <c r="AA30" i="30" s="1"/>
  <c r="AB30" i="30" s="1"/>
  <c r="AC30" i="30" s="1"/>
  <c r="AD30" i="30" s="1"/>
  <c r="AE30" i="30" s="1"/>
  <c r="AF30" i="30" s="1"/>
  <c r="Q34" i="30"/>
  <c r="Q317" i="1"/>
  <c r="R317" i="1"/>
  <c r="S317" i="1"/>
  <c r="P317" i="1"/>
  <c r="E385" i="1"/>
  <c r="E381" i="1"/>
  <c r="Q159" i="1"/>
  <c r="E377" i="1"/>
  <c r="Q155" i="1"/>
  <c r="E373" i="1"/>
  <c r="Q151" i="1"/>
  <c r="E369" i="1"/>
  <c r="Q147" i="1"/>
  <c r="E365" i="1"/>
  <c r="Q143" i="1"/>
  <c r="E361" i="1"/>
  <c r="Q139" i="1"/>
  <c r="E357" i="1"/>
  <c r="Q135" i="1"/>
  <c r="R135" i="1"/>
  <c r="E353" i="1"/>
  <c r="Q131" i="1"/>
  <c r="R131" i="1"/>
  <c r="R272" i="1"/>
  <c r="S272" i="1"/>
  <c r="Q272" i="1"/>
  <c r="R268" i="1"/>
  <c r="Q268" i="1"/>
  <c r="R264" i="1"/>
  <c r="Q264" i="1"/>
  <c r="P260" i="1"/>
  <c r="R260" i="1"/>
  <c r="Q260" i="1"/>
  <c r="R256" i="1"/>
  <c r="Q256" i="1"/>
  <c r="R252" i="1"/>
  <c r="Q252" i="1"/>
  <c r="R248" i="1"/>
  <c r="Q248" i="1"/>
  <c r="P244" i="1"/>
  <c r="R244" i="1"/>
  <c r="Q244" i="1"/>
  <c r="R240" i="1"/>
  <c r="Q240" i="1"/>
  <c r="S164" i="1"/>
  <c r="R144" i="1"/>
  <c r="R140" i="1"/>
  <c r="R136" i="1"/>
  <c r="E431" i="1"/>
  <c r="Q209" i="1"/>
  <c r="R209" i="1"/>
  <c r="S209" i="1"/>
  <c r="P209" i="1"/>
  <c r="E384" i="1"/>
  <c r="Q162" i="1"/>
  <c r="P158" i="1"/>
  <c r="E380" i="1"/>
  <c r="Q158" i="1"/>
  <c r="P154" i="1"/>
  <c r="E376" i="1"/>
  <c r="Q154" i="1"/>
  <c r="P150" i="1"/>
  <c r="E372" i="1"/>
  <c r="Q150" i="1"/>
  <c r="P146" i="1"/>
  <c r="E368" i="1"/>
  <c r="Q146" i="1"/>
  <c r="P142" i="1"/>
  <c r="E364" i="1"/>
  <c r="Q142" i="1"/>
  <c r="P138" i="1"/>
  <c r="E360" i="1"/>
  <c r="Q138" i="1"/>
  <c r="P134" i="1"/>
  <c r="E356" i="1"/>
  <c r="Q134" i="1"/>
  <c r="R134" i="1"/>
  <c r="P130" i="1"/>
  <c r="E352" i="1"/>
  <c r="Q130" i="1"/>
  <c r="R130" i="1"/>
  <c r="R271" i="1"/>
  <c r="R267" i="1"/>
  <c r="Q267" i="1"/>
  <c r="R263" i="1"/>
  <c r="Q263" i="1"/>
  <c r="R259" i="1"/>
  <c r="Q259" i="1"/>
  <c r="Q255" i="1"/>
  <c r="R255" i="1"/>
  <c r="Q251" i="1"/>
  <c r="R251" i="1"/>
  <c r="Q247" i="1"/>
  <c r="R247" i="1"/>
  <c r="Q243" i="1"/>
  <c r="R243" i="1"/>
  <c r="Q239" i="1"/>
  <c r="R239" i="1"/>
  <c r="R164" i="1"/>
  <c r="R160" i="1"/>
  <c r="R156" i="1"/>
  <c r="R152" i="1"/>
  <c r="R148" i="1"/>
  <c r="S86" i="1"/>
  <c r="T431" i="1"/>
  <c r="T317" i="1" s="1"/>
  <c r="E387" i="1"/>
  <c r="Q165" i="1"/>
  <c r="E383" i="1"/>
  <c r="Q161" i="1"/>
  <c r="E379" i="1"/>
  <c r="Q157" i="1"/>
  <c r="E375" i="1"/>
  <c r="Q153" i="1"/>
  <c r="E371" i="1"/>
  <c r="Q149" i="1"/>
  <c r="E367" i="1"/>
  <c r="Q145" i="1"/>
  <c r="E363" i="1"/>
  <c r="Q141" i="1"/>
  <c r="E359" i="1"/>
  <c r="Q137" i="1"/>
  <c r="E355" i="1"/>
  <c r="Q133" i="1"/>
  <c r="R133" i="1"/>
  <c r="E351" i="1"/>
  <c r="Q129" i="1"/>
  <c r="R129" i="1"/>
  <c r="R270" i="1"/>
  <c r="Q270" i="1"/>
  <c r="R266" i="1"/>
  <c r="Q266" i="1"/>
  <c r="R262" i="1"/>
  <c r="Q262" i="1"/>
  <c r="Q258" i="1"/>
  <c r="R258" i="1"/>
  <c r="Q254" i="1"/>
  <c r="R254" i="1"/>
  <c r="Q250" i="1"/>
  <c r="R250" i="1"/>
  <c r="Q246" i="1"/>
  <c r="R246" i="1"/>
  <c r="Q242" i="1"/>
  <c r="R242" i="1"/>
  <c r="Q238" i="1"/>
  <c r="R238" i="1"/>
  <c r="R163" i="1"/>
  <c r="R159" i="1"/>
  <c r="R155" i="1"/>
  <c r="R151" i="1"/>
  <c r="R147" i="1"/>
  <c r="R143" i="1"/>
  <c r="R141" i="1"/>
  <c r="R139" i="1"/>
  <c r="R137" i="1"/>
  <c r="E386" i="1"/>
  <c r="Q164" i="1"/>
  <c r="E382" i="1"/>
  <c r="Q160" i="1"/>
  <c r="E378" i="1"/>
  <c r="Q156" i="1"/>
  <c r="E374" i="1"/>
  <c r="Q152" i="1"/>
  <c r="E370" i="1"/>
  <c r="Q148" i="1"/>
  <c r="E366" i="1"/>
  <c r="Q144" i="1"/>
  <c r="E362" i="1"/>
  <c r="Q140" i="1"/>
  <c r="E358" i="1"/>
  <c r="Q136" i="1"/>
  <c r="E354" i="1"/>
  <c r="Q132" i="1"/>
  <c r="R132" i="1"/>
  <c r="S165" i="1"/>
  <c r="R162" i="1"/>
  <c r="R158" i="1"/>
  <c r="R154" i="1"/>
  <c r="R150" i="1"/>
  <c r="R146" i="1"/>
  <c r="Q273" i="1"/>
  <c r="Q269" i="1"/>
  <c r="Q265" i="1"/>
  <c r="Q261" i="1"/>
  <c r="S273" i="1"/>
  <c r="R257" i="1"/>
  <c r="R253" i="1"/>
  <c r="R249" i="1"/>
  <c r="R245" i="1"/>
  <c r="R241" i="1"/>
  <c r="R237" i="1"/>
  <c r="Q257" i="1"/>
  <c r="Q253" i="1"/>
  <c r="Q249" i="1"/>
  <c r="Q245" i="1"/>
  <c r="Q241" i="1"/>
  <c r="Q237" i="1"/>
  <c r="P87" i="1"/>
  <c r="R87" i="1"/>
  <c r="Q87" i="1"/>
  <c r="P268" i="1"/>
  <c r="P264" i="1"/>
  <c r="P256" i="1"/>
  <c r="P252" i="1"/>
  <c r="P248" i="1"/>
  <c r="P240" i="1"/>
  <c r="P272" i="1"/>
  <c r="U229" i="1"/>
  <c r="V229" i="1" s="1"/>
  <c r="W229" i="1" s="1"/>
  <c r="X229" i="1" s="1"/>
  <c r="Y229" i="1" s="1"/>
  <c r="Z229" i="1" s="1"/>
  <c r="AA229" i="1" s="1"/>
  <c r="AB229" i="1" s="1"/>
  <c r="U225" i="1"/>
  <c r="V225" i="1" s="1"/>
  <c r="W225" i="1" s="1"/>
  <c r="X225" i="1" s="1"/>
  <c r="Y225" i="1" s="1"/>
  <c r="Z225" i="1" s="1"/>
  <c r="AA225" i="1" s="1"/>
  <c r="AB225" i="1" s="1"/>
  <c r="U221" i="1"/>
  <c r="V221" i="1" s="1"/>
  <c r="W221" i="1" s="1"/>
  <c r="X221" i="1" s="1"/>
  <c r="Y221" i="1" s="1"/>
  <c r="Z221" i="1" s="1"/>
  <c r="AA221" i="1" s="1"/>
  <c r="AB221" i="1" s="1"/>
  <c r="U216" i="1"/>
  <c r="V216" i="1" s="1"/>
  <c r="W216" i="1" s="1"/>
  <c r="X216" i="1" s="1"/>
  <c r="Y216" i="1" s="1"/>
  <c r="Z216" i="1" s="1"/>
  <c r="AA216" i="1" s="1"/>
  <c r="AB216" i="1" s="1"/>
  <c r="U123" i="1"/>
  <c r="V123" i="1" s="1"/>
  <c r="W123" i="1" s="1"/>
  <c r="X123" i="1" s="1"/>
  <c r="Y123" i="1" s="1"/>
  <c r="Z123" i="1" s="1"/>
  <c r="AA123" i="1" s="1"/>
  <c r="AB123" i="1" s="1"/>
  <c r="U111" i="1"/>
  <c r="V111" i="1" s="1"/>
  <c r="W111" i="1" s="1"/>
  <c r="X111" i="1" s="1"/>
  <c r="Y111" i="1" s="1"/>
  <c r="Z111" i="1" s="1"/>
  <c r="AA111" i="1" s="1"/>
  <c r="AB111" i="1" s="1"/>
  <c r="U107" i="1"/>
  <c r="V107" i="1" s="1"/>
  <c r="W107" i="1" s="1"/>
  <c r="X107" i="1" s="1"/>
  <c r="Y107" i="1" s="1"/>
  <c r="Z107" i="1" s="1"/>
  <c r="AA107" i="1" s="1"/>
  <c r="AB107" i="1" s="1"/>
  <c r="U103" i="1"/>
  <c r="V103" i="1" s="1"/>
  <c r="W103" i="1" s="1"/>
  <c r="X103" i="1" s="1"/>
  <c r="Y103" i="1" s="1"/>
  <c r="Z103" i="1" s="1"/>
  <c r="AA103" i="1" s="1"/>
  <c r="AB103" i="1" s="1"/>
  <c r="U99" i="1"/>
  <c r="V99" i="1" s="1"/>
  <c r="W99" i="1" s="1"/>
  <c r="X99" i="1" s="1"/>
  <c r="Y99" i="1" s="1"/>
  <c r="Z99" i="1" s="1"/>
  <c r="AA99" i="1" s="1"/>
  <c r="AB99" i="1" s="1"/>
  <c r="U95" i="1"/>
  <c r="V95" i="1" s="1"/>
  <c r="W95" i="1" s="1"/>
  <c r="X95" i="1" s="1"/>
  <c r="Y95" i="1" s="1"/>
  <c r="Z95" i="1" s="1"/>
  <c r="AA95" i="1" s="1"/>
  <c r="AB95" i="1" s="1"/>
  <c r="U91" i="1"/>
  <c r="U335" i="1"/>
  <c r="V335" i="1" s="1"/>
  <c r="W335" i="1" s="1"/>
  <c r="X335" i="1" s="1"/>
  <c r="Y335" i="1" s="1"/>
  <c r="Z335" i="1" s="1"/>
  <c r="AA335" i="1" s="1"/>
  <c r="U330" i="1"/>
  <c r="V330" i="1" s="1"/>
  <c r="W330" i="1" s="1"/>
  <c r="X330" i="1" s="1"/>
  <c r="Y330" i="1" s="1"/>
  <c r="Z330" i="1" s="1"/>
  <c r="AA330" i="1" s="1"/>
  <c r="U325" i="1"/>
  <c r="V325" i="1" s="1"/>
  <c r="W325" i="1" s="1"/>
  <c r="X325" i="1" s="1"/>
  <c r="Y325" i="1" s="1"/>
  <c r="Z325" i="1" s="1"/>
  <c r="AA325" i="1" s="1"/>
  <c r="U119" i="1"/>
  <c r="V119" i="1" s="1"/>
  <c r="W119" i="1" s="1"/>
  <c r="X119" i="1" s="1"/>
  <c r="Y119" i="1" s="1"/>
  <c r="Z119" i="1" s="1"/>
  <c r="AA119" i="1" s="1"/>
  <c r="AB119" i="1" s="1"/>
  <c r="U115" i="1"/>
  <c r="V115" i="1" s="1"/>
  <c r="W115" i="1" s="1"/>
  <c r="X115" i="1" s="1"/>
  <c r="Y115" i="1" s="1"/>
  <c r="Z115" i="1" s="1"/>
  <c r="AA115" i="1" s="1"/>
  <c r="AB115" i="1" s="1"/>
  <c r="U108" i="1"/>
  <c r="V108" i="1" s="1"/>
  <c r="W108" i="1" s="1"/>
  <c r="X108" i="1" s="1"/>
  <c r="Y108" i="1" s="1"/>
  <c r="Z108" i="1" s="1"/>
  <c r="AA108" i="1" s="1"/>
  <c r="AB108" i="1" s="1"/>
  <c r="U104" i="1"/>
  <c r="V104" i="1" s="1"/>
  <c r="W104" i="1" s="1"/>
  <c r="X104" i="1" s="1"/>
  <c r="Y104" i="1" s="1"/>
  <c r="Z104" i="1" s="1"/>
  <c r="AA104" i="1" s="1"/>
  <c r="AB104" i="1" s="1"/>
  <c r="U100" i="1"/>
  <c r="V100" i="1" s="1"/>
  <c r="W100" i="1" s="1"/>
  <c r="X100" i="1" s="1"/>
  <c r="Y100" i="1" s="1"/>
  <c r="Z100" i="1" s="1"/>
  <c r="AA100" i="1" s="1"/>
  <c r="AB100" i="1" s="1"/>
  <c r="U110" i="1"/>
  <c r="V110" i="1" s="1"/>
  <c r="W110" i="1" s="1"/>
  <c r="X110" i="1" s="1"/>
  <c r="Y110" i="1" s="1"/>
  <c r="Z110" i="1" s="1"/>
  <c r="AA110" i="1" s="1"/>
  <c r="AB110" i="1" s="1"/>
  <c r="U106" i="1"/>
  <c r="V106" i="1" s="1"/>
  <c r="W106" i="1" s="1"/>
  <c r="X106" i="1" s="1"/>
  <c r="Y106" i="1" s="1"/>
  <c r="Z106" i="1" s="1"/>
  <c r="AA106" i="1" s="1"/>
  <c r="AB106" i="1" s="1"/>
  <c r="U102" i="1"/>
  <c r="V102" i="1" s="1"/>
  <c r="W102" i="1" s="1"/>
  <c r="X102" i="1" s="1"/>
  <c r="Y102" i="1" s="1"/>
  <c r="Z102" i="1" s="1"/>
  <c r="AA102" i="1" s="1"/>
  <c r="AB102" i="1" s="1"/>
  <c r="V98" i="1"/>
  <c r="W98" i="1" s="1"/>
  <c r="X98" i="1" s="1"/>
  <c r="Y98" i="1" s="1"/>
  <c r="Z98" i="1" s="1"/>
  <c r="AA98" i="1" s="1"/>
  <c r="AB98" i="1" s="1"/>
  <c r="U94" i="1"/>
  <c r="V94" i="1" s="1"/>
  <c r="W94" i="1" s="1"/>
  <c r="X94" i="1" s="1"/>
  <c r="Y94" i="1" s="1"/>
  <c r="Z94" i="1" s="1"/>
  <c r="AA94" i="1" s="1"/>
  <c r="AB94" i="1" s="1"/>
  <c r="U334" i="1"/>
  <c r="V334" i="1" s="1"/>
  <c r="W334" i="1" s="1"/>
  <c r="X334" i="1" s="1"/>
  <c r="Y334" i="1" s="1"/>
  <c r="Z334" i="1" s="1"/>
  <c r="AA334" i="1" s="1"/>
  <c r="U329" i="1"/>
  <c r="V329" i="1" s="1"/>
  <c r="W329" i="1" s="1"/>
  <c r="X329" i="1" s="1"/>
  <c r="Y329" i="1" s="1"/>
  <c r="Z329" i="1" s="1"/>
  <c r="AA329" i="1" s="1"/>
  <c r="U324" i="1"/>
  <c r="V324" i="1" s="1"/>
  <c r="W324" i="1" s="1"/>
  <c r="X324" i="1" s="1"/>
  <c r="Y324" i="1" s="1"/>
  <c r="Z324" i="1" s="1"/>
  <c r="AA324" i="1" s="1"/>
  <c r="U228" i="1"/>
  <c r="V228" i="1" s="1"/>
  <c r="W228" i="1" s="1"/>
  <c r="X228" i="1" s="1"/>
  <c r="Y228" i="1" s="1"/>
  <c r="Z228" i="1" s="1"/>
  <c r="AA228" i="1" s="1"/>
  <c r="AB228" i="1" s="1"/>
  <c r="U224" i="1"/>
  <c r="V224" i="1" s="1"/>
  <c r="W224" i="1" s="1"/>
  <c r="X224" i="1" s="1"/>
  <c r="Y224" i="1" s="1"/>
  <c r="Z224" i="1" s="1"/>
  <c r="AA224" i="1" s="1"/>
  <c r="AB224" i="1" s="1"/>
  <c r="U220" i="1"/>
  <c r="V220" i="1" s="1"/>
  <c r="W220" i="1" s="1"/>
  <c r="X220" i="1" s="1"/>
  <c r="Y220" i="1" s="1"/>
  <c r="Z220" i="1" s="1"/>
  <c r="AA220" i="1" s="1"/>
  <c r="AB220" i="1" s="1"/>
  <c r="U215" i="1"/>
  <c r="V215" i="1" s="1"/>
  <c r="W215" i="1" s="1"/>
  <c r="X215" i="1" s="1"/>
  <c r="Y215" i="1" s="1"/>
  <c r="Z215" i="1" s="1"/>
  <c r="AA215" i="1" s="1"/>
  <c r="AB215" i="1" s="1"/>
  <c r="U122" i="1"/>
  <c r="V122" i="1" s="1"/>
  <c r="W122" i="1" s="1"/>
  <c r="X122" i="1" s="1"/>
  <c r="Y122" i="1" s="1"/>
  <c r="Z122" i="1" s="1"/>
  <c r="AA122" i="1" s="1"/>
  <c r="AB122" i="1" s="1"/>
  <c r="U118" i="1"/>
  <c r="V118" i="1" s="1"/>
  <c r="W118" i="1" s="1"/>
  <c r="X118" i="1" s="1"/>
  <c r="Y118" i="1" s="1"/>
  <c r="Z118" i="1" s="1"/>
  <c r="AA118" i="1" s="1"/>
  <c r="AB118" i="1" s="1"/>
  <c r="U332" i="1"/>
  <c r="V332" i="1" s="1"/>
  <c r="W332" i="1" s="1"/>
  <c r="X332" i="1" s="1"/>
  <c r="Y332" i="1" s="1"/>
  <c r="Z332" i="1" s="1"/>
  <c r="AA332" i="1" s="1"/>
  <c r="U328" i="1"/>
  <c r="V328" i="1" s="1"/>
  <c r="W328" i="1" s="1"/>
  <c r="X328" i="1" s="1"/>
  <c r="Y328" i="1" s="1"/>
  <c r="Z328" i="1" s="1"/>
  <c r="AA328" i="1" s="1"/>
  <c r="U323" i="1"/>
  <c r="V323" i="1" s="1"/>
  <c r="W323" i="1" s="1"/>
  <c r="X323" i="1" s="1"/>
  <c r="Y323" i="1" s="1"/>
  <c r="Z323" i="1" s="1"/>
  <c r="AA323" i="1" s="1"/>
  <c r="U231" i="1"/>
  <c r="V231" i="1" s="1"/>
  <c r="W231" i="1" s="1"/>
  <c r="X231" i="1" s="1"/>
  <c r="Y231" i="1" s="1"/>
  <c r="Z231" i="1" s="1"/>
  <c r="AA231" i="1" s="1"/>
  <c r="AB231" i="1" s="1"/>
  <c r="U227" i="1"/>
  <c r="V227" i="1" s="1"/>
  <c r="W227" i="1" s="1"/>
  <c r="X227" i="1" s="1"/>
  <c r="Y227" i="1" s="1"/>
  <c r="Z227" i="1" s="1"/>
  <c r="AA227" i="1" s="1"/>
  <c r="AB227" i="1" s="1"/>
  <c r="U223" i="1"/>
  <c r="V223" i="1" s="1"/>
  <c r="W223" i="1" s="1"/>
  <c r="X223" i="1" s="1"/>
  <c r="Y223" i="1" s="1"/>
  <c r="Z223" i="1" s="1"/>
  <c r="AA223" i="1" s="1"/>
  <c r="AB223" i="1" s="1"/>
  <c r="U218" i="1"/>
  <c r="V218" i="1" s="1"/>
  <c r="W218" i="1" s="1"/>
  <c r="X218" i="1" s="1"/>
  <c r="Y218" i="1" s="1"/>
  <c r="Z218" i="1" s="1"/>
  <c r="AA218" i="1" s="1"/>
  <c r="AB218" i="1" s="1"/>
  <c r="U214" i="1"/>
  <c r="U121" i="1"/>
  <c r="V121" i="1" s="1"/>
  <c r="W121" i="1" s="1"/>
  <c r="X121" i="1" s="1"/>
  <c r="Y121" i="1" s="1"/>
  <c r="Z121" i="1" s="1"/>
  <c r="AA121" i="1" s="1"/>
  <c r="AB121" i="1" s="1"/>
  <c r="U117" i="1"/>
  <c r="V117" i="1" s="1"/>
  <c r="W117" i="1" s="1"/>
  <c r="X117" i="1" s="1"/>
  <c r="Y117" i="1" s="1"/>
  <c r="Z117" i="1" s="1"/>
  <c r="AA117" i="1" s="1"/>
  <c r="AB117" i="1" s="1"/>
  <c r="U113" i="1"/>
  <c r="V113" i="1" s="1"/>
  <c r="W113" i="1" s="1"/>
  <c r="X113" i="1" s="1"/>
  <c r="Y113" i="1" s="1"/>
  <c r="Z113" i="1" s="1"/>
  <c r="AA113" i="1" s="1"/>
  <c r="AB113" i="1" s="1"/>
  <c r="U109" i="1"/>
  <c r="V109" i="1" s="1"/>
  <c r="W109" i="1" s="1"/>
  <c r="X109" i="1" s="1"/>
  <c r="Y109" i="1" s="1"/>
  <c r="Z109" i="1" s="1"/>
  <c r="AA109" i="1" s="1"/>
  <c r="AB109" i="1" s="1"/>
  <c r="U105" i="1"/>
  <c r="V105" i="1" s="1"/>
  <c r="W105" i="1" s="1"/>
  <c r="X105" i="1" s="1"/>
  <c r="Y105" i="1" s="1"/>
  <c r="Z105" i="1" s="1"/>
  <c r="AA105" i="1" s="1"/>
  <c r="AB105" i="1" s="1"/>
  <c r="U101" i="1"/>
  <c r="V101" i="1" s="1"/>
  <c r="W101" i="1" s="1"/>
  <c r="X101" i="1" s="1"/>
  <c r="Y101" i="1" s="1"/>
  <c r="Z101" i="1" s="1"/>
  <c r="AA101" i="1" s="1"/>
  <c r="AB101" i="1" s="1"/>
  <c r="U97" i="1"/>
  <c r="V97" i="1" s="1"/>
  <c r="W97" i="1" s="1"/>
  <c r="X97" i="1" s="1"/>
  <c r="Y97" i="1" s="1"/>
  <c r="Z97" i="1" s="1"/>
  <c r="AA97" i="1" s="1"/>
  <c r="AB97" i="1" s="1"/>
  <c r="U93" i="1"/>
  <c r="V93" i="1" s="1"/>
  <c r="W93" i="1" s="1"/>
  <c r="X93" i="1" s="1"/>
  <c r="Y93" i="1" s="1"/>
  <c r="Z93" i="1" s="1"/>
  <c r="AA93" i="1" s="1"/>
  <c r="AB93" i="1" s="1"/>
  <c r="U114" i="1"/>
  <c r="V114" i="1" s="1"/>
  <c r="W114" i="1" s="1"/>
  <c r="X114" i="1" s="1"/>
  <c r="Y114" i="1" s="1"/>
  <c r="Z114" i="1" s="1"/>
  <c r="AA114" i="1" s="1"/>
  <c r="AB114" i="1" s="1"/>
  <c r="U321" i="1"/>
  <c r="U331" i="1"/>
  <c r="V331" i="1" s="1"/>
  <c r="W331" i="1" s="1"/>
  <c r="X331" i="1" s="1"/>
  <c r="Y331" i="1" s="1"/>
  <c r="Z331" i="1" s="1"/>
  <c r="AA331" i="1" s="1"/>
  <c r="U326" i="1"/>
  <c r="V326" i="1" s="1"/>
  <c r="W326" i="1" s="1"/>
  <c r="X326" i="1" s="1"/>
  <c r="Y326" i="1" s="1"/>
  <c r="Z326" i="1" s="1"/>
  <c r="AA326" i="1" s="1"/>
  <c r="U322" i="1"/>
  <c r="V322" i="1" s="1"/>
  <c r="W322" i="1" s="1"/>
  <c r="X322" i="1" s="1"/>
  <c r="Y322" i="1" s="1"/>
  <c r="Z322" i="1" s="1"/>
  <c r="AA322" i="1" s="1"/>
  <c r="U230" i="1"/>
  <c r="V230" i="1" s="1"/>
  <c r="W230" i="1" s="1"/>
  <c r="X230" i="1" s="1"/>
  <c r="Y230" i="1" s="1"/>
  <c r="Z230" i="1" s="1"/>
  <c r="AA230" i="1" s="1"/>
  <c r="AB230" i="1" s="1"/>
  <c r="U226" i="1"/>
  <c r="V226" i="1" s="1"/>
  <c r="W226" i="1" s="1"/>
  <c r="X226" i="1" s="1"/>
  <c r="Y226" i="1" s="1"/>
  <c r="Z226" i="1" s="1"/>
  <c r="AA226" i="1" s="1"/>
  <c r="AB226" i="1" s="1"/>
  <c r="U222" i="1"/>
  <c r="V222" i="1" s="1"/>
  <c r="W222" i="1" s="1"/>
  <c r="X222" i="1" s="1"/>
  <c r="Y222" i="1" s="1"/>
  <c r="Z222" i="1" s="1"/>
  <c r="AA222" i="1" s="1"/>
  <c r="AB222" i="1" s="1"/>
  <c r="U217" i="1"/>
  <c r="V217" i="1" s="1"/>
  <c r="W217" i="1" s="1"/>
  <c r="X217" i="1" s="1"/>
  <c r="Y217" i="1" s="1"/>
  <c r="Z217" i="1" s="1"/>
  <c r="AA217" i="1" s="1"/>
  <c r="AB217" i="1" s="1"/>
  <c r="U120" i="1"/>
  <c r="V120" i="1" s="1"/>
  <c r="W120" i="1" s="1"/>
  <c r="X120" i="1" s="1"/>
  <c r="Y120" i="1" s="1"/>
  <c r="Z120" i="1" s="1"/>
  <c r="AA120" i="1" s="1"/>
  <c r="AB120" i="1" s="1"/>
  <c r="U116" i="1"/>
  <c r="V116" i="1" s="1"/>
  <c r="W116" i="1" s="1"/>
  <c r="X116" i="1" s="1"/>
  <c r="Y116" i="1" s="1"/>
  <c r="Z116" i="1" s="1"/>
  <c r="AA116" i="1" s="1"/>
  <c r="AB116" i="1" s="1"/>
  <c r="U112" i="1"/>
  <c r="V112" i="1" s="1"/>
  <c r="W112" i="1" s="1"/>
  <c r="X112" i="1" s="1"/>
  <c r="Y112" i="1" s="1"/>
  <c r="Z112" i="1" s="1"/>
  <c r="AA112" i="1" s="1"/>
  <c r="AB112" i="1" s="1"/>
  <c r="U96" i="1"/>
  <c r="V96" i="1" s="1"/>
  <c r="W96" i="1" s="1"/>
  <c r="X96" i="1" s="1"/>
  <c r="Y96" i="1" s="1"/>
  <c r="Z96" i="1" s="1"/>
  <c r="AA96" i="1" s="1"/>
  <c r="AB96" i="1" s="1"/>
  <c r="U92" i="1"/>
  <c r="V92" i="1" s="1"/>
  <c r="W92" i="1" s="1"/>
  <c r="X92" i="1" s="1"/>
  <c r="Y92" i="1" s="1"/>
  <c r="Z92" i="1" s="1"/>
  <c r="AA92" i="1" s="1"/>
  <c r="AB92" i="1" s="1"/>
  <c r="P270" i="1"/>
  <c r="P165" i="1"/>
  <c r="P161" i="1"/>
  <c r="P164" i="1"/>
  <c r="P162" i="1"/>
  <c r="T386" i="1"/>
  <c r="T387" i="1"/>
  <c r="U232" i="1" l="1"/>
  <c r="V91" i="1"/>
  <c r="W91" i="1" s="1"/>
  <c r="X91" i="1" s="1"/>
  <c r="Y91" i="1" s="1"/>
  <c r="Z91" i="1" s="1"/>
  <c r="AA91" i="1" s="1"/>
  <c r="AB91" i="1" s="1"/>
  <c r="U124" i="1"/>
  <c r="U441" i="1" s="1"/>
  <c r="V214" i="1"/>
  <c r="V321" i="1"/>
  <c r="N34" i="30"/>
  <c r="R34" i="30"/>
  <c r="T42" i="1"/>
  <c r="T165" i="1"/>
  <c r="T273" i="1"/>
  <c r="T41" i="1"/>
  <c r="T272" i="1"/>
  <c r="T164" i="1"/>
  <c r="U431" i="1"/>
  <c r="T86" i="1"/>
  <c r="T209" i="1"/>
  <c r="U386" i="1"/>
  <c r="U387" i="1"/>
  <c r="W214" i="1" l="1"/>
  <c r="V232" i="1"/>
  <c r="W321" i="1"/>
  <c r="S443" i="1"/>
  <c r="P34" i="30"/>
  <c r="O34" i="30"/>
  <c r="S34" i="30"/>
  <c r="U41" i="1"/>
  <c r="U164" i="1"/>
  <c r="U272" i="1"/>
  <c r="R443" i="1"/>
  <c r="P443" i="1"/>
  <c r="U42" i="1"/>
  <c r="U165" i="1"/>
  <c r="U273" i="1"/>
  <c r="V431" i="1"/>
  <c r="U86" i="1"/>
  <c r="U209" i="1"/>
  <c r="U317" i="1"/>
  <c r="Q443" i="1"/>
  <c r="V386" i="1"/>
  <c r="V387" i="1"/>
  <c r="K60" i="3"/>
  <c r="J60" i="3"/>
  <c r="I60" i="3"/>
  <c r="H60" i="3"/>
  <c r="G60" i="3"/>
  <c r="F60" i="3"/>
  <c r="X214" i="1" l="1"/>
  <c r="W232" i="1"/>
  <c r="X321" i="1"/>
  <c r="T34" i="30"/>
  <c r="P385" i="1" s="1"/>
  <c r="V42" i="1"/>
  <c r="V165" i="1"/>
  <c r="V273" i="1"/>
  <c r="V41" i="1"/>
  <c r="V164" i="1"/>
  <c r="V272" i="1"/>
  <c r="V86" i="1"/>
  <c r="W431" i="1"/>
  <c r="V317" i="1"/>
  <c r="V209" i="1"/>
  <c r="W386" i="1"/>
  <c r="W387" i="1"/>
  <c r="C87" i="24"/>
  <c r="C88" i="24"/>
  <c r="B89" i="24" s="1"/>
  <c r="C40" i="37" s="1"/>
  <c r="C86" i="24"/>
  <c r="B86" i="24" s="1"/>
  <c r="C37" i="37" s="1"/>
  <c r="D12" i="24"/>
  <c r="D13" i="24"/>
  <c r="D11" i="24"/>
  <c r="G94" i="18"/>
  <c r="G95" i="18"/>
  <c r="G96" i="18"/>
  <c r="G93" i="18"/>
  <c r="F2810" i="28"/>
  <c r="F2811" i="28"/>
  <c r="F2809" i="28"/>
  <c r="G2825" i="28" s="1"/>
  <c r="F2825" i="28" s="1"/>
  <c r="B79" i="24"/>
  <c r="C29" i="37" s="1"/>
  <c r="B82" i="24"/>
  <c r="C32" i="37" s="1"/>
  <c r="C82" i="24"/>
  <c r="B81" i="24"/>
  <c r="C31" i="37" s="1"/>
  <c r="B80" i="24"/>
  <c r="C30" i="37" s="1"/>
  <c r="D17" i="24"/>
  <c r="D9" i="24"/>
  <c r="B100" i="14"/>
  <c r="B98" i="14"/>
  <c r="G2826" i="28" l="1"/>
  <c r="F2826" i="28" s="1"/>
  <c r="P271" i="1"/>
  <c r="P388" i="1"/>
  <c r="P40" i="1"/>
  <c r="P163" i="1"/>
  <c r="Y214" i="1"/>
  <c r="X232" i="1"/>
  <c r="Y321" i="1"/>
  <c r="G2809" i="28"/>
  <c r="F2816" i="28"/>
  <c r="G2816" i="28" s="1"/>
  <c r="F2263" i="22"/>
  <c r="F2817" i="28"/>
  <c r="F2264" i="22"/>
  <c r="F2818" i="28"/>
  <c r="F2265" i="22"/>
  <c r="F2266" i="22" s="1"/>
  <c r="B87" i="24"/>
  <c r="B88" i="24"/>
  <c r="B77" i="18"/>
  <c r="C32" i="31"/>
  <c r="C89" i="24"/>
  <c r="B76" i="18"/>
  <c r="C31" i="31"/>
  <c r="B97" i="24"/>
  <c r="B106" i="24" s="1"/>
  <c r="C37" i="31"/>
  <c r="B100" i="24"/>
  <c r="B109" i="24" s="1"/>
  <c r="C40" i="31"/>
  <c r="B75" i="18"/>
  <c r="C30" i="31"/>
  <c r="B74" i="18"/>
  <c r="C29" i="31"/>
  <c r="X23" i="30"/>
  <c r="Y23" i="30" s="1"/>
  <c r="Z23" i="30" s="1"/>
  <c r="AA23" i="30" s="1"/>
  <c r="AB23" i="30" s="1"/>
  <c r="AC23" i="30" s="1"/>
  <c r="AD23" i="30" s="1"/>
  <c r="AE23" i="30" s="1"/>
  <c r="AF23" i="30" s="1"/>
  <c r="U34" i="30"/>
  <c r="Q385" i="1" s="1"/>
  <c r="X22" i="30"/>
  <c r="Y22" i="30" s="1"/>
  <c r="Z22" i="30" s="1"/>
  <c r="AA22" i="30" s="1"/>
  <c r="AB22" i="30" s="1"/>
  <c r="AC22" i="30" s="1"/>
  <c r="AD22" i="30" s="1"/>
  <c r="AE22" i="30" s="1"/>
  <c r="AF22" i="30" s="1"/>
  <c r="X24" i="30"/>
  <c r="X25" i="30"/>
  <c r="Y25" i="30" s="1"/>
  <c r="Z25" i="30" s="1"/>
  <c r="AA25" i="30" s="1"/>
  <c r="AB25" i="30" s="1"/>
  <c r="AC25" i="30" s="1"/>
  <c r="AD25" i="30" s="1"/>
  <c r="AE25" i="30" s="1"/>
  <c r="AF25" i="30" s="1"/>
  <c r="X21" i="30"/>
  <c r="Y21" i="30" s="1"/>
  <c r="Z21" i="30" s="1"/>
  <c r="W41" i="1"/>
  <c r="W272" i="1"/>
  <c r="W164" i="1"/>
  <c r="W86" i="1"/>
  <c r="X431" i="1"/>
  <c r="W209" i="1"/>
  <c r="W317" i="1"/>
  <c r="W42" i="1"/>
  <c r="W165" i="1"/>
  <c r="W273" i="1"/>
  <c r="X386" i="1"/>
  <c r="X387" i="1"/>
  <c r="H4" i="18"/>
  <c r="G74" i="18" l="1"/>
  <c r="B99" i="24"/>
  <c r="B108" i="24" s="1"/>
  <c r="C39" i="37"/>
  <c r="B98" i="24"/>
  <c r="B107" i="24" s="1"/>
  <c r="C38" i="37"/>
  <c r="G2827" i="28"/>
  <c r="F2827" i="28" s="1"/>
  <c r="Y24" i="30"/>
  <c r="Z24" i="30" s="1"/>
  <c r="AA24" i="30" s="1"/>
  <c r="AB24" i="30" s="1"/>
  <c r="AC24" i="30" s="1"/>
  <c r="AD24" i="30" s="1"/>
  <c r="AE24" i="30" s="1"/>
  <c r="AF24" i="30" s="1"/>
  <c r="AA21" i="30"/>
  <c r="Q40" i="1"/>
  <c r="Q388" i="1"/>
  <c r="Q163" i="1"/>
  <c r="Q271" i="1"/>
  <c r="Z214" i="1"/>
  <c r="Y232" i="1"/>
  <c r="Z321" i="1"/>
  <c r="G2817" i="28"/>
  <c r="U2816" i="28"/>
  <c r="G2810" i="28"/>
  <c r="B84" i="18"/>
  <c r="B95" i="18"/>
  <c r="B100" i="18" s="1"/>
  <c r="B85" i="18"/>
  <c r="B96" i="18"/>
  <c r="B101" i="18" s="1"/>
  <c r="B82" i="18"/>
  <c r="B93" i="18"/>
  <c r="B98" i="18" s="1"/>
  <c r="B83" i="18"/>
  <c r="B94" i="18"/>
  <c r="B99" i="18" s="1"/>
  <c r="C38" i="31"/>
  <c r="C39" i="31"/>
  <c r="V34" i="30"/>
  <c r="U35" i="30"/>
  <c r="X41" i="1"/>
  <c r="X272" i="1"/>
  <c r="X164" i="1"/>
  <c r="X86" i="1"/>
  <c r="X209" i="1"/>
  <c r="X317" i="1"/>
  <c r="Y431" i="1"/>
  <c r="X42" i="1"/>
  <c r="X165" i="1"/>
  <c r="X273" i="1"/>
  <c r="Y386" i="1"/>
  <c r="Y387" i="1"/>
  <c r="E69" i="24"/>
  <c r="E44" i="24"/>
  <c r="G75" i="18" l="1"/>
  <c r="AA34" i="30"/>
  <c r="AB21" i="30"/>
  <c r="AC21" i="30" s="1"/>
  <c r="AD21" i="30" s="1"/>
  <c r="AE21" i="30" s="1"/>
  <c r="AF21" i="30" s="1"/>
  <c r="R389" i="1"/>
  <c r="Q389" i="1"/>
  <c r="AA214" i="1"/>
  <c r="Z232" i="1"/>
  <c r="G2811" i="28"/>
  <c r="G76" i="18" s="1"/>
  <c r="U2817" i="28"/>
  <c r="G2818" i="28"/>
  <c r="V35" i="30"/>
  <c r="Y42" i="1"/>
  <c r="Y165" i="1"/>
  <c r="Y273" i="1"/>
  <c r="Y41" i="1"/>
  <c r="Y272" i="1"/>
  <c r="Y164" i="1"/>
  <c r="Y86" i="1"/>
  <c r="Y209" i="1"/>
  <c r="Y317" i="1"/>
  <c r="Z431" i="1"/>
  <c r="Z386" i="1"/>
  <c r="AA386" i="1" s="1"/>
  <c r="Z387" i="1"/>
  <c r="AB214" i="1" l="1"/>
  <c r="AB232" i="1" s="1"/>
  <c r="AA232" i="1"/>
  <c r="S40" i="1"/>
  <c r="S163" i="1"/>
  <c r="S271" i="1"/>
  <c r="U2818" i="28"/>
  <c r="U2819" i="28" s="1"/>
  <c r="W35" i="30"/>
  <c r="X34" i="30"/>
  <c r="T385" i="1" s="1"/>
  <c r="AB34" i="30"/>
  <c r="X385" i="1" s="1"/>
  <c r="Z42" i="1"/>
  <c r="Z165" i="1"/>
  <c r="Z273" i="1"/>
  <c r="Z86" i="1"/>
  <c r="Z209" i="1"/>
  <c r="Z317" i="1"/>
  <c r="AA431" i="1"/>
  <c r="AA41" i="1"/>
  <c r="AA272" i="1"/>
  <c r="AA164" i="1"/>
  <c r="Z41" i="1"/>
  <c r="Z164" i="1"/>
  <c r="Z272" i="1"/>
  <c r="AB386" i="1"/>
  <c r="AA387" i="1"/>
  <c r="F69" i="24"/>
  <c r="F44" i="24"/>
  <c r="G69" i="18"/>
  <c r="F48" i="18"/>
  <c r="M38" i="34" s="1"/>
  <c r="G48" i="18"/>
  <c r="N38" i="34" s="1"/>
  <c r="H47" i="18"/>
  <c r="H48" i="18" s="1"/>
  <c r="O38" i="34" l="1"/>
  <c r="H49" i="18"/>
  <c r="H10" i="18" s="1"/>
  <c r="X163" i="1"/>
  <c r="X40" i="1"/>
  <c r="X271" i="1"/>
  <c r="T40" i="1"/>
  <c r="T271" i="1"/>
  <c r="T163" i="1"/>
  <c r="X35" i="30"/>
  <c r="W385" i="1"/>
  <c r="Z34" i="30"/>
  <c r="V385" i="1" s="1"/>
  <c r="AD34" i="30"/>
  <c r="Z385" i="1" s="1"/>
  <c r="AE34" i="30"/>
  <c r="AA385" i="1" s="1"/>
  <c r="AF34" i="30"/>
  <c r="AB385" i="1" s="1"/>
  <c r="AB163" i="1" s="1"/>
  <c r="Y34" i="30"/>
  <c r="U385" i="1" s="1"/>
  <c r="AC34" i="30"/>
  <c r="Y385" i="1" s="1"/>
  <c r="AB41" i="1"/>
  <c r="AB272" i="1"/>
  <c r="AB164" i="1"/>
  <c r="AA86" i="1"/>
  <c r="AA317" i="1"/>
  <c r="AA209" i="1"/>
  <c r="AB431" i="1"/>
  <c r="AA42" i="1"/>
  <c r="AA165" i="1"/>
  <c r="AA273" i="1"/>
  <c r="AB387" i="1"/>
  <c r="I47" i="18"/>
  <c r="J47" i="18" s="1"/>
  <c r="K47" i="18" l="1"/>
  <c r="K48" i="18" s="1"/>
  <c r="R38" i="34" s="1"/>
  <c r="H68" i="18"/>
  <c r="H88" i="18"/>
  <c r="I48" i="18"/>
  <c r="P38" i="34" s="1"/>
  <c r="AB271" i="1"/>
  <c r="AB40" i="1"/>
  <c r="W40" i="1"/>
  <c r="W271" i="1"/>
  <c r="W163" i="1"/>
  <c r="AA40" i="1"/>
  <c r="AA271" i="1"/>
  <c r="AA163" i="1"/>
  <c r="Y163" i="1"/>
  <c r="Y40" i="1"/>
  <c r="Y271" i="1"/>
  <c r="Z163" i="1"/>
  <c r="Z271" i="1"/>
  <c r="Z40" i="1"/>
  <c r="U40" i="1"/>
  <c r="U271" i="1"/>
  <c r="U163" i="1"/>
  <c r="V40" i="1"/>
  <c r="V163" i="1"/>
  <c r="V271" i="1"/>
  <c r="Y35" i="30"/>
  <c r="AF35" i="30"/>
  <c r="AA35" i="30"/>
  <c r="AE35" i="30"/>
  <c r="AC35" i="30"/>
  <c r="AD35" i="30"/>
  <c r="AB35" i="30"/>
  <c r="Z35" i="30"/>
  <c r="AB86" i="1"/>
  <c r="AB317" i="1"/>
  <c r="AB209" i="1"/>
  <c r="AB42" i="1"/>
  <c r="AB165" i="1"/>
  <c r="AB273" i="1"/>
  <c r="J48" i="18"/>
  <c r="L47" i="18" l="1"/>
  <c r="M47" i="18" s="1"/>
  <c r="N47" i="18" s="1"/>
  <c r="I49" i="18"/>
  <c r="I10" i="18" s="1"/>
  <c r="I88" i="18" s="1"/>
  <c r="I68" i="18"/>
  <c r="K49" i="18"/>
  <c r="G44" i="24"/>
  <c r="H69" i="18"/>
  <c r="Q38" i="34"/>
  <c r="J49" i="18"/>
  <c r="J10" i="18" s="1"/>
  <c r="M48" i="18" l="1"/>
  <c r="S38" i="34" s="1"/>
  <c r="L48" i="18"/>
  <c r="K10" i="18"/>
  <c r="J88" i="18"/>
  <c r="J68" i="18"/>
  <c r="H44" i="24"/>
  <c r="I69" i="18"/>
  <c r="L49" i="18"/>
  <c r="O47" i="18"/>
  <c r="N48" i="18"/>
  <c r="M49" i="18" l="1"/>
  <c r="J69" i="18"/>
  <c r="I44" i="24"/>
  <c r="L10" i="18"/>
  <c r="K88" i="18"/>
  <c r="K68" i="18"/>
  <c r="N49" i="18"/>
  <c r="P47" i="18"/>
  <c r="O48" i="18"/>
  <c r="M10" i="18" l="1"/>
  <c r="L88" i="18"/>
  <c r="L68" i="18"/>
  <c r="J44" i="24"/>
  <c r="K69" i="18"/>
  <c r="O49" i="18"/>
  <c r="Q47" i="18"/>
  <c r="Q48" i="18" s="1"/>
  <c r="P48" i="18"/>
  <c r="K44" i="24" l="1"/>
  <c r="L69" i="18"/>
  <c r="N10" i="18"/>
  <c r="M88" i="18"/>
  <c r="M68" i="18"/>
  <c r="T38" i="34"/>
  <c r="P49" i="18"/>
  <c r="U38" i="34"/>
  <c r="Q49" i="18"/>
  <c r="I2812" i="28"/>
  <c r="I2819" i="28" s="1"/>
  <c r="F2812" i="28"/>
  <c r="J2811" i="28"/>
  <c r="J2818" i="28" s="1"/>
  <c r="E2811" i="28"/>
  <c r="J2810" i="28"/>
  <c r="J2817" i="28" s="1"/>
  <c r="E2810" i="28"/>
  <c r="J2809" i="28"/>
  <c r="I2809" i="28"/>
  <c r="I2816" i="28" s="1"/>
  <c r="J2804" i="28"/>
  <c r="K2804" i="28" s="1"/>
  <c r="G64" i="18" s="1"/>
  <c r="F2804" i="28"/>
  <c r="G2804" i="28" s="1"/>
  <c r="G57" i="18" s="1"/>
  <c r="I2803" i="28"/>
  <c r="E2803" i="28"/>
  <c r="V2802" i="28"/>
  <c r="U2802" i="28"/>
  <c r="F2819" i="28" l="1"/>
  <c r="G2819" i="28" s="1"/>
  <c r="G2821" i="28" s="1"/>
  <c r="F2821" i="28" s="1"/>
  <c r="G2828" i="28"/>
  <c r="F2828" i="28" s="1"/>
  <c r="O10" i="18"/>
  <c r="N88" i="18"/>
  <c r="N68" i="18"/>
  <c r="L44" i="24"/>
  <c r="M69" i="18"/>
  <c r="I2811" i="28"/>
  <c r="I2818" i="28" s="1"/>
  <c r="E2818" i="28"/>
  <c r="I2810" i="28"/>
  <c r="I2817" i="28" s="1"/>
  <c r="E2817" i="28"/>
  <c r="K2809" i="28"/>
  <c r="G82" i="18" s="1"/>
  <c r="J2816" i="28"/>
  <c r="K2816" i="28" s="1"/>
  <c r="K2817" i="28" s="1"/>
  <c r="J2812" i="28"/>
  <c r="G2812" i="28"/>
  <c r="U2803" i="28"/>
  <c r="I5" i="27"/>
  <c r="I49" i="27" s="1"/>
  <c r="F5" i="27"/>
  <c r="F49" i="27" s="1"/>
  <c r="C5" i="27"/>
  <c r="C49" i="27" s="1"/>
  <c r="J41" i="27"/>
  <c r="I41" i="27"/>
  <c r="G41" i="27"/>
  <c r="F41" i="27"/>
  <c r="G77" i="18" l="1"/>
  <c r="M44" i="24"/>
  <c r="N69" i="18"/>
  <c r="P10" i="18"/>
  <c r="O88" i="18"/>
  <c r="O68" i="18"/>
  <c r="V2817" i="28"/>
  <c r="K2818" i="28"/>
  <c r="K2812" i="28"/>
  <c r="G85" i="18" s="1"/>
  <c r="J2819" i="28"/>
  <c r="K2819" i="28" s="1"/>
  <c r="K2810" i="28"/>
  <c r="G83" i="18" s="1"/>
  <c r="V2816" i="28"/>
  <c r="G7" i="26"/>
  <c r="H7" i="26"/>
  <c r="I7" i="26"/>
  <c r="J7" i="26"/>
  <c r="K7" i="26"/>
  <c r="L7" i="26"/>
  <c r="M7" i="26"/>
  <c r="N7" i="26"/>
  <c r="O7" i="26"/>
  <c r="F7" i="26"/>
  <c r="F7" i="25"/>
  <c r="G7" i="25"/>
  <c r="H7" i="25"/>
  <c r="I7" i="25"/>
  <c r="J7" i="25"/>
  <c r="K7" i="25"/>
  <c r="L7" i="25"/>
  <c r="M7" i="25"/>
  <c r="N7" i="25"/>
  <c r="E7" i="25"/>
  <c r="E12" i="25" s="1"/>
  <c r="I7" i="24"/>
  <c r="I9" i="24" s="1"/>
  <c r="H9" i="37" s="1"/>
  <c r="J7" i="24"/>
  <c r="K7" i="24"/>
  <c r="L7" i="24"/>
  <c r="M7" i="24"/>
  <c r="N7" i="24"/>
  <c r="O7" i="24"/>
  <c r="P7" i="24"/>
  <c r="I5" i="23"/>
  <c r="I49" i="23" s="1"/>
  <c r="J41" i="23"/>
  <c r="I41" i="23"/>
  <c r="F5" i="23"/>
  <c r="F49" i="23" s="1"/>
  <c r="C5" i="23"/>
  <c r="C49" i="23" s="1"/>
  <c r="F41" i="23"/>
  <c r="F49" i="37" l="1"/>
  <c r="B21" i="39"/>
  <c r="J9" i="24"/>
  <c r="Q10" i="18"/>
  <c r="P88" i="18"/>
  <c r="P68" i="18"/>
  <c r="F49" i="31"/>
  <c r="F12" i="25"/>
  <c r="O69" i="18"/>
  <c r="N44" i="24"/>
  <c r="F12" i="26"/>
  <c r="B25" i="39" s="1"/>
  <c r="F9" i="26"/>
  <c r="V2818" i="28"/>
  <c r="V2819" i="28" s="1"/>
  <c r="K2811" i="28"/>
  <c r="G84" i="18" s="1"/>
  <c r="K2821" i="28"/>
  <c r="J2821" i="28" s="1"/>
  <c r="E9" i="25"/>
  <c r="G21" i="24"/>
  <c r="F21" i="37" s="1"/>
  <c r="G23" i="24"/>
  <c r="F23" i="37" s="1"/>
  <c r="G13" i="24"/>
  <c r="F13" i="37" s="1"/>
  <c r="G20" i="24"/>
  <c r="F20" i="37" s="1"/>
  <c r="G12" i="24"/>
  <c r="F12" i="37" s="1"/>
  <c r="G17" i="24"/>
  <c r="F17" i="37" s="1"/>
  <c r="G19" i="24"/>
  <c r="F19" i="37" s="1"/>
  <c r="G11" i="24"/>
  <c r="S11" i="24" s="1"/>
  <c r="S12" i="24" s="1"/>
  <c r="G41" i="23"/>
  <c r="Q9" i="25" l="1"/>
  <c r="B19" i="39"/>
  <c r="B20" i="39" s="1"/>
  <c r="Q10" i="26"/>
  <c r="B24" i="39"/>
  <c r="G49" i="37"/>
  <c r="C21" i="39"/>
  <c r="F46" i="31"/>
  <c r="F78" i="31" s="1"/>
  <c r="C98" i="16" s="1"/>
  <c r="F46" i="37"/>
  <c r="F52" i="36"/>
  <c r="F53" i="37"/>
  <c r="F55" i="36"/>
  <c r="F56" i="31"/>
  <c r="F56" i="37"/>
  <c r="H11" i="24"/>
  <c r="G11" i="37" s="1"/>
  <c r="G64" i="37" s="1"/>
  <c r="F11" i="37"/>
  <c r="K9" i="24"/>
  <c r="J9" i="37" s="1"/>
  <c r="I9" i="37"/>
  <c r="O44" i="24"/>
  <c r="P69" i="18"/>
  <c r="Q88" i="18"/>
  <c r="Q68" i="18"/>
  <c r="G12" i="26"/>
  <c r="C25" i="39" s="1"/>
  <c r="E41" i="26"/>
  <c r="E42" i="26"/>
  <c r="E45" i="26"/>
  <c r="E43" i="26"/>
  <c r="E46" i="26"/>
  <c r="E47" i="26"/>
  <c r="E44" i="26"/>
  <c r="E48" i="26"/>
  <c r="F23" i="31"/>
  <c r="G69" i="24"/>
  <c r="F81" i="31"/>
  <c r="F79" i="31"/>
  <c r="F9" i="25"/>
  <c r="G12" i="25"/>
  <c r="G49" i="31"/>
  <c r="G9" i="26"/>
  <c r="C24" i="39" s="1"/>
  <c r="F53" i="31"/>
  <c r="F11" i="31"/>
  <c r="H12" i="24"/>
  <c r="G12" i="37" s="1"/>
  <c r="F12" i="31"/>
  <c r="H21" i="24"/>
  <c r="F21" i="31"/>
  <c r="H19" i="24"/>
  <c r="F19" i="31"/>
  <c r="H20" i="24"/>
  <c r="F20" i="31"/>
  <c r="H17" i="24"/>
  <c r="F17" i="31"/>
  <c r="H13" i="24"/>
  <c r="F13" i="31"/>
  <c r="F9" i="31"/>
  <c r="G91" i="24"/>
  <c r="H23" i="24"/>
  <c r="G23" i="37" s="1"/>
  <c r="H49" i="37" l="1"/>
  <c r="D21" i="39"/>
  <c r="G46" i="37"/>
  <c r="G335" i="37" s="1"/>
  <c r="C19" i="39"/>
  <c r="C20" i="39" s="1"/>
  <c r="F42" i="37"/>
  <c r="B16" i="39"/>
  <c r="F77" i="31"/>
  <c r="G68" i="37"/>
  <c r="G66" i="37"/>
  <c r="G62" i="37"/>
  <c r="G76" i="37"/>
  <c r="G61" i="37"/>
  <c r="G67" i="37"/>
  <c r="G69" i="37"/>
  <c r="G11" i="31"/>
  <c r="F80" i="31"/>
  <c r="G65" i="37"/>
  <c r="G63" i="37"/>
  <c r="F321" i="37"/>
  <c r="F322" i="37"/>
  <c r="F365" i="37"/>
  <c r="F334" i="37"/>
  <c r="F282" i="37"/>
  <c r="F352" i="37"/>
  <c r="F274" i="37"/>
  <c r="F359" i="37"/>
  <c r="F360" i="37"/>
  <c r="F324" i="37"/>
  <c r="F357" i="37"/>
  <c r="F283" i="37"/>
  <c r="F305" i="37"/>
  <c r="F271" i="37"/>
  <c r="F293" i="37"/>
  <c r="F301" i="37"/>
  <c r="F317" i="37"/>
  <c r="F328" i="37"/>
  <c r="F292" i="37"/>
  <c r="F338" i="37"/>
  <c r="F348" i="37"/>
  <c r="F344" i="37"/>
  <c r="F362" i="37"/>
  <c r="F358" i="37"/>
  <c r="F294" i="37"/>
  <c r="F304" i="37"/>
  <c r="F309" i="37"/>
  <c r="F306" i="37"/>
  <c r="F340" i="37"/>
  <c r="F318" i="37"/>
  <c r="F336" i="37"/>
  <c r="F332" i="37"/>
  <c r="F333" i="37"/>
  <c r="F337" i="37"/>
  <c r="F351" i="37"/>
  <c r="F355" i="37"/>
  <c r="F319" i="37"/>
  <c r="F275" i="37"/>
  <c r="F285" i="37"/>
  <c r="F308" i="37"/>
  <c r="F273" i="37"/>
  <c r="F296" i="37"/>
  <c r="F307" i="37"/>
  <c r="F320" i="37"/>
  <c r="F331" i="37"/>
  <c r="F297" i="37"/>
  <c r="F364" i="37"/>
  <c r="F343" i="37"/>
  <c r="F339" i="37"/>
  <c r="F350" i="37"/>
  <c r="F330" i="37"/>
  <c r="F342" i="37"/>
  <c r="F278" i="37"/>
  <c r="F268" i="37"/>
  <c r="F290" i="37"/>
  <c r="F327" i="37"/>
  <c r="F302" i="37"/>
  <c r="F356" i="37"/>
  <c r="F316" i="37"/>
  <c r="F349" i="37"/>
  <c r="F335" i="37"/>
  <c r="F353" i="37"/>
  <c r="F277" i="37"/>
  <c r="F300" i="37"/>
  <c r="F311" i="37"/>
  <c r="F288" i="37"/>
  <c r="F276" i="37"/>
  <c r="F312" i="37"/>
  <c r="F323" i="37"/>
  <c r="F272" i="37"/>
  <c r="F279" i="37"/>
  <c r="F295" i="37"/>
  <c r="F354" i="37"/>
  <c r="F366" i="37"/>
  <c r="F314" i="37"/>
  <c r="F326" i="37"/>
  <c r="F289" i="37"/>
  <c r="F346" i="37"/>
  <c r="F286" i="37"/>
  <c r="F299" i="37"/>
  <c r="F361" i="37"/>
  <c r="F341" i="37"/>
  <c r="F345" i="37"/>
  <c r="F329" i="37"/>
  <c r="F280" i="37"/>
  <c r="F303" i="37"/>
  <c r="F313" i="37"/>
  <c r="F291" i="37"/>
  <c r="F281" i="37"/>
  <c r="F315" i="37"/>
  <c r="F325" i="37"/>
  <c r="F287" i="37"/>
  <c r="F284" i="37"/>
  <c r="F363" i="37"/>
  <c r="F347" i="37"/>
  <c r="F298" i="37"/>
  <c r="F310" i="37"/>
  <c r="F267" i="37"/>
  <c r="F270" i="37"/>
  <c r="F269" i="37"/>
  <c r="F434" i="37"/>
  <c r="F462" i="37"/>
  <c r="F426" i="37"/>
  <c r="F459" i="37"/>
  <c r="F439" i="37"/>
  <c r="F380" i="37"/>
  <c r="F388" i="37"/>
  <c r="F396" i="37"/>
  <c r="F404" i="37"/>
  <c r="F385" i="37"/>
  <c r="F401" i="37"/>
  <c r="F411" i="37"/>
  <c r="F419" i="37"/>
  <c r="F383" i="37"/>
  <c r="F399" i="37"/>
  <c r="F429" i="37"/>
  <c r="F412" i="37"/>
  <c r="F406" i="37"/>
  <c r="F447" i="37"/>
  <c r="F466" i="37"/>
  <c r="F461" i="37"/>
  <c r="F464" i="37"/>
  <c r="F440" i="37"/>
  <c r="F424" i="37"/>
  <c r="F442" i="37"/>
  <c r="F435" i="37"/>
  <c r="F394" i="37"/>
  <c r="F381" i="37"/>
  <c r="F417" i="37"/>
  <c r="F427" i="37"/>
  <c r="F449" i="37"/>
  <c r="F448" i="37"/>
  <c r="F418" i="37"/>
  <c r="F458" i="37"/>
  <c r="F410" i="37"/>
  <c r="F460" i="37"/>
  <c r="F455" i="37"/>
  <c r="F465" i="37"/>
  <c r="F374" i="37"/>
  <c r="F382" i="37"/>
  <c r="F390" i="37"/>
  <c r="F398" i="37"/>
  <c r="F373" i="37"/>
  <c r="F389" i="37"/>
  <c r="F405" i="37"/>
  <c r="F413" i="37"/>
  <c r="F421" i="37"/>
  <c r="F387" i="37"/>
  <c r="F403" i="37"/>
  <c r="F431" i="37"/>
  <c r="F416" i="37"/>
  <c r="F438" i="37"/>
  <c r="F457" i="37"/>
  <c r="F445" i="37"/>
  <c r="F467" i="37"/>
  <c r="F456" i="37"/>
  <c r="F436" i="37"/>
  <c r="F430" i="37"/>
  <c r="F444" i="37"/>
  <c r="F378" i="37"/>
  <c r="F402" i="37"/>
  <c r="F409" i="37"/>
  <c r="F395" i="37"/>
  <c r="F423" i="37"/>
  <c r="F463" i="37"/>
  <c r="F468" i="37"/>
  <c r="F450" i="37"/>
  <c r="F446" i="37"/>
  <c r="F454" i="37"/>
  <c r="F451" i="37"/>
  <c r="F376" i="37"/>
  <c r="F384" i="37"/>
  <c r="F392" i="37"/>
  <c r="F400" i="37"/>
  <c r="F377" i="37"/>
  <c r="F393" i="37"/>
  <c r="F407" i="37"/>
  <c r="F415" i="37"/>
  <c r="F375" i="37"/>
  <c r="F391" i="37"/>
  <c r="F425" i="37"/>
  <c r="F433" i="37"/>
  <c r="F420" i="37"/>
  <c r="F422" i="37"/>
  <c r="F437" i="37"/>
  <c r="F453" i="37"/>
  <c r="F452" i="37"/>
  <c r="F432" i="37"/>
  <c r="F443" i="37"/>
  <c r="F386" i="37"/>
  <c r="F397" i="37"/>
  <c r="F379" i="37"/>
  <c r="F408" i="37"/>
  <c r="F414" i="37"/>
  <c r="F441" i="37"/>
  <c r="F428" i="37"/>
  <c r="F369" i="37"/>
  <c r="F372" i="37"/>
  <c r="F371" i="37"/>
  <c r="F370" i="37"/>
  <c r="F64" i="37"/>
  <c r="F80" i="37"/>
  <c r="F156" i="37"/>
  <c r="F140" i="37"/>
  <c r="F124" i="37"/>
  <c r="F116" i="37"/>
  <c r="F97" i="37"/>
  <c r="F71" i="37"/>
  <c r="F79" i="37"/>
  <c r="F87" i="37"/>
  <c r="F66" i="37"/>
  <c r="F82" i="37"/>
  <c r="F96" i="37"/>
  <c r="F506" i="37" s="1"/>
  <c r="F104" i="37"/>
  <c r="F68" i="37"/>
  <c r="F478" i="37" s="1"/>
  <c r="F95" i="37"/>
  <c r="F113" i="37"/>
  <c r="F121" i="37"/>
  <c r="F129" i="37"/>
  <c r="F137" i="37"/>
  <c r="F145" i="37"/>
  <c r="F153" i="37"/>
  <c r="F158" i="37"/>
  <c r="F142" i="37"/>
  <c r="F126" i="37"/>
  <c r="F109" i="37"/>
  <c r="F144" i="37"/>
  <c r="F105" i="37"/>
  <c r="F69" i="37"/>
  <c r="F93" i="37"/>
  <c r="F102" i="37"/>
  <c r="F107" i="37"/>
  <c r="F135" i="37"/>
  <c r="F159" i="37"/>
  <c r="F130" i="37"/>
  <c r="F72" i="37"/>
  <c r="F152" i="37"/>
  <c r="F136" i="37"/>
  <c r="F112" i="37"/>
  <c r="F65" i="37"/>
  <c r="F73" i="37"/>
  <c r="F81" i="37"/>
  <c r="F89" i="37"/>
  <c r="F70" i="37"/>
  <c r="F86" i="37"/>
  <c r="F496" i="37" s="1"/>
  <c r="F98" i="37"/>
  <c r="F508" i="37" s="1"/>
  <c r="F106" i="37"/>
  <c r="F76" i="37"/>
  <c r="F99" i="37"/>
  <c r="F509" i="37" s="1"/>
  <c r="F115" i="37"/>
  <c r="F123" i="37"/>
  <c r="F131" i="37"/>
  <c r="F139" i="37"/>
  <c r="F147" i="37"/>
  <c r="F155" i="37"/>
  <c r="F61" i="37"/>
  <c r="F154" i="37"/>
  <c r="F138" i="37"/>
  <c r="F122" i="37"/>
  <c r="F101" i="37"/>
  <c r="F128" i="37"/>
  <c r="F120" i="37"/>
  <c r="F77" i="37"/>
  <c r="F78" i="37"/>
  <c r="F110" i="37"/>
  <c r="F520" i="37" s="1"/>
  <c r="F119" i="37"/>
  <c r="F143" i="37"/>
  <c r="F146" i="37"/>
  <c r="F148" i="37"/>
  <c r="F132" i="37"/>
  <c r="F160" i="37"/>
  <c r="F111" i="37"/>
  <c r="F67" i="37"/>
  <c r="F477" i="37" s="1"/>
  <c r="F75" i="37"/>
  <c r="F83" i="37"/>
  <c r="F91" i="37"/>
  <c r="F74" i="37"/>
  <c r="F90" i="37"/>
  <c r="F500" i="37" s="1"/>
  <c r="F100" i="37"/>
  <c r="F108" i="37"/>
  <c r="F84" i="37"/>
  <c r="F494" i="37" s="1"/>
  <c r="F103" i="37"/>
  <c r="F117" i="37"/>
  <c r="F125" i="37"/>
  <c r="F133" i="37"/>
  <c r="F543" i="37" s="1"/>
  <c r="F141" i="37"/>
  <c r="F149" i="37"/>
  <c r="F157" i="37"/>
  <c r="F63" i="37"/>
  <c r="F150" i="37"/>
  <c r="F134" i="37"/>
  <c r="F118" i="37"/>
  <c r="F88" i="37"/>
  <c r="F85" i="37"/>
  <c r="F94" i="37"/>
  <c r="F92" i="37"/>
  <c r="F127" i="37"/>
  <c r="F151" i="37"/>
  <c r="F62" i="37"/>
  <c r="F114" i="37"/>
  <c r="F524" i="37" s="1"/>
  <c r="G78" i="37"/>
  <c r="G73" i="37"/>
  <c r="G77" i="37"/>
  <c r="I13" i="24"/>
  <c r="H13" i="37" s="1"/>
  <c r="G13" i="37"/>
  <c r="G113" i="37" s="1"/>
  <c r="I21" i="24"/>
  <c r="H21" i="37" s="1"/>
  <c r="G21" i="37"/>
  <c r="I17" i="24"/>
  <c r="H17" i="37" s="1"/>
  <c r="G17" i="37"/>
  <c r="I19" i="24"/>
  <c r="H19" i="37" s="1"/>
  <c r="G19" i="37"/>
  <c r="G74" i="37"/>
  <c r="G79" i="37"/>
  <c r="I20" i="24"/>
  <c r="H20" i="37" s="1"/>
  <c r="G20" i="37"/>
  <c r="G72" i="37"/>
  <c r="G70" i="37"/>
  <c r="G75" i="37"/>
  <c r="G71" i="37"/>
  <c r="G349" i="37"/>
  <c r="G281" i="37"/>
  <c r="G334" i="37"/>
  <c r="H9" i="26"/>
  <c r="G53" i="37"/>
  <c r="H12" i="26"/>
  <c r="G56" i="37"/>
  <c r="G23" i="31"/>
  <c r="I23" i="24"/>
  <c r="H23" i="37" s="1"/>
  <c r="F61" i="31"/>
  <c r="F64" i="31"/>
  <c r="F63" i="31"/>
  <c r="F65" i="31"/>
  <c r="F62" i="31"/>
  <c r="G12" i="31"/>
  <c r="I12" i="24"/>
  <c r="Q69" i="18"/>
  <c r="P44" i="24"/>
  <c r="G56" i="31"/>
  <c r="G9" i="31"/>
  <c r="H12" i="25"/>
  <c r="H49" i="31"/>
  <c r="G9" i="25"/>
  <c r="G46" i="31"/>
  <c r="I11" i="24"/>
  <c r="F87" i="31"/>
  <c r="F85" i="31"/>
  <c r="C99" i="16" s="1"/>
  <c r="F88" i="31"/>
  <c r="F84" i="31"/>
  <c r="F86" i="31"/>
  <c r="G53" i="31"/>
  <c r="G84" i="31" s="1"/>
  <c r="G17" i="31"/>
  <c r="G19" i="31"/>
  <c r="G114" i="24"/>
  <c r="F42" i="31"/>
  <c r="G13" i="31"/>
  <c r="G20" i="31"/>
  <c r="G21" i="31"/>
  <c r="H69" i="24"/>
  <c r="H91" i="24"/>
  <c r="F560" i="37" l="1"/>
  <c r="G356" i="37"/>
  <c r="G343" i="37"/>
  <c r="G294" i="37"/>
  <c r="G269" i="37"/>
  <c r="G323" i="37"/>
  <c r="G297" i="37"/>
  <c r="G344" i="37"/>
  <c r="G360" i="37"/>
  <c r="G326" i="37"/>
  <c r="G361" i="37"/>
  <c r="G267" i="37"/>
  <c r="G357" i="37"/>
  <c r="G315" i="37"/>
  <c r="G308" i="37"/>
  <c r="G288" i="37"/>
  <c r="G330" i="37"/>
  <c r="G282" i="37"/>
  <c r="G364" i="37"/>
  <c r="G325" i="37"/>
  <c r="G309" i="37"/>
  <c r="G299" i="37"/>
  <c r="G317" i="37"/>
  <c r="G268" i="37"/>
  <c r="G278" i="37"/>
  <c r="G350" i="37"/>
  <c r="G358" i="37"/>
  <c r="G271" i="37"/>
  <c r="G346" i="37"/>
  <c r="G312" i="37"/>
  <c r="G347" i="37"/>
  <c r="G272" i="37"/>
  <c r="G276" i="37"/>
  <c r="G365" i="37"/>
  <c r="G285" i="37"/>
  <c r="G340" i="37"/>
  <c r="G287" i="37"/>
  <c r="G310" i="37"/>
  <c r="G303" i="37"/>
  <c r="G336" i="37"/>
  <c r="G351" i="37"/>
  <c r="G290" i="37"/>
  <c r="G341" i="37"/>
  <c r="G320" i="37"/>
  <c r="G284" i="37"/>
  <c r="G295" i="37"/>
  <c r="G328" i="37"/>
  <c r="G339" i="37"/>
  <c r="H56" i="37"/>
  <c r="D25" i="39"/>
  <c r="I49" i="37"/>
  <c r="E21" i="39"/>
  <c r="G42" i="37"/>
  <c r="C16" i="39"/>
  <c r="H53" i="37"/>
  <c r="H385" i="37" s="1"/>
  <c r="D24" i="39"/>
  <c r="G362" i="37"/>
  <c r="G302" i="37"/>
  <c r="G286" i="37"/>
  <c r="G307" i="37"/>
  <c r="G322" i="37"/>
  <c r="G327" i="37"/>
  <c r="G354" i="37"/>
  <c r="G332" i="37"/>
  <c r="G277" i="37"/>
  <c r="G280" i="37"/>
  <c r="G342" i="37"/>
  <c r="G306" i="37"/>
  <c r="G305" i="37"/>
  <c r="G321" i="37"/>
  <c r="G345" i="37"/>
  <c r="G313" i="37"/>
  <c r="G319" i="37"/>
  <c r="G316" i="37"/>
  <c r="G311" i="37"/>
  <c r="G304" i="37"/>
  <c r="G363" i="37"/>
  <c r="G301" i="37"/>
  <c r="G275" i="37"/>
  <c r="G329" i="37"/>
  <c r="G333" i="37"/>
  <c r="F502" i="37"/>
  <c r="F567" i="37"/>
  <c r="H46" i="37"/>
  <c r="H347" i="37" s="1"/>
  <c r="D19" i="39"/>
  <c r="D20" i="39" s="1"/>
  <c r="G270" i="37"/>
  <c r="G348" i="37"/>
  <c r="G318" i="37"/>
  <c r="G298" i="37"/>
  <c r="G337" i="37"/>
  <c r="G359" i="37"/>
  <c r="G296" i="37"/>
  <c r="G338" i="37"/>
  <c r="G353" i="37"/>
  <c r="G293" i="37"/>
  <c r="G355" i="37"/>
  <c r="G274" i="37"/>
  <c r="G314" i="37"/>
  <c r="G292" i="37"/>
  <c r="G352" i="37"/>
  <c r="G273" i="37"/>
  <c r="G300" i="37"/>
  <c r="G366" i="37"/>
  <c r="G331" i="37"/>
  <c r="G283" i="37"/>
  <c r="G324" i="37"/>
  <c r="G279" i="37"/>
  <c r="G291" i="37"/>
  <c r="G289" i="37"/>
  <c r="F528" i="37"/>
  <c r="F518" i="37"/>
  <c r="F501" i="37"/>
  <c r="F511" i="37"/>
  <c r="F551" i="37"/>
  <c r="F529" i="37"/>
  <c r="G136" i="37"/>
  <c r="F556" i="37"/>
  <c r="F541" i="37"/>
  <c r="F505" i="37"/>
  <c r="G112" i="37"/>
  <c r="G88" i="37"/>
  <c r="G98" i="37"/>
  <c r="F544" i="37"/>
  <c r="F527" i="37"/>
  <c r="F565" i="37"/>
  <c r="F539" i="37"/>
  <c r="G156" i="37"/>
  <c r="F535" i="37"/>
  <c r="F521" i="37"/>
  <c r="F488" i="37"/>
  <c r="F486" i="37"/>
  <c r="F482" i="37"/>
  <c r="F515" i="37"/>
  <c r="G137" i="37"/>
  <c r="G82" i="37"/>
  <c r="F561" i="37"/>
  <c r="F495" i="37"/>
  <c r="F513" i="37"/>
  <c r="F485" i="37"/>
  <c r="F542" i="37"/>
  <c r="F530" i="37"/>
  <c r="F548" i="37"/>
  <c r="F557" i="37"/>
  <c r="F525" i="37"/>
  <c r="F491" i="37"/>
  <c r="F503" i="37"/>
  <c r="F519" i="37"/>
  <c r="F563" i="37"/>
  <c r="F531" i="37"/>
  <c r="F514" i="37"/>
  <c r="F526" i="37"/>
  <c r="G101" i="37"/>
  <c r="G114" i="37"/>
  <c r="G121" i="37"/>
  <c r="G153" i="37"/>
  <c r="G86" i="37"/>
  <c r="G145" i="37"/>
  <c r="G151" i="37"/>
  <c r="F537" i="37"/>
  <c r="F498" i="37"/>
  <c r="F473" i="37"/>
  <c r="F484" i="37"/>
  <c r="F558" i="37"/>
  <c r="F538" i="37"/>
  <c r="F564" i="37"/>
  <c r="F562" i="37"/>
  <c r="F536" i="37"/>
  <c r="F472" i="37"/>
  <c r="F504" i="37"/>
  <c r="F559" i="37"/>
  <c r="F510" i="37"/>
  <c r="F493" i="37"/>
  <c r="F570" i="37"/>
  <c r="F553" i="37"/>
  <c r="F487" i="37"/>
  <c r="F532" i="37"/>
  <c r="F533" i="37"/>
  <c r="F499" i="37"/>
  <c r="F522" i="37"/>
  <c r="F540" i="37"/>
  <c r="F512" i="37"/>
  <c r="F554" i="37"/>
  <c r="F568" i="37"/>
  <c r="F566" i="37"/>
  <c r="F547" i="37"/>
  <c r="F516" i="37"/>
  <c r="G126" i="37"/>
  <c r="G130" i="37"/>
  <c r="F471" i="37"/>
  <c r="F545" i="37"/>
  <c r="F480" i="37"/>
  <c r="F549" i="37"/>
  <c r="F483" i="37"/>
  <c r="F555" i="37"/>
  <c r="F489" i="37"/>
  <c r="F517" i="37"/>
  <c r="F481" i="37"/>
  <c r="F534" i="37"/>
  <c r="F474" i="37"/>
  <c r="F492" i="37"/>
  <c r="F476" i="37"/>
  <c r="F550" i="37"/>
  <c r="F507" i="37"/>
  <c r="I12" i="26"/>
  <c r="F475" i="37"/>
  <c r="F552" i="37"/>
  <c r="F546" i="37"/>
  <c r="F569" i="37"/>
  <c r="F497" i="37"/>
  <c r="F490" i="37"/>
  <c r="F479" i="37"/>
  <c r="F523" i="37"/>
  <c r="G105" i="37"/>
  <c r="H56" i="31"/>
  <c r="H12" i="31"/>
  <c r="H12" i="37"/>
  <c r="G115" i="37"/>
  <c r="G83" i="37"/>
  <c r="G127" i="37"/>
  <c r="G144" i="37"/>
  <c r="G124" i="37"/>
  <c r="G132" i="37"/>
  <c r="G106" i="37"/>
  <c r="G102" i="37"/>
  <c r="G118" i="37"/>
  <c r="G89" i="37"/>
  <c r="G142" i="37"/>
  <c r="G90" i="37"/>
  <c r="G131" i="37"/>
  <c r="G100" i="37"/>
  <c r="G139" i="37"/>
  <c r="G107" i="37"/>
  <c r="G109" i="37"/>
  <c r="G135" i="37"/>
  <c r="G146" i="37"/>
  <c r="G92" i="37"/>
  <c r="G99" i="37"/>
  <c r="G141" i="37"/>
  <c r="G87" i="37"/>
  <c r="G116" i="37"/>
  <c r="G160" i="37"/>
  <c r="G159" i="37"/>
  <c r="G120" i="37"/>
  <c r="G125" i="37"/>
  <c r="G81" i="37"/>
  <c r="G122" i="37"/>
  <c r="G84" i="37"/>
  <c r="G155" i="37"/>
  <c r="G150" i="37"/>
  <c r="G140" i="37"/>
  <c r="G129" i="37"/>
  <c r="G128" i="37"/>
  <c r="G157" i="37"/>
  <c r="G110" i="37"/>
  <c r="G152" i="37"/>
  <c r="G133" i="37"/>
  <c r="G93" i="37"/>
  <c r="G97" i="37"/>
  <c r="G138" i="37"/>
  <c r="H23" i="31"/>
  <c r="G117" i="37"/>
  <c r="G91" i="37"/>
  <c r="G143" i="37"/>
  <c r="G95" i="37"/>
  <c r="G149" i="37"/>
  <c r="G80" i="37"/>
  <c r="G134" i="37"/>
  <c r="G94" i="37"/>
  <c r="G147" i="37"/>
  <c r="G85" i="37"/>
  <c r="H11" i="31"/>
  <c r="H11" i="37"/>
  <c r="G96" i="37"/>
  <c r="G119" i="37"/>
  <c r="G158" i="37"/>
  <c r="G104" i="37"/>
  <c r="G123" i="37"/>
  <c r="G103" i="37"/>
  <c r="G108" i="37"/>
  <c r="G111" i="37"/>
  <c r="G154" i="37"/>
  <c r="G148" i="37"/>
  <c r="G375" i="37"/>
  <c r="G434" i="37"/>
  <c r="G426" i="37"/>
  <c r="G448" i="37"/>
  <c r="G460" i="37"/>
  <c r="G458" i="37"/>
  <c r="G440" i="37"/>
  <c r="G454" i="37"/>
  <c r="G435" i="37"/>
  <c r="G455" i="37"/>
  <c r="G443" i="37"/>
  <c r="G465" i="37"/>
  <c r="G391" i="37"/>
  <c r="G430" i="37"/>
  <c r="G436" i="37"/>
  <c r="G403" i="37"/>
  <c r="G444" i="37"/>
  <c r="G439" i="37"/>
  <c r="G432" i="37"/>
  <c r="G446" i="37"/>
  <c r="G450" i="37"/>
  <c r="G464" i="37"/>
  <c r="G416" i="37"/>
  <c r="G442" i="37"/>
  <c r="G463" i="37"/>
  <c r="G376" i="37"/>
  <c r="G384" i="37"/>
  <c r="G392" i="37"/>
  <c r="G400" i="37"/>
  <c r="G377" i="37"/>
  <c r="G393" i="37"/>
  <c r="G407" i="37"/>
  <c r="G415" i="37"/>
  <c r="G423" i="37"/>
  <c r="G410" i="37"/>
  <c r="G383" i="37"/>
  <c r="G429" i="37"/>
  <c r="G441" i="37"/>
  <c r="G420" i="37"/>
  <c r="G387" i="37"/>
  <c r="G452" i="37"/>
  <c r="G466" i="37"/>
  <c r="G378" i="37"/>
  <c r="G386" i="37"/>
  <c r="G394" i="37"/>
  <c r="G402" i="37"/>
  <c r="G381" i="37"/>
  <c r="G397" i="37"/>
  <c r="G409" i="37"/>
  <c r="G417" i="37"/>
  <c r="G379" i="37"/>
  <c r="G414" i="37"/>
  <c r="G399" i="37"/>
  <c r="G431" i="37"/>
  <c r="G437" i="37"/>
  <c r="G457" i="37"/>
  <c r="G445" i="37"/>
  <c r="G412" i="37"/>
  <c r="G459" i="37"/>
  <c r="G388" i="37"/>
  <c r="G404" i="37"/>
  <c r="G401" i="37"/>
  <c r="G419" i="37"/>
  <c r="G418" i="37"/>
  <c r="G433" i="37"/>
  <c r="G461" i="37"/>
  <c r="G467" i="37"/>
  <c r="G462" i="37"/>
  <c r="G424" i="37"/>
  <c r="G447" i="37"/>
  <c r="G374" i="37"/>
  <c r="G390" i="37"/>
  <c r="G373" i="37"/>
  <c r="G405" i="37"/>
  <c r="G421" i="37"/>
  <c r="G422" i="37"/>
  <c r="G380" i="37"/>
  <c r="G385" i="37"/>
  <c r="G395" i="37"/>
  <c r="G468" i="37"/>
  <c r="G408" i="37"/>
  <c r="G396" i="37"/>
  <c r="G425" i="37"/>
  <c r="G453" i="37"/>
  <c r="G398" i="37"/>
  <c r="G427" i="37"/>
  <c r="G451" i="37"/>
  <c r="G456" i="37"/>
  <c r="G428" i="37"/>
  <c r="G382" i="37"/>
  <c r="G389" i="37"/>
  <c r="G406" i="37"/>
  <c r="G449" i="37"/>
  <c r="G411" i="37"/>
  <c r="G438" i="37"/>
  <c r="G413" i="37"/>
  <c r="G372" i="37"/>
  <c r="G369" i="37"/>
  <c r="G370" i="37"/>
  <c r="G371" i="37"/>
  <c r="H444" i="37"/>
  <c r="H374" i="37"/>
  <c r="H384" i="37"/>
  <c r="H452" i="37"/>
  <c r="H414" i="37"/>
  <c r="H405" i="37"/>
  <c r="H397" i="37"/>
  <c r="H375" i="37"/>
  <c r="H458" i="37"/>
  <c r="H391" i="37"/>
  <c r="H439" i="37"/>
  <c r="H468" i="37"/>
  <c r="H372" i="37"/>
  <c r="F95" i="31"/>
  <c r="F93" i="31"/>
  <c r="F92" i="31"/>
  <c r="F96" i="31"/>
  <c r="F94" i="31"/>
  <c r="G62" i="31"/>
  <c r="D97" i="16" s="1"/>
  <c r="G64" i="31"/>
  <c r="G63" i="31"/>
  <c r="G65" i="31"/>
  <c r="G61" i="31"/>
  <c r="H9" i="31"/>
  <c r="J11" i="24"/>
  <c r="J12" i="24"/>
  <c r="G80" i="31"/>
  <c r="G78" i="31"/>
  <c r="D98" i="16" s="1"/>
  <c r="G81" i="31"/>
  <c r="G77" i="31"/>
  <c r="G79" i="31"/>
  <c r="I12" i="25"/>
  <c r="I49" i="31"/>
  <c r="H9" i="25"/>
  <c r="H46" i="31"/>
  <c r="H77" i="31" s="1"/>
  <c r="I9" i="26"/>
  <c r="H53" i="31"/>
  <c r="H84" i="31" s="1"/>
  <c r="G87" i="31"/>
  <c r="G86" i="31"/>
  <c r="G88" i="31"/>
  <c r="G85" i="31"/>
  <c r="D99" i="16" s="1"/>
  <c r="J20" i="24"/>
  <c r="I20" i="37" s="1"/>
  <c r="H20" i="31"/>
  <c r="J17" i="24"/>
  <c r="I17" i="37" s="1"/>
  <c r="H17" i="31"/>
  <c r="J13" i="24"/>
  <c r="I13" i="37" s="1"/>
  <c r="H13" i="31"/>
  <c r="J21" i="24"/>
  <c r="I21" i="37" s="1"/>
  <c r="H21" i="31"/>
  <c r="H114" i="24"/>
  <c r="G42" i="31"/>
  <c r="J19" i="24"/>
  <c r="I19" i="37" s="1"/>
  <c r="H19" i="31"/>
  <c r="I69" i="24"/>
  <c r="I91" i="24"/>
  <c r="J23" i="24"/>
  <c r="H382" i="37" l="1"/>
  <c r="H427" i="37"/>
  <c r="H431" i="37"/>
  <c r="H389" i="37"/>
  <c r="H456" i="37"/>
  <c r="H416" i="37"/>
  <c r="H357" i="37"/>
  <c r="H369" i="37"/>
  <c r="H423" i="37"/>
  <c r="H446" i="37"/>
  <c r="H412" i="37"/>
  <c r="H386" i="37"/>
  <c r="H400" i="37"/>
  <c r="H377" i="37"/>
  <c r="H364" i="37"/>
  <c r="H305" i="37"/>
  <c r="H333" i="37"/>
  <c r="H293" i="37"/>
  <c r="H435" i="37"/>
  <c r="H441" i="37"/>
  <c r="H440" i="37"/>
  <c r="H455" i="37"/>
  <c r="H449" i="37"/>
  <c r="H421" i="37"/>
  <c r="H430" i="37"/>
  <c r="H445" i="37"/>
  <c r="H383" i="37"/>
  <c r="H394" i="37"/>
  <c r="H387" i="37"/>
  <c r="H380" i="37"/>
  <c r="H322" i="37"/>
  <c r="H268" i="37"/>
  <c r="H319" i="37"/>
  <c r="H352" i="37"/>
  <c r="H429" i="37"/>
  <c r="H453" i="37"/>
  <c r="H464" i="37"/>
  <c r="H463" i="37"/>
  <c r="H432" i="37"/>
  <c r="H417" i="37"/>
  <c r="H398" i="37"/>
  <c r="H413" i="37"/>
  <c r="H433" i="37"/>
  <c r="H378" i="37"/>
  <c r="H379" i="37"/>
  <c r="H401" i="37"/>
  <c r="H346" i="37"/>
  <c r="H330" i="37"/>
  <c r="H341" i="37"/>
  <c r="H282" i="37"/>
  <c r="H316" i="37"/>
  <c r="H343" i="37"/>
  <c r="H271" i="37"/>
  <c r="H366" i="37"/>
  <c r="H361" i="37"/>
  <c r="H356" i="37"/>
  <c r="H275" i="37"/>
  <c r="H350" i="37"/>
  <c r="H290" i="37"/>
  <c r="H309" i="37"/>
  <c r="H297" i="37"/>
  <c r="H328" i="37"/>
  <c r="H42" i="37"/>
  <c r="D16" i="39"/>
  <c r="I46" i="37"/>
  <c r="I313" i="37" s="1"/>
  <c r="E19" i="39"/>
  <c r="E20" i="39" s="1"/>
  <c r="H318" i="37"/>
  <c r="H340" i="37"/>
  <c r="H286" i="37"/>
  <c r="H296" i="37"/>
  <c r="H323" i="37"/>
  <c r="H358" i="37"/>
  <c r="H338" i="37"/>
  <c r="H348" i="37"/>
  <c r="H299" i="37"/>
  <c r="H280" i="37"/>
  <c r="H287" i="37"/>
  <c r="H288" i="37"/>
  <c r="H317" i="37"/>
  <c r="H371" i="37"/>
  <c r="H436" i="37"/>
  <c r="H448" i="37"/>
  <c r="H447" i="37"/>
  <c r="H411" i="37"/>
  <c r="H461" i="37"/>
  <c r="H457" i="37"/>
  <c r="H443" i="37"/>
  <c r="H409" i="37"/>
  <c r="H462" i="37"/>
  <c r="H422" i="37"/>
  <c r="H459" i="37"/>
  <c r="H437" i="37"/>
  <c r="H454" i="37"/>
  <c r="H420" i="37"/>
  <c r="H373" i="37"/>
  <c r="H415" i="37"/>
  <c r="H392" i="37"/>
  <c r="H465" i="37"/>
  <c r="H407" i="37"/>
  <c r="H418" i="37"/>
  <c r="H403" i="37"/>
  <c r="H460" i="37"/>
  <c r="H408" i="37"/>
  <c r="H393" i="37"/>
  <c r="H270" i="37"/>
  <c r="H278" i="37"/>
  <c r="H365" i="37"/>
  <c r="H302" i="37"/>
  <c r="H310" i="37"/>
  <c r="H339" i="37"/>
  <c r="H312" i="37"/>
  <c r="H295" i="37"/>
  <c r="H325" i="37"/>
  <c r="H355" i="37"/>
  <c r="H354" i="37"/>
  <c r="H306" i="37"/>
  <c r="H285" i="37"/>
  <c r="H292" i="37"/>
  <c r="H277" i="37"/>
  <c r="H276" i="37"/>
  <c r="H353" i="37"/>
  <c r="H300" i="37"/>
  <c r="H329" i="37"/>
  <c r="H307" i="37"/>
  <c r="H349" i="37"/>
  <c r="H308" i="37"/>
  <c r="H283" i="37"/>
  <c r="H344" i="37"/>
  <c r="H335" i="37"/>
  <c r="I56" i="37"/>
  <c r="E25" i="39"/>
  <c r="H342" i="37"/>
  <c r="H281" i="37"/>
  <c r="H327" i="37"/>
  <c r="H279" i="37"/>
  <c r="H294" i="37"/>
  <c r="H351" i="37"/>
  <c r="H313" i="37"/>
  <c r="H324" i="37"/>
  <c r="H345" i="37"/>
  <c r="H359" i="37"/>
  <c r="H331" i="37"/>
  <c r="H303" i="37"/>
  <c r="I53" i="37"/>
  <c r="I441" i="37" s="1"/>
  <c r="E24" i="39"/>
  <c r="J49" i="37"/>
  <c r="F21" i="39"/>
  <c r="H370" i="37"/>
  <c r="H425" i="37"/>
  <c r="H381" i="37"/>
  <c r="H406" i="37"/>
  <c r="H388" i="37"/>
  <c r="H438" i="37"/>
  <c r="H402" i="37"/>
  <c r="H451" i="37"/>
  <c r="H442" i="37"/>
  <c r="H434" i="37"/>
  <c r="H376" i="37"/>
  <c r="H467" i="37"/>
  <c r="H424" i="37"/>
  <c r="H419" i="37"/>
  <c r="H404" i="37"/>
  <c r="H450" i="37"/>
  <c r="H428" i="37"/>
  <c r="H399" i="37"/>
  <c r="H466" i="37"/>
  <c r="H426" i="37"/>
  <c r="H410" i="37"/>
  <c r="H395" i="37"/>
  <c r="H390" i="37"/>
  <c r="H396" i="37"/>
  <c r="H269" i="37"/>
  <c r="H298" i="37"/>
  <c r="H272" i="37"/>
  <c r="H326" i="37"/>
  <c r="H334" i="37"/>
  <c r="H362" i="37"/>
  <c r="H337" i="37"/>
  <c r="H304" i="37"/>
  <c r="H315" i="37"/>
  <c r="H267" i="37"/>
  <c r="H274" i="37"/>
  <c r="H314" i="37"/>
  <c r="H321" i="37"/>
  <c r="H301" i="37"/>
  <c r="H289" i="37"/>
  <c r="H336" i="37"/>
  <c r="H273" i="37"/>
  <c r="H311" i="37"/>
  <c r="H291" i="37"/>
  <c r="H284" i="37"/>
  <c r="H320" i="37"/>
  <c r="H360" i="37"/>
  <c r="H363" i="37"/>
  <c r="H332" i="37"/>
  <c r="J12" i="26"/>
  <c r="K12" i="26" s="1"/>
  <c r="K56" i="37" s="1"/>
  <c r="I56" i="31"/>
  <c r="I23" i="31"/>
  <c r="I23" i="37"/>
  <c r="H123" i="37"/>
  <c r="H115" i="37"/>
  <c r="H86" i="37"/>
  <c r="H101" i="37"/>
  <c r="H118" i="37"/>
  <c r="H150" i="37"/>
  <c r="H80" i="37"/>
  <c r="H105" i="37"/>
  <c r="H132" i="37"/>
  <c r="H108" i="37"/>
  <c r="H81" i="37"/>
  <c r="H114" i="37"/>
  <c r="H156" i="37"/>
  <c r="H66" i="37"/>
  <c r="H120" i="37"/>
  <c r="H145" i="37"/>
  <c r="H76" i="37"/>
  <c r="H147" i="37"/>
  <c r="H99" i="37"/>
  <c r="H139" i="37"/>
  <c r="H125" i="37"/>
  <c r="H130" i="37"/>
  <c r="H117" i="37"/>
  <c r="H121" i="37"/>
  <c r="H138" i="37"/>
  <c r="H155" i="37"/>
  <c r="H77" i="37"/>
  <c r="H134" i="37"/>
  <c r="H73" i="37"/>
  <c r="H82" i="37"/>
  <c r="H136" i="37"/>
  <c r="H89" i="37"/>
  <c r="H113" i="37"/>
  <c r="H74" i="37"/>
  <c r="H157" i="37"/>
  <c r="H567" i="37" s="1"/>
  <c r="H149" i="37"/>
  <c r="H91" i="37"/>
  <c r="H75" i="37"/>
  <c r="H78" i="37"/>
  <c r="H142" i="37"/>
  <c r="H95" i="37"/>
  <c r="H122" i="37"/>
  <c r="H92" i="37"/>
  <c r="H146" i="37"/>
  <c r="H71" i="37"/>
  <c r="H96" i="37"/>
  <c r="H65" i="37"/>
  <c r="H103" i="37"/>
  <c r="H137" i="37"/>
  <c r="H104" i="37"/>
  <c r="H119" i="37"/>
  <c r="H100" i="37"/>
  <c r="H94" i="37"/>
  <c r="H109" i="37"/>
  <c r="H126" i="37"/>
  <c r="H158" i="37"/>
  <c r="H90" i="37"/>
  <c r="H79" i="37"/>
  <c r="H489" i="37" s="1"/>
  <c r="H144" i="37"/>
  <c r="H554" i="37" s="1"/>
  <c r="H72" i="37"/>
  <c r="H97" i="37"/>
  <c r="H124" i="37"/>
  <c r="H159" i="37"/>
  <c r="H88" i="37"/>
  <c r="H140" i="37"/>
  <c r="H129" i="37"/>
  <c r="H106" i="37"/>
  <c r="H83" i="37"/>
  <c r="H102" i="37"/>
  <c r="H61" i="37"/>
  <c r="H67" i="37"/>
  <c r="H116" i="37"/>
  <c r="H62" i="37"/>
  <c r="H472" i="37" s="1"/>
  <c r="H111" i="37"/>
  <c r="H85" i="37"/>
  <c r="H70" i="37"/>
  <c r="H87" i="37"/>
  <c r="H143" i="37"/>
  <c r="H112" i="37"/>
  <c r="H154" i="37"/>
  <c r="H107" i="37"/>
  <c r="H127" i="37"/>
  <c r="H151" i="37"/>
  <c r="H152" i="37"/>
  <c r="H128" i="37"/>
  <c r="H69" i="37"/>
  <c r="H153" i="37"/>
  <c r="H135" i="37"/>
  <c r="H93" i="37"/>
  <c r="H110" i="37"/>
  <c r="H68" i="37"/>
  <c r="H478" i="37" s="1"/>
  <c r="H131" i="37"/>
  <c r="H98" i="37"/>
  <c r="H63" i="37"/>
  <c r="H64" i="37"/>
  <c r="H160" i="37"/>
  <c r="H148" i="37"/>
  <c r="H141" i="37"/>
  <c r="H133" i="37"/>
  <c r="H84" i="37"/>
  <c r="I11" i="31"/>
  <c r="I11" i="37"/>
  <c r="I12" i="31"/>
  <c r="I12" i="37"/>
  <c r="I341" i="37"/>
  <c r="I349" i="37"/>
  <c r="I359" i="37"/>
  <c r="I316" i="37"/>
  <c r="I326" i="37"/>
  <c r="I306" i="37"/>
  <c r="I319" i="37"/>
  <c r="G515" i="37"/>
  <c r="G558" i="37"/>
  <c r="G570" i="37"/>
  <c r="G492" i="37"/>
  <c r="G520" i="37"/>
  <c r="G559" i="37"/>
  <c r="G499" i="37"/>
  <c r="G489" i="37"/>
  <c r="G509" i="37"/>
  <c r="G544" i="37"/>
  <c r="G505" i="37"/>
  <c r="G550" i="37"/>
  <c r="G540" i="37"/>
  <c r="G553" i="37"/>
  <c r="G527" i="37"/>
  <c r="G523" i="37"/>
  <c r="G569" i="37"/>
  <c r="G561" i="37"/>
  <c r="G481" i="37"/>
  <c r="G480" i="37"/>
  <c r="G512" i="37"/>
  <c r="G486" i="37"/>
  <c r="G534" i="37"/>
  <c r="G538" i="37"/>
  <c r="G545" i="37"/>
  <c r="G542" i="37"/>
  <c r="G471" i="37"/>
  <c r="G513" i="37"/>
  <c r="G484" i="37"/>
  <c r="G529" i="37"/>
  <c r="G498" i="37"/>
  <c r="G487" i="37"/>
  <c r="G507" i="37"/>
  <c r="G549" i="37"/>
  <c r="G563" i="37"/>
  <c r="G503" i="37"/>
  <c r="G514" i="37"/>
  <c r="G533" i="37"/>
  <c r="G519" i="37"/>
  <c r="G504" i="37"/>
  <c r="G568" i="37"/>
  <c r="G543" i="37"/>
  <c r="G525" i="37"/>
  <c r="G479" i="37"/>
  <c r="G478" i="37"/>
  <c r="G566" i="37"/>
  <c r="G541" i="37"/>
  <c r="G532" i="37"/>
  <c r="G557" i="37"/>
  <c r="G560" i="37"/>
  <c r="G536" i="37"/>
  <c r="G473" i="37"/>
  <c r="G508" i="37"/>
  <c r="G555" i="37"/>
  <c r="G524" i="37"/>
  <c r="G564" i="37"/>
  <c r="G490" i="37"/>
  <c r="G516" i="37"/>
  <c r="G488" i="37"/>
  <c r="G485" i="37"/>
  <c r="G494" i="37"/>
  <c r="G548" i="37"/>
  <c r="G567" i="37"/>
  <c r="G556" i="37"/>
  <c r="I424" i="37"/>
  <c r="G472" i="37"/>
  <c r="G491" i="37"/>
  <c r="G497" i="37"/>
  <c r="G476" i="37"/>
  <c r="G521" i="37"/>
  <c r="G539" i="37"/>
  <c r="G483" i="37"/>
  <c r="G522" i="37"/>
  <c r="G495" i="37"/>
  <c r="G518" i="37"/>
  <c r="G528" i="37"/>
  <c r="G474" i="37"/>
  <c r="G551" i="37"/>
  <c r="G530" i="37"/>
  <c r="G500" i="37"/>
  <c r="G510" i="37"/>
  <c r="G482" i="37"/>
  <c r="G475" i="37"/>
  <c r="G526" i="37"/>
  <c r="G535" i="37"/>
  <c r="G506" i="37"/>
  <c r="G547" i="37"/>
  <c r="G501" i="37"/>
  <c r="G511" i="37"/>
  <c r="G496" i="37"/>
  <c r="G554" i="37"/>
  <c r="G531" i="37"/>
  <c r="G517" i="37"/>
  <c r="G502" i="37"/>
  <c r="G565" i="37"/>
  <c r="G552" i="37"/>
  <c r="G546" i="37"/>
  <c r="G493" i="37"/>
  <c r="G537" i="37"/>
  <c r="G562" i="37"/>
  <c r="G477" i="37"/>
  <c r="G96" i="31"/>
  <c r="G94" i="31"/>
  <c r="G95" i="31"/>
  <c r="G92" i="31"/>
  <c r="G93" i="31"/>
  <c r="H61" i="31"/>
  <c r="H92" i="31" s="1"/>
  <c r="H65" i="31"/>
  <c r="H62" i="31"/>
  <c r="E97" i="16" s="1"/>
  <c r="H64" i="31"/>
  <c r="H63" i="31"/>
  <c r="K11" i="24"/>
  <c r="J11" i="37" s="1"/>
  <c r="I9" i="31"/>
  <c r="K12" i="24"/>
  <c r="J12" i="37" s="1"/>
  <c r="H81" i="31"/>
  <c r="H80" i="31"/>
  <c r="H78" i="31"/>
  <c r="E98" i="16" s="1"/>
  <c r="H79" i="31"/>
  <c r="I9" i="25"/>
  <c r="I46" i="31"/>
  <c r="J12" i="25"/>
  <c r="K49" i="37" s="1"/>
  <c r="J49" i="31"/>
  <c r="D100" i="16"/>
  <c r="H87" i="31"/>
  <c r="H85" i="31"/>
  <c r="E99" i="16" s="1"/>
  <c r="H86" i="31"/>
  <c r="H88" i="31"/>
  <c r="J9" i="26"/>
  <c r="I53" i="31"/>
  <c r="J56" i="31"/>
  <c r="K19" i="24"/>
  <c r="J19" i="37" s="1"/>
  <c r="I19" i="31"/>
  <c r="K17" i="24"/>
  <c r="J17" i="37" s="1"/>
  <c r="I17" i="31"/>
  <c r="K21" i="24"/>
  <c r="J21" i="37" s="1"/>
  <c r="I21" i="31"/>
  <c r="K13" i="24"/>
  <c r="I13" i="31"/>
  <c r="I114" i="24"/>
  <c r="H42" i="31"/>
  <c r="K20" i="24"/>
  <c r="J20" i="37" s="1"/>
  <c r="I20" i="31"/>
  <c r="J69" i="24"/>
  <c r="J91" i="24"/>
  <c r="K23" i="24"/>
  <c r="H42" i="18"/>
  <c r="I42" i="18" s="1"/>
  <c r="J42" i="18" s="1"/>
  <c r="K42" i="18" s="1"/>
  <c r="L42" i="18" s="1"/>
  <c r="M42" i="18" s="1"/>
  <c r="N42" i="18" s="1"/>
  <c r="O42" i="18" s="1"/>
  <c r="P42" i="18" s="1"/>
  <c r="Q42" i="18" s="1"/>
  <c r="H41" i="18"/>
  <c r="I41" i="18" s="1"/>
  <c r="J41" i="18" s="1"/>
  <c r="K41" i="18" s="1"/>
  <c r="L41" i="18" s="1"/>
  <c r="M41" i="18" s="1"/>
  <c r="N41" i="18" s="1"/>
  <c r="O41" i="18" s="1"/>
  <c r="P41" i="18" s="1"/>
  <c r="Q41" i="18" s="1"/>
  <c r="H40" i="18"/>
  <c r="I40" i="18" s="1"/>
  <c r="J40" i="18" s="1"/>
  <c r="K40" i="18" s="1"/>
  <c r="L40" i="18" s="1"/>
  <c r="M40" i="18" s="1"/>
  <c r="N40" i="18" s="1"/>
  <c r="O40" i="18" s="1"/>
  <c r="P40" i="18" s="1"/>
  <c r="Q40" i="18" s="1"/>
  <c r="H39" i="18"/>
  <c r="I39" i="18" s="1"/>
  <c r="J39" i="18" s="1"/>
  <c r="K39" i="18" s="1"/>
  <c r="L39" i="18" s="1"/>
  <c r="M39" i="18" s="1"/>
  <c r="N39" i="18" s="1"/>
  <c r="O39" i="18" s="1"/>
  <c r="P39" i="18" s="1"/>
  <c r="Q39" i="18" s="1"/>
  <c r="H38" i="18"/>
  <c r="I38" i="18" s="1"/>
  <c r="J38" i="18" s="1"/>
  <c r="K38" i="18" s="1"/>
  <c r="L38" i="18" s="1"/>
  <c r="M38" i="18" s="1"/>
  <c r="N38" i="18" s="1"/>
  <c r="O38" i="18" s="1"/>
  <c r="P38" i="18" s="1"/>
  <c r="Q38" i="18" s="1"/>
  <c r="H37" i="18"/>
  <c r="I37" i="18" s="1"/>
  <c r="J37" i="18" s="1"/>
  <c r="K37" i="18" s="1"/>
  <c r="L37" i="18" s="1"/>
  <c r="M37" i="18" s="1"/>
  <c r="N37" i="18" s="1"/>
  <c r="O37" i="18" s="1"/>
  <c r="P37" i="18" s="1"/>
  <c r="Q37" i="18" s="1"/>
  <c r="H36" i="18"/>
  <c r="I36" i="18" s="1"/>
  <c r="J36" i="18" s="1"/>
  <c r="I25" i="18"/>
  <c r="J25" i="18" s="1"/>
  <c r="H28" i="18"/>
  <c r="I28" i="18" s="1"/>
  <c r="J28" i="18" s="1"/>
  <c r="H24" i="18"/>
  <c r="I24" i="18" s="1"/>
  <c r="H26" i="18"/>
  <c r="I26" i="18" s="1"/>
  <c r="J26" i="18" s="1"/>
  <c r="H27" i="18"/>
  <c r="I27" i="18" s="1"/>
  <c r="J27" i="18" s="1"/>
  <c r="K27" i="18" s="1"/>
  <c r="L27" i="18" s="1"/>
  <c r="M27" i="18" s="1"/>
  <c r="N27" i="18" s="1"/>
  <c r="O27" i="18" s="1"/>
  <c r="P27" i="18" s="1"/>
  <c r="Q27" i="18" s="1"/>
  <c r="H29" i="18"/>
  <c r="I29" i="18" s="1"/>
  <c r="J29" i="18" s="1"/>
  <c r="K29" i="18" s="1"/>
  <c r="L29" i="18" s="1"/>
  <c r="M29" i="18" s="1"/>
  <c r="N29" i="18" s="1"/>
  <c r="O29" i="18" s="1"/>
  <c r="P29" i="18" s="1"/>
  <c r="Q29" i="18" s="1"/>
  <c r="H30" i="18"/>
  <c r="H31" i="18"/>
  <c r="I31" i="18" s="1"/>
  <c r="J31" i="18" s="1"/>
  <c r="K31" i="18" s="1"/>
  <c r="L31" i="18" s="1"/>
  <c r="M31" i="18" s="1"/>
  <c r="N31" i="18" s="1"/>
  <c r="O31" i="18" s="1"/>
  <c r="P31" i="18" s="1"/>
  <c r="Q31" i="18" s="1"/>
  <c r="K23" i="18"/>
  <c r="L23" i="18" s="1"/>
  <c r="I394" i="37" l="1"/>
  <c r="I397" i="37"/>
  <c r="I405" i="37"/>
  <c r="I451" i="37"/>
  <c r="I463" i="37"/>
  <c r="I369" i="37"/>
  <c r="I434" i="37"/>
  <c r="I395" i="37"/>
  <c r="I466" i="37"/>
  <c r="I460" i="37"/>
  <c r="I408" i="37"/>
  <c r="I392" i="37"/>
  <c r="I406" i="37"/>
  <c r="I468" i="37"/>
  <c r="I459" i="37"/>
  <c r="H471" i="37"/>
  <c r="H548" i="37"/>
  <c r="H551" i="37"/>
  <c r="H479" i="37"/>
  <c r="H537" i="37"/>
  <c r="H553" i="37"/>
  <c r="H521" i="37"/>
  <c r="H514" i="37"/>
  <c r="H485" i="37"/>
  <c r="H540" i="37"/>
  <c r="I330" i="37"/>
  <c r="I301" i="37"/>
  <c r="I363" i="37"/>
  <c r="H523" i="37"/>
  <c r="I467" i="37"/>
  <c r="I399" i="37"/>
  <c r="I386" i="37"/>
  <c r="I410" i="37"/>
  <c r="I437" i="37"/>
  <c r="I427" i="37"/>
  <c r="I425" i="37"/>
  <c r="I267" i="37"/>
  <c r="I274" i="37"/>
  <c r="I343" i="37"/>
  <c r="I299" i="37"/>
  <c r="I305" i="37"/>
  <c r="I280" i="37"/>
  <c r="I340" i="37"/>
  <c r="H543" i="37"/>
  <c r="H495" i="37"/>
  <c r="H477" i="37"/>
  <c r="H546" i="37"/>
  <c r="H496" i="37"/>
  <c r="I327" i="37"/>
  <c r="I298" i="37"/>
  <c r="I325" i="37"/>
  <c r="I308" i="37"/>
  <c r="I388" i="37"/>
  <c r="I383" i="37"/>
  <c r="I375" i="37"/>
  <c r="I426" i="37"/>
  <c r="I436" i="37"/>
  <c r="I393" i="37"/>
  <c r="I444" i="37"/>
  <c r="I269" i="37"/>
  <c r="I268" i="37"/>
  <c r="I276" i="37"/>
  <c r="I342" i="37"/>
  <c r="I362" i="37"/>
  <c r="I304" i="37"/>
  <c r="I339" i="37"/>
  <c r="H545" i="37"/>
  <c r="I372" i="37"/>
  <c r="I450" i="37"/>
  <c r="I439" i="37"/>
  <c r="I430" i="37"/>
  <c r="I422" i="37"/>
  <c r="I374" i="37"/>
  <c r="I389" i="37"/>
  <c r="I398" i="37"/>
  <c r="I379" i="37"/>
  <c r="I452" i="37"/>
  <c r="I382" i="37"/>
  <c r="I377" i="37"/>
  <c r="I435" i="37"/>
  <c r="I429" i="37"/>
  <c r="I461" i="37"/>
  <c r="I370" i="37"/>
  <c r="I409" i="37"/>
  <c r="I465" i="37"/>
  <c r="I413" i="37"/>
  <c r="I446" i="37"/>
  <c r="I376" i="37"/>
  <c r="I404" i="37"/>
  <c r="I458" i="37"/>
  <c r="I384" i="37"/>
  <c r="I448" i="37"/>
  <c r="I419" i="37"/>
  <c r="I380" i="37"/>
  <c r="I390" i="37"/>
  <c r="I462" i="37"/>
  <c r="I433" i="37"/>
  <c r="H547" i="37"/>
  <c r="H486" i="37"/>
  <c r="I371" i="37"/>
  <c r="I412" i="37"/>
  <c r="I381" i="37"/>
  <c r="I428" i="37"/>
  <c r="I415" i="37"/>
  <c r="I414" i="37"/>
  <c r="I402" i="37"/>
  <c r="I391" i="37"/>
  <c r="I420" i="37"/>
  <c r="I373" i="37"/>
  <c r="I421" i="37"/>
  <c r="I400" i="37"/>
  <c r="I387" i="37"/>
  <c r="I440" i="37"/>
  <c r="I443" i="37"/>
  <c r="I407" i="37"/>
  <c r="I417" i="37"/>
  <c r="I396" i="37"/>
  <c r="I385" i="37"/>
  <c r="I431" i="37"/>
  <c r="I457" i="37"/>
  <c r="I442" i="37"/>
  <c r="I453" i="37"/>
  <c r="I445" i="37"/>
  <c r="I449" i="37"/>
  <c r="H570" i="37"/>
  <c r="H480" i="37"/>
  <c r="H526" i="37"/>
  <c r="H498" i="37"/>
  <c r="H510" i="37"/>
  <c r="H513" i="37"/>
  <c r="H499" i="37"/>
  <c r="H544" i="37"/>
  <c r="H549" i="37"/>
  <c r="H511" i="37"/>
  <c r="I418" i="37"/>
  <c r="I403" i="37"/>
  <c r="I438" i="37"/>
  <c r="I464" i="37"/>
  <c r="I378" i="37"/>
  <c r="I432" i="37"/>
  <c r="I416" i="37"/>
  <c r="I401" i="37"/>
  <c r="I423" i="37"/>
  <c r="I456" i="37"/>
  <c r="I455" i="37"/>
  <c r="I411" i="37"/>
  <c r="I454" i="37"/>
  <c r="I447" i="37"/>
  <c r="H473" i="37"/>
  <c r="H520" i="37"/>
  <c r="H539" i="37"/>
  <c r="H534" i="37"/>
  <c r="H519" i="37"/>
  <c r="H532" i="37"/>
  <c r="H484" i="37"/>
  <c r="H565" i="37"/>
  <c r="H557" i="37"/>
  <c r="H560" i="37"/>
  <c r="H525" i="37"/>
  <c r="H538" i="37"/>
  <c r="H518" i="37"/>
  <c r="I279" i="37"/>
  <c r="I348" i="37"/>
  <c r="I290" i="37"/>
  <c r="I288" i="37"/>
  <c r="I282" i="37"/>
  <c r="I310" i="37"/>
  <c r="I296" i="37"/>
  <c r="I273" i="37"/>
  <c r="I324" i="37"/>
  <c r="I272" i="37"/>
  <c r="I355" i="37"/>
  <c r="I333" i="37"/>
  <c r="I320" i="37"/>
  <c r="I328" i="37"/>
  <c r="H558" i="37"/>
  <c r="H508" i="37"/>
  <c r="H503" i="37"/>
  <c r="I270" i="37"/>
  <c r="I283" i="37"/>
  <c r="I354" i="37"/>
  <c r="I314" i="37"/>
  <c r="I321" i="37"/>
  <c r="I346" i="37"/>
  <c r="I366" i="37"/>
  <c r="I329" i="37"/>
  <c r="I309" i="37"/>
  <c r="I292" i="37"/>
  <c r="I281" i="37"/>
  <c r="I365" i="37"/>
  <c r="I347" i="37"/>
  <c r="I357" i="37"/>
  <c r="H474" i="37"/>
  <c r="H563" i="37"/>
  <c r="H561" i="37"/>
  <c r="H522" i="37"/>
  <c r="H516" i="37"/>
  <c r="H569" i="37"/>
  <c r="H536" i="37"/>
  <c r="H529" i="37"/>
  <c r="H475" i="37"/>
  <c r="H502" i="37"/>
  <c r="H488" i="37"/>
  <c r="H487" i="37"/>
  <c r="H527" i="37"/>
  <c r="H509" i="37"/>
  <c r="H530" i="37"/>
  <c r="H491" i="37"/>
  <c r="H490" i="37"/>
  <c r="J46" i="37"/>
  <c r="J360" i="37" s="1"/>
  <c r="F19" i="39"/>
  <c r="F20" i="39" s="1"/>
  <c r="H506" i="37"/>
  <c r="H492" i="37"/>
  <c r="H476" i="37"/>
  <c r="I42" i="37"/>
  <c r="E16" i="39"/>
  <c r="I350" i="37"/>
  <c r="I307" i="37"/>
  <c r="I358" i="37"/>
  <c r="I294" i="37"/>
  <c r="I338" i="37"/>
  <c r="I335" i="37"/>
  <c r="I302" i="37"/>
  <c r="I278" i="37"/>
  <c r="I322" i="37"/>
  <c r="I295" i="37"/>
  <c r="I285" i="37"/>
  <c r="I361" i="37"/>
  <c r="I311" i="37"/>
  <c r="I284" i="37"/>
  <c r="I332" i="37"/>
  <c r="I337" i="37"/>
  <c r="I277" i="37"/>
  <c r="I293" i="37"/>
  <c r="I360" i="37"/>
  <c r="I287" i="37"/>
  <c r="I345" i="37"/>
  <c r="I317" i="37"/>
  <c r="I275" i="37"/>
  <c r="I344" i="37"/>
  <c r="I303" i="37"/>
  <c r="H517" i="37"/>
  <c r="H497" i="37"/>
  <c r="H512" i="37"/>
  <c r="H550" i="37"/>
  <c r="H507" i="37"/>
  <c r="H500" i="37"/>
  <c r="H504" i="37"/>
  <c r="H481" i="37"/>
  <c r="H505" i="37"/>
  <c r="H501" i="37"/>
  <c r="H483" i="37"/>
  <c r="H535" i="37"/>
  <c r="H566" i="37"/>
  <c r="H542" i="37"/>
  <c r="H528" i="37"/>
  <c r="H533" i="37"/>
  <c r="J56" i="37"/>
  <c r="F25" i="39"/>
  <c r="J53" i="37"/>
  <c r="J408" i="37" s="1"/>
  <c r="F24" i="39"/>
  <c r="I356" i="37"/>
  <c r="I318" i="37"/>
  <c r="I286" i="37"/>
  <c r="I334" i="37"/>
  <c r="I312" i="37"/>
  <c r="I300" i="37"/>
  <c r="I297" i="37"/>
  <c r="I331" i="37"/>
  <c r="I291" i="37"/>
  <c r="I352" i="37"/>
  <c r="I336" i="37"/>
  <c r="I289" i="37"/>
  <c r="I271" i="37"/>
  <c r="I364" i="37"/>
  <c r="I315" i="37"/>
  <c r="I351" i="37"/>
  <c r="I323" i="37"/>
  <c r="I353" i="37"/>
  <c r="H494" i="37"/>
  <c r="H541" i="37"/>
  <c r="H562" i="37"/>
  <c r="H564" i="37"/>
  <c r="H493" i="37"/>
  <c r="H482" i="37"/>
  <c r="H568" i="37"/>
  <c r="H556" i="37"/>
  <c r="H552" i="37"/>
  <c r="H559" i="37"/>
  <c r="H531" i="37"/>
  <c r="H555" i="37"/>
  <c r="H524" i="37"/>
  <c r="H515" i="37"/>
  <c r="I61" i="37"/>
  <c r="I471" i="37" s="1"/>
  <c r="I139" i="37"/>
  <c r="I63" i="37"/>
  <c r="I473" i="37" s="1"/>
  <c r="I65" i="37"/>
  <c r="I64" i="37"/>
  <c r="I81" i="37"/>
  <c r="I98" i="37"/>
  <c r="I508" i="37" s="1"/>
  <c r="I136" i="37"/>
  <c r="I137" i="37"/>
  <c r="I160" i="37"/>
  <c r="I570" i="37" s="1"/>
  <c r="I69" i="37"/>
  <c r="I71" i="37"/>
  <c r="I130" i="37"/>
  <c r="I149" i="37"/>
  <c r="I151" i="37"/>
  <c r="I87" i="37"/>
  <c r="I145" i="37"/>
  <c r="I110" i="37"/>
  <c r="I520" i="37" s="1"/>
  <c r="I90" i="37"/>
  <c r="I124" i="37"/>
  <c r="I125" i="37"/>
  <c r="I93" i="37"/>
  <c r="I73" i="37"/>
  <c r="I78" i="37"/>
  <c r="I79" i="37"/>
  <c r="I103" i="37"/>
  <c r="I513" i="37" s="1"/>
  <c r="I76" i="37"/>
  <c r="I146" i="37"/>
  <c r="I77" i="37"/>
  <c r="I92" i="37"/>
  <c r="I502" i="37" s="1"/>
  <c r="I107" i="37"/>
  <c r="I135" i="37"/>
  <c r="I141" i="37"/>
  <c r="I147" i="37"/>
  <c r="I557" i="37" s="1"/>
  <c r="I88" i="37"/>
  <c r="I94" i="37"/>
  <c r="I111" i="37"/>
  <c r="I521" i="37" s="1"/>
  <c r="I153" i="37"/>
  <c r="I563" i="37" s="1"/>
  <c r="I86" i="37"/>
  <c r="I496" i="37" s="1"/>
  <c r="I122" i="37"/>
  <c r="I96" i="37"/>
  <c r="I150" i="37"/>
  <c r="I560" i="37" s="1"/>
  <c r="I68" i="37"/>
  <c r="I70" i="37"/>
  <c r="I91" i="37"/>
  <c r="I119" i="37"/>
  <c r="I529" i="37" s="1"/>
  <c r="I67" i="37"/>
  <c r="I131" i="37"/>
  <c r="I72" i="37"/>
  <c r="I159" i="37"/>
  <c r="I569" i="37" s="1"/>
  <c r="I74" i="37"/>
  <c r="I95" i="37"/>
  <c r="I112" i="37"/>
  <c r="I144" i="37"/>
  <c r="I121" i="37"/>
  <c r="I531" i="37" s="1"/>
  <c r="I66" i="37"/>
  <c r="I85" i="37"/>
  <c r="I495" i="37" s="1"/>
  <c r="I102" i="37"/>
  <c r="I138" i="37"/>
  <c r="I133" i="37"/>
  <c r="I82" i="37"/>
  <c r="I118" i="37"/>
  <c r="I113" i="37"/>
  <c r="I142" i="37"/>
  <c r="I89" i="37"/>
  <c r="I499" i="37" s="1"/>
  <c r="I140" i="37"/>
  <c r="I75" i="37"/>
  <c r="I126" i="37"/>
  <c r="I132" i="37"/>
  <c r="I116" i="37"/>
  <c r="I115" i="37"/>
  <c r="I155" i="37"/>
  <c r="I123" i="37"/>
  <c r="I80" i="37"/>
  <c r="I143" i="37"/>
  <c r="I553" i="37" s="1"/>
  <c r="I84" i="37"/>
  <c r="I120" i="37"/>
  <c r="I152" i="37"/>
  <c r="I562" i="37" s="1"/>
  <c r="I104" i="37"/>
  <c r="I97" i="37"/>
  <c r="I507" i="37" s="1"/>
  <c r="I114" i="37"/>
  <c r="I117" i="37"/>
  <c r="I134" i="37"/>
  <c r="I129" i="37"/>
  <c r="I156" i="37"/>
  <c r="I158" i="37"/>
  <c r="I568" i="37" s="1"/>
  <c r="I99" i="37"/>
  <c r="I108" i="37"/>
  <c r="I83" i="37"/>
  <c r="I127" i="37"/>
  <c r="I128" i="37"/>
  <c r="I100" i="37"/>
  <c r="I105" i="37"/>
  <c r="I154" i="37"/>
  <c r="I101" i="37"/>
  <c r="I109" i="37"/>
  <c r="I106" i="37"/>
  <c r="I157" i="37"/>
  <c r="I62" i="37"/>
  <c r="I148" i="37"/>
  <c r="J23" i="31"/>
  <c r="J23" i="37"/>
  <c r="L13" i="24"/>
  <c r="K13" i="37" s="1"/>
  <c r="J13" i="37"/>
  <c r="J150" i="37" s="1"/>
  <c r="J64" i="37"/>
  <c r="J69" i="37"/>
  <c r="J61" i="37"/>
  <c r="J71" i="37"/>
  <c r="J78" i="37"/>
  <c r="J63" i="37"/>
  <c r="J76" i="37"/>
  <c r="J70" i="37"/>
  <c r="J73" i="37"/>
  <c r="J62" i="37"/>
  <c r="J77" i="37"/>
  <c r="J65" i="37"/>
  <c r="J74" i="37"/>
  <c r="J67" i="37"/>
  <c r="J72" i="37"/>
  <c r="J75" i="37"/>
  <c r="J66" i="37"/>
  <c r="J68" i="37"/>
  <c r="J332" i="37"/>
  <c r="J335" i="37"/>
  <c r="J333" i="37"/>
  <c r="J357" i="37"/>
  <c r="J277" i="37"/>
  <c r="J300" i="37"/>
  <c r="J281" i="37"/>
  <c r="J344" i="37"/>
  <c r="J284" i="37"/>
  <c r="J309" i="37"/>
  <c r="J340" i="37"/>
  <c r="J272" i="37"/>
  <c r="J308" i="37"/>
  <c r="J317" i="37"/>
  <c r="J351" i="37"/>
  <c r="J362" i="37"/>
  <c r="J290" i="37"/>
  <c r="J273" i="37"/>
  <c r="J283" i="37"/>
  <c r="J286" i="37"/>
  <c r="J339" i="37"/>
  <c r="J356" i="37"/>
  <c r="J306" i="37"/>
  <c r="J350" i="37"/>
  <c r="J318" i="37"/>
  <c r="J293" i="37"/>
  <c r="J267" i="37"/>
  <c r="J307" i="37"/>
  <c r="J310" i="37"/>
  <c r="J278" i="37"/>
  <c r="J346" i="37"/>
  <c r="J269" i="37"/>
  <c r="H95" i="31"/>
  <c r="H93" i="31"/>
  <c r="H96" i="31"/>
  <c r="H94" i="31"/>
  <c r="J11" i="31"/>
  <c r="L11" i="24"/>
  <c r="K11" i="37" s="1"/>
  <c r="K28" i="18"/>
  <c r="L28" i="18" s="1"/>
  <c r="M28" i="18" s="1"/>
  <c r="N28" i="18" s="1"/>
  <c r="O28" i="18" s="1"/>
  <c r="P28" i="18" s="1"/>
  <c r="Q28" i="18" s="1"/>
  <c r="J12" i="31"/>
  <c r="L12" i="24"/>
  <c r="K25" i="18"/>
  <c r="L25" i="18" s="1"/>
  <c r="M25" i="18" s="1"/>
  <c r="N25" i="18" s="1"/>
  <c r="O25" i="18" s="1"/>
  <c r="P25" i="18" s="1"/>
  <c r="Q25" i="18" s="1"/>
  <c r="J24" i="18"/>
  <c r="M23" i="18"/>
  <c r="N23" i="18" s="1"/>
  <c r="O23" i="18" s="1"/>
  <c r="P23" i="18" s="1"/>
  <c r="Q23" i="18" s="1"/>
  <c r="K26" i="18"/>
  <c r="L26" i="18" s="1"/>
  <c r="M26" i="18" s="1"/>
  <c r="N26" i="18" s="1"/>
  <c r="O26" i="18" s="1"/>
  <c r="P26" i="18" s="1"/>
  <c r="Q26" i="18" s="1"/>
  <c r="K36" i="18"/>
  <c r="L36" i="18" s="1"/>
  <c r="M36" i="18" s="1"/>
  <c r="N36" i="18" s="1"/>
  <c r="O36" i="18" s="1"/>
  <c r="P36" i="18" s="1"/>
  <c r="Q36" i="18" s="1"/>
  <c r="J43" i="18"/>
  <c r="I35" i="24" s="1"/>
  <c r="I63" i="31"/>
  <c r="I65" i="31"/>
  <c r="I61" i="31"/>
  <c r="I62" i="31"/>
  <c r="F97" i="16" s="1"/>
  <c r="I64" i="31"/>
  <c r="J9" i="31"/>
  <c r="I30" i="18"/>
  <c r="I32" i="18" s="1"/>
  <c r="I80" i="31"/>
  <c r="I77" i="31"/>
  <c r="I79" i="31"/>
  <c r="I78" i="31"/>
  <c r="F98" i="16" s="1"/>
  <c r="I81" i="31"/>
  <c r="K12" i="25"/>
  <c r="L49" i="37" s="1"/>
  <c r="K49" i="31"/>
  <c r="L9" i="24"/>
  <c r="J9" i="25"/>
  <c r="K46" i="37" s="1"/>
  <c r="J46" i="31"/>
  <c r="I87" i="31"/>
  <c r="I86" i="31"/>
  <c r="I88" i="31"/>
  <c r="I85" i="31"/>
  <c r="F99" i="16" s="1"/>
  <c r="I84" i="31"/>
  <c r="K56" i="31"/>
  <c r="L12" i="26"/>
  <c r="L56" i="37" s="1"/>
  <c r="K9" i="26"/>
  <c r="K53" i="37" s="1"/>
  <c r="J53" i="31"/>
  <c r="E100" i="16"/>
  <c r="E101" i="16" s="1"/>
  <c r="E102" i="16" s="1"/>
  <c r="J114" i="24"/>
  <c r="I42" i="31"/>
  <c r="J13" i="31"/>
  <c r="L17" i="24"/>
  <c r="K17" i="37" s="1"/>
  <c r="J17" i="31"/>
  <c r="L20" i="24"/>
  <c r="K20" i="37" s="1"/>
  <c r="J20" i="31"/>
  <c r="L21" i="24"/>
  <c r="K21" i="37" s="1"/>
  <c r="J21" i="31"/>
  <c r="L19" i="24"/>
  <c r="K19" i="37" s="1"/>
  <c r="J19" i="31"/>
  <c r="K69" i="24"/>
  <c r="K91" i="24"/>
  <c r="L23" i="24"/>
  <c r="I517" i="37" l="1"/>
  <c r="I547" i="37"/>
  <c r="J305" i="37"/>
  <c r="J334" i="37"/>
  <c r="J316" i="37"/>
  <c r="J365" i="37"/>
  <c r="J294" i="37"/>
  <c r="J292" i="37"/>
  <c r="J321" i="37"/>
  <c r="J354" i="37"/>
  <c r="J364" i="37"/>
  <c r="J275" i="37"/>
  <c r="J345" i="37"/>
  <c r="J303" i="37"/>
  <c r="J304" i="37"/>
  <c r="J349" i="37"/>
  <c r="J326" i="37"/>
  <c r="J297" i="37"/>
  <c r="I510" i="37"/>
  <c r="I543" i="37"/>
  <c r="J270" i="37"/>
  <c r="J268" i="37"/>
  <c r="J338" i="37"/>
  <c r="J314" i="37"/>
  <c r="J299" i="37"/>
  <c r="J302" i="37"/>
  <c r="J325" i="37"/>
  <c r="J341" i="37"/>
  <c r="J330" i="37"/>
  <c r="J276" i="37"/>
  <c r="J363" i="37"/>
  <c r="J323" i="37"/>
  <c r="J280" i="37"/>
  <c r="J279" i="37"/>
  <c r="J319" i="37"/>
  <c r="J337" i="37"/>
  <c r="J343" i="37"/>
  <c r="I478" i="37"/>
  <c r="I561" i="37"/>
  <c r="I524" i="37"/>
  <c r="J458" i="37"/>
  <c r="J560" i="37" s="1"/>
  <c r="J420" i="37"/>
  <c r="J418" i="37"/>
  <c r="J431" i="37"/>
  <c r="I567" i="37"/>
  <c r="I537" i="37"/>
  <c r="I527" i="37"/>
  <c r="I512" i="37"/>
  <c r="I503" i="37"/>
  <c r="I522" i="37"/>
  <c r="I474" i="37"/>
  <c r="J444" i="37"/>
  <c r="J446" i="37"/>
  <c r="J385" i="37"/>
  <c r="J487" i="37" s="1"/>
  <c r="J439" i="37"/>
  <c r="I558" i="37"/>
  <c r="I505" i="37"/>
  <c r="I481" i="37"/>
  <c r="I546" i="37"/>
  <c r="J445" i="37"/>
  <c r="J392" i="37"/>
  <c r="I564" i="37"/>
  <c r="I528" i="37"/>
  <c r="I551" i="37"/>
  <c r="J442" i="37"/>
  <c r="J399" i="37"/>
  <c r="I566" i="37"/>
  <c r="I530" i="37"/>
  <c r="J274" i="37"/>
  <c r="J322" i="37"/>
  <c r="J315" i="37"/>
  <c r="J295" i="37"/>
  <c r="J366" i="37"/>
  <c r="J285" i="37"/>
  <c r="J342" i="37"/>
  <c r="J347" i="37"/>
  <c r="J271" i="37"/>
  <c r="J328" i="37"/>
  <c r="J282" i="37"/>
  <c r="J359" i="37"/>
  <c r="J296" i="37"/>
  <c r="J329" i="37"/>
  <c r="J289" i="37"/>
  <c r="J291" i="37"/>
  <c r="J327" i="37"/>
  <c r="J331" i="37"/>
  <c r="J288" i="37"/>
  <c r="J353" i="37"/>
  <c r="J348" i="37"/>
  <c r="J287" i="37"/>
  <c r="J298" i="37"/>
  <c r="J352" i="37"/>
  <c r="J355" i="37"/>
  <c r="I518" i="37"/>
  <c r="I539" i="37"/>
  <c r="I480" i="37"/>
  <c r="I545" i="37"/>
  <c r="I488" i="37"/>
  <c r="I534" i="37"/>
  <c r="I497" i="37"/>
  <c r="I475" i="37"/>
  <c r="J313" i="37"/>
  <c r="J336" i="37"/>
  <c r="J320" i="37"/>
  <c r="J311" i="37"/>
  <c r="J312" i="37"/>
  <c r="J301" i="37"/>
  <c r="J324" i="37"/>
  <c r="J358" i="37"/>
  <c r="J361" i="37"/>
  <c r="I472" i="37"/>
  <c r="I511" i="37"/>
  <c r="I523" i="37"/>
  <c r="I548" i="37"/>
  <c r="I484" i="37"/>
  <c r="I486" i="37"/>
  <c r="I483" i="37"/>
  <c r="I500" i="37"/>
  <c r="I509" i="37"/>
  <c r="I544" i="37"/>
  <c r="I514" i="37"/>
  <c r="I525" i="37"/>
  <c r="I485" i="37"/>
  <c r="I477" i="37"/>
  <c r="I498" i="37"/>
  <c r="I479" i="37"/>
  <c r="I501" i="37"/>
  <c r="I482" i="37"/>
  <c r="I487" i="37"/>
  <c r="I516" i="37"/>
  <c r="I533" i="37"/>
  <c r="I492" i="37"/>
  <c r="J396" i="37"/>
  <c r="J450" i="37"/>
  <c r="J393" i="37"/>
  <c r="J415" i="37"/>
  <c r="J382" i="37"/>
  <c r="J484" i="37" s="1"/>
  <c r="J451" i="37"/>
  <c r="J370" i="37"/>
  <c r="J412" i="37"/>
  <c r="J423" i="37"/>
  <c r="J406" i="37"/>
  <c r="J373" i="37"/>
  <c r="J461" i="37"/>
  <c r="J375" i="37"/>
  <c r="J477" i="37" s="1"/>
  <c r="J468" i="37"/>
  <c r="J388" i="37"/>
  <c r="J421" i="37"/>
  <c r="J397" i="37"/>
  <c r="J386" i="37"/>
  <c r="J488" i="37" s="1"/>
  <c r="J432" i="37"/>
  <c r="I506" i="37"/>
  <c r="I489" i="37"/>
  <c r="J401" i="37"/>
  <c r="J449" i="37"/>
  <c r="J466" i="37"/>
  <c r="J434" i="37"/>
  <c r="J405" i="37"/>
  <c r="J383" i="37"/>
  <c r="J485" i="37" s="1"/>
  <c r="I550" i="37"/>
  <c r="I559" i="37"/>
  <c r="J371" i="37"/>
  <c r="J473" i="37" s="1"/>
  <c r="J422" i="37"/>
  <c r="J398" i="37"/>
  <c r="J377" i="37"/>
  <c r="J379" i="37"/>
  <c r="J481" i="37" s="1"/>
  <c r="J436" i="37"/>
  <c r="J390" i="37"/>
  <c r="J447" i="37"/>
  <c r="J374" i="37"/>
  <c r="J476" i="37" s="1"/>
  <c r="J409" i="37"/>
  <c r="J381" i="37"/>
  <c r="J378" i="37"/>
  <c r="J454" i="37"/>
  <c r="I519" i="37"/>
  <c r="I494" i="37"/>
  <c r="I565" i="37"/>
  <c r="I536" i="37"/>
  <c r="I552" i="37"/>
  <c r="I476" i="37"/>
  <c r="I541" i="37"/>
  <c r="I532" i="37"/>
  <c r="I504" i="37"/>
  <c r="I556" i="37"/>
  <c r="I555" i="37"/>
  <c r="I493" i="37"/>
  <c r="I535" i="37"/>
  <c r="I515" i="37"/>
  <c r="J369" i="37"/>
  <c r="J457" i="37"/>
  <c r="J407" i="37"/>
  <c r="J464" i="37"/>
  <c r="J426" i="37"/>
  <c r="J437" i="37"/>
  <c r="J387" i="37"/>
  <c r="J462" i="37"/>
  <c r="J380" i="37"/>
  <c r="J441" i="37"/>
  <c r="J456" i="37"/>
  <c r="J417" i="37"/>
  <c r="J376" i="37"/>
  <c r="J467" i="37"/>
  <c r="J410" i="37"/>
  <c r="J395" i="37"/>
  <c r="J443" i="37"/>
  <c r="J425" i="37"/>
  <c r="J391" i="37"/>
  <c r="J435" i="37"/>
  <c r="J419" i="37"/>
  <c r="J402" i="37"/>
  <c r="J440" i="37"/>
  <c r="J459" i="37"/>
  <c r="J416" i="37"/>
  <c r="I490" i="37"/>
  <c r="I526" i="37"/>
  <c r="I554" i="37"/>
  <c r="I491" i="37"/>
  <c r="I549" i="37"/>
  <c r="I538" i="37"/>
  <c r="J42" i="37"/>
  <c r="F16" i="39"/>
  <c r="J372" i="37"/>
  <c r="J474" i="37" s="1"/>
  <c r="J413" i="37"/>
  <c r="J465" i="37"/>
  <c r="J460" i="37"/>
  <c r="J438" i="37"/>
  <c r="J463" i="37"/>
  <c r="J384" i="37"/>
  <c r="J433" i="37"/>
  <c r="J430" i="37"/>
  <c r="J453" i="37"/>
  <c r="J414" i="37"/>
  <c r="J403" i="37"/>
  <c r="J455" i="37"/>
  <c r="J448" i="37"/>
  <c r="J429" i="37"/>
  <c r="J400" i="37"/>
  <c r="J428" i="37"/>
  <c r="J389" i="37"/>
  <c r="J404" i="37"/>
  <c r="J427" i="37"/>
  <c r="J411" i="37"/>
  <c r="J394" i="37"/>
  <c r="J452" i="37"/>
  <c r="J424" i="37"/>
  <c r="I542" i="37"/>
  <c r="I540" i="37"/>
  <c r="J85" i="37"/>
  <c r="J86" i="37"/>
  <c r="J131" i="37"/>
  <c r="J129" i="37"/>
  <c r="M11" i="24"/>
  <c r="L11" i="37" s="1"/>
  <c r="J84" i="37"/>
  <c r="J494" i="37" s="1"/>
  <c r="J101" i="37"/>
  <c r="J108" i="37"/>
  <c r="J142" i="37"/>
  <c r="J138" i="37"/>
  <c r="J548" i="37" s="1"/>
  <c r="J81" i="37"/>
  <c r="J83" i="37"/>
  <c r="J140" i="37"/>
  <c r="J110" i="37"/>
  <c r="J123" i="37"/>
  <c r="J533" i="37" s="1"/>
  <c r="J96" i="37"/>
  <c r="J117" i="37"/>
  <c r="J133" i="37"/>
  <c r="M9" i="24"/>
  <c r="L9" i="37" s="1"/>
  <c r="K9" i="37"/>
  <c r="J120" i="37"/>
  <c r="J109" i="37"/>
  <c r="J105" i="37"/>
  <c r="J106" i="37"/>
  <c r="J146" i="37"/>
  <c r="J139" i="37"/>
  <c r="J549" i="37" s="1"/>
  <c r="J93" i="37"/>
  <c r="J503" i="37" s="1"/>
  <c r="J144" i="37"/>
  <c r="J154" i="37"/>
  <c r="J564" i="37" s="1"/>
  <c r="J112" i="37"/>
  <c r="J137" i="37"/>
  <c r="J547" i="37" s="1"/>
  <c r="J122" i="37"/>
  <c r="L11" i="31"/>
  <c r="J149" i="37"/>
  <c r="J89" i="37"/>
  <c r="J94" i="37"/>
  <c r="J153" i="37"/>
  <c r="J130" i="37"/>
  <c r="J107" i="37"/>
  <c r="J145" i="37"/>
  <c r="J555" i="37" s="1"/>
  <c r="J159" i="37"/>
  <c r="J114" i="37"/>
  <c r="J125" i="37"/>
  <c r="J535" i="37" s="1"/>
  <c r="J143" i="37"/>
  <c r="J156" i="37"/>
  <c r="J79" i="37"/>
  <c r="J155" i="37"/>
  <c r="J147" i="37"/>
  <c r="J141" i="37"/>
  <c r="J97" i="37"/>
  <c r="J119" i="37"/>
  <c r="J529" i="37" s="1"/>
  <c r="J132" i="37"/>
  <c r="J99" i="37"/>
  <c r="J90" i="37"/>
  <c r="J100" i="37"/>
  <c r="J510" i="37" s="1"/>
  <c r="J95" i="37"/>
  <c r="J91" i="37"/>
  <c r="J82" i="37"/>
  <c r="J158" i="37"/>
  <c r="J121" i="37"/>
  <c r="J116" i="37"/>
  <c r="J151" i="37"/>
  <c r="K23" i="31"/>
  <c r="K23" i="37"/>
  <c r="K11" i="31"/>
  <c r="K12" i="31"/>
  <c r="K12" i="37"/>
  <c r="J128" i="37"/>
  <c r="J126" i="37"/>
  <c r="J115" i="37"/>
  <c r="J525" i="37" s="1"/>
  <c r="J104" i="37"/>
  <c r="J134" i="37"/>
  <c r="J152" i="37"/>
  <c r="J160" i="37"/>
  <c r="J157" i="37"/>
  <c r="J113" i="37"/>
  <c r="J127" i="37"/>
  <c r="J118" i="37"/>
  <c r="J103" i="37"/>
  <c r="J513" i="37" s="1"/>
  <c r="J111" i="37"/>
  <c r="J92" i="37"/>
  <c r="J136" i="37"/>
  <c r="J148" i="37"/>
  <c r="J135" i="37"/>
  <c r="J124" i="37"/>
  <c r="J87" i="37"/>
  <c r="J98" i="37"/>
  <c r="J88" i="37"/>
  <c r="J80" i="37"/>
  <c r="J102" i="37"/>
  <c r="K287" i="37"/>
  <c r="K297" i="37"/>
  <c r="K283" i="37"/>
  <c r="K305" i="37"/>
  <c r="K273" i="37"/>
  <c r="K284" i="37"/>
  <c r="K315" i="37"/>
  <c r="K325" i="37"/>
  <c r="K321" i="37"/>
  <c r="K301" i="37"/>
  <c r="K276" i="37"/>
  <c r="K289" i="37"/>
  <c r="K275" i="37"/>
  <c r="K285" i="37"/>
  <c r="K308" i="37"/>
  <c r="K288" i="37"/>
  <c r="K299" i="37"/>
  <c r="K317" i="37"/>
  <c r="K328" i="37"/>
  <c r="K333" i="37"/>
  <c r="K357" i="37"/>
  <c r="K352" i="37"/>
  <c r="K327" i="37"/>
  <c r="K312" i="37"/>
  <c r="K277" i="37"/>
  <c r="K311" i="37"/>
  <c r="K304" i="37"/>
  <c r="K331" i="37"/>
  <c r="K361" i="37"/>
  <c r="K363" i="37"/>
  <c r="K281" i="37"/>
  <c r="K349" i="37"/>
  <c r="K335" i="37"/>
  <c r="K329" i="37"/>
  <c r="K351" i="37"/>
  <c r="K365" i="37"/>
  <c r="K272" i="37"/>
  <c r="K280" i="37"/>
  <c r="K313" i="37"/>
  <c r="K309" i="37"/>
  <c r="K271" i="37"/>
  <c r="K296" i="37"/>
  <c r="K332" i="37"/>
  <c r="K347" i="37"/>
  <c r="K300" i="37"/>
  <c r="K320" i="37"/>
  <c r="K337" i="37"/>
  <c r="K319" i="37"/>
  <c r="K356" i="37"/>
  <c r="K336" i="37"/>
  <c r="K362" i="37"/>
  <c r="K334" i="37"/>
  <c r="K322" i="37"/>
  <c r="K310" i="37"/>
  <c r="K298" i="37"/>
  <c r="K286" i="37"/>
  <c r="K278" i="37"/>
  <c r="K326" i="37"/>
  <c r="K318" i="37"/>
  <c r="K302" i="37"/>
  <c r="K282" i="37"/>
  <c r="K268" i="37"/>
  <c r="K293" i="37"/>
  <c r="K353" i="37"/>
  <c r="K360" i="37"/>
  <c r="K307" i="37"/>
  <c r="K348" i="37"/>
  <c r="K303" i="37"/>
  <c r="K323" i="37"/>
  <c r="K339" i="37"/>
  <c r="K344" i="37"/>
  <c r="K343" i="37"/>
  <c r="K330" i="37"/>
  <c r="K314" i="37"/>
  <c r="K306" i="37"/>
  <c r="K294" i="37"/>
  <c r="K290" i="37"/>
  <c r="K274" i="37"/>
  <c r="K342" i="37"/>
  <c r="K346" i="37"/>
  <c r="K292" i="37"/>
  <c r="K341" i="37"/>
  <c r="K291" i="37"/>
  <c r="K359" i="37"/>
  <c r="K340" i="37"/>
  <c r="K355" i="37"/>
  <c r="K324" i="37"/>
  <c r="K366" i="37"/>
  <c r="K267" i="37"/>
  <c r="K295" i="37"/>
  <c r="K316" i="37"/>
  <c r="K354" i="37"/>
  <c r="K358" i="37"/>
  <c r="K345" i="37"/>
  <c r="K350" i="37"/>
  <c r="K364" i="37"/>
  <c r="K338" i="37"/>
  <c r="K279" i="37"/>
  <c r="K270" i="37"/>
  <c r="K269" i="37"/>
  <c r="J482" i="37"/>
  <c r="J471" i="37"/>
  <c r="K381" i="37"/>
  <c r="K438" i="37"/>
  <c r="K432" i="37"/>
  <c r="K428" i="37"/>
  <c r="K424" i="37"/>
  <c r="K422" i="37"/>
  <c r="K414" i="37"/>
  <c r="K468" i="37"/>
  <c r="K451" i="37"/>
  <c r="K443" i="37"/>
  <c r="K466" i="37"/>
  <c r="K450" i="37"/>
  <c r="K442" i="37"/>
  <c r="K406" i="37"/>
  <c r="K377" i="37"/>
  <c r="K465" i="37"/>
  <c r="K462" i="37"/>
  <c r="K446" i="37"/>
  <c r="K448" i="37"/>
  <c r="K376" i="37"/>
  <c r="K384" i="37"/>
  <c r="K392" i="37"/>
  <c r="K400" i="37"/>
  <c r="K379" i="37"/>
  <c r="K395" i="37"/>
  <c r="K409" i="37"/>
  <c r="K417" i="37"/>
  <c r="K401" i="37"/>
  <c r="K420" i="37"/>
  <c r="K425" i="37"/>
  <c r="K433" i="37"/>
  <c r="K461" i="37"/>
  <c r="K453" i="37"/>
  <c r="K397" i="37"/>
  <c r="K452" i="37"/>
  <c r="K439" i="37"/>
  <c r="K458" i="37"/>
  <c r="K434" i="37"/>
  <c r="K430" i="37"/>
  <c r="K426" i="37"/>
  <c r="K440" i="37"/>
  <c r="K463" i="37"/>
  <c r="K378" i="37"/>
  <c r="K386" i="37"/>
  <c r="K394" i="37"/>
  <c r="K402" i="37"/>
  <c r="K383" i="37"/>
  <c r="K399" i="37"/>
  <c r="K411" i="37"/>
  <c r="K419" i="37"/>
  <c r="K408" i="37"/>
  <c r="K373" i="37"/>
  <c r="K427" i="37"/>
  <c r="K441" i="37"/>
  <c r="K418" i="37"/>
  <c r="K405" i="37"/>
  <c r="K455" i="37"/>
  <c r="K464" i="37"/>
  <c r="K388" i="37"/>
  <c r="K404" i="37"/>
  <c r="K403" i="37"/>
  <c r="K421" i="37"/>
  <c r="K389" i="37"/>
  <c r="K437" i="37"/>
  <c r="K449" i="37"/>
  <c r="K410" i="37"/>
  <c r="K454" i="37"/>
  <c r="K435" i="37"/>
  <c r="K459" i="37"/>
  <c r="K456" i="37"/>
  <c r="K374" i="37"/>
  <c r="K390" i="37"/>
  <c r="K375" i="37"/>
  <c r="K407" i="37"/>
  <c r="K385" i="37"/>
  <c r="K423" i="37"/>
  <c r="K445" i="37"/>
  <c r="K467" i="37"/>
  <c r="K436" i="37"/>
  <c r="K380" i="37"/>
  <c r="K387" i="37"/>
  <c r="K412" i="37"/>
  <c r="K393" i="37"/>
  <c r="K413" i="37"/>
  <c r="K415" i="37"/>
  <c r="K447" i="37"/>
  <c r="K382" i="37"/>
  <c r="K391" i="37"/>
  <c r="K416" i="37"/>
  <c r="K444" i="37"/>
  <c r="K396" i="37"/>
  <c r="K429" i="37"/>
  <c r="K460" i="37"/>
  <c r="K398" i="37"/>
  <c r="K431" i="37"/>
  <c r="K457" i="37"/>
  <c r="K369" i="37"/>
  <c r="K372" i="37"/>
  <c r="K370" i="37"/>
  <c r="K371" i="37"/>
  <c r="J479" i="37"/>
  <c r="I94" i="31"/>
  <c r="I93" i="31"/>
  <c r="I95" i="31"/>
  <c r="I92" i="31"/>
  <c r="I96" i="31"/>
  <c r="H27" i="24"/>
  <c r="H52" i="24"/>
  <c r="K24" i="18"/>
  <c r="L24" i="18" s="1"/>
  <c r="J63" i="31"/>
  <c r="J65" i="31"/>
  <c r="J64" i="31"/>
  <c r="J61" i="31"/>
  <c r="J62" i="31"/>
  <c r="G97" i="16" s="1"/>
  <c r="K9" i="31"/>
  <c r="J30" i="18"/>
  <c r="H89" i="18"/>
  <c r="M12" i="24"/>
  <c r="J78" i="31"/>
  <c r="G98" i="16" s="1"/>
  <c r="J77" i="31"/>
  <c r="J79" i="31"/>
  <c r="J81" i="31"/>
  <c r="J80" i="31"/>
  <c r="K9" i="25"/>
  <c r="L46" i="37" s="1"/>
  <c r="K46" i="31"/>
  <c r="L12" i="25"/>
  <c r="M49" i="37" s="1"/>
  <c r="L49" i="31"/>
  <c r="F100" i="16"/>
  <c r="F101" i="16" s="1"/>
  <c r="F102" i="16" s="1"/>
  <c r="J84" i="31"/>
  <c r="J87" i="31"/>
  <c r="J85" i="31"/>
  <c r="J88" i="31"/>
  <c r="J86" i="31"/>
  <c r="L9" i="26"/>
  <c r="L53" i="37" s="1"/>
  <c r="K53" i="31"/>
  <c r="L56" i="31"/>
  <c r="M12" i="26"/>
  <c r="M56" i="37" s="1"/>
  <c r="M19" i="24"/>
  <c r="L19" i="37" s="1"/>
  <c r="K19" i="31"/>
  <c r="K114" i="24"/>
  <c r="J42" i="31"/>
  <c r="M17" i="24"/>
  <c r="L17" i="37" s="1"/>
  <c r="K17" i="31"/>
  <c r="M13" i="24"/>
  <c r="L13" i="37" s="1"/>
  <c r="K13" i="31"/>
  <c r="M21" i="24"/>
  <c r="L21" i="37" s="1"/>
  <c r="K21" i="31"/>
  <c r="M20" i="24"/>
  <c r="L20" i="37" s="1"/>
  <c r="K20" i="31"/>
  <c r="L69" i="24"/>
  <c r="L91" i="24"/>
  <c r="K42" i="37" s="1"/>
  <c r="M23" i="24"/>
  <c r="B42" i="7"/>
  <c r="B43" i="7"/>
  <c r="J2264" i="22"/>
  <c r="J2265" i="22"/>
  <c r="I2266" i="22"/>
  <c r="J2266" i="22"/>
  <c r="J2263" i="22"/>
  <c r="I2263" i="22"/>
  <c r="E2265" i="22"/>
  <c r="I2265" i="22" s="1"/>
  <c r="E2264" i="22"/>
  <c r="I2264" i="22" s="1"/>
  <c r="J2258" i="22"/>
  <c r="I2257" i="22"/>
  <c r="E2257" i="22"/>
  <c r="F2258" i="22"/>
  <c r="K2252" i="22"/>
  <c r="J2252" i="22"/>
  <c r="I2252" i="22"/>
  <c r="G2252" i="22"/>
  <c r="F2252" i="22"/>
  <c r="E2252" i="22"/>
  <c r="S2248" i="22" s="1"/>
  <c r="C6" i="22"/>
  <c r="B7" i="22" s="1"/>
  <c r="B6" i="22"/>
  <c r="J508" i="37" l="1"/>
  <c r="J480" i="37"/>
  <c r="J537" i="37"/>
  <c r="J566" i="37"/>
  <c r="J563" i="37"/>
  <c r="J538" i="37"/>
  <c r="J542" i="37"/>
  <c r="J493" i="37"/>
  <c r="J483" i="37"/>
  <c r="J472" i="37"/>
  <c r="J541" i="37"/>
  <c r="J490" i="37"/>
  <c r="J534" i="37"/>
  <c r="J509" i="37"/>
  <c r="J551" i="37"/>
  <c r="J550" i="37"/>
  <c r="J495" i="37"/>
  <c r="J486" i="37"/>
  <c r="J522" i="37"/>
  <c r="J520" i="37"/>
  <c r="J478" i="37"/>
  <c r="J498" i="37"/>
  <c r="J545" i="37"/>
  <c r="J521" i="37"/>
  <c r="J544" i="37"/>
  <c r="J505" i="37"/>
  <c r="J518" i="37"/>
  <c r="J475" i="37"/>
  <c r="J502" i="37"/>
  <c r="J562" i="37"/>
  <c r="J536" i="37"/>
  <c r="J526" i="37"/>
  <c r="J501" i="37"/>
  <c r="J569" i="37"/>
  <c r="J556" i="37"/>
  <c r="J530" i="37"/>
  <c r="J527" i="37"/>
  <c r="J552" i="37"/>
  <c r="J515" i="37"/>
  <c r="J499" i="37"/>
  <c r="J546" i="37"/>
  <c r="J528" i="37"/>
  <c r="J570" i="37"/>
  <c r="J507" i="37"/>
  <c r="J557" i="37"/>
  <c r="J553" i="37"/>
  <c r="J504" i="37"/>
  <c r="J532" i="37"/>
  <c r="J539" i="37"/>
  <c r="J514" i="37"/>
  <c r="J568" i="37"/>
  <c r="J517" i="37"/>
  <c r="J511" i="37"/>
  <c r="J523" i="37"/>
  <c r="J492" i="37"/>
  <c r="J500" i="37"/>
  <c r="J524" i="37"/>
  <c r="J531" i="37"/>
  <c r="J554" i="37"/>
  <c r="J516" i="37"/>
  <c r="J506" i="37"/>
  <c r="J558" i="37"/>
  <c r="J567" i="37"/>
  <c r="J565" i="37"/>
  <c r="J491" i="37"/>
  <c r="N11" i="24"/>
  <c r="M11" i="37" s="1"/>
  <c r="J512" i="37"/>
  <c r="J497" i="37"/>
  <c r="J561" i="37"/>
  <c r="J489" i="37"/>
  <c r="J540" i="37"/>
  <c r="J559" i="37"/>
  <c r="J519" i="37"/>
  <c r="J543" i="37"/>
  <c r="J496" i="37"/>
  <c r="L9" i="31"/>
  <c r="N9" i="24"/>
  <c r="M9" i="37" s="1"/>
  <c r="L12" i="31"/>
  <c r="L12" i="37"/>
  <c r="L106" i="37" s="1"/>
  <c r="K134" i="37"/>
  <c r="K544" i="37" s="1"/>
  <c r="K146" i="37"/>
  <c r="K556" i="37" s="1"/>
  <c r="K126" i="37"/>
  <c r="K536" i="37" s="1"/>
  <c r="K138" i="37"/>
  <c r="K548" i="37" s="1"/>
  <c r="K95" i="37"/>
  <c r="K505" i="37" s="1"/>
  <c r="K70" i="37"/>
  <c r="K480" i="37" s="1"/>
  <c r="K114" i="37"/>
  <c r="K524" i="37" s="1"/>
  <c r="K130" i="37"/>
  <c r="K540" i="37" s="1"/>
  <c r="K122" i="37"/>
  <c r="K532" i="37" s="1"/>
  <c r="K158" i="37"/>
  <c r="K568" i="37" s="1"/>
  <c r="K86" i="37"/>
  <c r="K496" i="37" s="1"/>
  <c r="K156" i="37"/>
  <c r="K566" i="37" s="1"/>
  <c r="K140" i="37"/>
  <c r="K550" i="37" s="1"/>
  <c r="K124" i="37"/>
  <c r="K534" i="37" s="1"/>
  <c r="K142" i="37"/>
  <c r="K552" i="37" s="1"/>
  <c r="K118" i="37"/>
  <c r="K528" i="37" s="1"/>
  <c r="K61" i="37"/>
  <c r="K471" i="37" s="1"/>
  <c r="K152" i="37"/>
  <c r="K562" i="37" s="1"/>
  <c r="K136" i="37"/>
  <c r="K546" i="37" s="1"/>
  <c r="K120" i="37"/>
  <c r="K530" i="37" s="1"/>
  <c r="K62" i="37"/>
  <c r="K472" i="37" s="1"/>
  <c r="K69" i="37"/>
  <c r="K479" i="37" s="1"/>
  <c r="K77" i="37"/>
  <c r="K487" i="37" s="1"/>
  <c r="K85" i="37"/>
  <c r="K495" i="37" s="1"/>
  <c r="K93" i="37"/>
  <c r="K503" i="37" s="1"/>
  <c r="K80" i="37"/>
  <c r="K490" i="37" s="1"/>
  <c r="K96" i="37"/>
  <c r="K506" i="37" s="1"/>
  <c r="K104" i="37"/>
  <c r="K514" i="37" s="1"/>
  <c r="K74" i="37"/>
  <c r="K484" i="37" s="1"/>
  <c r="K101" i="37"/>
  <c r="K511" i="37" s="1"/>
  <c r="K115" i="37"/>
  <c r="K525" i="37" s="1"/>
  <c r="K123" i="37"/>
  <c r="K533" i="37" s="1"/>
  <c r="K131" i="37"/>
  <c r="K541" i="37" s="1"/>
  <c r="K139" i="37"/>
  <c r="K549" i="37" s="1"/>
  <c r="K147" i="37"/>
  <c r="K557" i="37" s="1"/>
  <c r="K155" i="37"/>
  <c r="K565" i="37" s="1"/>
  <c r="K150" i="37"/>
  <c r="K560" i="37" s="1"/>
  <c r="K103" i="37"/>
  <c r="K513" i="37" s="1"/>
  <c r="K64" i="37"/>
  <c r="K474" i="37" s="1"/>
  <c r="K132" i="37"/>
  <c r="K542" i="37" s="1"/>
  <c r="K71" i="37"/>
  <c r="K481" i="37" s="1"/>
  <c r="K81" i="37"/>
  <c r="K491" i="37" s="1"/>
  <c r="K91" i="37"/>
  <c r="K501" i="37" s="1"/>
  <c r="K84" i="37"/>
  <c r="K494" i="37" s="1"/>
  <c r="K100" i="37"/>
  <c r="K510" i="37" s="1"/>
  <c r="K66" i="37"/>
  <c r="K476" i="37" s="1"/>
  <c r="K105" i="37"/>
  <c r="K515" i="37" s="1"/>
  <c r="K119" i="37"/>
  <c r="K529" i="37" s="1"/>
  <c r="K129" i="37"/>
  <c r="K539" i="37" s="1"/>
  <c r="K141" i="37"/>
  <c r="K551" i="37" s="1"/>
  <c r="K151" i="37"/>
  <c r="K561" i="37" s="1"/>
  <c r="K148" i="37"/>
  <c r="K558" i="37" s="1"/>
  <c r="K116" i="37"/>
  <c r="K526" i="37" s="1"/>
  <c r="K94" i="37"/>
  <c r="K504" i="37" s="1"/>
  <c r="K65" i="37"/>
  <c r="K475" i="37" s="1"/>
  <c r="K87" i="37"/>
  <c r="K497" i="37" s="1"/>
  <c r="K92" i="37"/>
  <c r="K502" i="37" s="1"/>
  <c r="K90" i="37"/>
  <c r="K500" i="37" s="1"/>
  <c r="K125" i="37"/>
  <c r="K535" i="37" s="1"/>
  <c r="K135" i="37"/>
  <c r="K545" i="37" s="1"/>
  <c r="K157" i="37"/>
  <c r="K567" i="37" s="1"/>
  <c r="K144" i="37"/>
  <c r="K554" i="37" s="1"/>
  <c r="K112" i="37"/>
  <c r="K522" i="37" s="1"/>
  <c r="K99" i="37"/>
  <c r="K509" i="37" s="1"/>
  <c r="K73" i="37"/>
  <c r="K483" i="37" s="1"/>
  <c r="K83" i="37"/>
  <c r="K493" i="37" s="1"/>
  <c r="K68" i="37"/>
  <c r="K478" i="37" s="1"/>
  <c r="K88" i="37"/>
  <c r="K498" i="37" s="1"/>
  <c r="K102" i="37"/>
  <c r="K512" i="37" s="1"/>
  <c r="K82" i="37"/>
  <c r="K492" i="37" s="1"/>
  <c r="K109" i="37"/>
  <c r="K519" i="37" s="1"/>
  <c r="K121" i="37"/>
  <c r="K531" i="37" s="1"/>
  <c r="K133" i="37"/>
  <c r="K543" i="37" s="1"/>
  <c r="K143" i="37"/>
  <c r="K553" i="37" s="1"/>
  <c r="K153" i="37"/>
  <c r="K563" i="37" s="1"/>
  <c r="K78" i="37"/>
  <c r="K488" i="37" s="1"/>
  <c r="K154" i="37"/>
  <c r="K564" i="37" s="1"/>
  <c r="K107" i="37"/>
  <c r="K517" i="37" s="1"/>
  <c r="K75" i="37"/>
  <c r="K485" i="37" s="1"/>
  <c r="K72" i="37"/>
  <c r="K482" i="37" s="1"/>
  <c r="K106" i="37"/>
  <c r="K516" i="37" s="1"/>
  <c r="K113" i="37"/>
  <c r="K523" i="37" s="1"/>
  <c r="K145" i="37"/>
  <c r="K555" i="37" s="1"/>
  <c r="K79" i="37"/>
  <c r="K489" i="37" s="1"/>
  <c r="K108" i="37"/>
  <c r="K518" i="37" s="1"/>
  <c r="K137" i="37"/>
  <c r="K547" i="37" s="1"/>
  <c r="K110" i="37"/>
  <c r="K520" i="37" s="1"/>
  <c r="K160" i="37"/>
  <c r="K570" i="37" s="1"/>
  <c r="K97" i="37"/>
  <c r="K507" i="37" s="1"/>
  <c r="K76" i="37"/>
  <c r="K486" i="37" s="1"/>
  <c r="K159" i="37"/>
  <c r="K569" i="37" s="1"/>
  <c r="K63" i="37"/>
  <c r="K473" i="37" s="1"/>
  <c r="K67" i="37"/>
  <c r="K477" i="37" s="1"/>
  <c r="K127" i="37"/>
  <c r="K537" i="37" s="1"/>
  <c r="K111" i="37"/>
  <c r="K521" i="37" s="1"/>
  <c r="K89" i="37"/>
  <c r="K499" i="37" s="1"/>
  <c r="K149" i="37"/>
  <c r="K559" i="37" s="1"/>
  <c r="K128" i="37"/>
  <c r="K538" i="37" s="1"/>
  <c r="K117" i="37"/>
  <c r="K527" i="37" s="1"/>
  <c r="K98" i="37"/>
  <c r="K508" i="37" s="1"/>
  <c r="L23" i="31"/>
  <c r="L23" i="37"/>
  <c r="L67" i="37"/>
  <c r="L129" i="37"/>
  <c r="L66" i="37"/>
  <c r="L63" i="37"/>
  <c r="L64" i="37"/>
  <c r="L68" i="37"/>
  <c r="L61" i="37"/>
  <c r="L65" i="37"/>
  <c r="L69" i="37"/>
  <c r="L62" i="37"/>
  <c r="L291" i="37"/>
  <c r="L336" i="37"/>
  <c r="L331" i="37"/>
  <c r="L351" i="37"/>
  <c r="L328" i="37"/>
  <c r="L296" i="37"/>
  <c r="L275" i="37"/>
  <c r="L344" i="37"/>
  <c r="L323" i="37"/>
  <c r="L315" i="37"/>
  <c r="L271" i="37"/>
  <c r="L325" i="37"/>
  <c r="L311" i="37"/>
  <c r="L363" i="37"/>
  <c r="L333" i="37"/>
  <c r="L341" i="37"/>
  <c r="L356" i="37"/>
  <c r="L359" i="37"/>
  <c r="L339" i="37"/>
  <c r="L320" i="37"/>
  <c r="L280" i="37"/>
  <c r="L317" i="37"/>
  <c r="L337" i="37"/>
  <c r="L284" i="37"/>
  <c r="L307" i="37"/>
  <c r="L287" i="37"/>
  <c r="L297" i="37"/>
  <c r="L340" i="37"/>
  <c r="L353" i="37"/>
  <c r="L345" i="37"/>
  <c r="L281" i="37"/>
  <c r="L309" i="37"/>
  <c r="L292" i="37"/>
  <c r="L288" i="37"/>
  <c r="L327" i="37"/>
  <c r="L313" i="37"/>
  <c r="L342" i="37"/>
  <c r="L334" i="37"/>
  <c r="L322" i="37"/>
  <c r="L310" i="37"/>
  <c r="L298" i="37"/>
  <c r="L286" i="37"/>
  <c r="L278" i="37"/>
  <c r="L346" i="37"/>
  <c r="L326" i="37"/>
  <c r="L318" i="37"/>
  <c r="L302" i="37"/>
  <c r="L282" i="37"/>
  <c r="L305" i="37"/>
  <c r="L300" i="37"/>
  <c r="L361" i="37"/>
  <c r="L276" i="37"/>
  <c r="L301" i="37"/>
  <c r="L365" i="37"/>
  <c r="L360" i="37"/>
  <c r="L332" i="37"/>
  <c r="L316" i="37"/>
  <c r="L366" i="37"/>
  <c r="L357" i="37"/>
  <c r="L349" i="37"/>
  <c r="L299" i="37"/>
  <c r="L312" i="37"/>
  <c r="L295" i="37"/>
  <c r="L343" i="37"/>
  <c r="L335" i="37"/>
  <c r="L319" i="37"/>
  <c r="L308" i="37"/>
  <c r="L283" i="37"/>
  <c r="L338" i="37"/>
  <c r="L330" i="37"/>
  <c r="L314" i="37"/>
  <c r="L306" i="37"/>
  <c r="L294" i="37"/>
  <c r="L290" i="37"/>
  <c r="L274" i="37"/>
  <c r="L354" i="37"/>
  <c r="L358" i="37"/>
  <c r="L272" i="37"/>
  <c r="L355" i="37"/>
  <c r="L324" i="37"/>
  <c r="L277" i="37"/>
  <c r="L279" i="37"/>
  <c r="L303" i="37"/>
  <c r="L350" i="37"/>
  <c r="L364" i="37"/>
  <c r="L348" i="37"/>
  <c r="L321" i="37"/>
  <c r="L285" i="37"/>
  <c r="L304" i="37"/>
  <c r="L293" i="37"/>
  <c r="L329" i="37"/>
  <c r="L362" i="37"/>
  <c r="L289" i="37"/>
  <c r="L273" i="37"/>
  <c r="L352" i="37"/>
  <c r="L267" i="37"/>
  <c r="L347" i="37"/>
  <c r="L268" i="37"/>
  <c r="L270" i="37"/>
  <c r="L269" i="37"/>
  <c r="L454" i="37"/>
  <c r="L444" i="37"/>
  <c r="L407" i="37"/>
  <c r="L466" i="37"/>
  <c r="L463" i="37"/>
  <c r="L435" i="37"/>
  <c r="L458" i="37"/>
  <c r="L460" i="37"/>
  <c r="L452" i="37"/>
  <c r="L455" i="37"/>
  <c r="L373" i="37"/>
  <c r="L381" i="37"/>
  <c r="L389" i="37"/>
  <c r="L397" i="37"/>
  <c r="L405" i="37"/>
  <c r="L386" i="37"/>
  <c r="L402" i="37"/>
  <c r="L412" i="37"/>
  <c r="L420" i="37"/>
  <c r="L384" i="37"/>
  <c r="L400" i="37"/>
  <c r="L428" i="37"/>
  <c r="L413" i="37"/>
  <c r="L436" i="37"/>
  <c r="L464" i="37"/>
  <c r="L448" i="37"/>
  <c r="L440" i="37"/>
  <c r="L468" i="37"/>
  <c r="L438" i="37"/>
  <c r="L459" i="37"/>
  <c r="L445" i="37"/>
  <c r="L437" i="37"/>
  <c r="L467" i="37"/>
  <c r="L431" i="37"/>
  <c r="L450" i="37"/>
  <c r="L415" i="37"/>
  <c r="L375" i="37"/>
  <c r="L383" i="37"/>
  <c r="L391" i="37"/>
  <c r="L399" i="37"/>
  <c r="L374" i="37"/>
  <c r="L390" i="37"/>
  <c r="L406" i="37"/>
  <c r="L414" i="37"/>
  <c r="L422" i="37"/>
  <c r="L388" i="37"/>
  <c r="L404" i="37"/>
  <c r="L430" i="37"/>
  <c r="L417" i="37"/>
  <c r="L411" i="37"/>
  <c r="L447" i="37"/>
  <c r="L433" i="37"/>
  <c r="L423" i="37"/>
  <c r="L387" i="37"/>
  <c r="L403" i="37"/>
  <c r="L398" i="37"/>
  <c r="L418" i="37"/>
  <c r="L396" i="37"/>
  <c r="L409" i="37"/>
  <c r="L439" i="37"/>
  <c r="L443" i="37"/>
  <c r="L462" i="37"/>
  <c r="L442" i="37"/>
  <c r="L377" i="37"/>
  <c r="L393" i="37"/>
  <c r="L378" i="37"/>
  <c r="L408" i="37"/>
  <c r="L376" i="37"/>
  <c r="L424" i="37"/>
  <c r="L421" i="37"/>
  <c r="L465" i="37"/>
  <c r="L461" i="37"/>
  <c r="L453" i="37"/>
  <c r="L449" i="37"/>
  <c r="L456" i="37"/>
  <c r="L385" i="37"/>
  <c r="L394" i="37"/>
  <c r="L392" i="37"/>
  <c r="L457" i="37"/>
  <c r="L429" i="37"/>
  <c r="L401" i="37"/>
  <c r="L432" i="37"/>
  <c r="L434" i="37"/>
  <c r="L379" i="37"/>
  <c r="L380" i="37"/>
  <c r="L451" i="37"/>
  <c r="L441" i="37"/>
  <c r="L395" i="37"/>
  <c r="L410" i="37"/>
  <c r="L426" i="37"/>
  <c r="L416" i="37"/>
  <c r="L419" i="37"/>
  <c r="L446" i="37"/>
  <c r="L382" i="37"/>
  <c r="L427" i="37"/>
  <c r="L425" i="37"/>
  <c r="L372" i="37"/>
  <c r="L369" i="37"/>
  <c r="L370" i="37"/>
  <c r="L371" i="37"/>
  <c r="J95" i="31"/>
  <c r="J96" i="31"/>
  <c r="J92" i="31"/>
  <c r="J93" i="31"/>
  <c r="J94" i="31"/>
  <c r="M24" i="18"/>
  <c r="N24" i="18" s="1"/>
  <c r="O24" i="18" s="1"/>
  <c r="P24" i="18" s="1"/>
  <c r="Q24" i="18" s="1"/>
  <c r="K62" i="31"/>
  <c r="O97" i="16" s="1"/>
  <c r="K64" i="31"/>
  <c r="K61" i="31"/>
  <c r="K63" i="31"/>
  <c r="K65" i="31"/>
  <c r="L61" i="31"/>
  <c r="C7" i="22"/>
  <c r="C8" i="22" s="1"/>
  <c r="T2248" i="22"/>
  <c r="S2249" i="22" s="1"/>
  <c r="M2252" i="22"/>
  <c r="Q42" i="7"/>
  <c r="R42" i="7"/>
  <c r="P42" i="7"/>
  <c r="P2252" i="22"/>
  <c r="R43" i="7"/>
  <c r="P43" i="7"/>
  <c r="Q43" i="7"/>
  <c r="N12" i="24"/>
  <c r="K30" i="18"/>
  <c r="J89" i="18"/>
  <c r="I89" i="18"/>
  <c r="L9" i="25"/>
  <c r="M46" i="37" s="1"/>
  <c r="L46" i="31"/>
  <c r="M12" i="25"/>
  <c r="N49" i="37" s="1"/>
  <c r="M49" i="31"/>
  <c r="K80" i="31"/>
  <c r="K81" i="31"/>
  <c r="K77" i="31"/>
  <c r="K78" i="31"/>
  <c r="O98" i="16" s="1"/>
  <c r="K79" i="31"/>
  <c r="K85" i="31"/>
  <c r="K88" i="31"/>
  <c r="K86" i="31"/>
  <c r="K87" i="31"/>
  <c r="K84" i="31"/>
  <c r="M56" i="31"/>
  <c r="N12" i="26"/>
  <c r="N56" i="37" s="1"/>
  <c r="G99" i="16"/>
  <c r="G100" i="16" s="1"/>
  <c r="G101" i="16" s="1"/>
  <c r="G102" i="16" s="1"/>
  <c r="L53" i="31"/>
  <c r="M9" i="26"/>
  <c r="M53" i="37" s="1"/>
  <c r="L114" i="24"/>
  <c r="K42" i="31"/>
  <c r="N21" i="24"/>
  <c r="M21" i="37" s="1"/>
  <c r="L21" i="31"/>
  <c r="N13" i="24"/>
  <c r="M13" i="37" s="1"/>
  <c r="L13" i="31"/>
  <c r="N20" i="24"/>
  <c r="M20" i="37" s="1"/>
  <c r="L20" i="31"/>
  <c r="N17" i="24"/>
  <c r="M17" i="37" s="1"/>
  <c r="L17" i="31"/>
  <c r="N19" i="24"/>
  <c r="M19" i="37" s="1"/>
  <c r="L19" i="31"/>
  <c r="M69" i="24"/>
  <c r="M91" i="24"/>
  <c r="L42" i="37" s="1"/>
  <c r="N23" i="24"/>
  <c r="B8" i="22"/>
  <c r="S28" i="4"/>
  <c r="T28" i="4"/>
  <c r="U28" i="4"/>
  <c r="V28" i="4"/>
  <c r="M60" i="3"/>
  <c r="N60" i="3"/>
  <c r="O60" i="3"/>
  <c r="P60" i="3"/>
  <c r="L60" i="3"/>
  <c r="N16" i="22" l="1"/>
  <c r="N20" i="22"/>
  <c r="N24" i="22"/>
  <c r="N23" i="22"/>
  <c r="N25" i="22"/>
  <c r="N19" i="22"/>
  <c r="N15" i="22"/>
  <c r="N17" i="22"/>
  <c r="N21" i="22"/>
  <c r="N22" i="22"/>
  <c r="N18" i="22"/>
  <c r="N26" i="22"/>
  <c r="M11" i="31"/>
  <c r="K2253" i="22"/>
  <c r="Q24" i="22"/>
  <c r="Q20" i="22"/>
  <c r="Q16" i="22"/>
  <c r="Q22" i="22"/>
  <c r="Q18" i="22"/>
  <c r="Q25" i="22"/>
  <c r="Q17" i="22"/>
  <c r="Q21" i="22"/>
  <c r="Q15" i="22"/>
  <c r="Q23" i="22"/>
  <c r="Q19" i="22"/>
  <c r="Q26" i="22"/>
  <c r="L62" i="31"/>
  <c r="O11" i="24"/>
  <c r="L64" i="31"/>
  <c r="L109" i="37"/>
  <c r="L519" i="37" s="1"/>
  <c r="L108" i="37"/>
  <c r="L518" i="37" s="1"/>
  <c r="L125" i="37"/>
  <c r="L535" i="37" s="1"/>
  <c r="L96" i="37"/>
  <c r="L506" i="37" s="1"/>
  <c r="L122" i="37"/>
  <c r="L532" i="37" s="1"/>
  <c r="O9" i="24"/>
  <c r="N9" i="37" s="1"/>
  <c r="M9" i="31"/>
  <c r="L155" i="37"/>
  <c r="L565" i="37" s="1"/>
  <c r="L91" i="37"/>
  <c r="L501" i="37" s="1"/>
  <c r="L149" i="37"/>
  <c r="L559" i="37" s="1"/>
  <c r="L90" i="37"/>
  <c r="L500" i="37" s="1"/>
  <c r="L89" i="37"/>
  <c r="L499" i="37" s="1"/>
  <c r="L76" i="37"/>
  <c r="L486" i="37" s="1"/>
  <c r="L147" i="37"/>
  <c r="L557" i="37" s="1"/>
  <c r="L152" i="37"/>
  <c r="L562" i="37" s="1"/>
  <c r="L154" i="37"/>
  <c r="L564" i="37" s="1"/>
  <c r="L80" i="37"/>
  <c r="L490" i="37" s="1"/>
  <c r="L159" i="37"/>
  <c r="L569" i="37" s="1"/>
  <c r="L116" i="37"/>
  <c r="L526" i="37" s="1"/>
  <c r="L134" i="37"/>
  <c r="L544" i="37" s="1"/>
  <c r="L119" i="37"/>
  <c r="L529" i="37" s="1"/>
  <c r="L94" i="37"/>
  <c r="L504" i="37" s="1"/>
  <c r="L107" i="37"/>
  <c r="L517" i="37" s="1"/>
  <c r="L117" i="37"/>
  <c r="L527" i="37" s="1"/>
  <c r="L121" i="37"/>
  <c r="L531" i="37" s="1"/>
  <c r="M61" i="37"/>
  <c r="M65" i="37"/>
  <c r="M69" i="37"/>
  <c r="M62" i="37"/>
  <c r="M67" i="37"/>
  <c r="M66" i="37"/>
  <c r="M68" i="37"/>
  <c r="M64" i="37"/>
  <c r="M63" i="37"/>
  <c r="M23" i="31"/>
  <c r="M23" i="37"/>
  <c r="L103" i="37"/>
  <c r="L513" i="37" s="1"/>
  <c r="L128" i="37"/>
  <c r="L538" i="37" s="1"/>
  <c r="L111" i="37"/>
  <c r="L521" i="37" s="1"/>
  <c r="L97" i="37"/>
  <c r="L507" i="37" s="1"/>
  <c r="L101" i="37"/>
  <c r="L511" i="37" s="1"/>
  <c r="L142" i="37"/>
  <c r="L552" i="37" s="1"/>
  <c r="L78" i="37"/>
  <c r="L488" i="37" s="1"/>
  <c r="L114" i="37"/>
  <c r="L524" i="37" s="1"/>
  <c r="L82" i="37"/>
  <c r="L492" i="37" s="1"/>
  <c r="L72" i="37"/>
  <c r="L482" i="37" s="1"/>
  <c r="L141" i="37"/>
  <c r="L551" i="37" s="1"/>
  <c r="M12" i="31"/>
  <c r="M12" i="37"/>
  <c r="L123" i="37"/>
  <c r="L533" i="37" s="1"/>
  <c r="L127" i="37"/>
  <c r="L537" i="37" s="1"/>
  <c r="L92" i="37"/>
  <c r="L502" i="37" s="1"/>
  <c r="L137" i="37"/>
  <c r="L547" i="37" s="1"/>
  <c r="L79" i="37"/>
  <c r="L489" i="37" s="1"/>
  <c r="L115" i="37"/>
  <c r="L525" i="37" s="1"/>
  <c r="L156" i="37"/>
  <c r="L566" i="37" s="1"/>
  <c r="L112" i="37"/>
  <c r="L522" i="37" s="1"/>
  <c r="L75" i="37"/>
  <c r="L485" i="37" s="1"/>
  <c r="L148" i="37"/>
  <c r="L558" i="37" s="1"/>
  <c r="L86" i="37"/>
  <c r="L496" i="37" s="1"/>
  <c r="L151" i="37"/>
  <c r="L561" i="37" s="1"/>
  <c r="L132" i="37"/>
  <c r="L542" i="37" s="1"/>
  <c r="L105" i="37"/>
  <c r="L515" i="37" s="1"/>
  <c r="L145" i="37"/>
  <c r="L555" i="37" s="1"/>
  <c r="L138" i="37"/>
  <c r="L548" i="37" s="1"/>
  <c r="L100" i="37"/>
  <c r="L510" i="37" s="1"/>
  <c r="L87" i="37"/>
  <c r="L497" i="37" s="1"/>
  <c r="L74" i="37"/>
  <c r="L484" i="37" s="1"/>
  <c r="L98" i="37"/>
  <c r="L508" i="37" s="1"/>
  <c r="L133" i="37"/>
  <c r="L543" i="37" s="1"/>
  <c r="L73" i="37"/>
  <c r="L483" i="37" s="1"/>
  <c r="L104" i="37"/>
  <c r="L514" i="37" s="1"/>
  <c r="L150" i="37"/>
  <c r="L560" i="37" s="1"/>
  <c r="L160" i="37"/>
  <c r="L570" i="37" s="1"/>
  <c r="L81" i="37"/>
  <c r="L491" i="37" s="1"/>
  <c r="L124" i="37"/>
  <c r="L534" i="37" s="1"/>
  <c r="L158" i="37"/>
  <c r="L568" i="37" s="1"/>
  <c r="L135" i="37"/>
  <c r="L545" i="37" s="1"/>
  <c r="L85" i="37"/>
  <c r="L495" i="37" s="1"/>
  <c r="L146" i="37"/>
  <c r="L556" i="37" s="1"/>
  <c r="L99" i="37"/>
  <c r="L509" i="37" s="1"/>
  <c r="L153" i="37"/>
  <c r="L563" i="37" s="1"/>
  <c r="L83" i="37"/>
  <c r="L493" i="37" s="1"/>
  <c r="L110" i="37"/>
  <c r="L520" i="37" s="1"/>
  <c r="N11" i="31"/>
  <c r="N11" i="37"/>
  <c r="N61" i="37" s="1"/>
  <c r="L143" i="37"/>
  <c r="L553" i="37" s="1"/>
  <c r="L140" i="37"/>
  <c r="L550" i="37" s="1"/>
  <c r="L139" i="37"/>
  <c r="L549" i="37" s="1"/>
  <c r="L118" i="37"/>
  <c r="L528" i="37" s="1"/>
  <c r="L136" i="37"/>
  <c r="L546" i="37" s="1"/>
  <c r="L70" i="37"/>
  <c r="L480" i="37" s="1"/>
  <c r="L131" i="37"/>
  <c r="L541" i="37" s="1"/>
  <c r="L144" i="37"/>
  <c r="L554" i="37" s="1"/>
  <c r="L93" i="37"/>
  <c r="L503" i="37" s="1"/>
  <c r="L84" i="37"/>
  <c r="L494" i="37" s="1"/>
  <c r="L126" i="37"/>
  <c r="L536" i="37" s="1"/>
  <c r="L102" i="37"/>
  <c r="L512" i="37" s="1"/>
  <c r="L120" i="37"/>
  <c r="L530" i="37" s="1"/>
  <c r="L95" i="37"/>
  <c r="L505" i="37" s="1"/>
  <c r="L130" i="37"/>
  <c r="L540" i="37" s="1"/>
  <c r="L77" i="37"/>
  <c r="L487" i="37" s="1"/>
  <c r="L71" i="37"/>
  <c r="L481" i="37" s="1"/>
  <c r="L113" i="37"/>
  <c r="L523" i="37" s="1"/>
  <c r="L88" i="37"/>
  <c r="L498" i="37" s="1"/>
  <c r="L157" i="37"/>
  <c r="L567" i="37" s="1"/>
  <c r="M323" i="37"/>
  <c r="M325" i="37"/>
  <c r="M328" i="37"/>
  <c r="M285" i="37"/>
  <c r="M336" i="37"/>
  <c r="M359" i="37"/>
  <c r="M345" i="37"/>
  <c r="M363" i="37"/>
  <c r="M331" i="37"/>
  <c r="M289" i="37"/>
  <c r="M356" i="37"/>
  <c r="M300" i="37"/>
  <c r="M348" i="37"/>
  <c r="M343" i="37"/>
  <c r="M357" i="37"/>
  <c r="M341" i="37"/>
  <c r="M317" i="37"/>
  <c r="M280" i="37"/>
  <c r="M361" i="37"/>
  <c r="M335" i="37"/>
  <c r="M329" i="37"/>
  <c r="M324" i="37"/>
  <c r="M319" i="37"/>
  <c r="M313" i="37"/>
  <c r="M303" i="37"/>
  <c r="M271" i="37"/>
  <c r="M293" i="37"/>
  <c r="M281" i="37"/>
  <c r="M304" i="37"/>
  <c r="M347" i="37"/>
  <c r="M305" i="37"/>
  <c r="M320" i="37"/>
  <c r="M351" i="37"/>
  <c r="M349" i="37"/>
  <c r="M364" i="37"/>
  <c r="M333" i="37"/>
  <c r="M340" i="37"/>
  <c r="M311" i="37"/>
  <c r="M353" i="37"/>
  <c r="M360" i="37"/>
  <c r="M316" i="37"/>
  <c r="M291" i="37"/>
  <c r="M284" i="37"/>
  <c r="M309" i="37"/>
  <c r="M297" i="37"/>
  <c r="M272" i="37"/>
  <c r="M366" i="37"/>
  <c r="M350" i="37"/>
  <c r="M267" i="37"/>
  <c r="M327" i="37"/>
  <c r="M276" i="37"/>
  <c r="M292" i="37"/>
  <c r="M315" i="37"/>
  <c r="M365" i="37"/>
  <c r="M321" i="37"/>
  <c r="M296" i="37"/>
  <c r="M299" i="37"/>
  <c r="M312" i="37"/>
  <c r="M362" i="37"/>
  <c r="M268" i="37"/>
  <c r="M275" i="37"/>
  <c r="M355" i="37"/>
  <c r="M283" i="37"/>
  <c r="M273" i="37"/>
  <c r="M301" i="37"/>
  <c r="M277" i="37"/>
  <c r="M308" i="37"/>
  <c r="M279" i="37"/>
  <c r="M339" i="37"/>
  <c r="M342" i="37"/>
  <c r="M334" i="37"/>
  <c r="M322" i="37"/>
  <c r="M310" i="37"/>
  <c r="M298" i="37"/>
  <c r="M286" i="37"/>
  <c r="M278" i="37"/>
  <c r="M346" i="37"/>
  <c r="M326" i="37"/>
  <c r="M318" i="37"/>
  <c r="M302" i="37"/>
  <c r="M282" i="37"/>
  <c r="M288" i="37"/>
  <c r="M295" i="37"/>
  <c r="M337" i="37"/>
  <c r="M352" i="37"/>
  <c r="M332" i="37"/>
  <c r="M307" i="37"/>
  <c r="M287" i="37"/>
  <c r="M338" i="37"/>
  <c r="M330" i="37"/>
  <c r="M314" i="37"/>
  <c r="M306" i="37"/>
  <c r="M294" i="37"/>
  <c r="M290" i="37"/>
  <c r="M274" i="37"/>
  <c r="M354" i="37"/>
  <c r="M358" i="37"/>
  <c r="M344" i="37"/>
  <c r="M269" i="37"/>
  <c r="M270" i="37"/>
  <c r="L479" i="37"/>
  <c r="L539" i="37"/>
  <c r="L475" i="37"/>
  <c r="L473" i="37"/>
  <c r="L478" i="37"/>
  <c r="L516" i="37"/>
  <c r="M435" i="37"/>
  <c r="M443" i="37"/>
  <c r="M463" i="37"/>
  <c r="M437" i="37"/>
  <c r="M449" i="37"/>
  <c r="M467" i="37"/>
  <c r="M460" i="37"/>
  <c r="M459" i="37"/>
  <c r="M439" i="37"/>
  <c r="M461" i="37"/>
  <c r="M445" i="37"/>
  <c r="M384" i="37"/>
  <c r="M447" i="37"/>
  <c r="M431" i="37"/>
  <c r="M377" i="37"/>
  <c r="M385" i="37"/>
  <c r="M393" i="37"/>
  <c r="M401" i="37"/>
  <c r="M378" i="37"/>
  <c r="M394" i="37"/>
  <c r="M408" i="37"/>
  <c r="M416" i="37"/>
  <c r="M388" i="37"/>
  <c r="M415" i="37"/>
  <c r="M424" i="37"/>
  <c r="M432" i="37"/>
  <c r="M417" i="37"/>
  <c r="M455" i="37"/>
  <c r="M457" i="37"/>
  <c r="M454" i="37"/>
  <c r="M456" i="37"/>
  <c r="M373" i="37"/>
  <c r="M383" i="37"/>
  <c r="M395" i="37"/>
  <c r="M405" i="37"/>
  <c r="M390" i="37"/>
  <c r="M410" i="37"/>
  <c r="M420" i="37"/>
  <c r="M411" i="37"/>
  <c r="M426" i="37"/>
  <c r="M434" i="37"/>
  <c r="M446" i="37"/>
  <c r="M425" i="37"/>
  <c r="M423" i="37"/>
  <c r="M451" i="37"/>
  <c r="M453" i="37"/>
  <c r="M427" i="37"/>
  <c r="M444" i="37"/>
  <c r="M381" i="37"/>
  <c r="M397" i="37"/>
  <c r="M382" i="37"/>
  <c r="M406" i="37"/>
  <c r="M422" i="37"/>
  <c r="M376" i="37"/>
  <c r="M413" i="37"/>
  <c r="M387" i="37"/>
  <c r="M399" i="37"/>
  <c r="M386" i="37"/>
  <c r="M412" i="37"/>
  <c r="M404" i="37"/>
  <c r="M392" i="37"/>
  <c r="M409" i="37"/>
  <c r="M380" i="37"/>
  <c r="M466" i="37"/>
  <c r="M389" i="37"/>
  <c r="M398" i="37"/>
  <c r="M407" i="37"/>
  <c r="M450" i="37"/>
  <c r="M465" i="37"/>
  <c r="M433" i="37"/>
  <c r="M400" i="37"/>
  <c r="M396" i="37"/>
  <c r="M391" i="37"/>
  <c r="M402" i="37"/>
  <c r="M419" i="37"/>
  <c r="M458" i="37"/>
  <c r="M464" i="37"/>
  <c r="M440" i="37"/>
  <c r="M438" i="37"/>
  <c r="M421" i="37"/>
  <c r="M441" i="37"/>
  <c r="M379" i="37"/>
  <c r="M418" i="37"/>
  <c r="M429" i="37"/>
  <c r="M436" i="37"/>
  <c r="M468" i="37"/>
  <c r="M430" i="37"/>
  <c r="M442" i="37"/>
  <c r="M375" i="37"/>
  <c r="M452" i="37"/>
  <c r="M403" i="37"/>
  <c r="M428" i="37"/>
  <c r="M374" i="37"/>
  <c r="M462" i="37"/>
  <c r="M448" i="37"/>
  <c r="M414" i="37"/>
  <c r="M372" i="37"/>
  <c r="M369" i="37"/>
  <c r="M370" i="37"/>
  <c r="M371" i="37"/>
  <c r="L472" i="37"/>
  <c r="L471" i="37"/>
  <c r="L474" i="37"/>
  <c r="L476" i="37"/>
  <c r="L477" i="37"/>
  <c r="C9" i="22"/>
  <c r="B9" i="22"/>
  <c r="K96" i="31"/>
  <c r="K93" i="31"/>
  <c r="L63" i="31"/>
  <c r="K94" i="31"/>
  <c r="K95" i="31"/>
  <c r="K92" i="31"/>
  <c r="L65" i="31"/>
  <c r="G2253" i="22"/>
  <c r="M2253" i="22"/>
  <c r="N13" i="22"/>
  <c r="T20" i="34" s="1"/>
  <c r="N12" i="22"/>
  <c r="T19" i="34" s="1"/>
  <c r="N10" i="22"/>
  <c r="T17" i="34" s="1"/>
  <c r="N11" i="22"/>
  <c r="T18" i="34" s="1"/>
  <c r="N9" i="22"/>
  <c r="T16" i="34" s="1"/>
  <c r="N14" i="22"/>
  <c r="Q12" i="22"/>
  <c r="S19" i="34" s="1"/>
  <c r="Q9" i="22"/>
  <c r="S16" i="34" s="1"/>
  <c r="Q11" i="22"/>
  <c r="S18" i="34" s="1"/>
  <c r="Q10" i="22"/>
  <c r="S17" i="34" s="1"/>
  <c r="Q13" i="22"/>
  <c r="S20" i="34" s="1"/>
  <c r="Q14" i="22"/>
  <c r="O12" i="24"/>
  <c r="L30" i="18"/>
  <c r="L32" i="18" s="1"/>
  <c r="L80" i="31"/>
  <c r="L77" i="31"/>
  <c r="L79" i="31"/>
  <c r="L78" i="31"/>
  <c r="P98" i="16" s="1"/>
  <c r="L81" i="31"/>
  <c r="N12" i="25"/>
  <c r="N49" i="31"/>
  <c r="M9" i="25"/>
  <c r="N46" i="37" s="1"/>
  <c r="M46" i="31"/>
  <c r="P97" i="16"/>
  <c r="L88" i="31"/>
  <c r="L86" i="31"/>
  <c r="L87" i="31"/>
  <c r="L84" i="31"/>
  <c r="L85" i="31"/>
  <c r="N56" i="31"/>
  <c r="O12" i="26"/>
  <c r="M53" i="31"/>
  <c r="N9" i="26"/>
  <c r="N53" i="37" s="1"/>
  <c r="O99" i="16"/>
  <c r="O100" i="16" s="1"/>
  <c r="O101" i="16" s="1"/>
  <c r="O102" i="16" s="1"/>
  <c r="M114" i="24"/>
  <c r="L42" i="31"/>
  <c r="O17" i="24"/>
  <c r="N17" i="37" s="1"/>
  <c r="M17" i="31"/>
  <c r="O13" i="24"/>
  <c r="N13" i="37" s="1"/>
  <c r="M13" i="31"/>
  <c r="O19" i="24"/>
  <c r="N19" i="37" s="1"/>
  <c r="M19" i="31"/>
  <c r="O20" i="24"/>
  <c r="N20" i="37" s="1"/>
  <c r="M20" i="31"/>
  <c r="O21" i="24"/>
  <c r="N21" i="37" s="1"/>
  <c r="M21" i="31"/>
  <c r="N69" i="24"/>
  <c r="N91" i="24"/>
  <c r="M42" i="37" s="1"/>
  <c r="O23" i="24"/>
  <c r="P11" i="24"/>
  <c r="B10" i="22"/>
  <c r="C10" i="22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69" i="14"/>
  <c r="N609" i="12"/>
  <c r="N610" i="12"/>
  <c r="N611" i="12"/>
  <c r="N612" i="12"/>
  <c r="N613" i="12"/>
  <c r="N614" i="12"/>
  <c r="N615" i="12"/>
  <c r="N616" i="12"/>
  <c r="N617" i="12"/>
  <c r="N618" i="12"/>
  <c r="N619" i="12"/>
  <c r="N620" i="12"/>
  <c r="N621" i="12"/>
  <c r="N622" i="12"/>
  <c r="N623" i="12"/>
  <c r="N607" i="12"/>
  <c r="N608" i="12"/>
  <c r="N606" i="12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AH7" i="14"/>
  <c r="AI7" i="14"/>
  <c r="AJ7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44" i="7"/>
  <c r="B45" i="7"/>
  <c r="B46" i="7"/>
  <c r="B48" i="7"/>
  <c r="B41" i="7"/>
  <c r="M61" i="31" l="1"/>
  <c r="P9" i="24"/>
  <c r="O9" i="37" s="1"/>
  <c r="N9" i="31"/>
  <c r="M62" i="31"/>
  <c r="Q97" i="16" s="1"/>
  <c r="N62" i="37"/>
  <c r="N68" i="37"/>
  <c r="M63" i="31"/>
  <c r="N23" i="31"/>
  <c r="N23" i="37"/>
  <c r="N64" i="37"/>
  <c r="M157" i="37"/>
  <c r="M567" i="37" s="1"/>
  <c r="M125" i="37"/>
  <c r="M535" i="37" s="1"/>
  <c r="M86" i="37"/>
  <c r="M496" i="37" s="1"/>
  <c r="M103" i="37"/>
  <c r="M513" i="37" s="1"/>
  <c r="M118" i="37"/>
  <c r="M528" i="37" s="1"/>
  <c r="M150" i="37"/>
  <c r="M560" i="37" s="1"/>
  <c r="M106" i="37"/>
  <c r="M516" i="37" s="1"/>
  <c r="M128" i="37"/>
  <c r="M538" i="37" s="1"/>
  <c r="M84" i="37"/>
  <c r="M494" i="37" s="1"/>
  <c r="M116" i="37"/>
  <c r="M526" i="37" s="1"/>
  <c r="M159" i="37"/>
  <c r="M569" i="37" s="1"/>
  <c r="M87" i="37"/>
  <c r="M497" i="37" s="1"/>
  <c r="M138" i="37"/>
  <c r="M548" i="37" s="1"/>
  <c r="M139" i="37"/>
  <c r="M549" i="37" s="1"/>
  <c r="M117" i="37"/>
  <c r="M527" i="37" s="1"/>
  <c r="M156" i="37"/>
  <c r="M566" i="37" s="1"/>
  <c r="M104" i="37"/>
  <c r="M514" i="37" s="1"/>
  <c r="M77" i="37"/>
  <c r="M487" i="37" s="1"/>
  <c r="M76" i="37"/>
  <c r="M486" i="37" s="1"/>
  <c r="M137" i="37"/>
  <c r="M547" i="37" s="1"/>
  <c r="M99" i="37"/>
  <c r="M509" i="37" s="1"/>
  <c r="M141" i="37"/>
  <c r="M551" i="37" s="1"/>
  <c r="M79" i="37"/>
  <c r="M489" i="37" s="1"/>
  <c r="M93" i="37"/>
  <c r="M503" i="37" s="1"/>
  <c r="M73" i="37"/>
  <c r="M483" i="37" s="1"/>
  <c r="M112" i="37"/>
  <c r="M522" i="37" s="1"/>
  <c r="M121" i="37"/>
  <c r="M531" i="37" s="1"/>
  <c r="M148" i="37"/>
  <c r="M558" i="37" s="1"/>
  <c r="M74" i="37"/>
  <c r="M484" i="37" s="1"/>
  <c r="M109" i="37"/>
  <c r="M519" i="37" s="1"/>
  <c r="M140" i="37"/>
  <c r="M550" i="37" s="1"/>
  <c r="M78" i="37"/>
  <c r="M95" i="37"/>
  <c r="M505" i="37" s="1"/>
  <c r="M142" i="37"/>
  <c r="M552" i="37" s="1"/>
  <c r="M88" i="37"/>
  <c r="M498" i="37" s="1"/>
  <c r="M120" i="37"/>
  <c r="M530" i="37" s="1"/>
  <c r="M90" i="37"/>
  <c r="M500" i="37" s="1"/>
  <c r="M155" i="37"/>
  <c r="M565" i="37" s="1"/>
  <c r="M124" i="37"/>
  <c r="M534" i="37" s="1"/>
  <c r="M71" i="37"/>
  <c r="M149" i="37"/>
  <c r="M559" i="37" s="1"/>
  <c r="M89" i="37"/>
  <c r="M499" i="37" s="1"/>
  <c r="M94" i="37"/>
  <c r="M504" i="37" s="1"/>
  <c r="M110" i="37"/>
  <c r="M520" i="37" s="1"/>
  <c r="M126" i="37"/>
  <c r="M536" i="37" s="1"/>
  <c r="M158" i="37"/>
  <c r="M568" i="37" s="1"/>
  <c r="M72" i="37"/>
  <c r="M482" i="37" s="1"/>
  <c r="M83" i="37"/>
  <c r="M493" i="37" s="1"/>
  <c r="M96" i="37"/>
  <c r="M506" i="37" s="1"/>
  <c r="M136" i="37"/>
  <c r="M546" i="37" s="1"/>
  <c r="M153" i="37"/>
  <c r="M563" i="37" s="1"/>
  <c r="M75" i="37"/>
  <c r="M485" i="37" s="1"/>
  <c r="M132" i="37"/>
  <c r="M542" i="37" s="1"/>
  <c r="M143" i="37"/>
  <c r="M553" i="37" s="1"/>
  <c r="M129" i="37"/>
  <c r="M539" i="37" s="1"/>
  <c r="M107" i="37"/>
  <c r="M517" i="37" s="1"/>
  <c r="M154" i="37"/>
  <c r="M564" i="37" s="1"/>
  <c r="M123" i="37"/>
  <c r="M533" i="37" s="1"/>
  <c r="M92" i="37"/>
  <c r="M502" i="37" s="1"/>
  <c r="M151" i="37"/>
  <c r="M561" i="37" s="1"/>
  <c r="M135" i="37"/>
  <c r="M545" i="37" s="1"/>
  <c r="M130" i="37"/>
  <c r="M540" i="37" s="1"/>
  <c r="M91" i="37"/>
  <c r="M501" i="37" s="1"/>
  <c r="M146" i="37"/>
  <c r="M556" i="37" s="1"/>
  <c r="M147" i="37"/>
  <c r="M557" i="37" s="1"/>
  <c r="M70" i="37"/>
  <c r="M480" i="37" s="1"/>
  <c r="M134" i="37"/>
  <c r="M544" i="37" s="1"/>
  <c r="M80" i="37"/>
  <c r="M490" i="37" s="1"/>
  <c r="M97" i="37"/>
  <c r="M507" i="37" s="1"/>
  <c r="M144" i="37"/>
  <c r="M554" i="37" s="1"/>
  <c r="M101" i="37"/>
  <c r="M511" i="37" s="1"/>
  <c r="M127" i="37"/>
  <c r="M537" i="37" s="1"/>
  <c r="M100" i="37"/>
  <c r="M510" i="37" s="1"/>
  <c r="M102" i="37"/>
  <c r="M512" i="37" s="1"/>
  <c r="M119" i="37"/>
  <c r="M529" i="37" s="1"/>
  <c r="M131" i="37"/>
  <c r="M541" i="37" s="1"/>
  <c r="M160" i="37"/>
  <c r="M570" i="37" s="1"/>
  <c r="M82" i="37"/>
  <c r="M492" i="37" s="1"/>
  <c r="M133" i="37"/>
  <c r="M543" i="37" s="1"/>
  <c r="M108" i="37"/>
  <c r="M518" i="37" s="1"/>
  <c r="M113" i="37"/>
  <c r="M523" i="37" s="1"/>
  <c r="M105" i="37"/>
  <c r="M515" i="37" s="1"/>
  <c r="M152" i="37"/>
  <c r="M562" i="37" s="1"/>
  <c r="M85" i="37"/>
  <c r="M495" i="37" s="1"/>
  <c r="M111" i="37"/>
  <c r="M521" i="37" s="1"/>
  <c r="M122" i="37"/>
  <c r="M532" i="37" s="1"/>
  <c r="M145" i="37"/>
  <c r="M555" i="37" s="1"/>
  <c r="M81" i="37"/>
  <c r="M491" i="37" s="1"/>
  <c r="M98" i="37"/>
  <c r="M508" i="37" s="1"/>
  <c r="M115" i="37"/>
  <c r="M525" i="37" s="1"/>
  <c r="M114" i="37"/>
  <c r="M524" i="37" s="1"/>
  <c r="N12" i="31"/>
  <c r="N12" i="37"/>
  <c r="N142" i="37" s="1"/>
  <c r="N63" i="37"/>
  <c r="N66" i="37"/>
  <c r="N67" i="37"/>
  <c r="O11" i="31"/>
  <c r="O11" i="37"/>
  <c r="N65" i="37"/>
  <c r="N69" i="37"/>
  <c r="O49" i="31"/>
  <c r="O49" i="37"/>
  <c r="N365" i="37"/>
  <c r="N316" i="37"/>
  <c r="N295" i="37"/>
  <c r="N341" i="37"/>
  <c r="N324" i="37"/>
  <c r="N309" i="37"/>
  <c r="N284" i="37"/>
  <c r="N352" i="37"/>
  <c r="N362" i="37"/>
  <c r="N330" i="37"/>
  <c r="N340" i="37"/>
  <c r="N361" i="37"/>
  <c r="N357" i="37"/>
  <c r="N360" i="37"/>
  <c r="N335" i="37"/>
  <c r="N319" i="37"/>
  <c r="N337" i="37"/>
  <c r="N283" i="37"/>
  <c r="N305" i="37"/>
  <c r="N273" i="37"/>
  <c r="N296" i="37"/>
  <c r="N301" i="37"/>
  <c r="N317" i="37"/>
  <c r="N328" i="37"/>
  <c r="N292" i="37"/>
  <c r="N364" i="37"/>
  <c r="N363" i="37"/>
  <c r="N347" i="37"/>
  <c r="N356" i="37"/>
  <c r="N351" i="37"/>
  <c r="N332" i="37"/>
  <c r="N278" i="37"/>
  <c r="N304" i="37"/>
  <c r="N349" i="37"/>
  <c r="N345" i="37"/>
  <c r="N299" i="37"/>
  <c r="N353" i="37"/>
  <c r="N275" i="37"/>
  <c r="N285" i="37"/>
  <c r="N308" i="37"/>
  <c r="N288" i="37"/>
  <c r="N298" i="37"/>
  <c r="N307" i="37"/>
  <c r="N320" i="37"/>
  <c r="N331" i="37"/>
  <c r="N297" i="37"/>
  <c r="N327" i="37"/>
  <c r="N342" i="37"/>
  <c r="N355" i="37"/>
  <c r="N313" i="37"/>
  <c r="N303" i="37"/>
  <c r="N293" i="37"/>
  <c r="N315" i="37"/>
  <c r="N287" i="37"/>
  <c r="N343" i="37"/>
  <c r="N339" i="37"/>
  <c r="N336" i="37"/>
  <c r="N282" i="37"/>
  <c r="N354" i="37"/>
  <c r="N322" i="37"/>
  <c r="N274" i="37"/>
  <c r="N334" i="37"/>
  <c r="N329" i="37"/>
  <c r="N271" i="37"/>
  <c r="N325" i="37"/>
  <c r="N346" i="37"/>
  <c r="N321" i="37"/>
  <c r="N277" i="37"/>
  <c r="N311" i="37"/>
  <c r="N276" i="37"/>
  <c r="N323" i="37"/>
  <c r="N279" i="37"/>
  <c r="N366" i="37"/>
  <c r="N358" i="37"/>
  <c r="N326" i="37"/>
  <c r="N350" i="37"/>
  <c r="N286" i="37"/>
  <c r="N267" i="37"/>
  <c r="N280" i="37"/>
  <c r="N281" i="37"/>
  <c r="N348" i="37"/>
  <c r="N289" i="37"/>
  <c r="N310" i="37"/>
  <c r="N291" i="37"/>
  <c r="N344" i="37"/>
  <c r="N290" i="37"/>
  <c r="N302" i="37"/>
  <c r="N268" i="37"/>
  <c r="N314" i="37"/>
  <c r="N338" i="37"/>
  <c r="N300" i="37"/>
  <c r="N333" i="37"/>
  <c r="N312" i="37"/>
  <c r="N359" i="37"/>
  <c r="N294" i="37"/>
  <c r="N272" i="37"/>
  <c r="N306" i="37"/>
  <c r="N318" i="37"/>
  <c r="N270" i="37"/>
  <c r="N269" i="37"/>
  <c r="M471" i="37"/>
  <c r="M481" i="37"/>
  <c r="M478" i="37"/>
  <c r="M476" i="37"/>
  <c r="M475" i="37"/>
  <c r="M488" i="37"/>
  <c r="N422" i="37"/>
  <c r="N446" i="37"/>
  <c r="N430" i="37"/>
  <c r="N462" i="37"/>
  <c r="N458" i="37"/>
  <c r="N444" i="37"/>
  <c r="N454" i="37"/>
  <c r="N426" i="37"/>
  <c r="N406" i="37"/>
  <c r="N460" i="37"/>
  <c r="N465" i="37"/>
  <c r="N378" i="37"/>
  <c r="N386" i="37"/>
  <c r="N394" i="37"/>
  <c r="N402" i="37"/>
  <c r="N381" i="37"/>
  <c r="N397" i="37"/>
  <c r="N409" i="37"/>
  <c r="N417" i="37"/>
  <c r="N379" i="37"/>
  <c r="N395" i="37"/>
  <c r="N425" i="37"/>
  <c r="N433" i="37"/>
  <c r="N420" i="37"/>
  <c r="N442" i="37"/>
  <c r="N450" i="37"/>
  <c r="N434" i="37"/>
  <c r="N439" i="37"/>
  <c r="N376" i="37"/>
  <c r="N388" i="37"/>
  <c r="N398" i="37"/>
  <c r="N377" i="37"/>
  <c r="N401" i="37"/>
  <c r="N413" i="37"/>
  <c r="N375" i="37"/>
  <c r="N399" i="37"/>
  <c r="N429" i="37"/>
  <c r="N416" i="37"/>
  <c r="N410" i="37"/>
  <c r="N457" i="37"/>
  <c r="N449" i="37"/>
  <c r="N448" i="37"/>
  <c r="N440" i="37"/>
  <c r="N424" i="37"/>
  <c r="N435" i="37"/>
  <c r="N459" i="37"/>
  <c r="N451" i="37"/>
  <c r="N443" i="37"/>
  <c r="N380" i="37"/>
  <c r="N390" i="37"/>
  <c r="N400" i="37"/>
  <c r="N385" i="37"/>
  <c r="N405" i="37"/>
  <c r="N415" i="37"/>
  <c r="N383" i="37"/>
  <c r="N403" i="37"/>
  <c r="N431" i="37"/>
  <c r="N447" i="37"/>
  <c r="N467" i="37"/>
  <c r="N436" i="37"/>
  <c r="N382" i="37"/>
  <c r="N404" i="37"/>
  <c r="N407" i="37"/>
  <c r="N387" i="37"/>
  <c r="N408" i="37"/>
  <c r="N418" i="37"/>
  <c r="N441" i="37"/>
  <c r="N432" i="37"/>
  <c r="N414" i="37"/>
  <c r="N384" i="37"/>
  <c r="N373" i="37"/>
  <c r="N411" i="37"/>
  <c r="N391" i="37"/>
  <c r="N412" i="37"/>
  <c r="N396" i="37"/>
  <c r="N421" i="37"/>
  <c r="N461" i="37"/>
  <c r="N445" i="37"/>
  <c r="N468" i="37"/>
  <c r="N428" i="37"/>
  <c r="N438" i="37"/>
  <c r="N374" i="37"/>
  <c r="N427" i="37"/>
  <c r="N455" i="37"/>
  <c r="N392" i="37"/>
  <c r="N466" i="37"/>
  <c r="N389" i="37"/>
  <c r="N423" i="37"/>
  <c r="N437" i="37"/>
  <c r="N453" i="37"/>
  <c r="N456" i="37"/>
  <c r="N393" i="37"/>
  <c r="N463" i="37"/>
  <c r="N464" i="37"/>
  <c r="N419" i="37"/>
  <c r="N452" i="37"/>
  <c r="N369" i="37"/>
  <c r="N372" i="37"/>
  <c r="N370" i="37"/>
  <c r="N371" i="37"/>
  <c r="M474" i="37"/>
  <c r="M477" i="37"/>
  <c r="M473" i="37"/>
  <c r="O56" i="31"/>
  <c r="O56" i="37"/>
  <c r="M472" i="37"/>
  <c r="M479" i="37"/>
  <c r="L92" i="31"/>
  <c r="L95" i="31"/>
  <c r="L96" i="31"/>
  <c r="L94" i="31"/>
  <c r="L93" i="31"/>
  <c r="K27" i="24"/>
  <c r="M65" i="31"/>
  <c r="N61" i="31"/>
  <c r="M64" i="31"/>
  <c r="Q46" i="7"/>
  <c r="R46" i="7"/>
  <c r="P46" i="7"/>
  <c r="S46" i="7"/>
  <c r="P45" i="7"/>
  <c r="Q45" i="7"/>
  <c r="R45" i="7"/>
  <c r="P48" i="7"/>
  <c r="Q48" i="7"/>
  <c r="R48" i="7"/>
  <c r="P41" i="7"/>
  <c r="Q41" i="7"/>
  <c r="R41" i="7"/>
  <c r="P44" i="7"/>
  <c r="Q44" i="7"/>
  <c r="R44" i="7"/>
  <c r="P12" i="24"/>
  <c r="O9" i="31"/>
  <c r="K89" i="18"/>
  <c r="M30" i="18"/>
  <c r="N9" i="25"/>
  <c r="N46" i="31"/>
  <c r="M81" i="31"/>
  <c r="M78" i="31"/>
  <c r="Q98" i="16" s="1"/>
  <c r="M77" i="31"/>
  <c r="M79" i="31"/>
  <c r="M80" i="31"/>
  <c r="N53" i="31"/>
  <c r="O9" i="26"/>
  <c r="M84" i="31"/>
  <c r="M86" i="31"/>
  <c r="M87" i="31"/>
  <c r="M88" i="31"/>
  <c r="M85" i="31"/>
  <c r="P99" i="16"/>
  <c r="P100" i="16" s="1"/>
  <c r="P101" i="16" s="1"/>
  <c r="P102" i="16" s="1"/>
  <c r="N114" i="24"/>
  <c r="M42" i="31"/>
  <c r="P20" i="24"/>
  <c r="N20" i="31"/>
  <c r="P17" i="24"/>
  <c r="N17" i="31"/>
  <c r="P13" i="24"/>
  <c r="N13" i="31"/>
  <c r="P21" i="24"/>
  <c r="N21" i="31"/>
  <c r="P19" i="24"/>
  <c r="N19" i="31"/>
  <c r="BB94" i="14"/>
  <c r="AX94" i="14"/>
  <c r="AT94" i="14"/>
  <c r="AP94" i="14"/>
  <c r="AL94" i="14"/>
  <c r="AH94" i="14"/>
  <c r="AD94" i="14"/>
  <c r="Z94" i="14"/>
  <c r="V94" i="14"/>
  <c r="R94" i="14"/>
  <c r="AY94" i="14"/>
  <c r="AU94" i="14"/>
  <c r="AQ94" i="14"/>
  <c r="AM94" i="14"/>
  <c r="AI94" i="14"/>
  <c r="AE94" i="14"/>
  <c r="AA94" i="14"/>
  <c r="W94" i="14"/>
  <c r="S94" i="14"/>
  <c r="O94" i="14"/>
  <c r="AZ94" i="14"/>
  <c r="AV94" i="14"/>
  <c r="AR94" i="14"/>
  <c r="AN94" i="14"/>
  <c r="AJ94" i="14"/>
  <c r="AF94" i="14"/>
  <c r="AB94" i="14"/>
  <c r="X94" i="14"/>
  <c r="T94" i="14"/>
  <c r="P94" i="14"/>
  <c r="BA94" i="14"/>
  <c r="AW94" i="14"/>
  <c r="AS94" i="14"/>
  <c r="AO94" i="14"/>
  <c r="AK94" i="14"/>
  <c r="AG94" i="14"/>
  <c r="AC94" i="14"/>
  <c r="Y94" i="14"/>
  <c r="U94" i="14"/>
  <c r="Q94" i="14"/>
  <c r="O69" i="24"/>
  <c r="O91" i="24"/>
  <c r="N42" i="37" s="1"/>
  <c r="P23" i="24"/>
  <c r="B11" i="22"/>
  <c r="C11" i="22"/>
  <c r="N624" i="12"/>
  <c r="N62" i="31" l="1"/>
  <c r="N80" i="37"/>
  <c r="N102" i="37"/>
  <c r="N512" i="37" s="1"/>
  <c r="N111" i="37"/>
  <c r="N521" i="37" s="1"/>
  <c r="N104" i="37"/>
  <c r="N514" i="37" s="1"/>
  <c r="N115" i="37"/>
  <c r="N525" i="37" s="1"/>
  <c r="N95" i="37"/>
  <c r="N505" i="37" s="1"/>
  <c r="N158" i="37"/>
  <c r="N107" i="37"/>
  <c r="N156" i="37"/>
  <c r="N566" i="37" s="1"/>
  <c r="N141" i="37"/>
  <c r="N551" i="37" s="1"/>
  <c r="N92" i="37"/>
  <c r="N502" i="37" s="1"/>
  <c r="N157" i="37"/>
  <c r="N567" i="37" s="1"/>
  <c r="N123" i="37"/>
  <c r="N72" i="37"/>
  <c r="N482" i="37" s="1"/>
  <c r="N148" i="37"/>
  <c r="N558" i="37" s="1"/>
  <c r="N93" i="37"/>
  <c r="N503" i="37" s="1"/>
  <c r="N127" i="37"/>
  <c r="N537" i="37" s="1"/>
  <c r="N159" i="37"/>
  <c r="N96" i="37"/>
  <c r="N506" i="37" s="1"/>
  <c r="N145" i="37"/>
  <c r="N555" i="37" s="1"/>
  <c r="N125" i="37"/>
  <c r="N535" i="37" s="1"/>
  <c r="N100" i="37"/>
  <c r="N510" i="37" s="1"/>
  <c r="N98" i="37"/>
  <c r="N508" i="37" s="1"/>
  <c r="N130" i="37"/>
  <c r="N540" i="37" s="1"/>
  <c r="N140" i="37"/>
  <c r="N550" i="37" s="1"/>
  <c r="N110" i="37"/>
  <c r="N520" i="37" s="1"/>
  <c r="N79" i="37"/>
  <c r="N489" i="37" s="1"/>
  <c r="N113" i="37"/>
  <c r="N523" i="37" s="1"/>
  <c r="N91" i="37"/>
  <c r="N501" i="37" s="1"/>
  <c r="N138" i="37"/>
  <c r="N548" i="37" s="1"/>
  <c r="N116" i="37"/>
  <c r="N526" i="37" s="1"/>
  <c r="N147" i="37"/>
  <c r="N557" i="37" s="1"/>
  <c r="N88" i="37"/>
  <c r="N498" i="37" s="1"/>
  <c r="N160" i="37"/>
  <c r="N570" i="37" s="1"/>
  <c r="N120" i="37"/>
  <c r="N530" i="37" s="1"/>
  <c r="N103" i="37"/>
  <c r="N513" i="37" s="1"/>
  <c r="N71" i="37"/>
  <c r="N481" i="37" s="1"/>
  <c r="N146" i="37"/>
  <c r="N556" i="37" s="1"/>
  <c r="O17" i="31"/>
  <c r="O17" i="37"/>
  <c r="N136" i="37"/>
  <c r="N546" i="37" s="1"/>
  <c r="N121" i="37"/>
  <c r="N531" i="37" s="1"/>
  <c r="N150" i="37"/>
  <c r="N560" i="37" s="1"/>
  <c r="N109" i="37"/>
  <c r="N519" i="37" s="1"/>
  <c r="N129" i="37"/>
  <c r="N539" i="37" s="1"/>
  <c r="N134" i="37"/>
  <c r="N544" i="37" s="1"/>
  <c r="N131" i="37"/>
  <c r="N541" i="37" s="1"/>
  <c r="O61" i="37"/>
  <c r="N124" i="37"/>
  <c r="N534" i="37" s="1"/>
  <c r="N153" i="37"/>
  <c r="N563" i="37" s="1"/>
  <c r="N117" i="37"/>
  <c r="N527" i="37" s="1"/>
  <c r="N152" i="37"/>
  <c r="N562" i="37" s="1"/>
  <c r="N86" i="37"/>
  <c r="N496" i="37" s="1"/>
  <c r="N112" i="37"/>
  <c r="N522" i="37" s="1"/>
  <c r="N82" i="37"/>
  <c r="N492" i="37" s="1"/>
  <c r="N70" i="37"/>
  <c r="N480" i="37" s="1"/>
  <c r="N97" i="37"/>
  <c r="N507" i="37" s="1"/>
  <c r="N77" i="37"/>
  <c r="N487" i="37" s="1"/>
  <c r="N132" i="37"/>
  <c r="N542" i="37" s="1"/>
  <c r="N149" i="37"/>
  <c r="N559" i="37" s="1"/>
  <c r="N83" i="37"/>
  <c r="N493" i="37" s="1"/>
  <c r="N139" i="37"/>
  <c r="N549" i="37" s="1"/>
  <c r="N85" i="37"/>
  <c r="N495" i="37" s="1"/>
  <c r="N75" i="37"/>
  <c r="N485" i="37" s="1"/>
  <c r="N74" i="37"/>
  <c r="N484" i="37" s="1"/>
  <c r="O62" i="37"/>
  <c r="O66" i="37"/>
  <c r="O67" i="37"/>
  <c r="N76" i="37"/>
  <c r="N486" i="37" s="1"/>
  <c r="O64" i="37"/>
  <c r="O65" i="37"/>
  <c r="O21" i="31"/>
  <c r="O21" i="37"/>
  <c r="O12" i="31"/>
  <c r="O62" i="31" s="1"/>
  <c r="S97" i="16" s="1"/>
  <c r="O12" i="37"/>
  <c r="N135" i="37"/>
  <c r="N545" i="37" s="1"/>
  <c r="N122" i="37"/>
  <c r="N532" i="37" s="1"/>
  <c r="N155" i="37"/>
  <c r="N151" i="37"/>
  <c r="N561" i="37" s="1"/>
  <c r="N73" i="37"/>
  <c r="N483" i="37" s="1"/>
  <c r="N143" i="37"/>
  <c r="N553" i="37" s="1"/>
  <c r="N84" i="37"/>
  <c r="N494" i="37" s="1"/>
  <c r="N105" i="37"/>
  <c r="N515" i="37" s="1"/>
  <c r="N99" i="37"/>
  <c r="N509" i="37" s="1"/>
  <c r="N63" i="31"/>
  <c r="O23" i="31"/>
  <c r="O23" i="37"/>
  <c r="O19" i="31"/>
  <c r="O19" i="37"/>
  <c r="O13" i="31"/>
  <c r="O65" i="31" s="1"/>
  <c r="O13" i="37"/>
  <c r="O20" i="31"/>
  <c r="O20" i="37"/>
  <c r="N78" i="37"/>
  <c r="N488" i="37" s="1"/>
  <c r="N87" i="37"/>
  <c r="N497" i="37" s="1"/>
  <c r="N90" i="37"/>
  <c r="N500" i="37" s="1"/>
  <c r="N133" i="37"/>
  <c r="N543" i="37" s="1"/>
  <c r="N114" i="37"/>
  <c r="N524" i="37" s="1"/>
  <c r="N101" i="37"/>
  <c r="N511" i="37" s="1"/>
  <c r="N137" i="37"/>
  <c r="N547" i="37" s="1"/>
  <c r="N118" i="37"/>
  <c r="N528" i="37" s="1"/>
  <c r="N128" i="37"/>
  <c r="N538" i="37" s="1"/>
  <c r="N94" i="37"/>
  <c r="N504" i="37" s="1"/>
  <c r="N108" i="37"/>
  <c r="N518" i="37" s="1"/>
  <c r="N81" i="37"/>
  <c r="N491" i="37" s="1"/>
  <c r="N89" i="37"/>
  <c r="N499" i="37" s="1"/>
  <c r="N106" i="37"/>
  <c r="N516" i="37" s="1"/>
  <c r="N119" i="37"/>
  <c r="N529" i="37" s="1"/>
  <c r="N154" i="37"/>
  <c r="N564" i="37" s="1"/>
  <c r="N126" i="37"/>
  <c r="N536" i="37" s="1"/>
  <c r="O104" i="37"/>
  <c r="O69" i="37"/>
  <c r="O63" i="37"/>
  <c r="O68" i="37"/>
  <c r="N144" i="37"/>
  <c r="N554" i="37" s="1"/>
  <c r="O46" i="31"/>
  <c r="O77" i="31" s="1"/>
  <c r="O46" i="37"/>
  <c r="N474" i="37"/>
  <c r="N568" i="37"/>
  <c r="N517" i="37"/>
  <c r="N490" i="37"/>
  <c r="N565" i="37"/>
  <c r="N533" i="37"/>
  <c r="N473" i="37"/>
  <c r="N479" i="37"/>
  <c r="N476" i="37"/>
  <c r="N552" i="37"/>
  <c r="N471" i="37"/>
  <c r="N478" i="37"/>
  <c r="O53" i="31"/>
  <c r="O85" i="31" s="1"/>
  <c r="O53" i="37"/>
  <c r="N472" i="37"/>
  <c r="N475" i="37"/>
  <c r="N569" i="37"/>
  <c r="N477" i="37"/>
  <c r="M92" i="31"/>
  <c r="M94" i="31"/>
  <c r="M96" i="31"/>
  <c r="M95" i="31"/>
  <c r="N64" i="31"/>
  <c r="M93" i="31"/>
  <c r="O61" i="31"/>
  <c r="N65" i="31"/>
  <c r="Q49" i="7"/>
  <c r="D73" i="8" s="1"/>
  <c r="D100" i="8" s="1"/>
  <c r="P49" i="7"/>
  <c r="C73" i="8" s="1"/>
  <c r="C100" i="8" s="1"/>
  <c r="R49" i="7"/>
  <c r="E73" i="8" s="1"/>
  <c r="E100" i="8" s="1"/>
  <c r="L89" i="18"/>
  <c r="N30" i="18"/>
  <c r="E9" i="19"/>
  <c r="N79" i="31"/>
  <c r="N80" i="31"/>
  <c r="N81" i="31"/>
  <c r="N77" i="31"/>
  <c r="N78" i="31"/>
  <c r="R98" i="16" s="1"/>
  <c r="R97" i="16"/>
  <c r="N84" i="31"/>
  <c r="N86" i="31"/>
  <c r="N88" i="31"/>
  <c r="N87" i="31"/>
  <c r="N85" i="31"/>
  <c r="Q99" i="16"/>
  <c r="Q100" i="16" s="1"/>
  <c r="Q101" i="16" s="1"/>
  <c r="Q102" i="16" s="1"/>
  <c r="O114" i="24"/>
  <c r="N42" i="31"/>
  <c r="P69" i="24"/>
  <c r="P91" i="24"/>
  <c r="O42" i="37" s="1"/>
  <c r="C12" i="22"/>
  <c r="B12" i="22"/>
  <c r="E94" i="19"/>
  <c r="E55" i="19"/>
  <c r="E54" i="19"/>
  <c r="E16" i="19"/>
  <c r="E15" i="19"/>
  <c r="F4" i="19"/>
  <c r="G4" i="19" s="1"/>
  <c r="H4" i="19" s="1"/>
  <c r="I4" i="19" s="1"/>
  <c r="J4" i="19" s="1"/>
  <c r="K4" i="19" s="1"/>
  <c r="L4" i="19" s="1"/>
  <c r="M4" i="19" s="1"/>
  <c r="N4" i="19" s="1"/>
  <c r="O4" i="19" s="1"/>
  <c r="O63" i="31" l="1"/>
  <c r="O81" i="31"/>
  <c r="O78" i="31"/>
  <c r="S98" i="16" s="1"/>
  <c r="O86" i="31"/>
  <c r="O88" i="31"/>
  <c r="O80" i="31"/>
  <c r="O79" i="31"/>
  <c r="O156" i="37"/>
  <c r="O101" i="37"/>
  <c r="O144" i="37"/>
  <c r="O112" i="37"/>
  <c r="O89" i="37"/>
  <c r="O94" i="37"/>
  <c r="O119" i="37"/>
  <c r="O64" i="31"/>
  <c r="O90" i="37"/>
  <c r="O135" i="37"/>
  <c r="O137" i="37"/>
  <c r="O124" i="37"/>
  <c r="O70" i="37"/>
  <c r="O109" i="37"/>
  <c r="O105" i="37"/>
  <c r="O110" i="37"/>
  <c r="O154" i="37"/>
  <c r="O155" i="37"/>
  <c r="O150" i="37"/>
  <c r="O71" i="37"/>
  <c r="O159" i="37"/>
  <c r="O136" i="37"/>
  <c r="O140" i="37"/>
  <c r="O123" i="37"/>
  <c r="O149" i="37"/>
  <c r="O81" i="37"/>
  <c r="O157" i="37"/>
  <c r="O95" i="37"/>
  <c r="O107" i="37"/>
  <c r="O91" i="37"/>
  <c r="O116" i="37"/>
  <c r="O115" i="37"/>
  <c r="O76" i="37"/>
  <c r="O80" i="37"/>
  <c r="O114" i="37"/>
  <c r="O83" i="37"/>
  <c r="O111" i="37"/>
  <c r="O131" i="37"/>
  <c r="O125" i="37"/>
  <c r="O93" i="37"/>
  <c r="O128" i="37"/>
  <c r="O84" i="37"/>
  <c r="O141" i="37"/>
  <c r="O78" i="37"/>
  <c r="O82" i="37"/>
  <c r="O86" i="37"/>
  <c r="O138" i="37"/>
  <c r="O102" i="37"/>
  <c r="O139" i="37"/>
  <c r="O120" i="37"/>
  <c r="O118" i="37"/>
  <c r="O147" i="37"/>
  <c r="O160" i="37"/>
  <c r="O152" i="37"/>
  <c r="O100" i="37"/>
  <c r="O143" i="37"/>
  <c r="O98" i="37"/>
  <c r="O73" i="37"/>
  <c r="O97" i="37"/>
  <c r="O92" i="37"/>
  <c r="O145" i="37"/>
  <c r="O148" i="37"/>
  <c r="O74" i="37"/>
  <c r="O127" i="37"/>
  <c r="O103" i="37"/>
  <c r="O129" i="37"/>
  <c r="O96" i="37"/>
  <c r="O126" i="37"/>
  <c r="O130" i="37"/>
  <c r="O75" i="37"/>
  <c r="O79" i="37"/>
  <c r="O99" i="37"/>
  <c r="O113" i="37"/>
  <c r="O88" i="37"/>
  <c r="O108" i="37"/>
  <c r="O151" i="37"/>
  <c r="O106" i="37"/>
  <c r="O72" i="37"/>
  <c r="O134" i="37"/>
  <c r="O132" i="37"/>
  <c r="O158" i="37"/>
  <c r="O117" i="37"/>
  <c r="O77" i="37"/>
  <c r="O122" i="37"/>
  <c r="O121" i="37"/>
  <c r="O142" i="37"/>
  <c r="O85" i="37"/>
  <c r="O153" i="37"/>
  <c r="O146" i="37"/>
  <c r="O133" i="37"/>
  <c r="O87" i="37"/>
  <c r="O361" i="37"/>
  <c r="O347" i="37"/>
  <c r="O313" i="37"/>
  <c r="O364" i="37"/>
  <c r="O344" i="37"/>
  <c r="O287" i="37"/>
  <c r="O297" i="37"/>
  <c r="O283" i="37"/>
  <c r="O305" i="37"/>
  <c r="O291" i="37"/>
  <c r="O301" i="37"/>
  <c r="O319" i="37"/>
  <c r="O299" i="37"/>
  <c r="O273" i="37"/>
  <c r="O349" i="37"/>
  <c r="O335" i="37"/>
  <c r="O292" i="37"/>
  <c r="O280" i="37"/>
  <c r="O308" i="37"/>
  <c r="O276" i="37"/>
  <c r="O315" i="37"/>
  <c r="O325" i="37"/>
  <c r="O353" i="37"/>
  <c r="O357" i="37"/>
  <c r="O352" i="37"/>
  <c r="O321" i="37"/>
  <c r="O356" i="37"/>
  <c r="O340" i="37"/>
  <c r="O288" i="37"/>
  <c r="O333" i="37"/>
  <c r="O363" i="37"/>
  <c r="O360" i="37"/>
  <c r="O284" i="37"/>
  <c r="O295" i="37"/>
  <c r="O285" i="37"/>
  <c r="O311" i="37"/>
  <c r="O281" i="37"/>
  <c r="O317" i="37"/>
  <c r="O328" i="37"/>
  <c r="O293" i="37"/>
  <c r="O327" i="37"/>
  <c r="O309" i="37"/>
  <c r="O289" i="37"/>
  <c r="O303" i="37"/>
  <c r="O312" i="37"/>
  <c r="O345" i="37"/>
  <c r="O332" i="37"/>
  <c r="O343" i="37"/>
  <c r="O350" i="37"/>
  <c r="O296" i="37"/>
  <c r="O341" i="37"/>
  <c r="O337" i="37"/>
  <c r="O355" i="37"/>
  <c r="O329" i="37"/>
  <c r="O279" i="37"/>
  <c r="O275" i="37"/>
  <c r="O271" i="37"/>
  <c r="O320" i="37"/>
  <c r="O316" i="37"/>
  <c r="O359" i="37"/>
  <c r="O351" i="37"/>
  <c r="O365" i="37"/>
  <c r="O348" i="37"/>
  <c r="O366" i="37"/>
  <c r="O362" i="37"/>
  <c r="O334" i="37"/>
  <c r="O322" i="37"/>
  <c r="O310" i="37"/>
  <c r="O298" i="37"/>
  <c r="O286" i="37"/>
  <c r="O278" i="37"/>
  <c r="O326" i="37"/>
  <c r="O318" i="37"/>
  <c r="O302" i="37"/>
  <c r="O282" i="37"/>
  <c r="O324" i="37"/>
  <c r="O277" i="37"/>
  <c r="O323" i="37"/>
  <c r="O307" i="37"/>
  <c r="O336" i="37"/>
  <c r="O267" i="37"/>
  <c r="O330" i="37"/>
  <c r="O306" i="37"/>
  <c r="O290" i="37"/>
  <c r="O300" i="37"/>
  <c r="O338" i="37"/>
  <c r="O354" i="37"/>
  <c r="O339" i="37"/>
  <c r="O331" i="37"/>
  <c r="O304" i="37"/>
  <c r="O272" i="37"/>
  <c r="O314" i="37"/>
  <c r="O294" i="37"/>
  <c r="O274" i="37"/>
  <c r="O342" i="37"/>
  <c r="O346" i="37"/>
  <c r="O358" i="37"/>
  <c r="O270" i="37"/>
  <c r="O269" i="37"/>
  <c r="O268" i="37"/>
  <c r="O446" i="37"/>
  <c r="O403" i="37"/>
  <c r="O383" i="37"/>
  <c r="O444" i="37"/>
  <c r="O387" i="37"/>
  <c r="O450" i="37"/>
  <c r="O412" i="37"/>
  <c r="O460" i="37"/>
  <c r="O438" i="37"/>
  <c r="O459" i="37"/>
  <c r="O451" i="37"/>
  <c r="O439" i="37"/>
  <c r="O458" i="37"/>
  <c r="O434" i="37"/>
  <c r="O455" i="37"/>
  <c r="O428" i="37"/>
  <c r="O426" i="37"/>
  <c r="O466" i="37"/>
  <c r="O442" i="37"/>
  <c r="O452" i="37"/>
  <c r="O436" i="37"/>
  <c r="O447" i="37"/>
  <c r="O380" i="37"/>
  <c r="O388" i="37"/>
  <c r="O396" i="37"/>
  <c r="O404" i="37"/>
  <c r="O385" i="37"/>
  <c r="O401" i="37"/>
  <c r="O411" i="37"/>
  <c r="O419" i="37"/>
  <c r="O406" i="37"/>
  <c r="O422" i="37"/>
  <c r="O425" i="37"/>
  <c r="O433" i="37"/>
  <c r="O449" i="37"/>
  <c r="O467" i="37"/>
  <c r="O465" i="37"/>
  <c r="O468" i="37"/>
  <c r="O374" i="37"/>
  <c r="O382" i="37"/>
  <c r="O390" i="37"/>
  <c r="O398" i="37"/>
  <c r="O373" i="37"/>
  <c r="O389" i="37"/>
  <c r="O405" i="37"/>
  <c r="O413" i="37"/>
  <c r="O421" i="37"/>
  <c r="O410" i="37"/>
  <c r="O379" i="37"/>
  <c r="O427" i="37"/>
  <c r="O461" i="37"/>
  <c r="O453" i="37"/>
  <c r="O420" i="37"/>
  <c r="O454" i="37"/>
  <c r="O443" i="37"/>
  <c r="O424" i="37"/>
  <c r="O376" i="37"/>
  <c r="O392" i="37"/>
  <c r="O377" i="37"/>
  <c r="O407" i="37"/>
  <c r="O375" i="37"/>
  <c r="O395" i="37"/>
  <c r="O457" i="37"/>
  <c r="O430" i="37"/>
  <c r="O464" i="37"/>
  <c r="O448" i="37"/>
  <c r="O432" i="37"/>
  <c r="O378" i="37"/>
  <c r="O394" i="37"/>
  <c r="O381" i="37"/>
  <c r="O409" i="37"/>
  <c r="O391" i="37"/>
  <c r="O423" i="37"/>
  <c r="O437" i="37"/>
  <c r="O408" i="37"/>
  <c r="O435" i="37"/>
  <c r="O456" i="37"/>
  <c r="O384" i="37"/>
  <c r="O393" i="37"/>
  <c r="O414" i="37"/>
  <c r="O400" i="37"/>
  <c r="O429" i="37"/>
  <c r="O402" i="37"/>
  <c r="O431" i="37"/>
  <c r="O399" i="37"/>
  <c r="O462" i="37"/>
  <c r="O386" i="37"/>
  <c r="O397" i="37"/>
  <c r="O418" i="37"/>
  <c r="O441" i="37"/>
  <c r="O416" i="37"/>
  <c r="O440" i="37"/>
  <c r="O415" i="37"/>
  <c r="O445" i="37"/>
  <c r="O463" i="37"/>
  <c r="O417" i="37"/>
  <c r="O372" i="37"/>
  <c r="O369" i="37"/>
  <c r="O370" i="37"/>
  <c r="O371" i="37"/>
  <c r="O87" i="31"/>
  <c r="O84" i="31"/>
  <c r="O92" i="31" s="1"/>
  <c r="N94" i="31"/>
  <c r="N92" i="31"/>
  <c r="N96" i="31"/>
  <c r="N95" i="31"/>
  <c r="N93" i="31"/>
  <c r="E131" i="19"/>
  <c r="M89" i="18"/>
  <c r="O30" i="18"/>
  <c r="S99" i="16"/>
  <c r="R99" i="16"/>
  <c r="R100" i="16" s="1"/>
  <c r="R101" i="16" s="1"/>
  <c r="R102" i="16" s="1"/>
  <c r="P114" i="24"/>
  <c r="O42" i="31"/>
  <c r="B13" i="22"/>
  <c r="C13" i="22"/>
  <c r="O96" i="31" l="1"/>
  <c r="O93" i="31"/>
  <c r="O94" i="31"/>
  <c r="S100" i="16"/>
  <c r="O95" i="31"/>
  <c r="O473" i="37"/>
  <c r="O542" i="37"/>
  <c r="O499" i="37"/>
  <c r="O516" i="37"/>
  <c r="O493" i="37"/>
  <c r="O532" i="37"/>
  <c r="O526" i="37"/>
  <c r="O512" i="37"/>
  <c r="O484" i="37"/>
  <c r="O524" i="37"/>
  <c r="O554" i="37"/>
  <c r="O541" i="37"/>
  <c r="O546" i="37"/>
  <c r="O472" i="37"/>
  <c r="O518" i="37"/>
  <c r="O504" i="37"/>
  <c r="O510" i="37"/>
  <c r="O534" i="37"/>
  <c r="O545" i="37"/>
  <c r="O523" i="37"/>
  <c r="O476" i="37"/>
  <c r="O508" i="37"/>
  <c r="O482" i="37"/>
  <c r="O557" i="37"/>
  <c r="O514" i="37"/>
  <c r="O547" i="37"/>
  <c r="O543" i="37"/>
  <c r="O564" i="37"/>
  <c r="O531" i="37"/>
  <c r="O486" i="37"/>
  <c r="O539" i="37"/>
  <c r="O483" i="37"/>
  <c r="O550" i="37"/>
  <c r="O497" i="37"/>
  <c r="O494" i="37"/>
  <c r="O556" i="37"/>
  <c r="O529" i="37"/>
  <c r="O515" i="37"/>
  <c r="O500" i="37"/>
  <c r="O570" i="37"/>
  <c r="O535" i="37"/>
  <c r="O521" i="37"/>
  <c r="O506" i="37"/>
  <c r="O549" i="37"/>
  <c r="O568" i="37"/>
  <c r="O536" i="37"/>
  <c r="O561" i="37"/>
  <c r="O552" i="37"/>
  <c r="O505" i="37"/>
  <c r="O519" i="37"/>
  <c r="O533" i="37"/>
  <c r="O537" i="37"/>
  <c r="O480" i="37"/>
  <c r="O509" i="37"/>
  <c r="O555" i="37"/>
  <c r="O491" i="37"/>
  <c r="O569" i="37"/>
  <c r="O503" i="37"/>
  <c r="O490" i="37"/>
  <c r="O530" i="37"/>
  <c r="O562" i="37"/>
  <c r="O565" i="37"/>
  <c r="O488" i="37"/>
  <c r="O495" i="37"/>
  <c r="O511" i="37"/>
  <c r="O559" i="37"/>
  <c r="O479" i="37"/>
  <c r="O563" i="37"/>
  <c r="O475" i="37"/>
  <c r="O551" i="37"/>
  <c r="O487" i="37"/>
  <c r="O544" i="37"/>
  <c r="O553" i="37"/>
  <c r="O485" i="37"/>
  <c r="O471" i="37"/>
  <c r="O474" i="37"/>
  <c r="O517" i="37"/>
  <c r="O520" i="37"/>
  <c r="O501" i="37"/>
  <c r="O502" i="37"/>
  <c r="O558" i="37"/>
  <c r="O525" i="37"/>
  <c r="O496" i="37"/>
  <c r="O566" i="37"/>
  <c r="O477" i="37"/>
  <c r="O478" i="37"/>
  <c r="O522" i="37"/>
  <c r="O481" i="37"/>
  <c r="O507" i="37"/>
  <c r="O492" i="37"/>
  <c r="O567" i="37"/>
  <c r="O527" i="37"/>
  <c r="O513" i="37"/>
  <c r="O498" i="37"/>
  <c r="O538" i="37"/>
  <c r="O528" i="37"/>
  <c r="O560" i="37"/>
  <c r="O540" i="37"/>
  <c r="O489" i="37"/>
  <c r="O548" i="37"/>
  <c r="P30" i="18"/>
  <c r="N89" i="18"/>
  <c r="S101" i="16"/>
  <c r="S102" i="16" s="1"/>
  <c r="B14" i="22"/>
  <c r="C14" i="22"/>
  <c r="O89" i="18" l="1"/>
  <c r="Q30" i="18"/>
  <c r="B15" i="22"/>
  <c r="C15" i="22"/>
  <c r="P89" i="18" l="1"/>
  <c r="Q89" i="18"/>
  <c r="C16" i="22"/>
  <c r="B16" i="22"/>
  <c r="G32" i="18"/>
  <c r="H32" i="18"/>
  <c r="G27" i="24" s="1"/>
  <c r="J32" i="18"/>
  <c r="I27" i="24" s="1"/>
  <c r="K32" i="18"/>
  <c r="M32" i="18"/>
  <c r="L27" i="24" s="1"/>
  <c r="N32" i="18"/>
  <c r="M27" i="24" s="1"/>
  <c r="O32" i="18"/>
  <c r="N27" i="24" s="1"/>
  <c r="P32" i="18"/>
  <c r="O27" i="24" s="1"/>
  <c r="Q32" i="18"/>
  <c r="P27" i="24" s="1"/>
  <c r="G43" i="18"/>
  <c r="N37" i="34" s="1"/>
  <c r="H43" i="18"/>
  <c r="G35" i="24" s="1"/>
  <c r="I43" i="18"/>
  <c r="P37" i="34" s="1"/>
  <c r="Q37" i="34"/>
  <c r="K43" i="18"/>
  <c r="L43" i="18"/>
  <c r="M43" i="18"/>
  <c r="S37" i="34" s="1"/>
  <c r="N43" i="18"/>
  <c r="O43" i="18"/>
  <c r="P43" i="18"/>
  <c r="T37" i="34" s="1"/>
  <c r="Q43" i="18"/>
  <c r="U37" i="34" s="1"/>
  <c r="F43" i="18"/>
  <c r="M37" i="34" s="1"/>
  <c r="F32" i="18"/>
  <c r="C12" i="23" s="1"/>
  <c r="R37" i="34" l="1"/>
  <c r="J35" i="24"/>
  <c r="J27" i="24"/>
  <c r="K51" i="18"/>
  <c r="F39" i="16" s="1"/>
  <c r="J52" i="24"/>
  <c r="L33" i="18"/>
  <c r="F27" i="24"/>
  <c r="C12" i="27"/>
  <c r="M36" i="34"/>
  <c r="E52" i="24"/>
  <c r="E27" i="24"/>
  <c r="P36" i="34"/>
  <c r="O36" i="34"/>
  <c r="G52" i="24"/>
  <c r="N36" i="34"/>
  <c r="F52" i="24"/>
  <c r="U36" i="34"/>
  <c r="P52" i="24"/>
  <c r="N52" i="24"/>
  <c r="M52" i="24"/>
  <c r="Q36" i="34"/>
  <c r="I52" i="24"/>
  <c r="S36" i="34"/>
  <c r="L52" i="24"/>
  <c r="T36" i="34"/>
  <c r="O52" i="24"/>
  <c r="K52" i="24"/>
  <c r="R36" i="34"/>
  <c r="Q33" i="18"/>
  <c r="Q51" i="18"/>
  <c r="S39" i="16" s="1"/>
  <c r="M33" i="18"/>
  <c r="M51" i="18"/>
  <c r="O39" i="16" s="1"/>
  <c r="I33" i="18"/>
  <c r="I51" i="18"/>
  <c r="D39" i="16" s="1"/>
  <c r="P51" i="18"/>
  <c r="R39" i="16" s="1"/>
  <c r="P33" i="18"/>
  <c r="L51" i="18"/>
  <c r="G39" i="16" s="1"/>
  <c r="H51" i="18"/>
  <c r="C39" i="16" s="1"/>
  <c r="H33" i="18"/>
  <c r="O33" i="18"/>
  <c r="O51" i="18"/>
  <c r="Q39" i="16" s="1"/>
  <c r="K33" i="18"/>
  <c r="G33" i="18"/>
  <c r="G51" i="18"/>
  <c r="F51" i="18"/>
  <c r="N51" i="18"/>
  <c r="P39" i="16" s="1"/>
  <c r="N33" i="18"/>
  <c r="J51" i="18"/>
  <c r="E39" i="16" s="1"/>
  <c r="J33" i="18"/>
  <c r="O37" i="34"/>
  <c r="G60" i="24"/>
  <c r="L4" i="34"/>
  <c r="K4" i="34"/>
  <c r="Q4" i="34"/>
  <c r="N4" i="34"/>
  <c r="O4" i="34"/>
  <c r="M4" i="34"/>
  <c r="N35" i="24"/>
  <c r="O44" i="18"/>
  <c r="N60" i="24"/>
  <c r="K44" i="18"/>
  <c r="J60" i="24"/>
  <c r="D12" i="27"/>
  <c r="D14" i="27" s="1"/>
  <c r="D41" i="27" s="1"/>
  <c r="F60" i="24"/>
  <c r="F35" i="24"/>
  <c r="G44" i="18"/>
  <c r="N44" i="18"/>
  <c r="M35" i="24"/>
  <c r="M60" i="24"/>
  <c r="J44" i="18"/>
  <c r="I60" i="24"/>
  <c r="Q44" i="18"/>
  <c r="P35" i="24"/>
  <c r="P60" i="24"/>
  <c r="M44" i="18"/>
  <c r="L35" i="24"/>
  <c r="L60" i="24"/>
  <c r="I44" i="18"/>
  <c r="H35" i="24"/>
  <c r="H45" i="24" s="1"/>
  <c r="H60" i="24"/>
  <c r="E35" i="24"/>
  <c r="E60" i="24"/>
  <c r="D12" i="23"/>
  <c r="P44" i="18"/>
  <c r="O35" i="24"/>
  <c r="O60" i="24"/>
  <c r="L44" i="18"/>
  <c r="K35" i="24"/>
  <c r="K60" i="24"/>
  <c r="H44" i="18"/>
  <c r="B17" i="22"/>
  <c r="C17" i="22"/>
  <c r="N39" i="34" l="1"/>
  <c r="S39" i="34"/>
  <c r="T39" i="34"/>
  <c r="R39" i="34"/>
  <c r="Q39" i="34"/>
  <c r="U39" i="34"/>
  <c r="P39" i="34"/>
  <c r="M39" i="34"/>
  <c r="O39" i="34"/>
  <c r="G70" i="24"/>
  <c r="D14" i="23"/>
  <c r="D41" i="23" s="1"/>
  <c r="K45" i="24"/>
  <c r="K70" i="24"/>
  <c r="I45" i="24"/>
  <c r="I70" i="24"/>
  <c r="C14" i="27"/>
  <c r="C41" i="27" s="1"/>
  <c r="F70" i="24"/>
  <c r="F45" i="24"/>
  <c r="N45" i="24"/>
  <c r="N70" i="24"/>
  <c r="L45" i="24"/>
  <c r="L70" i="24"/>
  <c r="M45" i="24"/>
  <c r="M70" i="24"/>
  <c r="E70" i="24"/>
  <c r="E45" i="24"/>
  <c r="P45" i="24"/>
  <c r="P70" i="24"/>
  <c r="H70" i="24"/>
  <c r="O45" i="24"/>
  <c r="O70" i="24"/>
  <c r="G45" i="24"/>
  <c r="J45" i="24"/>
  <c r="J70" i="24"/>
  <c r="B18" i="22"/>
  <c r="C18" i="22"/>
  <c r="S120" i="16"/>
  <c r="U40" i="34" l="1"/>
  <c r="P40" i="34"/>
  <c r="N40" i="34"/>
  <c r="R40" i="34"/>
  <c r="T40" i="34"/>
  <c r="O40" i="34"/>
  <c r="S40" i="34"/>
  <c r="Q40" i="34"/>
  <c r="C14" i="23"/>
  <c r="C41" i="23" s="1"/>
  <c r="B19" i="22"/>
  <c r="C19" i="22"/>
  <c r="B40" i="14"/>
  <c r="B11" i="14"/>
  <c r="C20" i="22" l="1"/>
  <c r="B20" i="22"/>
  <c r="B21" i="22" l="1"/>
  <c r="C21" i="22"/>
  <c r="B22" i="22" l="1"/>
  <c r="C22" i="22"/>
  <c r="I11" i="12"/>
  <c r="P11" i="12" s="1"/>
  <c r="I12" i="12"/>
  <c r="P12" i="12" s="1"/>
  <c r="I13" i="12"/>
  <c r="I14" i="12"/>
  <c r="P14" i="12" s="1"/>
  <c r="I15" i="12"/>
  <c r="P15" i="12" s="1"/>
  <c r="I16" i="12"/>
  <c r="P16" i="12" s="1"/>
  <c r="I17" i="12"/>
  <c r="P17" i="12" s="1"/>
  <c r="I18" i="12"/>
  <c r="P18" i="12" s="1"/>
  <c r="I19" i="12"/>
  <c r="P19" i="12" s="1"/>
  <c r="I20" i="12"/>
  <c r="P20" i="12" s="1"/>
  <c r="I21" i="12"/>
  <c r="P21" i="12" s="1"/>
  <c r="I22" i="12"/>
  <c r="I23" i="12"/>
  <c r="P23" i="12" s="1"/>
  <c r="I24" i="12"/>
  <c r="P24" i="12" s="1"/>
  <c r="I25" i="12"/>
  <c r="P25" i="12" s="1"/>
  <c r="I26" i="12"/>
  <c r="I27" i="12"/>
  <c r="P27" i="12" s="1"/>
  <c r="I28" i="12"/>
  <c r="P28" i="12" s="1"/>
  <c r="I29" i="12"/>
  <c r="P29" i="12" s="1"/>
  <c r="I30" i="12"/>
  <c r="I31" i="12"/>
  <c r="P31" i="12" s="1"/>
  <c r="I32" i="12"/>
  <c r="P32" i="12" s="1"/>
  <c r="I33" i="12"/>
  <c r="P33" i="12" s="1"/>
  <c r="I34" i="12"/>
  <c r="I35" i="12"/>
  <c r="P35" i="12" s="1"/>
  <c r="I36" i="12"/>
  <c r="P36" i="12" s="1"/>
  <c r="I37" i="12"/>
  <c r="I38" i="12"/>
  <c r="I39" i="12"/>
  <c r="P39" i="12" s="1"/>
  <c r="I40" i="12"/>
  <c r="P40" i="12" s="1"/>
  <c r="I41" i="12"/>
  <c r="P41" i="12" s="1"/>
  <c r="I42" i="12"/>
  <c r="I43" i="12"/>
  <c r="U43" i="12" s="1"/>
  <c r="I44" i="12"/>
  <c r="U44" i="12" s="1"/>
  <c r="I45" i="12"/>
  <c r="U45" i="12" s="1"/>
  <c r="I46" i="12"/>
  <c r="U46" i="12" s="1"/>
  <c r="I47" i="12"/>
  <c r="U47" i="12" s="1"/>
  <c r="I48" i="12"/>
  <c r="P48" i="12" s="1"/>
  <c r="I49" i="12"/>
  <c r="U49" i="12" s="1"/>
  <c r="I50" i="12"/>
  <c r="U50" i="12" s="1"/>
  <c r="I51" i="12"/>
  <c r="P51" i="12" s="1"/>
  <c r="I52" i="12"/>
  <c r="U52" i="12" s="1"/>
  <c r="I53" i="12"/>
  <c r="P53" i="12" s="1"/>
  <c r="I54" i="12"/>
  <c r="U54" i="12" s="1"/>
  <c r="I55" i="12"/>
  <c r="U55" i="12" s="1"/>
  <c r="I56" i="12"/>
  <c r="P56" i="12" s="1"/>
  <c r="I57" i="12"/>
  <c r="P57" i="12" s="1"/>
  <c r="I58" i="12"/>
  <c r="U58" i="12" s="1"/>
  <c r="I59" i="12"/>
  <c r="U59" i="12" s="1"/>
  <c r="I60" i="12"/>
  <c r="U60" i="12" s="1"/>
  <c r="I61" i="12"/>
  <c r="U61" i="12" s="1"/>
  <c r="I62" i="12"/>
  <c r="U62" i="12" s="1"/>
  <c r="I63" i="12"/>
  <c r="U63" i="12" s="1"/>
  <c r="I64" i="12"/>
  <c r="P64" i="12" s="1"/>
  <c r="I65" i="12"/>
  <c r="U65" i="12" s="1"/>
  <c r="I66" i="12"/>
  <c r="U66" i="12" s="1"/>
  <c r="I67" i="12"/>
  <c r="U67" i="12" s="1"/>
  <c r="I68" i="12"/>
  <c r="I69" i="12"/>
  <c r="P69" i="12" s="1"/>
  <c r="I70" i="12"/>
  <c r="U70" i="12" s="1"/>
  <c r="I71" i="12"/>
  <c r="U71" i="12" s="1"/>
  <c r="I72" i="12"/>
  <c r="P72" i="12" s="1"/>
  <c r="I73" i="12"/>
  <c r="P73" i="12" s="1"/>
  <c r="I74" i="12"/>
  <c r="U74" i="12" s="1"/>
  <c r="I75" i="12"/>
  <c r="U75" i="12" s="1"/>
  <c r="I76" i="12"/>
  <c r="I77" i="12"/>
  <c r="U77" i="12" s="1"/>
  <c r="I78" i="12"/>
  <c r="U78" i="12" s="1"/>
  <c r="I79" i="12"/>
  <c r="U79" i="12" s="1"/>
  <c r="I80" i="12"/>
  <c r="U80" i="12" s="1"/>
  <c r="I81" i="12"/>
  <c r="U81" i="12" s="1"/>
  <c r="I82" i="12"/>
  <c r="U82" i="12" s="1"/>
  <c r="I83" i="12"/>
  <c r="U83" i="12" s="1"/>
  <c r="I84" i="12"/>
  <c r="I85" i="12"/>
  <c r="P85" i="12" s="1"/>
  <c r="I86" i="12"/>
  <c r="U86" i="12" s="1"/>
  <c r="I87" i="12"/>
  <c r="U87" i="12" s="1"/>
  <c r="I88" i="12"/>
  <c r="U88" i="12" s="1"/>
  <c r="I89" i="12"/>
  <c r="P89" i="12" s="1"/>
  <c r="I90" i="12"/>
  <c r="U90" i="12" s="1"/>
  <c r="I91" i="12"/>
  <c r="U91" i="12" s="1"/>
  <c r="I92" i="12"/>
  <c r="I93" i="12"/>
  <c r="U93" i="12" s="1"/>
  <c r="I94" i="12"/>
  <c r="U94" i="12" s="1"/>
  <c r="I95" i="12"/>
  <c r="U95" i="12" s="1"/>
  <c r="I96" i="12"/>
  <c r="U96" i="12" s="1"/>
  <c r="I97" i="12"/>
  <c r="U97" i="12" s="1"/>
  <c r="I98" i="12"/>
  <c r="U98" i="12" s="1"/>
  <c r="I99" i="12"/>
  <c r="U99" i="12" s="1"/>
  <c r="I100" i="12"/>
  <c r="I101" i="12"/>
  <c r="U101" i="12" s="1"/>
  <c r="I102" i="12"/>
  <c r="U102" i="12" s="1"/>
  <c r="I103" i="12"/>
  <c r="U103" i="12" s="1"/>
  <c r="I104" i="12"/>
  <c r="U104" i="12" s="1"/>
  <c r="I105" i="12"/>
  <c r="P105" i="12" s="1"/>
  <c r="I106" i="12"/>
  <c r="U106" i="12" s="1"/>
  <c r="I107" i="12"/>
  <c r="U107" i="12" s="1"/>
  <c r="I108" i="12"/>
  <c r="I109" i="12"/>
  <c r="P109" i="12" s="1"/>
  <c r="I110" i="12"/>
  <c r="U110" i="12" s="1"/>
  <c r="I111" i="12"/>
  <c r="U111" i="12" s="1"/>
  <c r="I112" i="12"/>
  <c r="P112" i="12" s="1"/>
  <c r="I113" i="12"/>
  <c r="U113" i="12" s="1"/>
  <c r="I114" i="12"/>
  <c r="U114" i="12" s="1"/>
  <c r="I115" i="12"/>
  <c r="P115" i="12" s="1"/>
  <c r="I116" i="12"/>
  <c r="I117" i="12"/>
  <c r="P117" i="12" s="1"/>
  <c r="I118" i="12"/>
  <c r="U118" i="12" s="1"/>
  <c r="I119" i="12"/>
  <c r="U119" i="12" s="1"/>
  <c r="I120" i="12"/>
  <c r="U120" i="12" s="1"/>
  <c r="I121" i="12"/>
  <c r="U121" i="12" s="1"/>
  <c r="I122" i="12"/>
  <c r="U122" i="12" s="1"/>
  <c r="I123" i="12"/>
  <c r="U123" i="12" s="1"/>
  <c r="I124" i="12"/>
  <c r="I125" i="12"/>
  <c r="U125" i="12" s="1"/>
  <c r="I126" i="12"/>
  <c r="U126" i="12" s="1"/>
  <c r="I127" i="12"/>
  <c r="U127" i="12" s="1"/>
  <c r="I128" i="12"/>
  <c r="U128" i="12" s="1"/>
  <c r="I129" i="12"/>
  <c r="P129" i="12" s="1"/>
  <c r="I130" i="12"/>
  <c r="U130" i="12" s="1"/>
  <c r="I131" i="12"/>
  <c r="U131" i="12" s="1"/>
  <c r="I132" i="12"/>
  <c r="U132" i="12" s="1"/>
  <c r="I133" i="12"/>
  <c r="P133" i="12" s="1"/>
  <c r="I134" i="12"/>
  <c r="U134" i="12" s="1"/>
  <c r="I135" i="12"/>
  <c r="U135" i="12" s="1"/>
  <c r="I136" i="12"/>
  <c r="I137" i="12"/>
  <c r="P137" i="12" s="1"/>
  <c r="I138" i="12"/>
  <c r="U138" i="12" s="1"/>
  <c r="I139" i="12"/>
  <c r="U139" i="12" s="1"/>
  <c r="I140" i="12"/>
  <c r="U140" i="12" s="1"/>
  <c r="I141" i="12"/>
  <c r="U141" i="12" s="1"/>
  <c r="I142" i="12"/>
  <c r="U142" i="12" s="1"/>
  <c r="I143" i="12"/>
  <c r="U143" i="12" s="1"/>
  <c r="I144" i="12"/>
  <c r="I145" i="12"/>
  <c r="U145" i="12" s="1"/>
  <c r="I146" i="12"/>
  <c r="U146" i="12" s="1"/>
  <c r="I147" i="12"/>
  <c r="U147" i="12" s="1"/>
  <c r="I148" i="12"/>
  <c r="U148" i="12" s="1"/>
  <c r="I149" i="12"/>
  <c r="P149" i="12" s="1"/>
  <c r="I150" i="12"/>
  <c r="U150" i="12" s="1"/>
  <c r="I151" i="12"/>
  <c r="U151" i="12" s="1"/>
  <c r="I152" i="12"/>
  <c r="I153" i="12"/>
  <c r="P153" i="12" s="1"/>
  <c r="I154" i="12"/>
  <c r="U154" i="12" s="1"/>
  <c r="I155" i="12"/>
  <c r="U155" i="12" s="1"/>
  <c r="I156" i="12"/>
  <c r="U156" i="12" s="1"/>
  <c r="I157" i="12"/>
  <c r="U157" i="12" s="1"/>
  <c r="I158" i="12"/>
  <c r="U158" i="12" s="1"/>
  <c r="I159" i="12"/>
  <c r="U159" i="12" s="1"/>
  <c r="I160" i="12"/>
  <c r="I161" i="12"/>
  <c r="U161" i="12" s="1"/>
  <c r="I162" i="12"/>
  <c r="U162" i="12" s="1"/>
  <c r="I163" i="12"/>
  <c r="U163" i="12" s="1"/>
  <c r="I164" i="12"/>
  <c r="U164" i="12" s="1"/>
  <c r="I165" i="12"/>
  <c r="P165" i="12" s="1"/>
  <c r="I166" i="12"/>
  <c r="U166" i="12" s="1"/>
  <c r="I167" i="12"/>
  <c r="U167" i="12" s="1"/>
  <c r="I168" i="12"/>
  <c r="I169" i="12"/>
  <c r="P169" i="12" s="1"/>
  <c r="I170" i="12"/>
  <c r="U170" i="12" s="1"/>
  <c r="I171" i="12"/>
  <c r="U171" i="12" s="1"/>
  <c r="I172" i="12"/>
  <c r="U172" i="12" s="1"/>
  <c r="I173" i="12"/>
  <c r="U173" i="12" s="1"/>
  <c r="I174" i="12"/>
  <c r="U174" i="12" s="1"/>
  <c r="I175" i="12"/>
  <c r="U175" i="12" s="1"/>
  <c r="I176" i="12"/>
  <c r="I177" i="12"/>
  <c r="U177" i="12" s="1"/>
  <c r="I178" i="12"/>
  <c r="U178" i="12" s="1"/>
  <c r="I179" i="12"/>
  <c r="U179" i="12" s="1"/>
  <c r="I180" i="12"/>
  <c r="U180" i="12" s="1"/>
  <c r="I181" i="12"/>
  <c r="P181" i="12" s="1"/>
  <c r="I182" i="12"/>
  <c r="U182" i="12" s="1"/>
  <c r="I183" i="12"/>
  <c r="U183" i="12" s="1"/>
  <c r="I184" i="12"/>
  <c r="I185" i="12"/>
  <c r="P185" i="12" s="1"/>
  <c r="I186" i="12"/>
  <c r="U186" i="12" s="1"/>
  <c r="I187" i="12"/>
  <c r="U187" i="12" s="1"/>
  <c r="I188" i="12"/>
  <c r="U188" i="12" s="1"/>
  <c r="I189" i="12"/>
  <c r="U189" i="12" s="1"/>
  <c r="I190" i="12"/>
  <c r="U190" i="12" s="1"/>
  <c r="I191" i="12"/>
  <c r="U191" i="12" s="1"/>
  <c r="I192" i="12"/>
  <c r="I193" i="12"/>
  <c r="U193" i="12" s="1"/>
  <c r="I194" i="12"/>
  <c r="U194" i="12" s="1"/>
  <c r="I195" i="12"/>
  <c r="U195" i="12" s="1"/>
  <c r="I196" i="12"/>
  <c r="U196" i="12" s="1"/>
  <c r="I197" i="12"/>
  <c r="P197" i="12" s="1"/>
  <c r="I198" i="12"/>
  <c r="U198" i="12" s="1"/>
  <c r="I199" i="12"/>
  <c r="U199" i="12" s="1"/>
  <c r="I200" i="12"/>
  <c r="I201" i="12"/>
  <c r="P201" i="12" s="1"/>
  <c r="I202" i="12"/>
  <c r="U202" i="12" s="1"/>
  <c r="I203" i="12"/>
  <c r="U203" i="12" s="1"/>
  <c r="I204" i="12"/>
  <c r="U204" i="12" s="1"/>
  <c r="I205" i="12"/>
  <c r="U205" i="12" s="1"/>
  <c r="I206" i="12"/>
  <c r="U206" i="12" s="1"/>
  <c r="I207" i="12"/>
  <c r="U207" i="12" s="1"/>
  <c r="I208" i="12"/>
  <c r="I209" i="12"/>
  <c r="U209" i="12" s="1"/>
  <c r="I210" i="12"/>
  <c r="U210" i="12" s="1"/>
  <c r="I211" i="12"/>
  <c r="U211" i="12" s="1"/>
  <c r="I212" i="12"/>
  <c r="U212" i="12" s="1"/>
  <c r="I213" i="12"/>
  <c r="P213" i="12" s="1"/>
  <c r="I214" i="12"/>
  <c r="U214" i="12" s="1"/>
  <c r="I215" i="12"/>
  <c r="U215" i="12" s="1"/>
  <c r="I216" i="12"/>
  <c r="I217" i="12"/>
  <c r="P217" i="12" s="1"/>
  <c r="I218" i="12"/>
  <c r="U218" i="12" s="1"/>
  <c r="I219" i="12"/>
  <c r="U219" i="12" s="1"/>
  <c r="I220" i="12"/>
  <c r="U220" i="12" s="1"/>
  <c r="I221" i="12"/>
  <c r="U221" i="12" s="1"/>
  <c r="I222" i="12"/>
  <c r="U222" i="12" s="1"/>
  <c r="I223" i="12"/>
  <c r="U223" i="12" s="1"/>
  <c r="I224" i="12"/>
  <c r="I225" i="12"/>
  <c r="U225" i="12" s="1"/>
  <c r="I226" i="12"/>
  <c r="U226" i="12" s="1"/>
  <c r="I227" i="12"/>
  <c r="U227" i="12" s="1"/>
  <c r="I228" i="12"/>
  <c r="U228" i="12" s="1"/>
  <c r="I229" i="12"/>
  <c r="P229" i="12" s="1"/>
  <c r="I230" i="12"/>
  <c r="U230" i="12" s="1"/>
  <c r="I231" i="12"/>
  <c r="U231" i="12" s="1"/>
  <c r="I232" i="12"/>
  <c r="I233" i="12"/>
  <c r="P233" i="12" s="1"/>
  <c r="I234" i="12"/>
  <c r="U234" i="12" s="1"/>
  <c r="I235" i="12"/>
  <c r="U235" i="12" s="1"/>
  <c r="I236" i="12"/>
  <c r="I237" i="12"/>
  <c r="U237" i="12" s="1"/>
  <c r="I238" i="12"/>
  <c r="U238" i="12" s="1"/>
  <c r="I239" i="12"/>
  <c r="U239" i="12" s="1"/>
  <c r="I240" i="12"/>
  <c r="I241" i="12"/>
  <c r="U241" i="12" s="1"/>
  <c r="I242" i="12"/>
  <c r="U242" i="12" s="1"/>
  <c r="I243" i="12"/>
  <c r="U243" i="12" s="1"/>
  <c r="I244" i="12"/>
  <c r="U244" i="12" s="1"/>
  <c r="I245" i="12"/>
  <c r="P245" i="12" s="1"/>
  <c r="I246" i="12"/>
  <c r="U246" i="12" s="1"/>
  <c r="I247" i="12"/>
  <c r="U247" i="12" s="1"/>
  <c r="I248" i="12"/>
  <c r="I249" i="12"/>
  <c r="P249" i="12" s="1"/>
  <c r="I250" i="12"/>
  <c r="U250" i="12" s="1"/>
  <c r="I251" i="12"/>
  <c r="U251" i="12" s="1"/>
  <c r="I252" i="12"/>
  <c r="I253" i="12"/>
  <c r="U253" i="12" s="1"/>
  <c r="I254" i="12"/>
  <c r="U254" i="12" s="1"/>
  <c r="I255" i="12"/>
  <c r="U255" i="12" s="1"/>
  <c r="I256" i="12"/>
  <c r="U256" i="12" s="1"/>
  <c r="I257" i="12"/>
  <c r="U257" i="12" s="1"/>
  <c r="I258" i="12"/>
  <c r="U258" i="12" s="1"/>
  <c r="I259" i="12"/>
  <c r="U259" i="12" s="1"/>
  <c r="I260" i="12"/>
  <c r="I261" i="12"/>
  <c r="P261" i="12" s="1"/>
  <c r="I262" i="12"/>
  <c r="U262" i="12" s="1"/>
  <c r="I263" i="12"/>
  <c r="U263" i="12" s="1"/>
  <c r="I264" i="12"/>
  <c r="U264" i="12" s="1"/>
  <c r="I265" i="12"/>
  <c r="U265" i="12" s="1"/>
  <c r="I266" i="12"/>
  <c r="U266" i="12" s="1"/>
  <c r="I267" i="12"/>
  <c r="U267" i="12" s="1"/>
  <c r="I268" i="12"/>
  <c r="U268" i="12" s="1"/>
  <c r="I269" i="12"/>
  <c r="U269" i="12" s="1"/>
  <c r="I270" i="12"/>
  <c r="U270" i="12" s="1"/>
  <c r="I271" i="12"/>
  <c r="U271" i="12" s="1"/>
  <c r="I272" i="12"/>
  <c r="U272" i="12" s="1"/>
  <c r="I273" i="12"/>
  <c r="P273" i="12" s="1"/>
  <c r="I274" i="12"/>
  <c r="U274" i="12" s="1"/>
  <c r="I275" i="12"/>
  <c r="U275" i="12" s="1"/>
  <c r="I276" i="12"/>
  <c r="I277" i="12"/>
  <c r="P277" i="12" s="1"/>
  <c r="I278" i="12"/>
  <c r="U278" i="12" s="1"/>
  <c r="I279" i="12"/>
  <c r="U279" i="12" s="1"/>
  <c r="I280" i="12"/>
  <c r="I281" i="12"/>
  <c r="U281" i="12" s="1"/>
  <c r="I282" i="12"/>
  <c r="U282" i="12" s="1"/>
  <c r="I283" i="12"/>
  <c r="U283" i="12" s="1"/>
  <c r="I284" i="12"/>
  <c r="U284" i="12" s="1"/>
  <c r="I285" i="12"/>
  <c r="U285" i="12" s="1"/>
  <c r="I286" i="12"/>
  <c r="U286" i="12" s="1"/>
  <c r="I287" i="12"/>
  <c r="U287" i="12" s="1"/>
  <c r="I288" i="12"/>
  <c r="U288" i="12" s="1"/>
  <c r="I289" i="12"/>
  <c r="U289" i="12" s="1"/>
  <c r="I290" i="12"/>
  <c r="U290" i="12" s="1"/>
  <c r="I291" i="12"/>
  <c r="P291" i="12" s="1"/>
  <c r="I292" i="12"/>
  <c r="U292" i="12" s="1"/>
  <c r="I293" i="12"/>
  <c r="P293" i="12" s="1"/>
  <c r="I294" i="12"/>
  <c r="U294" i="12" s="1"/>
  <c r="I295" i="12"/>
  <c r="U295" i="12" s="1"/>
  <c r="I296" i="12"/>
  <c r="I297" i="12"/>
  <c r="U297" i="12" s="1"/>
  <c r="I298" i="12"/>
  <c r="U298" i="12" s="1"/>
  <c r="I299" i="12"/>
  <c r="U299" i="12" s="1"/>
  <c r="I300" i="12"/>
  <c r="I301" i="12"/>
  <c r="U301" i="12" s="1"/>
  <c r="I302" i="12"/>
  <c r="U302" i="12" s="1"/>
  <c r="I303" i="12"/>
  <c r="U303" i="12" s="1"/>
  <c r="I304" i="12"/>
  <c r="U304" i="12" s="1"/>
  <c r="I305" i="12"/>
  <c r="U305" i="12" s="1"/>
  <c r="I306" i="12"/>
  <c r="U306" i="12" s="1"/>
  <c r="I307" i="12"/>
  <c r="U307" i="12" s="1"/>
  <c r="I308" i="12"/>
  <c r="U308" i="12" s="1"/>
  <c r="I309" i="12"/>
  <c r="P309" i="12" s="1"/>
  <c r="I310" i="12"/>
  <c r="U310" i="12" s="1"/>
  <c r="I311" i="12"/>
  <c r="U311" i="12" s="1"/>
  <c r="I312" i="12"/>
  <c r="I313" i="12"/>
  <c r="U313" i="12" s="1"/>
  <c r="I314" i="12"/>
  <c r="U314" i="12" s="1"/>
  <c r="I315" i="12"/>
  <c r="U315" i="12" s="1"/>
  <c r="I316" i="12"/>
  <c r="I317" i="12"/>
  <c r="U317" i="12" s="1"/>
  <c r="I318" i="12"/>
  <c r="U318" i="12" s="1"/>
  <c r="I319" i="12"/>
  <c r="U319" i="12" s="1"/>
  <c r="I320" i="12"/>
  <c r="U320" i="12" s="1"/>
  <c r="I321" i="12"/>
  <c r="P321" i="12" s="1"/>
  <c r="I322" i="12"/>
  <c r="U322" i="12" s="1"/>
  <c r="I323" i="12"/>
  <c r="U323" i="12" s="1"/>
  <c r="I324" i="12"/>
  <c r="I325" i="12"/>
  <c r="U325" i="12" s="1"/>
  <c r="I326" i="12"/>
  <c r="U326" i="12" s="1"/>
  <c r="I327" i="12"/>
  <c r="U327" i="12" s="1"/>
  <c r="I328" i="12"/>
  <c r="U328" i="12" s="1"/>
  <c r="I329" i="12"/>
  <c r="P329" i="12" s="1"/>
  <c r="I330" i="12"/>
  <c r="U330" i="12" s="1"/>
  <c r="I331" i="12"/>
  <c r="U331" i="12" s="1"/>
  <c r="I332" i="12"/>
  <c r="I333" i="12"/>
  <c r="U333" i="12" s="1"/>
  <c r="I334" i="12"/>
  <c r="U334" i="12" s="1"/>
  <c r="I335" i="12"/>
  <c r="U335" i="12" s="1"/>
  <c r="I336" i="12"/>
  <c r="U336" i="12" s="1"/>
  <c r="I337" i="12"/>
  <c r="U337" i="12" s="1"/>
  <c r="I338" i="12"/>
  <c r="U338" i="12" s="1"/>
  <c r="I339" i="12"/>
  <c r="U339" i="12" s="1"/>
  <c r="I340" i="12"/>
  <c r="I341" i="12"/>
  <c r="P341" i="12" s="1"/>
  <c r="I342" i="12"/>
  <c r="U342" i="12" s="1"/>
  <c r="I343" i="12"/>
  <c r="U343" i="12" s="1"/>
  <c r="I344" i="12"/>
  <c r="U344" i="12" s="1"/>
  <c r="I345" i="12"/>
  <c r="P345" i="12" s="1"/>
  <c r="I346" i="12"/>
  <c r="U346" i="12" s="1"/>
  <c r="I347" i="12"/>
  <c r="U347" i="12" s="1"/>
  <c r="I348" i="12"/>
  <c r="U348" i="12" s="1"/>
  <c r="I349" i="12"/>
  <c r="U349" i="12" s="1"/>
  <c r="I350" i="12"/>
  <c r="U350" i="12" s="1"/>
  <c r="I351" i="12"/>
  <c r="U351" i="12" s="1"/>
  <c r="I352" i="12"/>
  <c r="I353" i="12"/>
  <c r="U353" i="12" s="1"/>
  <c r="I354" i="12"/>
  <c r="U354" i="12" s="1"/>
  <c r="I355" i="12"/>
  <c r="U355" i="12" s="1"/>
  <c r="I356" i="12"/>
  <c r="I357" i="12"/>
  <c r="P357" i="12" s="1"/>
  <c r="I358" i="12"/>
  <c r="U358" i="12" s="1"/>
  <c r="I359" i="12"/>
  <c r="U359" i="12" s="1"/>
  <c r="I360" i="12"/>
  <c r="U360" i="12" s="1"/>
  <c r="I361" i="12"/>
  <c r="P361" i="12" s="1"/>
  <c r="I362" i="12"/>
  <c r="U362" i="12" s="1"/>
  <c r="I363" i="12"/>
  <c r="U363" i="12" s="1"/>
  <c r="I364" i="12"/>
  <c r="U364" i="12" s="1"/>
  <c r="I365" i="12"/>
  <c r="U365" i="12" s="1"/>
  <c r="I366" i="12"/>
  <c r="P366" i="12" s="1"/>
  <c r="I367" i="12"/>
  <c r="U367" i="12" s="1"/>
  <c r="I368" i="12"/>
  <c r="I369" i="12"/>
  <c r="U369" i="12" s="1"/>
  <c r="I370" i="12"/>
  <c r="U370" i="12" s="1"/>
  <c r="I371" i="12"/>
  <c r="P371" i="12" s="1"/>
  <c r="I372" i="12"/>
  <c r="U372" i="12" s="1"/>
  <c r="I373" i="12"/>
  <c r="P373" i="12" s="1"/>
  <c r="I374" i="12"/>
  <c r="U374" i="12" s="1"/>
  <c r="I375" i="12"/>
  <c r="U375" i="12" s="1"/>
  <c r="I376" i="12"/>
  <c r="I377" i="12"/>
  <c r="U377" i="12" s="1"/>
  <c r="I378" i="12"/>
  <c r="U378" i="12" s="1"/>
  <c r="I379" i="12"/>
  <c r="U379" i="12" s="1"/>
  <c r="I380" i="12"/>
  <c r="P380" i="12" s="1"/>
  <c r="I381" i="12"/>
  <c r="U381" i="12" s="1"/>
  <c r="I382" i="12"/>
  <c r="P382" i="12" s="1"/>
  <c r="I383" i="12"/>
  <c r="I384" i="12"/>
  <c r="U384" i="12" s="1"/>
  <c r="I385" i="12"/>
  <c r="P385" i="12" s="1"/>
  <c r="I386" i="12"/>
  <c r="P386" i="12" s="1"/>
  <c r="I387" i="12"/>
  <c r="P387" i="12" s="1"/>
  <c r="I388" i="12"/>
  <c r="P388" i="12" s="1"/>
  <c r="I389" i="12"/>
  <c r="P389" i="12" s="1"/>
  <c r="I390" i="12"/>
  <c r="P390" i="12" s="1"/>
  <c r="I391" i="12"/>
  <c r="U391" i="12" s="1"/>
  <c r="I392" i="12"/>
  <c r="U392" i="12" s="1"/>
  <c r="I393" i="12"/>
  <c r="U393" i="12" s="1"/>
  <c r="I394" i="12"/>
  <c r="P394" i="12" s="1"/>
  <c r="I395" i="12"/>
  <c r="I396" i="12"/>
  <c r="P396" i="12" s="1"/>
  <c r="I397" i="12"/>
  <c r="U397" i="12" s="1"/>
  <c r="I398" i="12"/>
  <c r="P398" i="12" s="1"/>
  <c r="I399" i="12"/>
  <c r="I400" i="12"/>
  <c r="U400" i="12" s="1"/>
  <c r="I401" i="12"/>
  <c r="P401" i="12" s="1"/>
  <c r="I402" i="12"/>
  <c r="P402" i="12" s="1"/>
  <c r="I403" i="12"/>
  <c r="P403" i="12" s="1"/>
  <c r="I404" i="12"/>
  <c r="P404" i="12" s="1"/>
  <c r="I405" i="12"/>
  <c r="P405" i="12" s="1"/>
  <c r="I406" i="12"/>
  <c r="P406" i="12" s="1"/>
  <c r="I407" i="12"/>
  <c r="U407" i="12" s="1"/>
  <c r="I408" i="12"/>
  <c r="U408" i="12" s="1"/>
  <c r="I409" i="12"/>
  <c r="U409" i="12" s="1"/>
  <c r="I410" i="12"/>
  <c r="P410" i="12" s="1"/>
  <c r="I411" i="12"/>
  <c r="I412" i="12"/>
  <c r="I413" i="12"/>
  <c r="I414" i="12"/>
  <c r="P414" i="12" s="1"/>
  <c r="I415" i="12"/>
  <c r="I416" i="12"/>
  <c r="P416" i="12" s="1"/>
  <c r="I417" i="12"/>
  <c r="I418" i="12"/>
  <c r="P418" i="12" s="1"/>
  <c r="I419" i="12"/>
  <c r="I420" i="12"/>
  <c r="U420" i="12" s="1"/>
  <c r="I421" i="12"/>
  <c r="U421" i="12" s="1"/>
  <c r="I422" i="12"/>
  <c r="P422" i="12" s="1"/>
  <c r="I423" i="12"/>
  <c r="I424" i="12"/>
  <c r="I425" i="12"/>
  <c r="U425" i="12" s="1"/>
  <c r="I426" i="12"/>
  <c r="P426" i="12" s="1"/>
  <c r="I427" i="12"/>
  <c r="I428" i="12"/>
  <c r="U428" i="12" s="1"/>
  <c r="I429" i="12"/>
  <c r="I430" i="12"/>
  <c r="P430" i="12" s="1"/>
  <c r="I431" i="12"/>
  <c r="I432" i="12"/>
  <c r="P432" i="12" s="1"/>
  <c r="I433" i="12"/>
  <c r="I434" i="12"/>
  <c r="P434" i="12" s="1"/>
  <c r="I435" i="12"/>
  <c r="I436" i="12"/>
  <c r="I437" i="12"/>
  <c r="U437" i="12" s="1"/>
  <c r="I438" i="12"/>
  <c r="P438" i="12" s="1"/>
  <c r="I439" i="12"/>
  <c r="U439" i="12" s="1"/>
  <c r="I440" i="12"/>
  <c r="U440" i="12" s="1"/>
  <c r="I441" i="12"/>
  <c r="U441" i="12" s="1"/>
  <c r="I442" i="12"/>
  <c r="P442" i="12" s="1"/>
  <c r="I443" i="12"/>
  <c r="I444" i="12"/>
  <c r="I445" i="12"/>
  <c r="I446" i="12"/>
  <c r="I447" i="12"/>
  <c r="I448" i="12"/>
  <c r="P448" i="12" s="1"/>
  <c r="I449" i="12"/>
  <c r="I450" i="12"/>
  <c r="I451" i="12"/>
  <c r="I452" i="12"/>
  <c r="U452" i="12" s="1"/>
  <c r="I453" i="12"/>
  <c r="U453" i="12" s="1"/>
  <c r="I454" i="12"/>
  <c r="I455" i="12"/>
  <c r="I456" i="12"/>
  <c r="I457" i="12"/>
  <c r="U457" i="12" s="1"/>
  <c r="I458" i="12"/>
  <c r="I459" i="12"/>
  <c r="I460" i="12"/>
  <c r="U460" i="12" s="1"/>
  <c r="I461" i="12"/>
  <c r="I462" i="12"/>
  <c r="I463" i="12"/>
  <c r="I464" i="12"/>
  <c r="P464" i="12" s="1"/>
  <c r="I465" i="12"/>
  <c r="I466" i="12"/>
  <c r="I467" i="12"/>
  <c r="I468" i="12"/>
  <c r="I469" i="12"/>
  <c r="U469" i="12" s="1"/>
  <c r="I470" i="12"/>
  <c r="I471" i="12"/>
  <c r="U471" i="12" s="1"/>
  <c r="I472" i="12"/>
  <c r="U472" i="12" s="1"/>
  <c r="I473" i="12"/>
  <c r="U473" i="12" s="1"/>
  <c r="I474" i="12"/>
  <c r="I475" i="12"/>
  <c r="I476" i="12"/>
  <c r="I477" i="12"/>
  <c r="I478" i="12"/>
  <c r="I479" i="12"/>
  <c r="I480" i="12"/>
  <c r="P480" i="12" s="1"/>
  <c r="I481" i="12"/>
  <c r="I482" i="12"/>
  <c r="I483" i="12"/>
  <c r="I484" i="12"/>
  <c r="U484" i="12" s="1"/>
  <c r="I485" i="12"/>
  <c r="I486" i="12"/>
  <c r="I487" i="12"/>
  <c r="I488" i="12"/>
  <c r="I489" i="12"/>
  <c r="U489" i="12" s="1"/>
  <c r="I490" i="12"/>
  <c r="I491" i="12"/>
  <c r="U491" i="12" s="1"/>
  <c r="I492" i="12"/>
  <c r="I493" i="12"/>
  <c r="U493" i="12" s="1"/>
  <c r="I494" i="12"/>
  <c r="I495" i="12"/>
  <c r="U495" i="12" s="1"/>
  <c r="I496" i="12"/>
  <c r="P496" i="12" s="1"/>
  <c r="I497" i="12"/>
  <c r="U497" i="12" s="1"/>
  <c r="I498" i="12"/>
  <c r="I499" i="12"/>
  <c r="I500" i="12"/>
  <c r="I501" i="12"/>
  <c r="I502" i="12"/>
  <c r="I503" i="12"/>
  <c r="I504" i="12"/>
  <c r="U504" i="12" s="1"/>
  <c r="I505" i="12"/>
  <c r="I506" i="12"/>
  <c r="I507" i="12"/>
  <c r="I508" i="12"/>
  <c r="I509" i="12"/>
  <c r="U509" i="12" s="1"/>
  <c r="I510" i="12"/>
  <c r="I511" i="12"/>
  <c r="I512" i="12"/>
  <c r="P512" i="12" s="1"/>
  <c r="I513" i="12"/>
  <c r="U513" i="12" s="1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U525" i="12" s="1"/>
  <c r="I526" i="12"/>
  <c r="I527" i="12"/>
  <c r="U527" i="12" s="1"/>
  <c r="I528" i="12"/>
  <c r="P528" i="12" s="1"/>
  <c r="I529" i="12"/>
  <c r="U529" i="12" s="1"/>
  <c r="I530" i="12"/>
  <c r="I531" i="12"/>
  <c r="I532" i="12"/>
  <c r="I533" i="12"/>
  <c r="U533" i="12" s="1"/>
  <c r="I534" i="12"/>
  <c r="I535" i="12"/>
  <c r="I536" i="12"/>
  <c r="I537" i="12"/>
  <c r="U537" i="12" s="1"/>
  <c r="I538" i="12"/>
  <c r="I539" i="12"/>
  <c r="I540" i="12"/>
  <c r="I541" i="12"/>
  <c r="I542" i="12"/>
  <c r="I543" i="12"/>
  <c r="I544" i="12"/>
  <c r="U544" i="12" s="1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U557" i="12" s="1"/>
  <c r="I558" i="12"/>
  <c r="I559" i="12"/>
  <c r="I560" i="12"/>
  <c r="P560" i="12" s="1"/>
  <c r="I561" i="12"/>
  <c r="U561" i="12" s="1"/>
  <c r="I562" i="12"/>
  <c r="I563" i="12"/>
  <c r="U563" i="12" s="1"/>
  <c r="I564" i="12"/>
  <c r="I565" i="12"/>
  <c r="U565" i="12" s="1"/>
  <c r="I566" i="12"/>
  <c r="I567" i="12"/>
  <c r="I568" i="12"/>
  <c r="I569" i="12"/>
  <c r="I570" i="12"/>
  <c r="U570" i="12" s="1"/>
  <c r="I571" i="12"/>
  <c r="I572" i="12"/>
  <c r="I573" i="12"/>
  <c r="U573" i="12" s="1"/>
  <c r="I574" i="12"/>
  <c r="U574" i="12" s="1"/>
  <c r="I575" i="12"/>
  <c r="P575" i="12" s="1"/>
  <c r="I576" i="12"/>
  <c r="U576" i="12" s="1"/>
  <c r="I577" i="12"/>
  <c r="U577" i="12" s="1"/>
  <c r="I578" i="12"/>
  <c r="I579" i="12"/>
  <c r="I580" i="12"/>
  <c r="I581" i="12"/>
  <c r="U581" i="12" s="1"/>
  <c r="I582" i="12"/>
  <c r="I583" i="12"/>
  <c r="P583" i="12" s="1"/>
  <c r="I584" i="12"/>
  <c r="P584" i="12" s="1"/>
  <c r="I585" i="12"/>
  <c r="P585" i="12" s="1"/>
  <c r="I586" i="12"/>
  <c r="P586" i="12" s="1"/>
  <c r="I587" i="12"/>
  <c r="P587" i="12" s="1"/>
  <c r="I588" i="12"/>
  <c r="P588" i="12" s="1"/>
  <c r="I589" i="12"/>
  <c r="P589" i="12" s="1"/>
  <c r="I590" i="12"/>
  <c r="P590" i="12" s="1"/>
  <c r="I591" i="12"/>
  <c r="P591" i="12" s="1"/>
  <c r="I592" i="12"/>
  <c r="P592" i="12" s="1"/>
  <c r="I593" i="12"/>
  <c r="P593" i="12" s="1"/>
  <c r="I594" i="12"/>
  <c r="P594" i="12" s="1"/>
  <c r="I595" i="12"/>
  <c r="P595" i="12" s="1"/>
  <c r="I596" i="12"/>
  <c r="P596" i="12" s="1"/>
  <c r="I597" i="12"/>
  <c r="P597" i="12" s="1"/>
  <c r="U57" i="12"/>
  <c r="U105" i="12"/>
  <c r="U149" i="12"/>
  <c r="U165" i="12"/>
  <c r="U229" i="12"/>
  <c r="U293" i="12"/>
  <c r="U405" i="12"/>
  <c r="P473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C546" i="12"/>
  <c r="D546" i="12" s="1"/>
  <c r="C544" i="12"/>
  <c r="D544" i="12" s="1"/>
  <c r="D543" i="12"/>
  <c r="C542" i="12"/>
  <c r="D542" i="12" s="1"/>
  <c r="C541" i="12"/>
  <c r="D541" i="12" s="1"/>
  <c r="D540" i="12"/>
  <c r="C539" i="12"/>
  <c r="D539" i="12" s="1"/>
  <c r="C538" i="12"/>
  <c r="D538" i="12" s="1"/>
  <c r="C537" i="12"/>
  <c r="D537" i="12" s="1"/>
  <c r="C536" i="12"/>
  <c r="D536" i="12" s="1"/>
  <c r="C535" i="12"/>
  <c r="D535" i="12" s="1"/>
  <c r="C534" i="12"/>
  <c r="D534" i="12" s="1"/>
  <c r="C533" i="12"/>
  <c r="D533" i="12" s="1"/>
  <c r="C532" i="12"/>
  <c r="D532" i="12" s="1"/>
  <c r="C531" i="12"/>
  <c r="D531" i="12" s="1"/>
  <c r="C530" i="12"/>
  <c r="D530" i="12" s="1"/>
  <c r="C529" i="12"/>
  <c r="D529" i="12" s="1"/>
  <c r="C528" i="12"/>
  <c r="D528" i="12" s="1"/>
  <c r="C527" i="12"/>
  <c r="D527" i="12" s="1"/>
  <c r="C526" i="12"/>
  <c r="D526" i="12" s="1"/>
  <c r="C525" i="12"/>
  <c r="D525" i="12" s="1"/>
  <c r="C524" i="12"/>
  <c r="D524" i="12" s="1"/>
  <c r="C523" i="12"/>
  <c r="D523" i="12" s="1"/>
  <c r="C522" i="12"/>
  <c r="D522" i="12" s="1"/>
  <c r="C521" i="12"/>
  <c r="D521" i="12" s="1"/>
  <c r="C520" i="12"/>
  <c r="D520" i="12" s="1"/>
  <c r="C519" i="12"/>
  <c r="D519" i="12" s="1"/>
  <c r="C518" i="12"/>
  <c r="D518" i="12" s="1"/>
  <c r="D517" i="12"/>
  <c r="C516" i="12"/>
  <c r="D516" i="12" s="1"/>
  <c r="C515" i="12"/>
  <c r="D515" i="12" s="1"/>
  <c r="C514" i="12"/>
  <c r="D514" i="12" s="1"/>
  <c r="C513" i="12"/>
  <c r="D513" i="12" s="1"/>
  <c r="C512" i="12"/>
  <c r="D512" i="12" s="1"/>
  <c r="C511" i="12"/>
  <c r="D511" i="12" s="1"/>
  <c r="C510" i="12"/>
  <c r="D510" i="12" s="1"/>
  <c r="C509" i="12"/>
  <c r="D509" i="12" s="1"/>
  <c r="C508" i="12"/>
  <c r="D508" i="12" s="1"/>
  <c r="C507" i="12"/>
  <c r="D507" i="12" s="1"/>
  <c r="C506" i="12"/>
  <c r="D506" i="12" s="1"/>
  <c r="C505" i="12"/>
  <c r="D505" i="12" s="1"/>
  <c r="C504" i="12"/>
  <c r="D504" i="12" s="1"/>
  <c r="C503" i="12"/>
  <c r="D503" i="12" s="1"/>
  <c r="C502" i="12"/>
  <c r="D502" i="12" s="1"/>
  <c r="C501" i="12"/>
  <c r="D501" i="12" s="1"/>
  <c r="C500" i="12"/>
  <c r="D500" i="12" s="1"/>
  <c r="C499" i="12"/>
  <c r="D499" i="12" s="1"/>
  <c r="C498" i="12"/>
  <c r="D498" i="12" s="1"/>
  <c r="C497" i="12"/>
  <c r="D497" i="12" s="1"/>
  <c r="C496" i="12"/>
  <c r="D496" i="12" s="1"/>
  <c r="C495" i="12"/>
  <c r="D495" i="12" s="1"/>
  <c r="C494" i="12"/>
  <c r="D494" i="12" s="1"/>
  <c r="C493" i="12"/>
  <c r="D493" i="12" s="1"/>
  <c r="C492" i="12"/>
  <c r="D492" i="12" s="1"/>
  <c r="C491" i="12"/>
  <c r="D491" i="12" s="1"/>
  <c r="C490" i="12"/>
  <c r="D490" i="12" s="1"/>
  <c r="C489" i="12"/>
  <c r="D489" i="12" s="1"/>
  <c r="C488" i="12"/>
  <c r="D488" i="12" s="1"/>
  <c r="C487" i="12"/>
  <c r="D487" i="12" s="1"/>
  <c r="C486" i="12"/>
  <c r="D486" i="12" s="1"/>
  <c r="C485" i="12"/>
  <c r="D485" i="12" s="1"/>
  <c r="C484" i="12"/>
  <c r="D484" i="12" s="1"/>
  <c r="C483" i="12"/>
  <c r="D483" i="12" s="1"/>
  <c r="C482" i="12"/>
  <c r="D482" i="12" s="1"/>
  <c r="C481" i="12"/>
  <c r="D481" i="12" s="1"/>
  <c r="C480" i="12"/>
  <c r="D480" i="12" s="1"/>
  <c r="C479" i="12"/>
  <c r="D479" i="12" s="1"/>
  <c r="C478" i="12"/>
  <c r="D478" i="12" s="1"/>
  <c r="C477" i="12"/>
  <c r="D477" i="12" s="1"/>
  <c r="C476" i="12"/>
  <c r="D476" i="12" s="1"/>
  <c r="C475" i="12"/>
  <c r="D475" i="12" s="1"/>
  <c r="C474" i="12"/>
  <c r="D474" i="12" s="1"/>
  <c r="C473" i="12"/>
  <c r="D473" i="12" s="1"/>
  <c r="C472" i="12"/>
  <c r="D472" i="12" s="1"/>
  <c r="C471" i="12"/>
  <c r="D471" i="12" s="1"/>
  <c r="C470" i="12"/>
  <c r="D470" i="12" s="1"/>
  <c r="C469" i="12"/>
  <c r="D469" i="12" s="1"/>
  <c r="C468" i="12"/>
  <c r="D468" i="12" s="1"/>
  <c r="C467" i="12"/>
  <c r="D467" i="12" s="1"/>
  <c r="C466" i="12"/>
  <c r="D466" i="12" s="1"/>
  <c r="C465" i="12"/>
  <c r="D465" i="12" s="1"/>
  <c r="C464" i="12"/>
  <c r="D464" i="12" s="1"/>
  <c r="C463" i="12"/>
  <c r="D463" i="12" s="1"/>
  <c r="C462" i="12"/>
  <c r="D462" i="12" s="1"/>
  <c r="C461" i="12"/>
  <c r="D461" i="12" s="1"/>
  <c r="C460" i="12"/>
  <c r="D460" i="12" s="1"/>
  <c r="C459" i="12"/>
  <c r="D459" i="12" s="1"/>
  <c r="C458" i="12"/>
  <c r="D458" i="12" s="1"/>
  <c r="C457" i="12"/>
  <c r="D457" i="12" s="1"/>
  <c r="C456" i="12"/>
  <c r="D456" i="12" s="1"/>
  <c r="C455" i="12"/>
  <c r="D455" i="12" s="1"/>
  <c r="C454" i="12"/>
  <c r="D454" i="12" s="1"/>
  <c r="C453" i="12"/>
  <c r="D453" i="12" s="1"/>
  <c r="C452" i="12"/>
  <c r="D452" i="12" s="1"/>
  <c r="C451" i="12"/>
  <c r="D451" i="12" s="1"/>
  <c r="C450" i="12"/>
  <c r="D450" i="12" s="1"/>
  <c r="C449" i="12"/>
  <c r="D449" i="12" s="1"/>
  <c r="C448" i="12"/>
  <c r="D448" i="12" s="1"/>
  <c r="C447" i="12"/>
  <c r="D447" i="12" s="1"/>
  <c r="C446" i="12"/>
  <c r="D446" i="12" s="1"/>
  <c r="C445" i="12"/>
  <c r="D445" i="12" s="1"/>
  <c r="C444" i="12"/>
  <c r="D444" i="12" s="1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210" i="12"/>
  <c r="D212" i="12"/>
  <c r="D213" i="12"/>
  <c r="D214" i="12"/>
  <c r="D215" i="12"/>
  <c r="D216" i="12"/>
  <c r="C217" i="12"/>
  <c r="D217" i="12" s="1"/>
  <c r="C218" i="12"/>
  <c r="D218" i="12" s="1"/>
  <c r="D219" i="12"/>
  <c r="D220" i="12"/>
  <c r="C221" i="12"/>
  <c r="D221" i="12" s="1"/>
  <c r="C222" i="12"/>
  <c r="D222" i="12" s="1"/>
  <c r="C223" i="12"/>
  <c r="D223" i="12" s="1"/>
  <c r="C224" i="12"/>
  <c r="D224" i="12" s="1"/>
  <c r="C227" i="12"/>
  <c r="D227" i="12" s="1"/>
  <c r="C228" i="12"/>
  <c r="D228" i="12" s="1"/>
  <c r="C229" i="12"/>
  <c r="D229" i="12" s="1"/>
  <c r="C230" i="12"/>
  <c r="D230" i="12" s="1"/>
  <c r="C231" i="12"/>
  <c r="D231" i="12" s="1"/>
  <c r="C232" i="12"/>
  <c r="D232" i="12" s="1"/>
  <c r="C233" i="12"/>
  <c r="D233" i="12" s="1"/>
  <c r="C234" i="12"/>
  <c r="D234" i="12" s="1"/>
  <c r="C235" i="12"/>
  <c r="D235" i="12" s="1"/>
  <c r="C236" i="12"/>
  <c r="D236" i="12" s="1"/>
  <c r="C237" i="12"/>
  <c r="D237" i="12" s="1"/>
  <c r="C238" i="12"/>
  <c r="D238" i="12" s="1"/>
  <c r="C239" i="12"/>
  <c r="D239" i="12" s="1"/>
  <c r="C240" i="12"/>
  <c r="D240" i="12" s="1"/>
  <c r="C241" i="12"/>
  <c r="D241" i="12" s="1"/>
  <c r="C242" i="12"/>
  <c r="D242" i="12" s="1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C268" i="12"/>
  <c r="D268" i="12" s="1"/>
  <c r="C269" i="12"/>
  <c r="D269" i="12" s="1"/>
  <c r="C270" i="12"/>
  <c r="D270" i="12" s="1"/>
  <c r="C271" i="12"/>
  <c r="D271" i="12" s="1"/>
  <c r="C272" i="12"/>
  <c r="D272" i="12" s="1"/>
  <c r="C273" i="12"/>
  <c r="D273" i="12" s="1"/>
  <c r="C274" i="12"/>
  <c r="D274" i="12" s="1"/>
  <c r="C275" i="12"/>
  <c r="D275" i="12" s="1"/>
  <c r="C276" i="12"/>
  <c r="D276" i="12" s="1"/>
  <c r="C277" i="12"/>
  <c r="D277" i="12" s="1"/>
  <c r="C278" i="12"/>
  <c r="D278" i="12" s="1"/>
  <c r="C279" i="12"/>
  <c r="D279" i="12" s="1"/>
  <c r="C280" i="12"/>
  <c r="D280" i="12" s="1"/>
  <c r="C281" i="12"/>
  <c r="D281" i="12" s="1"/>
  <c r="C282" i="12"/>
  <c r="D282" i="12" s="1"/>
  <c r="C283" i="12"/>
  <c r="D283" i="12" s="1"/>
  <c r="C284" i="12"/>
  <c r="D284" i="12" s="1"/>
  <c r="C285" i="12"/>
  <c r="D285" i="12" s="1"/>
  <c r="C286" i="12"/>
  <c r="D286" i="12" s="1"/>
  <c r="C287" i="12"/>
  <c r="D287" i="12" s="1"/>
  <c r="C288" i="12"/>
  <c r="D288" i="12" s="1"/>
  <c r="D289" i="12"/>
  <c r="D290" i="12"/>
  <c r="D291" i="12"/>
  <c r="D292" i="12"/>
  <c r="D293" i="12"/>
  <c r="D294" i="12"/>
  <c r="C295" i="12"/>
  <c r="D295" i="12" s="1"/>
  <c r="C296" i="12"/>
  <c r="D296" i="12" s="1"/>
  <c r="C297" i="12"/>
  <c r="D297" i="12" s="1"/>
  <c r="D298" i="12"/>
  <c r="C299" i="12"/>
  <c r="D299" i="12" s="1"/>
  <c r="C300" i="12"/>
  <c r="D300" i="12" s="1"/>
  <c r="D301" i="12"/>
  <c r="C302" i="12"/>
  <c r="D302" i="12" s="1"/>
  <c r="C303" i="12"/>
  <c r="D303" i="12" s="1"/>
  <c r="C304" i="12"/>
  <c r="D304" i="12" s="1"/>
  <c r="C305" i="12"/>
  <c r="D305" i="12" s="1"/>
  <c r="D306" i="12"/>
  <c r="C307" i="12"/>
  <c r="D307" i="12" s="1"/>
  <c r="C308" i="12"/>
  <c r="D308" i="12" s="1"/>
  <c r="C309" i="12"/>
  <c r="D309" i="12" s="1"/>
  <c r="C310" i="12"/>
  <c r="D310" i="12" s="1"/>
  <c r="C311" i="12"/>
  <c r="D311" i="12" s="1"/>
  <c r="C312" i="12"/>
  <c r="D312" i="12" s="1"/>
  <c r="C313" i="12"/>
  <c r="D313" i="12" s="1"/>
  <c r="C314" i="12"/>
  <c r="D314" i="12" s="1"/>
  <c r="C315" i="12"/>
  <c r="D315" i="12" s="1"/>
  <c r="C316" i="12"/>
  <c r="D316" i="12" s="1"/>
  <c r="C317" i="12"/>
  <c r="D317" i="12" s="1"/>
  <c r="C318" i="12"/>
  <c r="D318" i="12" s="1"/>
  <c r="C319" i="12"/>
  <c r="D319" i="12" s="1"/>
  <c r="C320" i="12"/>
  <c r="D320" i="12" s="1"/>
  <c r="C321" i="12"/>
  <c r="D321" i="12" s="1"/>
  <c r="C322" i="12"/>
  <c r="D322" i="12" s="1"/>
  <c r="C323" i="12"/>
  <c r="D323" i="12" s="1"/>
  <c r="C324" i="12"/>
  <c r="D324" i="12" s="1"/>
  <c r="C325" i="12"/>
  <c r="D325" i="12" s="1"/>
  <c r="C326" i="12"/>
  <c r="D326" i="12" s="1"/>
  <c r="C327" i="12"/>
  <c r="D327" i="12" s="1"/>
  <c r="C328" i="12"/>
  <c r="D328" i="12" s="1"/>
  <c r="C329" i="12"/>
  <c r="D329" i="12" s="1"/>
  <c r="C330" i="12"/>
  <c r="D330" i="12" s="1"/>
  <c r="C331" i="12"/>
  <c r="D331" i="12" s="1"/>
  <c r="C332" i="12"/>
  <c r="D332" i="12" s="1"/>
  <c r="C333" i="12"/>
  <c r="D333" i="12" s="1"/>
  <c r="C334" i="12"/>
  <c r="D334" i="12" s="1"/>
  <c r="C335" i="12"/>
  <c r="D335" i="12" s="1"/>
  <c r="C336" i="12"/>
  <c r="D336" i="12" s="1"/>
  <c r="C337" i="12"/>
  <c r="D337" i="12" s="1"/>
  <c r="C338" i="12"/>
  <c r="D338" i="12" s="1"/>
  <c r="C339" i="12"/>
  <c r="D339" i="12" s="1"/>
  <c r="C340" i="12"/>
  <c r="D340" i="12" s="1"/>
  <c r="C341" i="12"/>
  <c r="D341" i="12" s="1"/>
  <c r="C342" i="12"/>
  <c r="D342" i="12" s="1"/>
  <c r="C343" i="12"/>
  <c r="D343" i="12" s="1"/>
  <c r="C344" i="12"/>
  <c r="D344" i="12" s="1"/>
  <c r="C345" i="12"/>
  <c r="D345" i="12" s="1"/>
  <c r="C346" i="12"/>
  <c r="D346" i="12" s="1"/>
  <c r="C347" i="12"/>
  <c r="D347" i="12" s="1"/>
  <c r="C348" i="12"/>
  <c r="D348" i="12" s="1"/>
  <c r="C349" i="12"/>
  <c r="D349" i="12" s="1"/>
  <c r="C350" i="12"/>
  <c r="D350" i="12" s="1"/>
  <c r="C351" i="12"/>
  <c r="D351" i="12" s="1"/>
  <c r="C352" i="12"/>
  <c r="D352" i="12" s="1"/>
  <c r="C353" i="12"/>
  <c r="D353" i="12" s="1"/>
  <c r="C354" i="12"/>
  <c r="D354" i="12" s="1"/>
  <c r="C355" i="12"/>
  <c r="D355" i="12" s="1"/>
  <c r="C356" i="12"/>
  <c r="D356" i="12" s="1"/>
  <c r="C357" i="12"/>
  <c r="D357" i="12" s="1"/>
  <c r="C358" i="12"/>
  <c r="D358" i="12" s="1"/>
  <c r="C359" i="12"/>
  <c r="D359" i="12" s="1"/>
  <c r="C360" i="12"/>
  <c r="D360" i="12" s="1"/>
  <c r="C361" i="12"/>
  <c r="D361" i="12" s="1"/>
  <c r="C362" i="12"/>
  <c r="D362" i="12" s="1"/>
  <c r="C363" i="12"/>
  <c r="D363" i="12" s="1"/>
  <c r="C364" i="12"/>
  <c r="D364" i="12" s="1"/>
  <c r="C365" i="12"/>
  <c r="D365" i="12" s="1"/>
  <c r="C366" i="12"/>
  <c r="D366" i="12" s="1"/>
  <c r="C367" i="12"/>
  <c r="D367" i="12" s="1"/>
  <c r="C368" i="12"/>
  <c r="D368" i="12" s="1"/>
  <c r="C369" i="12"/>
  <c r="D369" i="12" s="1"/>
  <c r="C370" i="12"/>
  <c r="D370" i="12" s="1"/>
  <c r="C371" i="12"/>
  <c r="D371" i="12" s="1"/>
  <c r="D372" i="12"/>
  <c r="D373" i="12"/>
  <c r="D374" i="12"/>
  <c r="D375" i="12"/>
  <c r="D376" i="12"/>
  <c r="D377" i="12"/>
  <c r="D378" i="12"/>
  <c r="D379" i="12"/>
  <c r="D380" i="12"/>
  <c r="I7" i="12"/>
  <c r="P7" i="12" s="1"/>
  <c r="I8" i="12"/>
  <c r="P8" i="12" s="1"/>
  <c r="I9" i="12"/>
  <c r="P9" i="12" s="1"/>
  <c r="I10" i="12"/>
  <c r="P358" i="12"/>
  <c r="I6" i="12"/>
  <c r="P6" i="12" s="1"/>
  <c r="P4" i="12"/>
  <c r="H92" i="13"/>
  <c r="J92" i="13"/>
  <c r="L92" i="13"/>
  <c r="N92" i="13"/>
  <c r="P92" i="13"/>
  <c r="Q306" i="13"/>
  <c r="O306" i="13"/>
  <c r="M306" i="13"/>
  <c r="K306" i="13"/>
  <c r="I306" i="13"/>
  <c r="G306" i="13"/>
  <c r="E306" i="13"/>
  <c r="Q305" i="13"/>
  <c r="O305" i="13"/>
  <c r="M305" i="13"/>
  <c r="K305" i="13"/>
  <c r="I305" i="13"/>
  <c r="G305" i="13"/>
  <c r="E305" i="13"/>
  <c r="Q304" i="13"/>
  <c r="O304" i="13"/>
  <c r="M304" i="13"/>
  <c r="K304" i="13"/>
  <c r="I304" i="13"/>
  <c r="G304" i="13"/>
  <c r="E304" i="13"/>
  <c r="Q303" i="13"/>
  <c r="O303" i="13"/>
  <c r="M303" i="13"/>
  <c r="K303" i="13"/>
  <c r="I303" i="13"/>
  <c r="G303" i="13"/>
  <c r="E303" i="13"/>
  <c r="Q302" i="13"/>
  <c r="O302" i="13"/>
  <c r="M302" i="13"/>
  <c r="K302" i="13"/>
  <c r="I302" i="13"/>
  <c r="G302" i="13"/>
  <c r="E302" i="13"/>
  <c r="Q301" i="13"/>
  <c r="O301" i="13"/>
  <c r="M301" i="13"/>
  <c r="K301" i="13"/>
  <c r="I301" i="13"/>
  <c r="G301" i="13"/>
  <c r="E301" i="13"/>
  <c r="Q300" i="13"/>
  <c r="O300" i="13"/>
  <c r="M300" i="13"/>
  <c r="K300" i="13"/>
  <c r="I300" i="13"/>
  <c r="G300" i="13"/>
  <c r="E300" i="13"/>
  <c r="Q299" i="13"/>
  <c r="O299" i="13"/>
  <c r="M299" i="13"/>
  <c r="K299" i="13"/>
  <c r="I299" i="13"/>
  <c r="G299" i="13"/>
  <c r="E299" i="13"/>
  <c r="Q298" i="13"/>
  <c r="O298" i="13"/>
  <c r="M298" i="13"/>
  <c r="K298" i="13"/>
  <c r="I298" i="13"/>
  <c r="G298" i="13"/>
  <c r="E298" i="13"/>
  <c r="Q297" i="13"/>
  <c r="O297" i="13"/>
  <c r="M297" i="13"/>
  <c r="K297" i="13"/>
  <c r="I297" i="13"/>
  <c r="G297" i="13"/>
  <c r="E297" i="13"/>
  <c r="Q296" i="13"/>
  <c r="O296" i="13"/>
  <c r="M296" i="13"/>
  <c r="K296" i="13"/>
  <c r="I296" i="13"/>
  <c r="G296" i="13"/>
  <c r="E296" i="13"/>
  <c r="Q295" i="13"/>
  <c r="O295" i="13"/>
  <c r="M295" i="13"/>
  <c r="K295" i="13"/>
  <c r="I295" i="13"/>
  <c r="G295" i="13"/>
  <c r="E295" i="13"/>
  <c r="Q294" i="13"/>
  <c r="O294" i="13"/>
  <c r="M294" i="13"/>
  <c r="K294" i="13"/>
  <c r="I294" i="13"/>
  <c r="G294" i="13"/>
  <c r="E294" i="13"/>
  <c r="Q293" i="13"/>
  <c r="O293" i="13"/>
  <c r="M293" i="13"/>
  <c r="K293" i="13"/>
  <c r="I293" i="13"/>
  <c r="G293" i="13"/>
  <c r="E293" i="13"/>
  <c r="Q292" i="13"/>
  <c r="O292" i="13"/>
  <c r="M292" i="13"/>
  <c r="K292" i="13"/>
  <c r="I292" i="13"/>
  <c r="G292" i="13"/>
  <c r="E292" i="13"/>
  <c r="Q291" i="13"/>
  <c r="O291" i="13"/>
  <c r="M291" i="13"/>
  <c r="K291" i="13"/>
  <c r="I291" i="13"/>
  <c r="G291" i="13"/>
  <c r="E291" i="13"/>
  <c r="Q290" i="13"/>
  <c r="O290" i="13"/>
  <c r="M290" i="13"/>
  <c r="K290" i="13"/>
  <c r="I290" i="13"/>
  <c r="G290" i="13"/>
  <c r="E290" i="13"/>
  <c r="Q289" i="13"/>
  <c r="O289" i="13"/>
  <c r="M289" i="13"/>
  <c r="K289" i="13"/>
  <c r="I289" i="13"/>
  <c r="G289" i="13"/>
  <c r="E289" i="13"/>
  <c r="Q288" i="13"/>
  <c r="O288" i="13"/>
  <c r="M288" i="13"/>
  <c r="K288" i="13"/>
  <c r="I288" i="13"/>
  <c r="G288" i="13"/>
  <c r="E288" i="13"/>
  <c r="Q287" i="13"/>
  <c r="O287" i="13"/>
  <c r="M287" i="13"/>
  <c r="K287" i="13"/>
  <c r="I287" i="13"/>
  <c r="G287" i="13"/>
  <c r="E287" i="13"/>
  <c r="Q286" i="13"/>
  <c r="O286" i="13"/>
  <c r="M286" i="13"/>
  <c r="K286" i="13"/>
  <c r="I286" i="13"/>
  <c r="G286" i="13"/>
  <c r="E286" i="13"/>
  <c r="Q285" i="13"/>
  <c r="O285" i="13"/>
  <c r="M285" i="13"/>
  <c r="K285" i="13"/>
  <c r="I285" i="13"/>
  <c r="G285" i="13"/>
  <c r="E285" i="13"/>
  <c r="Q284" i="13"/>
  <c r="O284" i="13"/>
  <c r="M284" i="13"/>
  <c r="K284" i="13"/>
  <c r="I284" i="13"/>
  <c r="G284" i="13"/>
  <c r="E284" i="13"/>
  <c r="Q283" i="13"/>
  <c r="O283" i="13"/>
  <c r="M283" i="13"/>
  <c r="K283" i="13"/>
  <c r="I283" i="13"/>
  <c r="G283" i="13"/>
  <c r="E283" i="13"/>
  <c r="Q282" i="13"/>
  <c r="O282" i="13"/>
  <c r="M282" i="13"/>
  <c r="K282" i="13"/>
  <c r="I282" i="13"/>
  <c r="G282" i="13"/>
  <c r="E282" i="13"/>
  <c r="Q281" i="13"/>
  <c r="O281" i="13"/>
  <c r="M281" i="13"/>
  <c r="K281" i="13"/>
  <c r="I281" i="13"/>
  <c r="G281" i="13"/>
  <c r="E281" i="13"/>
  <c r="Q280" i="13"/>
  <c r="O280" i="13"/>
  <c r="M280" i="13"/>
  <c r="K280" i="13"/>
  <c r="I280" i="13"/>
  <c r="G280" i="13"/>
  <c r="E280" i="13"/>
  <c r="Q279" i="13"/>
  <c r="O279" i="13"/>
  <c r="M279" i="13"/>
  <c r="K279" i="13"/>
  <c r="I279" i="13"/>
  <c r="G279" i="13"/>
  <c r="E279" i="13"/>
  <c r="Q278" i="13"/>
  <c r="O278" i="13"/>
  <c r="M278" i="13"/>
  <c r="K278" i="13"/>
  <c r="I278" i="13"/>
  <c r="G278" i="13"/>
  <c r="E278" i="13"/>
  <c r="Q277" i="13"/>
  <c r="O277" i="13"/>
  <c r="M277" i="13"/>
  <c r="K277" i="13"/>
  <c r="I277" i="13"/>
  <c r="G277" i="13"/>
  <c r="E277" i="13"/>
  <c r="Q276" i="13"/>
  <c r="O276" i="13"/>
  <c r="M276" i="13"/>
  <c r="K276" i="13"/>
  <c r="I276" i="13"/>
  <c r="G276" i="13"/>
  <c r="E276" i="13"/>
  <c r="Q275" i="13"/>
  <c r="O275" i="13"/>
  <c r="M275" i="13"/>
  <c r="K275" i="13"/>
  <c r="I275" i="13"/>
  <c r="G275" i="13"/>
  <c r="E275" i="13"/>
  <c r="Q274" i="13"/>
  <c r="O274" i="13"/>
  <c r="M274" i="13"/>
  <c r="K274" i="13"/>
  <c r="I274" i="13"/>
  <c r="G274" i="13"/>
  <c r="E274" i="13"/>
  <c r="Q273" i="13"/>
  <c r="O273" i="13"/>
  <c r="M273" i="13"/>
  <c r="K273" i="13"/>
  <c r="I273" i="13"/>
  <c r="G273" i="13"/>
  <c r="E273" i="13"/>
  <c r="Q272" i="13"/>
  <c r="O272" i="13"/>
  <c r="M272" i="13"/>
  <c r="K272" i="13"/>
  <c r="I272" i="13"/>
  <c r="G272" i="13"/>
  <c r="E272" i="13"/>
  <c r="Q271" i="13"/>
  <c r="O271" i="13"/>
  <c r="M271" i="13"/>
  <c r="K271" i="13"/>
  <c r="I271" i="13"/>
  <c r="G271" i="13"/>
  <c r="E271" i="13"/>
  <c r="Q270" i="13"/>
  <c r="O270" i="13"/>
  <c r="M270" i="13"/>
  <c r="K270" i="13"/>
  <c r="I270" i="13"/>
  <c r="G270" i="13"/>
  <c r="E270" i="13"/>
  <c r="Q269" i="13"/>
  <c r="O269" i="13"/>
  <c r="M269" i="13"/>
  <c r="K269" i="13"/>
  <c r="I269" i="13"/>
  <c r="G269" i="13"/>
  <c r="E269" i="13"/>
  <c r="Q268" i="13"/>
  <c r="O268" i="13"/>
  <c r="M268" i="13"/>
  <c r="K268" i="13"/>
  <c r="I268" i="13"/>
  <c r="G268" i="13"/>
  <c r="E268" i="13"/>
  <c r="Q267" i="13"/>
  <c r="O267" i="13"/>
  <c r="M267" i="13"/>
  <c r="K267" i="13"/>
  <c r="I267" i="13"/>
  <c r="G267" i="13"/>
  <c r="E267" i="13"/>
  <c r="Q266" i="13"/>
  <c r="O266" i="13"/>
  <c r="M266" i="13"/>
  <c r="K266" i="13"/>
  <c r="I266" i="13"/>
  <c r="G266" i="13"/>
  <c r="E266" i="13"/>
  <c r="Q265" i="13"/>
  <c r="O265" i="13"/>
  <c r="M265" i="13"/>
  <c r="K265" i="13"/>
  <c r="I265" i="13"/>
  <c r="G265" i="13"/>
  <c r="E265" i="13"/>
  <c r="Q264" i="13"/>
  <c r="O264" i="13"/>
  <c r="M264" i="13"/>
  <c r="K264" i="13"/>
  <c r="I264" i="13"/>
  <c r="G264" i="13"/>
  <c r="E264" i="13"/>
  <c r="Q263" i="13"/>
  <c r="O263" i="13"/>
  <c r="M263" i="13"/>
  <c r="K263" i="13"/>
  <c r="I263" i="13"/>
  <c r="G263" i="13"/>
  <c r="E263" i="13"/>
  <c r="Q262" i="13"/>
  <c r="O262" i="13"/>
  <c r="M262" i="13"/>
  <c r="K262" i="13"/>
  <c r="I262" i="13"/>
  <c r="G262" i="13"/>
  <c r="E262" i="13"/>
  <c r="Q261" i="13"/>
  <c r="O261" i="13"/>
  <c r="M261" i="13"/>
  <c r="K261" i="13"/>
  <c r="I261" i="13"/>
  <c r="G261" i="13"/>
  <c r="E261" i="13"/>
  <c r="Q260" i="13"/>
  <c r="O260" i="13"/>
  <c r="M260" i="13"/>
  <c r="K260" i="13"/>
  <c r="I260" i="13"/>
  <c r="G260" i="13"/>
  <c r="E260" i="13"/>
  <c r="Q259" i="13"/>
  <c r="O259" i="13"/>
  <c r="M259" i="13"/>
  <c r="K259" i="13"/>
  <c r="I259" i="13"/>
  <c r="G259" i="13"/>
  <c r="E259" i="13"/>
  <c r="Q258" i="13"/>
  <c r="O258" i="13"/>
  <c r="M258" i="13"/>
  <c r="K258" i="13"/>
  <c r="I258" i="13"/>
  <c r="G258" i="13"/>
  <c r="E258" i="13"/>
  <c r="Q257" i="13"/>
  <c r="O257" i="13"/>
  <c r="M257" i="13"/>
  <c r="K257" i="13"/>
  <c r="I257" i="13"/>
  <c r="G257" i="13"/>
  <c r="E257" i="13"/>
  <c r="Q256" i="13"/>
  <c r="O256" i="13"/>
  <c r="M256" i="13"/>
  <c r="K256" i="13"/>
  <c r="I256" i="13"/>
  <c r="G256" i="13"/>
  <c r="E256" i="13"/>
  <c r="Q255" i="13"/>
  <c r="O255" i="13"/>
  <c r="M255" i="13"/>
  <c r="K255" i="13"/>
  <c r="I255" i="13"/>
  <c r="G255" i="13"/>
  <c r="E255" i="13"/>
  <c r="Q254" i="13"/>
  <c r="O254" i="13"/>
  <c r="M254" i="13"/>
  <c r="K254" i="13"/>
  <c r="I254" i="13"/>
  <c r="G254" i="13"/>
  <c r="E254" i="13"/>
  <c r="Q253" i="13"/>
  <c r="O253" i="13"/>
  <c r="M253" i="13"/>
  <c r="K253" i="13"/>
  <c r="I253" i="13"/>
  <c r="G253" i="13"/>
  <c r="E253" i="13"/>
  <c r="Q252" i="13"/>
  <c r="O252" i="13"/>
  <c r="M252" i="13"/>
  <c r="K252" i="13"/>
  <c r="I252" i="13"/>
  <c r="G252" i="13"/>
  <c r="E252" i="13"/>
  <c r="Q251" i="13"/>
  <c r="O251" i="13"/>
  <c r="M251" i="13"/>
  <c r="K251" i="13"/>
  <c r="I251" i="13"/>
  <c r="G251" i="13"/>
  <c r="E251" i="13"/>
  <c r="Q250" i="13"/>
  <c r="O250" i="13"/>
  <c r="M250" i="13"/>
  <c r="K250" i="13"/>
  <c r="I250" i="13"/>
  <c r="G250" i="13"/>
  <c r="E250" i="13"/>
  <c r="Q249" i="13"/>
  <c r="O249" i="13"/>
  <c r="M249" i="13"/>
  <c r="K249" i="13"/>
  <c r="I249" i="13"/>
  <c r="G249" i="13"/>
  <c r="E249" i="13"/>
  <c r="Q248" i="13"/>
  <c r="O248" i="13"/>
  <c r="M248" i="13"/>
  <c r="K248" i="13"/>
  <c r="I248" i="13"/>
  <c r="G248" i="13"/>
  <c r="E248" i="13"/>
  <c r="Q247" i="13"/>
  <c r="O247" i="13"/>
  <c r="M247" i="13"/>
  <c r="K247" i="13"/>
  <c r="I247" i="13"/>
  <c r="G247" i="13"/>
  <c r="E247" i="13"/>
  <c r="Q246" i="13"/>
  <c r="O246" i="13"/>
  <c r="M246" i="13"/>
  <c r="K246" i="13"/>
  <c r="I246" i="13"/>
  <c r="G246" i="13"/>
  <c r="E246" i="13"/>
  <c r="Q245" i="13"/>
  <c r="O245" i="13"/>
  <c r="M245" i="13"/>
  <c r="K245" i="13"/>
  <c r="I245" i="13"/>
  <c r="G245" i="13"/>
  <c r="E245" i="13"/>
  <c r="Q244" i="13"/>
  <c r="O244" i="13"/>
  <c r="M244" i="13"/>
  <c r="K244" i="13"/>
  <c r="I244" i="13"/>
  <c r="G244" i="13"/>
  <c r="E244" i="13"/>
  <c r="Q243" i="13"/>
  <c r="O243" i="13"/>
  <c r="M243" i="13"/>
  <c r="K243" i="13"/>
  <c r="I243" i="13"/>
  <c r="G243" i="13"/>
  <c r="E243" i="13"/>
  <c r="Q242" i="13"/>
  <c r="O242" i="13"/>
  <c r="M242" i="13"/>
  <c r="K242" i="13"/>
  <c r="I242" i="13"/>
  <c r="G242" i="13"/>
  <c r="E242" i="13"/>
  <c r="Q241" i="13"/>
  <c r="O241" i="13"/>
  <c r="M241" i="13"/>
  <c r="K241" i="13"/>
  <c r="I241" i="13"/>
  <c r="G241" i="13"/>
  <c r="E241" i="13"/>
  <c r="Q240" i="13"/>
  <c r="O240" i="13"/>
  <c r="M240" i="13"/>
  <c r="K240" i="13"/>
  <c r="I240" i="13"/>
  <c r="G240" i="13"/>
  <c r="E240" i="13"/>
  <c r="Q239" i="13"/>
  <c r="O239" i="13"/>
  <c r="M239" i="13"/>
  <c r="K239" i="13"/>
  <c r="I239" i="13"/>
  <c r="G239" i="13"/>
  <c r="E239" i="13"/>
  <c r="Q238" i="13"/>
  <c r="O238" i="13"/>
  <c r="M238" i="13"/>
  <c r="K238" i="13"/>
  <c r="I238" i="13"/>
  <c r="G238" i="13"/>
  <c r="E238" i="13"/>
  <c r="Q237" i="13"/>
  <c r="O237" i="13"/>
  <c r="M237" i="13"/>
  <c r="K237" i="13"/>
  <c r="I237" i="13"/>
  <c r="G237" i="13"/>
  <c r="E237" i="13"/>
  <c r="Q236" i="13"/>
  <c r="O236" i="13"/>
  <c r="M236" i="13"/>
  <c r="K236" i="13"/>
  <c r="I236" i="13"/>
  <c r="G236" i="13"/>
  <c r="E236" i="13"/>
  <c r="Q235" i="13"/>
  <c r="O235" i="13"/>
  <c r="M235" i="13"/>
  <c r="K235" i="13"/>
  <c r="I235" i="13"/>
  <c r="G235" i="13"/>
  <c r="E235" i="13"/>
  <c r="Q234" i="13"/>
  <c r="O234" i="13"/>
  <c r="M234" i="13"/>
  <c r="K234" i="13"/>
  <c r="I234" i="13"/>
  <c r="G234" i="13"/>
  <c r="E234" i="13"/>
  <c r="Q233" i="13"/>
  <c r="O233" i="13"/>
  <c r="M233" i="13"/>
  <c r="K233" i="13"/>
  <c r="I233" i="13"/>
  <c r="G233" i="13"/>
  <c r="E233" i="13"/>
  <c r="Q232" i="13"/>
  <c r="O232" i="13"/>
  <c r="M232" i="13"/>
  <c r="K232" i="13"/>
  <c r="I232" i="13"/>
  <c r="G232" i="13"/>
  <c r="E232" i="13"/>
  <c r="Q231" i="13"/>
  <c r="O231" i="13"/>
  <c r="M231" i="13"/>
  <c r="K231" i="13"/>
  <c r="I231" i="13"/>
  <c r="G231" i="13"/>
  <c r="E231" i="13"/>
  <c r="Q230" i="13"/>
  <c r="O230" i="13"/>
  <c r="M230" i="13"/>
  <c r="K230" i="13"/>
  <c r="I230" i="13"/>
  <c r="G230" i="13"/>
  <c r="E230" i="13"/>
  <c r="Q229" i="13"/>
  <c r="O229" i="13"/>
  <c r="M229" i="13"/>
  <c r="K229" i="13"/>
  <c r="I229" i="13"/>
  <c r="G229" i="13"/>
  <c r="E229" i="13"/>
  <c r="Q228" i="13"/>
  <c r="O228" i="13"/>
  <c r="M228" i="13"/>
  <c r="K228" i="13"/>
  <c r="I228" i="13"/>
  <c r="G228" i="13"/>
  <c r="E228" i="13"/>
  <c r="Q227" i="13"/>
  <c r="O227" i="13"/>
  <c r="M227" i="13"/>
  <c r="K227" i="13"/>
  <c r="I227" i="13"/>
  <c r="G227" i="13"/>
  <c r="E227" i="13"/>
  <c r="Q226" i="13"/>
  <c r="O226" i="13"/>
  <c r="M226" i="13"/>
  <c r="K226" i="13"/>
  <c r="I226" i="13"/>
  <c r="G226" i="13"/>
  <c r="E226" i="13"/>
  <c r="Q225" i="13"/>
  <c r="O225" i="13"/>
  <c r="M225" i="13"/>
  <c r="K225" i="13"/>
  <c r="I225" i="13"/>
  <c r="G225" i="13"/>
  <c r="E225" i="13"/>
  <c r="Q224" i="13"/>
  <c r="O224" i="13"/>
  <c r="M224" i="13"/>
  <c r="K224" i="13"/>
  <c r="I224" i="13"/>
  <c r="G224" i="13"/>
  <c r="E224" i="13"/>
  <c r="Q223" i="13"/>
  <c r="O223" i="13"/>
  <c r="M223" i="13"/>
  <c r="K223" i="13"/>
  <c r="I223" i="13"/>
  <c r="G223" i="13"/>
  <c r="E223" i="13"/>
  <c r="Q222" i="13"/>
  <c r="O222" i="13"/>
  <c r="M222" i="13"/>
  <c r="K222" i="13"/>
  <c r="I222" i="13"/>
  <c r="G222" i="13"/>
  <c r="E222" i="13"/>
  <c r="Q221" i="13"/>
  <c r="O221" i="13"/>
  <c r="M221" i="13"/>
  <c r="K221" i="13"/>
  <c r="I221" i="13"/>
  <c r="G221" i="13"/>
  <c r="E221" i="13"/>
  <c r="Q220" i="13"/>
  <c r="O220" i="13"/>
  <c r="M220" i="13"/>
  <c r="K220" i="13"/>
  <c r="I220" i="13"/>
  <c r="G220" i="13"/>
  <c r="E220" i="13"/>
  <c r="Q219" i="13"/>
  <c r="O219" i="13"/>
  <c r="M219" i="13"/>
  <c r="K219" i="13"/>
  <c r="I219" i="13"/>
  <c r="G219" i="13"/>
  <c r="E219" i="13"/>
  <c r="Q218" i="13"/>
  <c r="O218" i="13"/>
  <c r="M218" i="13"/>
  <c r="K218" i="13"/>
  <c r="I218" i="13"/>
  <c r="G218" i="13"/>
  <c r="E218" i="13"/>
  <c r="Q217" i="13"/>
  <c r="O217" i="13"/>
  <c r="M217" i="13"/>
  <c r="K217" i="13"/>
  <c r="I217" i="13"/>
  <c r="G217" i="13"/>
  <c r="E217" i="13"/>
  <c r="Q216" i="13"/>
  <c r="O216" i="13"/>
  <c r="M216" i="13"/>
  <c r="K216" i="13"/>
  <c r="I216" i="13"/>
  <c r="G216" i="13"/>
  <c r="E216" i="13"/>
  <c r="Q215" i="13"/>
  <c r="O215" i="13"/>
  <c r="M215" i="13"/>
  <c r="K215" i="13"/>
  <c r="I215" i="13"/>
  <c r="G215" i="13"/>
  <c r="E215" i="13"/>
  <c r="Q214" i="13"/>
  <c r="O214" i="13"/>
  <c r="M214" i="13"/>
  <c r="K214" i="13"/>
  <c r="I214" i="13"/>
  <c r="G214" i="13"/>
  <c r="E214" i="13"/>
  <c r="Q213" i="13"/>
  <c r="O213" i="13"/>
  <c r="M213" i="13"/>
  <c r="K213" i="13"/>
  <c r="I213" i="13"/>
  <c r="G213" i="13"/>
  <c r="E213" i="13"/>
  <c r="Q212" i="13"/>
  <c r="O212" i="13"/>
  <c r="M212" i="13"/>
  <c r="K212" i="13"/>
  <c r="I212" i="13"/>
  <c r="G212" i="13"/>
  <c r="E212" i="13"/>
  <c r="Q211" i="13"/>
  <c r="O211" i="13"/>
  <c r="M211" i="13"/>
  <c r="K211" i="13"/>
  <c r="I211" i="13"/>
  <c r="G211" i="13"/>
  <c r="E211" i="13"/>
  <c r="Q210" i="13"/>
  <c r="O210" i="13"/>
  <c r="M210" i="13"/>
  <c r="K210" i="13"/>
  <c r="I210" i="13"/>
  <c r="G210" i="13"/>
  <c r="E210" i="13"/>
  <c r="Q209" i="13"/>
  <c r="O209" i="13"/>
  <c r="M209" i="13"/>
  <c r="K209" i="13"/>
  <c r="I209" i="13"/>
  <c r="G209" i="13"/>
  <c r="E209" i="13"/>
  <c r="Q208" i="13"/>
  <c r="O208" i="13"/>
  <c r="M208" i="13"/>
  <c r="K208" i="13"/>
  <c r="I208" i="13"/>
  <c r="G208" i="13"/>
  <c r="E208" i="13"/>
  <c r="Q207" i="13"/>
  <c r="O207" i="13"/>
  <c r="M207" i="13"/>
  <c r="K207" i="13"/>
  <c r="I207" i="13"/>
  <c r="G207" i="13"/>
  <c r="E207" i="13"/>
  <c r="Q206" i="13"/>
  <c r="O206" i="13"/>
  <c r="M206" i="13"/>
  <c r="K206" i="13"/>
  <c r="I206" i="13"/>
  <c r="G206" i="13"/>
  <c r="E206" i="13"/>
  <c r="Q205" i="13"/>
  <c r="O205" i="13"/>
  <c r="M205" i="13"/>
  <c r="K205" i="13"/>
  <c r="I205" i="13"/>
  <c r="G205" i="13"/>
  <c r="E205" i="13"/>
  <c r="Q204" i="13"/>
  <c r="O204" i="13"/>
  <c r="M204" i="13"/>
  <c r="K204" i="13"/>
  <c r="I204" i="13"/>
  <c r="G204" i="13"/>
  <c r="E204" i="13"/>
  <c r="Q203" i="13"/>
  <c r="O203" i="13"/>
  <c r="M203" i="13"/>
  <c r="K203" i="13"/>
  <c r="I203" i="13"/>
  <c r="G203" i="13"/>
  <c r="E203" i="13"/>
  <c r="Q202" i="13"/>
  <c r="O202" i="13"/>
  <c r="M202" i="13"/>
  <c r="K202" i="13"/>
  <c r="I202" i="13"/>
  <c r="Q190" i="13"/>
  <c r="O190" i="13"/>
  <c r="M190" i="13"/>
  <c r="K190" i="13"/>
  <c r="I190" i="13"/>
  <c r="G190" i="13"/>
  <c r="E190" i="13"/>
  <c r="Q189" i="13"/>
  <c r="O189" i="13"/>
  <c r="M189" i="13"/>
  <c r="K189" i="13"/>
  <c r="I189" i="13"/>
  <c r="G189" i="13"/>
  <c r="E189" i="13"/>
  <c r="Q188" i="13"/>
  <c r="O188" i="13"/>
  <c r="M188" i="13"/>
  <c r="K188" i="13"/>
  <c r="I188" i="13"/>
  <c r="G188" i="13"/>
  <c r="E188" i="13"/>
  <c r="Q187" i="13"/>
  <c r="O187" i="13"/>
  <c r="M187" i="13"/>
  <c r="K187" i="13"/>
  <c r="I187" i="13"/>
  <c r="G187" i="13"/>
  <c r="E187" i="13"/>
  <c r="G186" i="13"/>
  <c r="E186" i="13"/>
  <c r="G185" i="13"/>
  <c r="E185" i="13"/>
  <c r="G184" i="13"/>
  <c r="E184" i="13"/>
  <c r="G183" i="13"/>
  <c r="E183" i="13"/>
  <c r="G182" i="13"/>
  <c r="E182" i="13"/>
  <c r="G181" i="13"/>
  <c r="E181" i="13"/>
  <c r="G180" i="13"/>
  <c r="E180" i="13"/>
  <c r="G179" i="13"/>
  <c r="E179" i="13"/>
  <c r="G178" i="13"/>
  <c r="E178" i="13"/>
  <c r="G177" i="13"/>
  <c r="E177" i="13"/>
  <c r="G176" i="13"/>
  <c r="E176" i="13"/>
  <c r="G175" i="13"/>
  <c r="E175" i="13"/>
  <c r="G174" i="13"/>
  <c r="E174" i="13"/>
  <c r="G173" i="13"/>
  <c r="E173" i="13"/>
  <c r="G172" i="13"/>
  <c r="E172" i="13"/>
  <c r="G171" i="13"/>
  <c r="E171" i="13"/>
  <c r="G170" i="13"/>
  <c r="E170" i="13"/>
  <c r="G169" i="13"/>
  <c r="E169" i="13"/>
  <c r="G168" i="13"/>
  <c r="E168" i="13"/>
  <c r="G167" i="13"/>
  <c r="E167" i="13"/>
  <c r="G166" i="13"/>
  <c r="E166" i="13"/>
  <c r="G165" i="13"/>
  <c r="E165" i="13"/>
  <c r="G164" i="13"/>
  <c r="E164" i="13"/>
  <c r="G163" i="13"/>
  <c r="E163" i="13"/>
  <c r="G162" i="13"/>
  <c r="E162" i="13"/>
  <c r="G161" i="13"/>
  <c r="E161" i="13"/>
  <c r="G160" i="13"/>
  <c r="E160" i="13"/>
  <c r="G159" i="13"/>
  <c r="E159" i="13"/>
  <c r="G158" i="13"/>
  <c r="E158" i="13"/>
  <c r="G157" i="13"/>
  <c r="E157" i="13"/>
  <c r="G156" i="13"/>
  <c r="E156" i="13"/>
  <c r="G155" i="13"/>
  <c r="E155" i="13"/>
  <c r="G154" i="13"/>
  <c r="E154" i="13"/>
  <c r="G153" i="13"/>
  <c r="E153" i="13"/>
  <c r="G152" i="13"/>
  <c r="E152" i="13"/>
  <c r="G151" i="13"/>
  <c r="E151" i="13"/>
  <c r="G150" i="13"/>
  <c r="E150" i="13"/>
  <c r="G149" i="13"/>
  <c r="E149" i="13"/>
  <c r="G148" i="13"/>
  <c r="E148" i="13"/>
  <c r="G147" i="13"/>
  <c r="E147" i="13"/>
  <c r="G146" i="13"/>
  <c r="E146" i="13"/>
  <c r="G145" i="13"/>
  <c r="E145" i="13"/>
  <c r="G144" i="13"/>
  <c r="E144" i="13"/>
  <c r="G143" i="13"/>
  <c r="E143" i="13"/>
  <c r="G142" i="13"/>
  <c r="E142" i="13"/>
  <c r="G141" i="13"/>
  <c r="E141" i="13"/>
  <c r="G140" i="13"/>
  <c r="E140" i="13"/>
  <c r="G139" i="13"/>
  <c r="E139" i="13"/>
  <c r="G138" i="13"/>
  <c r="E138" i="13"/>
  <c r="G137" i="13"/>
  <c r="E137" i="13"/>
  <c r="G136" i="13"/>
  <c r="E136" i="13"/>
  <c r="G135" i="13"/>
  <c r="E135" i="13"/>
  <c r="G134" i="13"/>
  <c r="E134" i="13"/>
  <c r="G133" i="13"/>
  <c r="E133" i="13"/>
  <c r="G132" i="13"/>
  <c r="E132" i="13"/>
  <c r="G131" i="13"/>
  <c r="E131" i="13"/>
  <c r="G130" i="13"/>
  <c r="E130" i="13"/>
  <c r="G129" i="13"/>
  <c r="E129" i="13"/>
  <c r="G128" i="13"/>
  <c r="E128" i="13"/>
  <c r="G127" i="13"/>
  <c r="E127" i="13"/>
  <c r="G126" i="13"/>
  <c r="E126" i="13"/>
  <c r="G125" i="13"/>
  <c r="E125" i="13"/>
  <c r="G124" i="13"/>
  <c r="E124" i="13"/>
  <c r="G123" i="13"/>
  <c r="E123" i="13"/>
  <c r="G122" i="13"/>
  <c r="E122" i="13"/>
  <c r="G121" i="13"/>
  <c r="E121" i="13"/>
  <c r="G120" i="13"/>
  <c r="E120" i="13"/>
  <c r="G119" i="13"/>
  <c r="E119" i="13"/>
  <c r="G118" i="13"/>
  <c r="E118" i="13"/>
  <c r="G117" i="13"/>
  <c r="E117" i="13"/>
  <c r="G116" i="13"/>
  <c r="E116" i="13"/>
  <c r="G115" i="13"/>
  <c r="E115" i="13"/>
  <c r="G114" i="13"/>
  <c r="E114" i="13"/>
  <c r="G113" i="13"/>
  <c r="E113" i="13"/>
  <c r="G112" i="13"/>
  <c r="E112" i="13"/>
  <c r="G111" i="13"/>
  <c r="E111" i="13"/>
  <c r="G110" i="13"/>
  <c r="E110" i="13"/>
  <c r="G109" i="13"/>
  <c r="E109" i="13"/>
  <c r="G108" i="13"/>
  <c r="E108" i="13"/>
  <c r="G107" i="13"/>
  <c r="E107" i="13"/>
  <c r="G106" i="13"/>
  <c r="E106" i="13"/>
  <c r="G105" i="13"/>
  <c r="E105" i="13"/>
  <c r="G104" i="13"/>
  <c r="E104" i="13"/>
  <c r="G103" i="13"/>
  <c r="E103" i="13"/>
  <c r="G102" i="13"/>
  <c r="E102" i="13"/>
  <c r="E101" i="13"/>
  <c r="E100" i="13"/>
  <c r="E99" i="13"/>
  <c r="E98" i="13"/>
  <c r="E97" i="13"/>
  <c r="E96" i="13"/>
  <c r="E95" i="13"/>
  <c r="P91" i="13"/>
  <c r="N91" i="13"/>
  <c r="L91" i="13"/>
  <c r="J91" i="13"/>
  <c r="H91" i="13"/>
  <c r="F91" i="13"/>
  <c r="D91" i="13"/>
  <c r="E92" i="13" s="1"/>
  <c r="P90" i="13"/>
  <c r="N90" i="13"/>
  <c r="L90" i="13"/>
  <c r="J90" i="13"/>
  <c r="H90" i="13"/>
  <c r="F90" i="13"/>
  <c r="D90" i="13"/>
  <c r="P89" i="13"/>
  <c r="N89" i="13"/>
  <c r="L89" i="13"/>
  <c r="J89" i="13"/>
  <c r="H89" i="13"/>
  <c r="F89" i="13"/>
  <c r="D89" i="13"/>
  <c r="P88" i="13"/>
  <c r="N88" i="13"/>
  <c r="L88" i="13"/>
  <c r="J88" i="13"/>
  <c r="H88" i="13"/>
  <c r="F88" i="13"/>
  <c r="D88" i="13"/>
  <c r="P87" i="13"/>
  <c r="N87" i="13"/>
  <c r="L87" i="13"/>
  <c r="J87" i="13"/>
  <c r="H87" i="13"/>
  <c r="F87" i="13"/>
  <c r="D87" i="13"/>
  <c r="P86" i="13"/>
  <c r="N86" i="13"/>
  <c r="L86" i="13"/>
  <c r="J86" i="13"/>
  <c r="H86" i="13"/>
  <c r="F86" i="13"/>
  <c r="D86" i="13"/>
  <c r="P85" i="13"/>
  <c r="N85" i="13"/>
  <c r="L85" i="13"/>
  <c r="J85" i="13"/>
  <c r="H85" i="13"/>
  <c r="F85" i="13"/>
  <c r="D85" i="13"/>
  <c r="P84" i="13"/>
  <c r="N84" i="13"/>
  <c r="L84" i="13"/>
  <c r="J84" i="13"/>
  <c r="H84" i="13"/>
  <c r="F84" i="13"/>
  <c r="D84" i="13"/>
  <c r="P83" i="13"/>
  <c r="N83" i="13"/>
  <c r="L83" i="13"/>
  <c r="J83" i="13"/>
  <c r="H83" i="13"/>
  <c r="F83" i="13"/>
  <c r="D83" i="13"/>
  <c r="P82" i="13"/>
  <c r="N82" i="13"/>
  <c r="L82" i="13"/>
  <c r="J82" i="13"/>
  <c r="H82" i="13"/>
  <c r="F82" i="13"/>
  <c r="D82" i="13"/>
  <c r="P81" i="13"/>
  <c r="Q24" i="13" s="1"/>
  <c r="N81" i="13"/>
  <c r="L81" i="13"/>
  <c r="J81" i="13"/>
  <c r="K24" i="13" s="1"/>
  <c r="H81" i="13"/>
  <c r="I24" i="13" s="1"/>
  <c r="F81" i="13"/>
  <c r="D81" i="13"/>
  <c r="P80" i="13"/>
  <c r="N80" i="13"/>
  <c r="L80" i="13"/>
  <c r="J80" i="13"/>
  <c r="H80" i="13"/>
  <c r="F80" i="13"/>
  <c r="D80" i="13"/>
  <c r="P79" i="13"/>
  <c r="N79" i="13"/>
  <c r="L79" i="13"/>
  <c r="J79" i="13"/>
  <c r="H79" i="13"/>
  <c r="F79" i="13"/>
  <c r="D79" i="13"/>
  <c r="P78" i="13"/>
  <c r="N78" i="13"/>
  <c r="L78" i="13"/>
  <c r="J78" i="13"/>
  <c r="H78" i="13"/>
  <c r="F78" i="13"/>
  <c r="D78" i="13"/>
  <c r="P77" i="13"/>
  <c r="N77" i="13"/>
  <c r="L77" i="13"/>
  <c r="J77" i="13"/>
  <c r="H77" i="13"/>
  <c r="F77" i="13"/>
  <c r="D77" i="13"/>
  <c r="P76" i="13"/>
  <c r="N76" i="13"/>
  <c r="L76" i="13"/>
  <c r="J76" i="13"/>
  <c r="H76" i="13"/>
  <c r="F76" i="13"/>
  <c r="D76" i="13"/>
  <c r="P75" i="13"/>
  <c r="N75" i="13"/>
  <c r="L75" i="13"/>
  <c r="J75" i="13"/>
  <c r="H75" i="13"/>
  <c r="F75" i="13"/>
  <c r="D75" i="13"/>
  <c r="P74" i="13"/>
  <c r="N74" i="13"/>
  <c r="L74" i="13"/>
  <c r="J74" i="13"/>
  <c r="H74" i="13"/>
  <c r="F74" i="13"/>
  <c r="D74" i="13"/>
  <c r="P73" i="13"/>
  <c r="N73" i="13"/>
  <c r="L73" i="13"/>
  <c r="J73" i="13"/>
  <c r="H73" i="13"/>
  <c r="F73" i="13"/>
  <c r="D73" i="13"/>
  <c r="P72" i="13"/>
  <c r="N72" i="13"/>
  <c r="L72" i="13"/>
  <c r="J72" i="13"/>
  <c r="H72" i="13"/>
  <c r="F72" i="13"/>
  <c r="D72" i="13"/>
  <c r="P71" i="13"/>
  <c r="N71" i="13"/>
  <c r="L71" i="13"/>
  <c r="J71" i="13"/>
  <c r="H71" i="13"/>
  <c r="F71" i="13"/>
  <c r="D71" i="13"/>
  <c r="P70" i="13"/>
  <c r="N70" i="13"/>
  <c r="L70" i="13"/>
  <c r="J70" i="13"/>
  <c r="H70" i="13"/>
  <c r="F70" i="13"/>
  <c r="D70" i="13"/>
  <c r="P69" i="13"/>
  <c r="N69" i="13"/>
  <c r="L69" i="13"/>
  <c r="J69" i="13"/>
  <c r="H69" i="13"/>
  <c r="F69" i="13"/>
  <c r="D69" i="13"/>
  <c r="P68" i="13"/>
  <c r="N68" i="13"/>
  <c r="L68" i="13"/>
  <c r="J68" i="13"/>
  <c r="H68" i="13"/>
  <c r="F68" i="13"/>
  <c r="D68" i="13"/>
  <c r="P67" i="13"/>
  <c r="N67" i="13"/>
  <c r="L67" i="13"/>
  <c r="J67" i="13"/>
  <c r="H67" i="13"/>
  <c r="F67" i="13"/>
  <c r="D67" i="13"/>
  <c r="P66" i="13"/>
  <c r="N66" i="13"/>
  <c r="L66" i="13"/>
  <c r="J66" i="13"/>
  <c r="H66" i="13"/>
  <c r="F66" i="13"/>
  <c r="D66" i="13"/>
  <c r="P65" i="13"/>
  <c r="N65" i="13"/>
  <c r="L65" i="13"/>
  <c r="J65" i="13"/>
  <c r="H65" i="13"/>
  <c r="F65" i="13"/>
  <c r="D65" i="13"/>
  <c r="P64" i="13"/>
  <c r="N64" i="13"/>
  <c r="L64" i="13"/>
  <c r="J64" i="13"/>
  <c r="H64" i="13"/>
  <c r="F64" i="13"/>
  <c r="D64" i="13"/>
  <c r="P63" i="13"/>
  <c r="N63" i="13"/>
  <c r="L63" i="13"/>
  <c r="J63" i="13"/>
  <c r="H63" i="13"/>
  <c r="F63" i="13"/>
  <c r="D63" i="13"/>
  <c r="P62" i="13"/>
  <c r="N62" i="13"/>
  <c r="L62" i="13"/>
  <c r="J62" i="13"/>
  <c r="H62" i="13"/>
  <c r="F62" i="13"/>
  <c r="D62" i="13"/>
  <c r="P61" i="13"/>
  <c r="N61" i="13"/>
  <c r="L61" i="13"/>
  <c r="J61" i="13"/>
  <c r="H61" i="13"/>
  <c r="F61" i="13"/>
  <c r="D61" i="13"/>
  <c r="E24" i="13" s="1"/>
  <c r="Q4" i="12" s="1"/>
  <c r="E4" i="14" s="1"/>
  <c r="P60" i="13"/>
  <c r="N60" i="13"/>
  <c r="L60" i="13"/>
  <c r="J60" i="13"/>
  <c r="H60" i="13"/>
  <c r="F60" i="13"/>
  <c r="D60" i="13"/>
  <c r="P59" i="13"/>
  <c r="N59" i="13"/>
  <c r="L59" i="13"/>
  <c r="J59" i="13"/>
  <c r="H59" i="13"/>
  <c r="F59" i="13"/>
  <c r="D59" i="13"/>
  <c r="P58" i="13"/>
  <c r="N58" i="13"/>
  <c r="L58" i="13"/>
  <c r="J58" i="13"/>
  <c r="H58" i="13"/>
  <c r="F58" i="13"/>
  <c r="D58" i="13"/>
  <c r="P57" i="13"/>
  <c r="N57" i="13"/>
  <c r="L57" i="13"/>
  <c r="J57" i="13"/>
  <c r="H57" i="13"/>
  <c r="F57" i="13"/>
  <c r="D57" i="13"/>
  <c r="P56" i="13"/>
  <c r="N56" i="13"/>
  <c r="L56" i="13"/>
  <c r="J56" i="13"/>
  <c r="H56" i="13"/>
  <c r="F56" i="13"/>
  <c r="D56" i="13"/>
  <c r="P55" i="13"/>
  <c r="N55" i="13"/>
  <c r="L55" i="13"/>
  <c r="J55" i="13"/>
  <c r="H55" i="13"/>
  <c r="F55" i="13"/>
  <c r="D55" i="13"/>
  <c r="P54" i="13"/>
  <c r="N54" i="13"/>
  <c r="L54" i="13"/>
  <c r="J54" i="13"/>
  <c r="H54" i="13"/>
  <c r="F54" i="13"/>
  <c r="D54" i="13"/>
  <c r="P53" i="13"/>
  <c r="N53" i="13"/>
  <c r="L53" i="13"/>
  <c r="J53" i="13"/>
  <c r="H53" i="13"/>
  <c r="F53" i="13"/>
  <c r="D53" i="13"/>
  <c r="P52" i="13"/>
  <c r="N52" i="13"/>
  <c r="L52" i="13"/>
  <c r="J52" i="13"/>
  <c r="H52" i="13"/>
  <c r="F52" i="13"/>
  <c r="D52" i="13"/>
  <c r="P51" i="13"/>
  <c r="N51" i="13"/>
  <c r="L51" i="13"/>
  <c r="J51" i="13"/>
  <c r="H51" i="13"/>
  <c r="F51" i="13"/>
  <c r="D51" i="13"/>
  <c r="P50" i="13"/>
  <c r="N50" i="13"/>
  <c r="L50" i="13"/>
  <c r="J50" i="13"/>
  <c r="H50" i="13"/>
  <c r="F50" i="13"/>
  <c r="D50" i="13"/>
  <c r="P49" i="13"/>
  <c r="N49" i="13"/>
  <c r="L49" i="13"/>
  <c r="J49" i="13"/>
  <c r="H49" i="13"/>
  <c r="F49" i="13"/>
  <c r="D49" i="13"/>
  <c r="P48" i="13"/>
  <c r="N48" i="13"/>
  <c r="L48" i="13"/>
  <c r="J48" i="13"/>
  <c r="H48" i="13"/>
  <c r="F48" i="13"/>
  <c r="D48" i="13"/>
  <c r="P47" i="13"/>
  <c r="N47" i="13"/>
  <c r="L47" i="13"/>
  <c r="J47" i="13"/>
  <c r="H47" i="13"/>
  <c r="F47" i="13"/>
  <c r="D47" i="13"/>
  <c r="P46" i="13"/>
  <c r="N46" i="13"/>
  <c r="L46" i="13"/>
  <c r="J46" i="13"/>
  <c r="H46" i="13"/>
  <c r="F46" i="13"/>
  <c r="D46" i="13"/>
  <c r="P45" i="13"/>
  <c r="N45" i="13"/>
  <c r="L45" i="13"/>
  <c r="J45" i="13"/>
  <c r="H45" i="13"/>
  <c r="F45" i="13"/>
  <c r="D45" i="13"/>
  <c r="P44" i="13"/>
  <c r="N44" i="13"/>
  <c r="L44" i="13"/>
  <c r="J44" i="13"/>
  <c r="H44" i="13"/>
  <c r="F44" i="13"/>
  <c r="D44" i="13"/>
  <c r="P43" i="13"/>
  <c r="N43" i="13"/>
  <c r="L43" i="13"/>
  <c r="J43" i="13"/>
  <c r="H43" i="13"/>
  <c r="F43" i="13"/>
  <c r="D43" i="13"/>
  <c r="P42" i="13"/>
  <c r="N42" i="13"/>
  <c r="L42" i="13"/>
  <c r="J42" i="13"/>
  <c r="H42" i="13"/>
  <c r="F42" i="13"/>
  <c r="D42" i="13"/>
  <c r="P41" i="13"/>
  <c r="N41" i="13"/>
  <c r="L41" i="13"/>
  <c r="J41" i="13"/>
  <c r="H41" i="13"/>
  <c r="F41" i="13"/>
  <c r="D41" i="13"/>
  <c r="P40" i="13"/>
  <c r="N40" i="13"/>
  <c r="L40" i="13"/>
  <c r="J40" i="13"/>
  <c r="H40" i="13"/>
  <c r="F40" i="13"/>
  <c r="D40" i="13"/>
  <c r="P39" i="13"/>
  <c r="N39" i="13"/>
  <c r="L39" i="13"/>
  <c r="J39" i="13"/>
  <c r="H39" i="13"/>
  <c r="F39" i="13"/>
  <c r="D39" i="13"/>
  <c r="P38" i="13"/>
  <c r="N38" i="13"/>
  <c r="L38" i="13"/>
  <c r="J38" i="13"/>
  <c r="H38" i="13"/>
  <c r="F38" i="13"/>
  <c r="D38" i="13"/>
  <c r="P37" i="13"/>
  <c r="N37" i="13"/>
  <c r="L37" i="13"/>
  <c r="J37" i="13"/>
  <c r="H37" i="13"/>
  <c r="F37" i="13"/>
  <c r="D37" i="13"/>
  <c r="P36" i="13"/>
  <c r="N36" i="13"/>
  <c r="L36" i="13"/>
  <c r="J36" i="13"/>
  <c r="H36" i="13"/>
  <c r="F36" i="13"/>
  <c r="D36" i="13"/>
  <c r="P35" i="13"/>
  <c r="N35" i="13"/>
  <c r="L35" i="13"/>
  <c r="J35" i="13"/>
  <c r="H35" i="13"/>
  <c r="F35" i="13"/>
  <c r="D35" i="13"/>
  <c r="P34" i="13"/>
  <c r="N34" i="13"/>
  <c r="L34" i="13"/>
  <c r="J34" i="13"/>
  <c r="H34" i="13"/>
  <c r="F34" i="13"/>
  <c r="D34" i="13"/>
  <c r="P33" i="13"/>
  <c r="N33" i="13"/>
  <c r="L33" i="13"/>
  <c r="J33" i="13"/>
  <c r="H33" i="13"/>
  <c r="F33" i="13"/>
  <c r="D33" i="13"/>
  <c r="P32" i="13"/>
  <c r="N32" i="13"/>
  <c r="L32" i="13"/>
  <c r="J32" i="13"/>
  <c r="H32" i="13"/>
  <c r="F32" i="13"/>
  <c r="D32" i="13"/>
  <c r="P31" i="13"/>
  <c r="N31" i="13"/>
  <c r="L31" i="13"/>
  <c r="J31" i="13"/>
  <c r="H31" i="13"/>
  <c r="F31" i="13"/>
  <c r="D31" i="13"/>
  <c r="P30" i="13"/>
  <c r="N30" i="13"/>
  <c r="L30" i="13"/>
  <c r="J30" i="13"/>
  <c r="H30" i="13"/>
  <c r="F30" i="13"/>
  <c r="D30" i="13"/>
  <c r="P29" i="13"/>
  <c r="N29" i="13"/>
  <c r="L29" i="13"/>
  <c r="J29" i="13"/>
  <c r="H29" i="13"/>
  <c r="F29" i="13"/>
  <c r="D29" i="13"/>
  <c r="P28" i="13"/>
  <c r="N28" i="13"/>
  <c r="L28" i="13"/>
  <c r="J28" i="13"/>
  <c r="H28" i="13"/>
  <c r="F28" i="13"/>
  <c r="D28" i="13"/>
  <c r="P27" i="13"/>
  <c r="Q27" i="13" s="1"/>
  <c r="N27" i="13"/>
  <c r="O27" i="13" s="1"/>
  <c r="L27" i="13"/>
  <c r="M27" i="13" s="1"/>
  <c r="J27" i="13"/>
  <c r="K27" i="13" s="1"/>
  <c r="H27" i="13"/>
  <c r="I27" i="13" s="1"/>
  <c r="F27" i="13"/>
  <c r="G27" i="13" s="1"/>
  <c r="D27" i="13"/>
  <c r="E27" i="13" s="1"/>
  <c r="P24" i="13"/>
  <c r="N24" i="13"/>
  <c r="L24" i="13"/>
  <c r="J24" i="13"/>
  <c r="H24" i="13"/>
  <c r="G24" i="13"/>
  <c r="F24" i="13"/>
  <c r="D24" i="13"/>
  <c r="N599" i="12"/>
  <c r="P369" i="12"/>
  <c r="P330" i="12"/>
  <c r="P325" i="12"/>
  <c r="P301" i="12"/>
  <c r="P285" i="12"/>
  <c r="P241" i="12"/>
  <c r="P225" i="12"/>
  <c r="P177" i="12"/>
  <c r="P121" i="12"/>
  <c r="P93" i="12"/>
  <c r="P77" i="12"/>
  <c r="P49" i="12"/>
  <c r="P37" i="12"/>
  <c r="P13" i="12"/>
  <c r="P370" i="12" l="1"/>
  <c r="O24" i="13"/>
  <c r="P182" i="12"/>
  <c r="P393" i="12"/>
  <c r="U277" i="12"/>
  <c r="P509" i="12"/>
  <c r="U357" i="12"/>
  <c r="T357" i="12" s="1"/>
  <c r="U213" i="12"/>
  <c r="T213" i="12" s="1"/>
  <c r="F4" i="14"/>
  <c r="U341" i="12"/>
  <c r="P67" i="12"/>
  <c r="O55" i="13"/>
  <c r="E58" i="13"/>
  <c r="I60" i="13"/>
  <c r="M62" i="13"/>
  <c r="Q64" i="13"/>
  <c r="G67" i="13"/>
  <c r="P294" i="12"/>
  <c r="P250" i="12"/>
  <c r="P198" i="12"/>
  <c r="P131" i="12"/>
  <c r="P163" i="12"/>
  <c r="P255" i="12"/>
  <c r="P99" i="12"/>
  <c r="U115" i="12"/>
  <c r="P342" i="12"/>
  <c r="P238" i="12"/>
  <c r="P178" i="12"/>
  <c r="P565" i="12"/>
  <c r="P441" i="12"/>
  <c r="U389" i="12"/>
  <c r="U261" i="12"/>
  <c r="T261" i="12" s="1"/>
  <c r="U197" i="12"/>
  <c r="T197" i="12" s="1"/>
  <c r="U133" i="12"/>
  <c r="U89" i="12"/>
  <c r="P65" i="12"/>
  <c r="P193" i="12"/>
  <c r="P314" i="12"/>
  <c r="P337" i="12"/>
  <c r="P209" i="12"/>
  <c r="P269" i="12"/>
  <c r="P322" i="12"/>
  <c r="P353" i="12"/>
  <c r="P318" i="12"/>
  <c r="P206" i="12"/>
  <c r="P174" i="12"/>
  <c r="P533" i="12"/>
  <c r="P409" i="12"/>
  <c r="U373" i="12"/>
  <c r="U309" i="12"/>
  <c r="U245" i="12"/>
  <c r="T245" i="12" s="1"/>
  <c r="U181" i="12"/>
  <c r="U117" i="12"/>
  <c r="U73" i="12"/>
  <c r="P45" i="12"/>
  <c r="P61" i="12"/>
  <c r="P101" i="12"/>
  <c r="P145" i="12"/>
  <c r="P161" i="12"/>
  <c r="P173" i="12"/>
  <c r="P189" i="12"/>
  <c r="P205" i="12"/>
  <c r="P221" i="12"/>
  <c r="P237" i="12"/>
  <c r="P253" i="12"/>
  <c r="P265" i="12"/>
  <c r="P281" i="12"/>
  <c r="P297" i="12"/>
  <c r="P313" i="12"/>
  <c r="P333" i="12"/>
  <c r="P349" i="12"/>
  <c r="P365" i="12"/>
  <c r="P377" i="12"/>
  <c r="P264" i="12"/>
  <c r="P573" i="12"/>
  <c r="P537" i="12"/>
  <c r="P513" i="12"/>
  <c r="P489" i="12"/>
  <c r="P453" i="12"/>
  <c r="P421" i="12"/>
  <c r="P397" i="12"/>
  <c r="P381" i="12"/>
  <c r="U361" i="12"/>
  <c r="T361" i="12" s="1"/>
  <c r="U345" i="12"/>
  <c r="T345" i="12" s="1"/>
  <c r="U329" i="12"/>
  <c r="T329" i="12" s="1"/>
  <c r="U249" i="12"/>
  <c r="T249" i="12" s="1"/>
  <c r="U233" i="12"/>
  <c r="T233" i="12" s="1"/>
  <c r="U217" i="12"/>
  <c r="T217" i="12" s="1"/>
  <c r="U201" i="12"/>
  <c r="T201" i="12" s="1"/>
  <c r="U185" i="12"/>
  <c r="T185" i="12" s="1"/>
  <c r="U169" i="12"/>
  <c r="U153" i="12"/>
  <c r="U137" i="12"/>
  <c r="U109" i="12"/>
  <c r="P97" i="12"/>
  <c r="P257" i="12"/>
  <c r="P289" i="12"/>
  <c r="P305" i="12"/>
  <c r="P561" i="12"/>
  <c r="P497" i="12"/>
  <c r="P437" i="12"/>
  <c r="U401" i="12"/>
  <c r="U273" i="12"/>
  <c r="T273" i="12" s="1"/>
  <c r="U85" i="12"/>
  <c r="U53" i="12"/>
  <c r="P81" i="12"/>
  <c r="P125" i="12"/>
  <c r="P317" i="12"/>
  <c r="P581" i="12"/>
  <c r="P529" i="12"/>
  <c r="P469" i="12"/>
  <c r="U385" i="12"/>
  <c r="U321" i="12"/>
  <c r="T321" i="12" s="1"/>
  <c r="U129" i="12"/>
  <c r="U69" i="12"/>
  <c r="P44" i="12"/>
  <c r="P113" i="12"/>
  <c r="P141" i="12"/>
  <c r="P157" i="12"/>
  <c r="P577" i="12"/>
  <c r="P557" i="12"/>
  <c r="P525" i="12"/>
  <c r="P493" i="12"/>
  <c r="P457" i="12"/>
  <c r="P425" i="12"/>
  <c r="M67" i="13"/>
  <c r="G68" i="13"/>
  <c r="O68" i="13"/>
  <c r="I73" i="13"/>
  <c r="K82" i="13"/>
  <c r="B23" i="22"/>
  <c r="C23" i="22"/>
  <c r="P96" i="12"/>
  <c r="P104" i="12"/>
  <c r="P172" i="12"/>
  <c r="P440" i="12"/>
  <c r="U371" i="12"/>
  <c r="P88" i="12"/>
  <c r="P156" i="12"/>
  <c r="P544" i="12"/>
  <c r="U528" i="12"/>
  <c r="P308" i="12"/>
  <c r="U464" i="12"/>
  <c r="U396" i="12"/>
  <c r="P164" i="12"/>
  <c r="N662" i="12"/>
  <c r="N666" i="12"/>
  <c r="N655" i="12"/>
  <c r="P132" i="12"/>
  <c r="P128" i="12"/>
  <c r="P196" i="12"/>
  <c r="P344" i="12"/>
  <c r="P228" i="12"/>
  <c r="P384" i="12"/>
  <c r="U72" i="12"/>
  <c r="U564" i="12"/>
  <c r="P564" i="12"/>
  <c r="U552" i="12"/>
  <c r="P552" i="12"/>
  <c r="U540" i="12"/>
  <c r="P540" i="12"/>
  <c r="U532" i="12"/>
  <c r="P532" i="12"/>
  <c r="U520" i="12"/>
  <c r="P520" i="12"/>
  <c r="P476" i="12"/>
  <c r="U476" i="12"/>
  <c r="U456" i="12"/>
  <c r="P456" i="12"/>
  <c r="U436" i="12"/>
  <c r="P436" i="12"/>
  <c r="P412" i="12"/>
  <c r="U412" i="12"/>
  <c r="P332" i="12"/>
  <c r="U332" i="12"/>
  <c r="U312" i="12"/>
  <c r="P312" i="12"/>
  <c r="P300" i="12"/>
  <c r="U300" i="12"/>
  <c r="U296" i="12"/>
  <c r="P296" i="12"/>
  <c r="U280" i="12"/>
  <c r="T280" i="12" s="1"/>
  <c r="P280" i="12"/>
  <c r="P276" i="12"/>
  <c r="U276" i="12"/>
  <c r="U260" i="12"/>
  <c r="P260" i="12"/>
  <c r="P252" i="12"/>
  <c r="U252" i="12"/>
  <c r="U248" i="12"/>
  <c r="P248" i="12"/>
  <c r="U240" i="12"/>
  <c r="P240" i="12"/>
  <c r="P236" i="12"/>
  <c r="U236" i="12"/>
  <c r="U232" i="12"/>
  <c r="P232" i="12"/>
  <c r="U216" i="12"/>
  <c r="P216" i="12"/>
  <c r="U184" i="12"/>
  <c r="P184" i="12"/>
  <c r="U176" i="12"/>
  <c r="P176" i="12"/>
  <c r="U168" i="12"/>
  <c r="P168" i="12"/>
  <c r="U160" i="12"/>
  <c r="P160" i="12"/>
  <c r="U152" i="12"/>
  <c r="P152" i="12"/>
  <c r="U144" i="12"/>
  <c r="P144" i="12"/>
  <c r="U136" i="12"/>
  <c r="P136" i="12"/>
  <c r="P124" i="12"/>
  <c r="U124" i="12"/>
  <c r="P116" i="12"/>
  <c r="U116" i="12"/>
  <c r="P108" i="12"/>
  <c r="U108" i="12"/>
  <c r="P100" i="12"/>
  <c r="U100" i="12"/>
  <c r="P92" i="12"/>
  <c r="U92" i="12"/>
  <c r="U84" i="12"/>
  <c r="P84" i="12"/>
  <c r="P76" i="12"/>
  <c r="U76" i="12"/>
  <c r="P60" i="12"/>
  <c r="P80" i="12"/>
  <c r="P120" i="12"/>
  <c r="P148" i="12"/>
  <c r="P188" i="12"/>
  <c r="P220" i="12"/>
  <c r="P336" i="12"/>
  <c r="P372" i="12"/>
  <c r="P304" i="12"/>
  <c r="P472" i="12"/>
  <c r="P420" i="12"/>
  <c r="P392" i="12"/>
  <c r="U512" i="12"/>
  <c r="U448" i="12"/>
  <c r="U404" i="12"/>
  <c r="U112" i="12"/>
  <c r="U48" i="12"/>
  <c r="U572" i="12"/>
  <c r="P572" i="12"/>
  <c r="U516" i="12"/>
  <c r="P516" i="12"/>
  <c r="P508" i="12"/>
  <c r="U508" i="12"/>
  <c r="U500" i="12"/>
  <c r="P500" i="12"/>
  <c r="U492" i="12"/>
  <c r="P492" i="12"/>
  <c r="P376" i="12"/>
  <c r="U376" i="12"/>
  <c r="U368" i="12"/>
  <c r="P368" i="12"/>
  <c r="P356" i="12"/>
  <c r="U356" i="12"/>
  <c r="U352" i="12"/>
  <c r="P352" i="12"/>
  <c r="P340" i="12"/>
  <c r="U340" i="12"/>
  <c r="P324" i="12"/>
  <c r="U324" i="12"/>
  <c r="P316" i="12"/>
  <c r="U316" i="12"/>
  <c r="U224" i="12"/>
  <c r="P224" i="12"/>
  <c r="U208" i="12"/>
  <c r="P208" i="12"/>
  <c r="U200" i="12"/>
  <c r="P200" i="12"/>
  <c r="U192" i="12"/>
  <c r="P192" i="12"/>
  <c r="U68" i="12"/>
  <c r="P68" i="12"/>
  <c r="P52" i="12"/>
  <c r="P140" i="12"/>
  <c r="P180" i="12"/>
  <c r="P212" i="12"/>
  <c r="P292" i="12"/>
  <c r="P364" i="12"/>
  <c r="P320" i="12"/>
  <c r="P244" i="12"/>
  <c r="P452" i="12"/>
  <c r="P428" i="12"/>
  <c r="P400" i="12"/>
  <c r="U560" i="12"/>
  <c r="U496" i="12"/>
  <c r="U432" i="12"/>
  <c r="U380" i="12"/>
  <c r="U56" i="12"/>
  <c r="U580" i="12"/>
  <c r="P580" i="12"/>
  <c r="P568" i="12"/>
  <c r="U568" i="12"/>
  <c r="T568" i="12" s="1"/>
  <c r="U556" i="12"/>
  <c r="P556" i="12"/>
  <c r="U548" i="12"/>
  <c r="P548" i="12"/>
  <c r="P536" i="12"/>
  <c r="U536" i="12"/>
  <c r="U524" i="12"/>
  <c r="P524" i="12"/>
  <c r="P488" i="12"/>
  <c r="U488" i="12"/>
  <c r="U468" i="12"/>
  <c r="P468" i="12"/>
  <c r="P444" i="12"/>
  <c r="U444" i="12"/>
  <c r="U424" i="12"/>
  <c r="P424" i="12"/>
  <c r="N629" i="12"/>
  <c r="N633" i="12"/>
  <c r="N637" i="12"/>
  <c r="N641" i="12"/>
  <c r="N645" i="12"/>
  <c r="N630" i="12"/>
  <c r="N634" i="12"/>
  <c r="N638" i="12"/>
  <c r="N642" i="12"/>
  <c r="N632" i="12"/>
  <c r="N640" i="12"/>
  <c r="N631" i="12"/>
  <c r="N635" i="12"/>
  <c r="N639" i="12"/>
  <c r="N643" i="12"/>
  <c r="N636" i="12"/>
  <c r="N644" i="12"/>
  <c r="P204" i="12"/>
  <c r="P268" i="12"/>
  <c r="Q324" i="12"/>
  <c r="R324" i="12" s="1"/>
  <c r="P284" i="12"/>
  <c r="P576" i="12"/>
  <c r="P504" i="12"/>
  <c r="P484" i="12"/>
  <c r="P460" i="12"/>
  <c r="P408" i="12"/>
  <c r="U480" i="12"/>
  <c r="U416" i="12"/>
  <c r="U388" i="12"/>
  <c r="U64" i="12"/>
  <c r="N656" i="12"/>
  <c r="N628" i="12"/>
  <c r="P195" i="12"/>
  <c r="P351" i="12"/>
  <c r="P343" i="12"/>
  <c r="P374" i="12"/>
  <c r="P302" i="12"/>
  <c r="P290" i="12"/>
  <c r="P378" i="12"/>
  <c r="P310" i="12"/>
  <c r="P367" i="12"/>
  <c r="U51" i="12"/>
  <c r="P55" i="12"/>
  <c r="P119" i="12"/>
  <c r="P183" i="12"/>
  <c r="P287" i="12"/>
  <c r="P307" i="12"/>
  <c r="P379" i="12"/>
  <c r="P83" i="12"/>
  <c r="P147" i="12"/>
  <c r="P179" i="12"/>
  <c r="P211" i="12"/>
  <c r="P235" i="12"/>
  <c r="P243" i="12"/>
  <c r="P279" i="12"/>
  <c r="P299" i="12"/>
  <c r="P331" i="12"/>
  <c r="P338" i="12"/>
  <c r="P346" i="12"/>
  <c r="P354" i="12"/>
  <c r="P350" i="12"/>
  <c r="P306" i="12"/>
  <c r="P298" i="12"/>
  <c r="P274" i="12"/>
  <c r="P258" i="12"/>
  <c r="P246" i="12"/>
  <c r="P222" i="12"/>
  <c r="P190" i="12"/>
  <c r="P87" i="12"/>
  <c r="P151" i="12"/>
  <c r="P215" i="12"/>
  <c r="P251" i="12"/>
  <c r="P315" i="12"/>
  <c r="Q111" i="12"/>
  <c r="R111" i="12" s="1"/>
  <c r="P71" i="12"/>
  <c r="P103" i="12"/>
  <c r="P135" i="12"/>
  <c r="P167" i="12"/>
  <c r="P199" i="12"/>
  <c r="P227" i="12"/>
  <c r="P263" i="12"/>
  <c r="P271" i="12"/>
  <c r="P327" i="12"/>
  <c r="P355" i="12"/>
  <c r="P362" i="12"/>
  <c r="P326" i="12"/>
  <c r="P282" i="12"/>
  <c r="P266" i="12"/>
  <c r="P254" i="12"/>
  <c r="P230" i="12"/>
  <c r="P214" i="12"/>
  <c r="P186" i="12"/>
  <c r="P407" i="12"/>
  <c r="Q378" i="12"/>
  <c r="R378" i="12" s="1"/>
  <c r="Q293" i="12"/>
  <c r="R293" i="12" s="1"/>
  <c r="S293" i="12" s="1"/>
  <c r="Q357" i="12"/>
  <c r="R357" i="12" s="1"/>
  <c r="S357" i="12" s="1"/>
  <c r="Q271" i="12"/>
  <c r="R271" i="12" s="1"/>
  <c r="Q335" i="12"/>
  <c r="R335" i="12" s="1"/>
  <c r="Q250" i="12"/>
  <c r="R250" i="12" s="1"/>
  <c r="Q314" i="12"/>
  <c r="R314" i="12" s="1"/>
  <c r="S314" i="12" s="1"/>
  <c r="Q203" i="12"/>
  <c r="R203" i="12" s="1"/>
  <c r="R6" i="12"/>
  <c r="S6" i="12" s="1"/>
  <c r="Q373" i="12"/>
  <c r="R373" i="12" s="1"/>
  <c r="S373" i="12" s="1"/>
  <c r="Q351" i="12"/>
  <c r="R351" i="12" s="1"/>
  <c r="Q330" i="12"/>
  <c r="R330" i="12" s="1"/>
  <c r="S330" i="12" s="1"/>
  <c r="Q309" i="12"/>
  <c r="R309" i="12" s="1"/>
  <c r="S309" i="12" s="1"/>
  <c r="Q287" i="12"/>
  <c r="R287" i="12" s="1"/>
  <c r="Q266" i="12"/>
  <c r="R266" i="12" s="1"/>
  <c r="Q243" i="12"/>
  <c r="R243" i="12" s="1"/>
  <c r="Q185" i="12"/>
  <c r="R185" i="12" s="1"/>
  <c r="S185" i="12" s="1"/>
  <c r="Q15" i="12"/>
  <c r="R15" i="12" s="1"/>
  <c r="S15" i="12" s="1"/>
  <c r="Q367" i="12"/>
  <c r="R367" i="12" s="1"/>
  <c r="Q346" i="12"/>
  <c r="R346" i="12" s="1"/>
  <c r="Q325" i="12"/>
  <c r="R325" i="12" s="1"/>
  <c r="S325" i="12" s="1"/>
  <c r="Q303" i="12"/>
  <c r="R303" i="12" s="1"/>
  <c r="Q282" i="12"/>
  <c r="R282" i="12" s="1"/>
  <c r="Q261" i="12"/>
  <c r="R261" i="12" s="1"/>
  <c r="S261" i="12" s="1"/>
  <c r="Q230" i="12"/>
  <c r="R230" i="12" s="1"/>
  <c r="S230" i="12" s="1"/>
  <c r="Q168" i="12"/>
  <c r="R168" i="12" s="1"/>
  <c r="S168" i="12" s="1"/>
  <c r="Q9" i="12"/>
  <c r="R9" i="12" s="1"/>
  <c r="S9" i="12" s="1"/>
  <c r="Q362" i="12"/>
  <c r="R362" i="12" s="1"/>
  <c r="S362" i="12" s="1"/>
  <c r="Q341" i="12"/>
  <c r="R341" i="12" s="1"/>
  <c r="S341" i="12" s="1"/>
  <c r="Q319" i="12"/>
  <c r="R319" i="12" s="1"/>
  <c r="Q298" i="12"/>
  <c r="R298" i="12" s="1"/>
  <c r="Q277" i="12"/>
  <c r="R277" i="12" s="1"/>
  <c r="S277" i="12" s="1"/>
  <c r="Q255" i="12"/>
  <c r="R255" i="12" s="1"/>
  <c r="Q215" i="12"/>
  <c r="R215" i="12" s="1"/>
  <c r="S215" i="12" s="1"/>
  <c r="Q148" i="12"/>
  <c r="R148" i="12" s="1"/>
  <c r="Q24" i="12"/>
  <c r="R24" i="12" s="1"/>
  <c r="S24" i="12" s="1"/>
  <c r="Q288" i="12"/>
  <c r="R288" i="12" s="1"/>
  <c r="Q92" i="12"/>
  <c r="R92" i="12" s="1"/>
  <c r="U579" i="12"/>
  <c r="P579" i="12"/>
  <c r="P571" i="12"/>
  <c r="U571" i="12"/>
  <c r="T571" i="12" s="1"/>
  <c r="U567" i="12"/>
  <c r="P567" i="12"/>
  <c r="P559" i="12"/>
  <c r="U559" i="12"/>
  <c r="U555" i="12"/>
  <c r="P555" i="12"/>
  <c r="U551" i="12"/>
  <c r="P551" i="12"/>
  <c r="U547" i="12"/>
  <c r="P547" i="12"/>
  <c r="U543" i="12"/>
  <c r="P543" i="12"/>
  <c r="U539" i="12"/>
  <c r="P539" i="12"/>
  <c r="P535" i="12"/>
  <c r="U535" i="12"/>
  <c r="U531" i="12"/>
  <c r="P531" i="12"/>
  <c r="U523" i="12"/>
  <c r="P523" i="12"/>
  <c r="U519" i="12"/>
  <c r="P519" i="12"/>
  <c r="U515" i="12"/>
  <c r="P515" i="12"/>
  <c r="P511" i="12"/>
  <c r="U511" i="12"/>
  <c r="U507" i="12"/>
  <c r="P507" i="12"/>
  <c r="P503" i="12"/>
  <c r="U503" i="12"/>
  <c r="U499" i="12"/>
  <c r="P499" i="12"/>
  <c r="P487" i="12"/>
  <c r="U487" i="12"/>
  <c r="U483" i="12"/>
  <c r="P483" i="12"/>
  <c r="P479" i="12"/>
  <c r="U479" i="12"/>
  <c r="U475" i="12"/>
  <c r="P475" i="12"/>
  <c r="U467" i="12"/>
  <c r="P467" i="12"/>
  <c r="U463" i="12"/>
  <c r="P463" i="12"/>
  <c r="U459" i="12"/>
  <c r="P459" i="12"/>
  <c r="P455" i="12"/>
  <c r="U455" i="12"/>
  <c r="U451" i="12"/>
  <c r="P451" i="12"/>
  <c r="P447" i="12"/>
  <c r="U447" i="12"/>
  <c r="U443" i="12"/>
  <c r="P443" i="12"/>
  <c r="U435" i="12"/>
  <c r="P435" i="12"/>
  <c r="U431" i="12"/>
  <c r="P431" i="12"/>
  <c r="U427" i="12"/>
  <c r="P427" i="12"/>
  <c r="P423" i="12"/>
  <c r="U423" i="12"/>
  <c r="U419" i="12"/>
  <c r="P419" i="12"/>
  <c r="P415" i="12"/>
  <c r="U415" i="12"/>
  <c r="U411" i="12"/>
  <c r="P411" i="12"/>
  <c r="U399" i="12"/>
  <c r="P399" i="12"/>
  <c r="U395" i="12"/>
  <c r="P395" i="12"/>
  <c r="U383" i="12"/>
  <c r="P383" i="12"/>
  <c r="P95" i="12"/>
  <c r="P127" i="12"/>
  <c r="P231" i="12"/>
  <c r="P259" i="12"/>
  <c r="P267" i="12"/>
  <c r="P295" i="12"/>
  <c r="P303" i="12"/>
  <c r="P311" i="12"/>
  <c r="P323" i="12"/>
  <c r="P335" i="12"/>
  <c r="P339" i="12"/>
  <c r="P363" i="12"/>
  <c r="P375" i="12"/>
  <c r="Q19" i="12"/>
  <c r="R19" i="12" s="1"/>
  <c r="S19" i="12" s="1"/>
  <c r="Q13" i="12"/>
  <c r="R13" i="12" s="1"/>
  <c r="S13" i="12" s="1"/>
  <c r="Q8" i="12"/>
  <c r="R8" i="12" s="1"/>
  <c r="S8" i="12" s="1"/>
  <c r="Q377" i="12"/>
  <c r="R377" i="12" s="1"/>
  <c r="Q371" i="12"/>
  <c r="R371" i="12" s="1"/>
  <c r="S371" i="12" s="1"/>
  <c r="Q366" i="12"/>
  <c r="R366" i="12" s="1"/>
  <c r="S366" i="12" s="1"/>
  <c r="Q361" i="12"/>
  <c r="R361" i="12" s="1"/>
  <c r="S361" i="12" s="1"/>
  <c r="Q355" i="12"/>
  <c r="R355" i="12" s="1"/>
  <c r="Q350" i="12"/>
  <c r="R350" i="12" s="1"/>
  <c r="Q345" i="12"/>
  <c r="R345" i="12" s="1"/>
  <c r="S345" i="12" s="1"/>
  <c r="Q339" i="12"/>
  <c r="R339" i="12" s="1"/>
  <c r="Q334" i="12"/>
  <c r="R334" i="12" s="1"/>
  <c r="Q329" i="12"/>
  <c r="R329" i="12" s="1"/>
  <c r="S329" i="12" s="1"/>
  <c r="Q323" i="12"/>
  <c r="R323" i="12" s="1"/>
  <c r="Q318" i="12"/>
  <c r="R318" i="12" s="1"/>
  <c r="Q313" i="12"/>
  <c r="R313" i="12" s="1"/>
  <c r="Q307" i="12"/>
  <c r="R307" i="12" s="1"/>
  <c r="S307" i="12" s="1"/>
  <c r="Q302" i="12"/>
  <c r="R302" i="12" s="1"/>
  <c r="Q297" i="12"/>
  <c r="R297" i="12" s="1"/>
  <c r="Q291" i="12"/>
  <c r="R291" i="12" s="1"/>
  <c r="S291" i="12" s="1"/>
  <c r="Q286" i="12"/>
  <c r="R286" i="12" s="1"/>
  <c r="Q281" i="12"/>
  <c r="R281" i="12" s="1"/>
  <c r="Q275" i="12"/>
  <c r="R275" i="12" s="1"/>
  <c r="Q270" i="12"/>
  <c r="R270" i="12" s="1"/>
  <c r="Q265" i="12"/>
  <c r="R265" i="12" s="1"/>
  <c r="Q259" i="12"/>
  <c r="R259" i="12" s="1"/>
  <c r="Q254" i="12"/>
  <c r="R254" i="12" s="1"/>
  <c r="S254" i="12" s="1"/>
  <c r="Q249" i="12"/>
  <c r="R249" i="12" s="1"/>
  <c r="S249" i="12" s="1"/>
  <c r="Q239" i="12"/>
  <c r="R239" i="12" s="1"/>
  <c r="Q227" i="12"/>
  <c r="R227" i="12" s="1"/>
  <c r="S227" i="12" s="1"/>
  <c r="Q214" i="12"/>
  <c r="R214" i="12" s="1"/>
  <c r="Q198" i="12"/>
  <c r="R198" i="12" s="1"/>
  <c r="S198" i="12" s="1"/>
  <c r="Q180" i="12"/>
  <c r="R180" i="12" s="1"/>
  <c r="S180" i="12" s="1"/>
  <c r="Q164" i="12"/>
  <c r="R164" i="12" s="1"/>
  <c r="Q142" i="12"/>
  <c r="R142" i="12" s="1"/>
  <c r="Q108" i="12"/>
  <c r="R108" i="12" s="1"/>
  <c r="P391" i="12"/>
  <c r="U291" i="12"/>
  <c r="U575" i="12"/>
  <c r="Q543" i="12"/>
  <c r="R543" i="12" s="1"/>
  <c r="Q152" i="12"/>
  <c r="R152" i="12" s="1"/>
  <c r="S152" i="12" s="1"/>
  <c r="Q272" i="12"/>
  <c r="R272" i="12" s="1"/>
  <c r="Q292" i="12"/>
  <c r="R292" i="12" s="1"/>
  <c r="S292" i="12" s="1"/>
  <c r="Q328" i="12"/>
  <c r="R328" i="12" s="1"/>
  <c r="Q368" i="12"/>
  <c r="R368" i="12" s="1"/>
  <c r="Q79" i="12"/>
  <c r="R79" i="12" s="1"/>
  <c r="Q127" i="12"/>
  <c r="R127" i="12" s="1"/>
  <c r="Q146" i="12"/>
  <c r="R146" i="12" s="1"/>
  <c r="Q158" i="12"/>
  <c r="R158" i="12" s="1"/>
  <c r="Q174" i="12"/>
  <c r="R174" i="12" s="1"/>
  <c r="S174" i="12" s="1"/>
  <c r="Q189" i="12"/>
  <c r="R189" i="12" s="1"/>
  <c r="Q199" i="12"/>
  <c r="R199" i="12" s="1"/>
  <c r="Q211" i="12"/>
  <c r="R211" i="12" s="1"/>
  <c r="Q222" i="12"/>
  <c r="R222" i="12" s="1"/>
  <c r="Q231" i="12"/>
  <c r="R231" i="12" s="1"/>
  <c r="Q492" i="12"/>
  <c r="R492" i="12" s="1"/>
  <c r="Q20" i="12"/>
  <c r="R20" i="12" s="1"/>
  <c r="S20" i="12" s="1"/>
  <c r="Q162" i="12"/>
  <c r="R162" i="12" s="1"/>
  <c r="Q252" i="12"/>
  <c r="R252" i="12" s="1"/>
  <c r="Q356" i="12"/>
  <c r="R356" i="12" s="1"/>
  <c r="Q576" i="12"/>
  <c r="R576" i="12" s="1"/>
  <c r="Q551" i="12"/>
  <c r="R551" i="12" s="1"/>
  <c r="P47" i="12"/>
  <c r="P63" i="12"/>
  <c r="P79" i="12"/>
  <c r="P111" i="12"/>
  <c r="P143" i="12"/>
  <c r="P159" i="12"/>
  <c r="P175" i="12"/>
  <c r="P191" i="12"/>
  <c r="P207" i="12"/>
  <c r="P223" i="12"/>
  <c r="P43" i="12"/>
  <c r="P59" i="12"/>
  <c r="P75" i="12"/>
  <c r="P91" i="12"/>
  <c r="P107" i="12"/>
  <c r="P123" i="12"/>
  <c r="P139" i="12"/>
  <c r="P155" i="12"/>
  <c r="P171" i="12"/>
  <c r="P187" i="12"/>
  <c r="P203" i="12"/>
  <c r="P219" i="12"/>
  <c r="P239" i="12"/>
  <c r="P247" i="12"/>
  <c r="P275" i="12"/>
  <c r="P283" i="12"/>
  <c r="P319" i="12"/>
  <c r="P347" i="12"/>
  <c r="P359" i="12"/>
  <c r="Q17" i="12"/>
  <c r="R17" i="12" s="1"/>
  <c r="S17" i="12" s="1"/>
  <c r="Q12" i="12"/>
  <c r="R12" i="12" s="1"/>
  <c r="Q7" i="12"/>
  <c r="R7" i="12" s="1"/>
  <c r="S7" i="12" s="1"/>
  <c r="Q375" i="12"/>
  <c r="R375" i="12" s="1"/>
  <c r="Q370" i="12"/>
  <c r="R370" i="12" s="1"/>
  <c r="S370" i="12" s="1"/>
  <c r="Q365" i="12"/>
  <c r="R365" i="12" s="1"/>
  <c r="Q359" i="12"/>
  <c r="R359" i="12" s="1"/>
  <c r="Q354" i="12"/>
  <c r="R354" i="12" s="1"/>
  <c r="Q349" i="12"/>
  <c r="R349" i="12" s="1"/>
  <c r="Q343" i="12"/>
  <c r="R343" i="12" s="1"/>
  <c r="S343" i="12" s="1"/>
  <c r="Q338" i="12"/>
  <c r="R338" i="12" s="1"/>
  <c r="Q333" i="12"/>
  <c r="R333" i="12" s="1"/>
  <c r="Q327" i="12"/>
  <c r="R327" i="12" s="1"/>
  <c r="Q322" i="12"/>
  <c r="R322" i="12" s="1"/>
  <c r="Q317" i="12"/>
  <c r="R317" i="12" s="1"/>
  <c r="Q311" i="12"/>
  <c r="R311" i="12" s="1"/>
  <c r="S311" i="12" s="1"/>
  <c r="Q306" i="12"/>
  <c r="R306" i="12" s="1"/>
  <c r="Q301" i="12"/>
  <c r="R301" i="12" s="1"/>
  <c r="S301" i="12" s="1"/>
  <c r="Q295" i="12"/>
  <c r="R295" i="12" s="1"/>
  <c r="Q290" i="12"/>
  <c r="R290" i="12" s="1"/>
  <c r="Q285" i="12"/>
  <c r="R285" i="12" s="1"/>
  <c r="S285" i="12" s="1"/>
  <c r="Q279" i="12"/>
  <c r="R279" i="12" s="1"/>
  <c r="S279" i="12" s="1"/>
  <c r="Q274" i="12"/>
  <c r="R274" i="12" s="1"/>
  <c r="Q269" i="12"/>
  <c r="R269" i="12" s="1"/>
  <c r="Q263" i="12"/>
  <c r="R263" i="12" s="1"/>
  <c r="Q258" i="12"/>
  <c r="R258" i="12" s="1"/>
  <c r="Q253" i="12"/>
  <c r="R253" i="12" s="1"/>
  <c r="Q247" i="12"/>
  <c r="R247" i="12" s="1"/>
  <c r="Q238" i="12"/>
  <c r="R238" i="12" s="1"/>
  <c r="Q223" i="12"/>
  <c r="R223" i="12" s="1"/>
  <c r="Q207" i="12"/>
  <c r="R207" i="12" s="1"/>
  <c r="Q195" i="12"/>
  <c r="R195" i="12" s="1"/>
  <c r="S195" i="12" s="1"/>
  <c r="Q178" i="12"/>
  <c r="R178" i="12" s="1"/>
  <c r="S178" i="12" s="1"/>
  <c r="Q157" i="12"/>
  <c r="R157" i="12" s="1"/>
  <c r="Q136" i="12"/>
  <c r="R136" i="12" s="1"/>
  <c r="Q97" i="12"/>
  <c r="R97" i="12" s="1"/>
  <c r="S97" i="12" s="1"/>
  <c r="Q348" i="12"/>
  <c r="R348" i="12" s="1"/>
  <c r="Q336" i="12"/>
  <c r="R336" i="12" s="1"/>
  <c r="Q256" i="12"/>
  <c r="R256" i="12" s="1"/>
  <c r="P563" i="12"/>
  <c r="P527" i="12"/>
  <c r="P491" i="12"/>
  <c r="P471" i="12"/>
  <c r="U403" i="12"/>
  <c r="Q16" i="12"/>
  <c r="R16" i="12" s="1"/>
  <c r="S16" i="12" s="1"/>
  <c r="Q11" i="12"/>
  <c r="R11" i="12" s="1"/>
  <c r="S11" i="12" s="1"/>
  <c r="Q379" i="12"/>
  <c r="R379" i="12" s="1"/>
  <c r="Q374" i="12"/>
  <c r="R374" i="12" s="1"/>
  <c r="Q369" i="12"/>
  <c r="R369" i="12" s="1"/>
  <c r="S369" i="12" s="1"/>
  <c r="Q363" i="12"/>
  <c r="R363" i="12" s="1"/>
  <c r="Q358" i="12"/>
  <c r="R358" i="12" s="1"/>
  <c r="S358" i="12" s="1"/>
  <c r="Q353" i="12"/>
  <c r="R353" i="12" s="1"/>
  <c r="S353" i="12" s="1"/>
  <c r="Q347" i="12"/>
  <c r="R347" i="12" s="1"/>
  <c r="Q342" i="12"/>
  <c r="R342" i="12" s="1"/>
  <c r="Q337" i="12"/>
  <c r="R337" i="12" s="1"/>
  <c r="Q331" i="12"/>
  <c r="R331" i="12" s="1"/>
  <c r="S331" i="12" s="1"/>
  <c r="Q326" i="12"/>
  <c r="R326" i="12" s="1"/>
  <c r="Q321" i="12"/>
  <c r="R321" i="12" s="1"/>
  <c r="S321" i="12" s="1"/>
  <c r="Q315" i="12"/>
  <c r="R315" i="12" s="1"/>
  <c r="Q310" i="12"/>
  <c r="R310" i="12" s="1"/>
  <c r="Q305" i="12"/>
  <c r="R305" i="12" s="1"/>
  <c r="Q299" i="12"/>
  <c r="R299" i="12" s="1"/>
  <c r="Q294" i="12"/>
  <c r="R294" i="12" s="1"/>
  <c r="S294" i="12" s="1"/>
  <c r="Q289" i="12"/>
  <c r="R289" i="12" s="1"/>
  <c r="Q283" i="12"/>
  <c r="R283" i="12" s="1"/>
  <c r="Q278" i="12"/>
  <c r="R278" i="12" s="1"/>
  <c r="Q273" i="12"/>
  <c r="R273" i="12" s="1"/>
  <c r="S273" i="12" s="1"/>
  <c r="Q267" i="12"/>
  <c r="R267" i="12" s="1"/>
  <c r="Q262" i="12"/>
  <c r="R262" i="12" s="1"/>
  <c r="Q257" i="12"/>
  <c r="R257" i="12" s="1"/>
  <c r="Q251" i="12"/>
  <c r="R251" i="12" s="1"/>
  <c r="Q246" i="12"/>
  <c r="R246" i="12" s="1"/>
  <c r="Q235" i="12"/>
  <c r="R235" i="12" s="1"/>
  <c r="Q219" i="12"/>
  <c r="R219" i="12" s="1"/>
  <c r="Q206" i="12"/>
  <c r="R206" i="12" s="1"/>
  <c r="Q190" i="12"/>
  <c r="R190" i="12" s="1"/>
  <c r="Q169" i="12"/>
  <c r="R169" i="12" s="1"/>
  <c r="S169" i="12" s="1"/>
  <c r="Q153" i="12"/>
  <c r="R153" i="12" s="1"/>
  <c r="S153" i="12" s="1"/>
  <c r="Q135" i="12"/>
  <c r="R135" i="12" s="1"/>
  <c r="Q68" i="12"/>
  <c r="R68" i="12" s="1"/>
  <c r="Q141" i="12"/>
  <c r="R141" i="12" s="1"/>
  <c r="Q567" i="12"/>
  <c r="R567" i="12" s="1"/>
  <c r="P495" i="12"/>
  <c r="P439" i="12"/>
  <c r="U387" i="12"/>
  <c r="Q529" i="12"/>
  <c r="R529" i="12" s="1"/>
  <c r="P566" i="12"/>
  <c r="U566" i="12"/>
  <c r="P562" i="12"/>
  <c r="U562" i="12"/>
  <c r="P558" i="12"/>
  <c r="U558" i="12"/>
  <c r="P554" i="12"/>
  <c r="U554" i="12"/>
  <c r="P550" i="12"/>
  <c r="U550" i="12"/>
  <c r="P546" i="12"/>
  <c r="U546" i="12"/>
  <c r="P542" i="12"/>
  <c r="U542" i="12"/>
  <c r="P538" i="12"/>
  <c r="U538" i="12"/>
  <c r="P534" i="12"/>
  <c r="U534" i="12"/>
  <c r="P530" i="12"/>
  <c r="U530" i="12"/>
  <c r="P526" i="12"/>
  <c r="U526" i="12"/>
  <c r="P522" i="12"/>
  <c r="U522" i="12"/>
  <c r="P518" i="12"/>
  <c r="U518" i="12"/>
  <c r="P514" i="12"/>
  <c r="U514" i="12"/>
  <c r="P510" i="12"/>
  <c r="U510" i="12"/>
  <c r="P506" i="12"/>
  <c r="U506" i="12"/>
  <c r="P502" i="12"/>
  <c r="U502" i="12"/>
  <c r="P498" i="12"/>
  <c r="U498" i="12"/>
  <c r="P494" i="12"/>
  <c r="U494" i="12"/>
  <c r="P490" i="12"/>
  <c r="U490" i="12"/>
  <c r="P486" i="12"/>
  <c r="U486" i="12"/>
  <c r="P482" i="12"/>
  <c r="U482" i="12"/>
  <c r="P478" i="12"/>
  <c r="U478" i="12"/>
  <c r="P474" i="12"/>
  <c r="U474" i="12"/>
  <c r="P470" i="12"/>
  <c r="U470" i="12"/>
  <c r="P466" i="12"/>
  <c r="U466" i="12"/>
  <c r="P462" i="12"/>
  <c r="U462" i="12"/>
  <c r="P458" i="12"/>
  <c r="U458" i="12"/>
  <c r="P454" i="12"/>
  <c r="U454" i="12"/>
  <c r="P450" i="12"/>
  <c r="U450" i="12"/>
  <c r="P446" i="12"/>
  <c r="U446" i="12"/>
  <c r="U569" i="12"/>
  <c r="T569" i="12" s="1"/>
  <c r="P569" i="12"/>
  <c r="U553" i="12"/>
  <c r="P553" i="12"/>
  <c r="U549" i="12"/>
  <c r="P549" i="12"/>
  <c r="U545" i="12"/>
  <c r="P545" i="12"/>
  <c r="U541" i="12"/>
  <c r="P541" i="12"/>
  <c r="U521" i="12"/>
  <c r="P521" i="12"/>
  <c r="U517" i="12"/>
  <c r="P517" i="12"/>
  <c r="U505" i="12"/>
  <c r="P505" i="12"/>
  <c r="U501" i="12"/>
  <c r="P501" i="12"/>
  <c r="U485" i="12"/>
  <c r="P485" i="12"/>
  <c r="U481" i="12"/>
  <c r="P481" i="12"/>
  <c r="U477" i="12"/>
  <c r="P477" i="12"/>
  <c r="U465" i="12"/>
  <c r="P465" i="12"/>
  <c r="U461" i="12"/>
  <c r="P461" i="12"/>
  <c r="U449" i="12"/>
  <c r="P449" i="12"/>
  <c r="U445" i="12"/>
  <c r="P445" i="12"/>
  <c r="U433" i="12"/>
  <c r="P433" i="12"/>
  <c r="U429" i="12"/>
  <c r="P429" i="12"/>
  <c r="U417" i="12"/>
  <c r="P417" i="12"/>
  <c r="U413" i="12"/>
  <c r="P413" i="12"/>
  <c r="Q480" i="12"/>
  <c r="R480" i="12" s="1"/>
  <c r="S480" i="12" s="1"/>
  <c r="Q535" i="12"/>
  <c r="R535" i="12" s="1"/>
  <c r="Q559" i="12"/>
  <c r="R559" i="12" s="1"/>
  <c r="Q360" i="12"/>
  <c r="R360" i="12" s="1"/>
  <c r="Q268" i="12"/>
  <c r="R268" i="12" s="1"/>
  <c r="Q184" i="12"/>
  <c r="R184" i="12" s="1"/>
  <c r="S184" i="12" s="1"/>
  <c r="Q173" i="12"/>
  <c r="R173" i="12" s="1"/>
  <c r="Q121" i="12"/>
  <c r="R121" i="12" s="1"/>
  <c r="S121" i="12" s="1"/>
  <c r="Q484" i="12"/>
  <c r="R484" i="12" s="1"/>
  <c r="U442" i="12"/>
  <c r="U438" i="12"/>
  <c r="U434" i="12"/>
  <c r="U430" i="12"/>
  <c r="U426" i="12"/>
  <c r="U422" i="12"/>
  <c r="U418" i="12"/>
  <c r="U414" i="12"/>
  <c r="U410" i="12"/>
  <c r="U406" i="12"/>
  <c r="U402" i="12"/>
  <c r="U398" i="12"/>
  <c r="U394" i="12"/>
  <c r="U390" i="12"/>
  <c r="U386" i="12"/>
  <c r="U382" i="12"/>
  <c r="U366" i="12"/>
  <c r="T366" i="12" s="1"/>
  <c r="T574" i="12"/>
  <c r="T570" i="12"/>
  <c r="T573" i="12"/>
  <c r="T572" i="12"/>
  <c r="P582" i="12"/>
  <c r="U582" i="12"/>
  <c r="P578" i="12"/>
  <c r="U578" i="12"/>
  <c r="P334" i="12"/>
  <c r="P278" i="12"/>
  <c r="P270" i="12"/>
  <c r="P262" i="12"/>
  <c r="P574" i="12"/>
  <c r="P570" i="12"/>
  <c r="P256" i="12"/>
  <c r="P288" i="12"/>
  <c r="P328" i="12"/>
  <c r="P360" i="12"/>
  <c r="Q380" i="12"/>
  <c r="R380" i="12" s="1"/>
  <c r="S380" i="12" s="1"/>
  <c r="Q372" i="12"/>
  <c r="R372" i="12" s="1"/>
  <c r="Q352" i="12"/>
  <c r="R352" i="12" s="1"/>
  <c r="Q344" i="12"/>
  <c r="R344" i="12" s="1"/>
  <c r="Q316" i="12"/>
  <c r="R316" i="12" s="1"/>
  <c r="Q312" i="12"/>
  <c r="R312" i="12" s="1"/>
  <c r="S312" i="12" s="1"/>
  <c r="Q304" i="12"/>
  <c r="R304" i="12" s="1"/>
  <c r="Q296" i="12"/>
  <c r="R296" i="12" s="1"/>
  <c r="Q284" i="12"/>
  <c r="R284" i="12" s="1"/>
  <c r="Q276" i="12"/>
  <c r="R276" i="12" s="1"/>
  <c r="Q264" i="12"/>
  <c r="R264" i="12" s="1"/>
  <c r="S264" i="12" s="1"/>
  <c r="P272" i="12"/>
  <c r="P348" i="12"/>
  <c r="Q376" i="12"/>
  <c r="R376" i="12" s="1"/>
  <c r="Q364" i="12"/>
  <c r="R364" i="12" s="1"/>
  <c r="Q340" i="12"/>
  <c r="R340" i="12" s="1"/>
  <c r="Q332" i="12"/>
  <c r="R332" i="12" s="1"/>
  <c r="Q320" i="12"/>
  <c r="R320" i="12" s="1"/>
  <c r="S320" i="12" s="1"/>
  <c r="Q308" i="12"/>
  <c r="R308" i="12" s="1"/>
  <c r="S308" i="12" s="1"/>
  <c r="Q300" i="12"/>
  <c r="R300" i="12" s="1"/>
  <c r="Q280" i="12"/>
  <c r="R280" i="12" s="1"/>
  <c r="Q260" i="12"/>
  <c r="R260" i="12" s="1"/>
  <c r="P242" i="12"/>
  <c r="Q242" i="12"/>
  <c r="R242" i="12" s="1"/>
  <c r="P234" i="12"/>
  <c r="Q234" i="12"/>
  <c r="R234" i="12" s="1"/>
  <c r="P226" i="12"/>
  <c r="Q226" i="12"/>
  <c r="R226" i="12" s="1"/>
  <c r="P218" i="12"/>
  <c r="Q218" i="12"/>
  <c r="R218" i="12" s="1"/>
  <c r="P210" i="12"/>
  <c r="Q210" i="12"/>
  <c r="R210" i="12" s="1"/>
  <c r="P202" i="12"/>
  <c r="Q202" i="12"/>
  <c r="R202" i="12" s="1"/>
  <c r="P194" i="12"/>
  <c r="Q194" i="12"/>
  <c r="R194" i="12" s="1"/>
  <c r="Q593" i="12"/>
  <c r="R593" i="12" s="1"/>
  <c r="S593" i="12" s="1"/>
  <c r="Q585" i="12"/>
  <c r="R585" i="12" s="1"/>
  <c r="S585" i="12" s="1"/>
  <c r="Q573" i="12"/>
  <c r="R573" i="12" s="1"/>
  <c r="Q486" i="12"/>
  <c r="R486" i="12" s="1"/>
  <c r="Q478" i="12"/>
  <c r="R478" i="12" s="1"/>
  <c r="Q465" i="12"/>
  <c r="R465" i="12" s="1"/>
  <c r="Q563" i="12"/>
  <c r="R563" i="12" s="1"/>
  <c r="Q555" i="12"/>
  <c r="R555" i="12" s="1"/>
  <c r="Q547" i="12"/>
  <c r="R547" i="12" s="1"/>
  <c r="Q539" i="12"/>
  <c r="R539" i="12" s="1"/>
  <c r="Q488" i="12"/>
  <c r="R488" i="12" s="1"/>
  <c r="Q385" i="12"/>
  <c r="R385" i="12" s="1"/>
  <c r="S385" i="12" s="1"/>
  <c r="Q386" i="12"/>
  <c r="R386" i="12" s="1"/>
  <c r="S386" i="12" s="1"/>
  <c r="Q391" i="12"/>
  <c r="R391" i="12" s="1"/>
  <c r="Q392" i="12"/>
  <c r="R392" i="12" s="1"/>
  <c r="Q397" i="12"/>
  <c r="R397" i="12" s="1"/>
  <c r="Q401" i="12"/>
  <c r="R401" i="12" s="1"/>
  <c r="S401" i="12" s="1"/>
  <c r="Q405" i="12"/>
  <c r="R405" i="12" s="1"/>
  <c r="S405" i="12" s="1"/>
  <c r="Q409" i="12"/>
  <c r="R409" i="12" s="1"/>
  <c r="Q413" i="12"/>
  <c r="R413" i="12" s="1"/>
  <c r="Q417" i="12"/>
  <c r="R417" i="12" s="1"/>
  <c r="Q421" i="12"/>
  <c r="R421" i="12" s="1"/>
  <c r="Q425" i="12"/>
  <c r="R425" i="12" s="1"/>
  <c r="Q429" i="12"/>
  <c r="R429" i="12" s="1"/>
  <c r="Q433" i="12"/>
  <c r="R433" i="12" s="1"/>
  <c r="Q437" i="12"/>
  <c r="R437" i="12" s="1"/>
  <c r="S437" i="12" s="1"/>
  <c r="Q441" i="12"/>
  <c r="R441" i="12" s="1"/>
  <c r="S441" i="12" s="1"/>
  <c r="Q445" i="12"/>
  <c r="R445" i="12" s="1"/>
  <c r="Q449" i="12"/>
  <c r="R449" i="12" s="1"/>
  <c r="Q455" i="12"/>
  <c r="R455" i="12" s="1"/>
  <c r="Q462" i="12"/>
  <c r="R462" i="12" s="1"/>
  <c r="Q469" i="12"/>
  <c r="R469" i="12" s="1"/>
  <c r="S469" i="12" s="1"/>
  <c r="Q473" i="12"/>
  <c r="R473" i="12" s="1"/>
  <c r="S473" i="12" s="1"/>
  <c r="Q477" i="12"/>
  <c r="R477" i="12" s="1"/>
  <c r="Q481" i="12"/>
  <c r="R481" i="12" s="1"/>
  <c r="Q485" i="12"/>
  <c r="R485" i="12" s="1"/>
  <c r="Q489" i="12"/>
  <c r="R489" i="12" s="1"/>
  <c r="Q381" i="12"/>
  <c r="R381" i="12" s="1"/>
  <c r="Q383" i="12"/>
  <c r="R383" i="12" s="1"/>
  <c r="Q384" i="12"/>
  <c r="R384" i="12" s="1"/>
  <c r="Q389" i="12"/>
  <c r="R389" i="12" s="1"/>
  <c r="S389" i="12" s="1"/>
  <c r="Q390" i="12"/>
  <c r="R390" i="12" s="1"/>
  <c r="S390" i="12" s="1"/>
  <c r="Q396" i="12"/>
  <c r="R396" i="12" s="1"/>
  <c r="S396" i="12" s="1"/>
  <c r="Q400" i="12"/>
  <c r="R400" i="12" s="1"/>
  <c r="Q404" i="12"/>
  <c r="R404" i="12" s="1"/>
  <c r="S404" i="12" s="1"/>
  <c r="Q408" i="12"/>
  <c r="R408" i="12" s="1"/>
  <c r="Q412" i="12"/>
  <c r="R412" i="12" s="1"/>
  <c r="Q416" i="12"/>
  <c r="R416" i="12" s="1"/>
  <c r="S416" i="12" s="1"/>
  <c r="Q420" i="12"/>
  <c r="R420" i="12" s="1"/>
  <c r="Q424" i="12"/>
  <c r="R424" i="12" s="1"/>
  <c r="Q428" i="12"/>
  <c r="R428" i="12" s="1"/>
  <c r="Q432" i="12"/>
  <c r="R432" i="12" s="1"/>
  <c r="S432" i="12" s="1"/>
  <c r="Q436" i="12"/>
  <c r="R436" i="12" s="1"/>
  <c r="Q440" i="12"/>
  <c r="R440" i="12" s="1"/>
  <c r="Q444" i="12"/>
  <c r="R444" i="12" s="1"/>
  <c r="Q448" i="12"/>
  <c r="R448" i="12" s="1"/>
  <c r="S448" i="12" s="1"/>
  <c r="Q454" i="12"/>
  <c r="R454" i="12" s="1"/>
  <c r="Q459" i="12"/>
  <c r="R459" i="12" s="1"/>
  <c r="Q460" i="12"/>
  <c r="R460" i="12" s="1"/>
  <c r="Q461" i="12"/>
  <c r="R461" i="12" s="1"/>
  <c r="Q466" i="12"/>
  <c r="R466" i="12" s="1"/>
  <c r="Q470" i="12"/>
  <c r="R470" i="12" s="1"/>
  <c r="Q474" i="12"/>
  <c r="R474" i="12" s="1"/>
  <c r="Q394" i="12"/>
  <c r="R394" i="12" s="1"/>
  <c r="S394" i="12" s="1"/>
  <c r="Q398" i="12"/>
  <c r="R398" i="12" s="1"/>
  <c r="S398" i="12" s="1"/>
  <c r="Q402" i="12"/>
  <c r="R402" i="12" s="1"/>
  <c r="S402" i="12" s="1"/>
  <c r="Q406" i="12"/>
  <c r="R406" i="12" s="1"/>
  <c r="S406" i="12" s="1"/>
  <c r="Q410" i="12"/>
  <c r="R410" i="12" s="1"/>
  <c r="S410" i="12" s="1"/>
  <c r="Q414" i="12"/>
  <c r="R414" i="12" s="1"/>
  <c r="S414" i="12" s="1"/>
  <c r="Q418" i="12"/>
  <c r="R418" i="12" s="1"/>
  <c r="S418" i="12" s="1"/>
  <c r="Q422" i="12"/>
  <c r="R422" i="12" s="1"/>
  <c r="S422" i="12" s="1"/>
  <c r="Q426" i="12"/>
  <c r="R426" i="12" s="1"/>
  <c r="S426" i="12" s="1"/>
  <c r="Q430" i="12"/>
  <c r="R430" i="12" s="1"/>
  <c r="S430" i="12" s="1"/>
  <c r="Q434" i="12"/>
  <c r="R434" i="12" s="1"/>
  <c r="S434" i="12" s="1"/>
  <c r="Q438" i="12"/>
  <c r="R438" i="12" s="1"/>
  <c r="S438" i="12" s="1"/>
  <c r="Q442" i="12"/>
  <c r="R442" i="12" s="1"/>
  <c r="S442" i="12" s="1"/>
  <c r="Q446" i="12"/>
  <c r="R446" i="12" s="1"/>
  <c r="Q450" i="12"/>
  <c r="R450" i="12" s="1"/>
  <c r="Q453" i="12"/>
  <c r="R453" i="12" s="1"/>
  <c r="Q457" i="12"/>
  <c r="R457" i="12" s="1"/>
  <c r="Q464" i="12"/>
  <c r="R464" i="12" s="1"/>
  <c r="S464" i="12" s="1"/>
  <c r="Q468" i="12"/>
  <c r="R468" i="12" s="1"/>
  <c r="Q472" i="12"/>
  <c r="R472" i="12" s="1"/>
  <c r="Q476" i="12"/>
  <c r="R476" i="12" s="1"/>
  <c r="Q493" i="12"/>
  <c r="R493" i="12" s="1"/>
  <c r="Q515" i="12"/>
  <c r="R515" i="12" s="1"/>
  <c r="Q519" i="12"/>
  <c r="R519" i="12" s="1"/>
  <c r="Q523" i="12"/>
  <c r="R523" i="12" s="1"/>
  <c r="Q527" i="12"/>
  <c r="R527" i="12" s="1"/>
  <c r="Q531" i="12"/>
  <c r="R531" i="12" s="1"/>
  <c r="Q387" i="12"/>
  <c r="R387" i="12" s="1"/>
  <c r="S387" i="12" s="1"/>
  <c r="Q452" i="12"/>
  <c r="R452" i="12" s="1"/>
  <c r="Q467" i="12"/>
  <c r="R467" i="12" s="1"/>
  <c r="Q471" i="12"/>
  <c r="R471" i="12" s="1"/>
  <c r="Q475" i="12"/>
  <c r="R475" i="12" s="1"/>
  <c r="Q494" i="12"/>
  <c r="R494" i="12" s="1"/>
  <c r="Q495" i="12"/>
  <c r="R495" i="12" s="1"/>
  <c r="Q496" i="12"/>
  <c r="R496" i="12" s="1"/>
  <c r="S496" i="12" s="1"/>
  <c r="Q497" i="12"/>
  <c r="R497" i="12" s="1"/>
  <c r="Q498" i="12"/>
  <c r="R498" i="12" s="1"/>
  <c r="Q499" i="12"/>
  <c r="R499" i="12" s="1"/>
  <c r="Q500" i="12"/>
  <c r="R500" i="12" s="1"/>
  <c r="Q501" i="12"/>
  <c r="R501" i="12" s="1"/>
  <c r="Q502" i="12"/>
  <c r="R502" i="12" s="1"/>
  <c r="Q503" i="12"/>
  <c r="R503" i="12" s="1"/>
  <c r="Q504" i="12"/>
  <c r="R504" i="12" s="1"/>
  <c r="S504" i="12" s="1"/>
  <c r="Q505" i="12"/>
  <c r="R505" i="12" s="1"/>
  <c r="Q506" i="12"/>
  <c r="R506" i="12" s="1"/>
  <c r="Q507" i="12"/>
  <c r="R507" i="12" s="1"/>
  <c r="Q508" i="12"/>
  <c r="R508" i="12" s="1"/>
  <c r="S508" i="12" s="1"/>
  <c r="Q509" i="12"/>
  <c r="R509" i="12" s="1"/>
  <c r="S509" i="12" s="1"/>
  <c r="Q510" i="12"/>
  <c r="R510" i="12" s="1"/>
  <c r="Q511" i="12"/>
  <c r="R511" i="12" s="1"/>
  <c r="Q512" i="12"/>
  <c r="R512" i="12" s="1"/>
  <c r="S512" i="12" s="1"/>
  <c r="Q513" i="12"/>
  <c r="R513" i="12" s="1"/>
  <c r="Q514" i="12"/>
  <c r="R514" i="12" s="1"/>
  <c r="Q516" i="12"/>
  <c r="R516" i="12" s="1"/>
  <c r="Q518" i="12"/>
  <c r="R518" i="12" s="1"/>
  <c r="Q520" i="12"/>
  <c r="R520" i="12" s="1"/>
  <c r="Q522" i="12"/>
  <c r="R522" i="12" s="1"/>
  <c r="Q524" i="12"/>
  <c r="R524" i="12" s="1"/>
  <c r="Q526" i="12"/>
  <c r="R526" i="12" s="1"/>
  <c r="Q528" i="12"/>
  <c r="R528" i="12" s="1"/>
  <c r="S528" i="12" s="1"/>
  <c r="Q530" i="12"/>
  <c r="R530" i="12" s="1"/>
  <c r="Q382" i="12"/>
  <c r="R382" i="12" s="1"/>
  <c r="S382" i="12" s="1"/>
  <c r="Q393" i="12"/>
  <c r="R393" i="12" s="1"/>
  <c r="Q395" i="12"/>
  <c r="R395" i="12" s="1"/>
  <c r="Q399" i="12"/>
  <c r="R399" i="12" s="1"/>
  <c r="Q403" i="12"/>
  <c r="R403" i="12" s="1"/>
  <c r="S403" i="12" s="1"/>
  <c r="Q407" i="12"/>
  <c r="R407" i="12" s="1"/>
  <c r="Q411" i="12"/>
  <c r="R411" i="12" s="1"/>
  <c r="Q415" i="12"/>
  <c r="R415" i="12" s="1"/>
  <c r="Q419" i="12"/>
  <c r="R419" i="12" s="1"/>
  <c r="Q423" i="12"/>
  <c r="R423" i="12" s="1"/>
  <c r="Q427" i="12"/>
  <c r="R427" i="12" s="1"/>
  <c r="Q431" i="12"/>
  <c r="R431" i="12" s="1"/>
  <c r="Q435" i="12"/>
  <c r="R435" i="12" s="1"/>
  <c r="Q439" i="12"/>
  <c r="R439" i="12" s="1"/>
  <c r="Q443" i="12"/>
  <c r="R443" i="12" s="1"/>
  <c r="Q447" i="12"/>
  <c r="R447" i="12" s="1"/>
  <c r="Q451" i="12"/>
  <c r="R451" i="12" s="1"/>
  <c r="Q456" i="12"/>
  <c r="R456" i="12" s="1"/>
  <c r="S456" i="12" s="1"/>
  <c r="Q458" i="12"/>
  <c r="R458" i="12" s="1"/>
  <c r="Q463" i="12"/>
  <c r="R463" i="12" s="1"/>
  <c r="Q517" i="12"/>
  <c r="R517" i="12" s="1"/>
  <c r="Q521" i="12"/>
  <c r="R521" i="12" s="1"/>
  <c r="Q525" i="12"/>
  <c r="R525" i="12" s="1"/>
  <c r="S525" i="12" s="1"/>
  <c r="Q532" i="12"/>
  <c r="R532" i="12" s="1"/>
  <c r="Q534" i="12"/>
  <c r="R534" i="12" s="1"/>
  <c r="Q536" i="12"/>
  <c r="R536" i="12" s="1"/>
  <c r="Q538" i="12"/>
  <c r="R538" i="12" s="1"/>
  <c r="Q540" i="12"/>
  <c r="R540" i="12" s="1"/>
  <c r="Q542" i="12"/>
  <c r="R542" i="12" s="1"/>
  <c r="Q544" i="12"/>
  <c r="R544" i="12" s="1"/>
  <c r="Q546" i="12"/>
  <c r="R546" i="12" s="1"/>
  <c r="Q548" i="12"/>
  <c r="R548" i="12" s="1"/>
  <c r="Q550" i="12"/>
  <c r="R550" i="12" s="1"/>
  <c r="Q552" i="12"/>
  <c r="R552" i="12" s="1"/>
  <c r="Q554" i="12"/>
  <c r="R554" i="12" s="1"/>
  <c r="Q556" i="12"/>
  <c r="R556" i="12" s="1"/>
  <c r="Q558" i="12"/>
  <c r="R558" i="12" s="1"/>
  <c r="Q560" i="12"/>
  <c r="R560" i="12" s="1"/>
  <c r="S560" i="12" s="1"/>
  <c r="Q562" i="12"/>
  <c r="R562" i="12" s="1"/>
  <c r="Q564" i="12"/>
  <c r="R564" i="12" s="1"/>
  <c r="Q566" i="12"/>
  <c r="R566" i="12" s="1"/>
  <c r="Q568" i="12"/>
  <c r="R568" i="12" s="1"/>
  <c r="S568" i="12" s="1"/>
  <c r="Q570" i="12"/>
  <c r="R570" i="12" s="1"/>
  <c r="Q575" i="12"/>
  <c r="R575" i="12" s="1"/>
  <c r="S575" i="12" s="1"/>
  <c r="Q578" i="12"/>
  <c r="R578" i="12" s="1"/>
  <c r="S578" i="12" s="1"/>
  <c r="Q582" i="12"/>
  <c r="R582" i="12" s="1"/>
  <c r="Q583" i="12"/>
  <c r="R583" i="12" s="1"/>
  <c r="S583" i="12" s="1"/>
  <c r="Q588" i="12"/>
  <c r="R588" i="12" s="1"/>
  <c r="S588" i="12" s="1"/>
  <c r="Q592" i="12"/>
  <c r="R592" i="12" s="1"/>
  <c r="S592" i="12" s="1"/>
  <c r="Q596" i="12"/>
  <c r="R596" i="12" s="1"/>
  <c r="S596" i="12" s="1"/>
  <c r="Q388" i="12"/>
  <c r="R388" i="12" s="1"/>
  <c r="S388" i="12" s="1"/>
  <c r="Q479" i="12"/>
  <c r="R479" i="12" s="1"/>
  <c r="Q483" i="12"/>
  <c r="R483" i="12" s="1"/>
  <c r="Q487" i="12"/>
  <c r="R487" i="12" s="1"/>
  <c r="Q491" i="12"/>
  <c r="R491" i="12" s="1"/>
  <c r="Q533" i="12"/>
  <c r="R533" i="12" s="1"/>
  <c r="S533" i="12" s="1"/>
  <c r="Q537" i="12"/>
  <c r="R537" i="12" s="1"/>
  <c r="S537" i="12" s="1"/>
  <c r="Q541" i="12"/>
  <c r="R541" i="12" s="1"/>
  <c r="Q545" i="12"/>
  <c r="R545" i="12" s="1"/>
  <c r="Q549" i="12"/>
  <c r="R549" i="12" s="1"/>
  <c r="Q553" i="12"/>
  <c r="R553" i="12" s="1"/>
  <c r="Q557" i="12"/>
  <c r="R557" i="12" s="1"/>
  <c r="S557" i="12" s="1"/>
  <c r="Q561" i="12"/>
  <c r="R561" i="12" s="1"/>
  <c r="Q565" i="12"/>
  <c r="R565" i="12" s="1"/>
  <c r="Q569" i="12"/>
  <c r="R569" i="12" s="1"/>
  <c r="Q572" i="12"/>
  <c r="R572" i="12" s="1"/>
  <c r="Q577" i="12"/>
  <c r="R577" i="12" s="1"/>
  <c r="Q580" i="12"/>
  <c r="R580" i="12" s="1"/>
  <c r="Q581" i="12"/>
  <c r="R581" i="12" s="1"/>
  <c r="Q587" i="12"/>
  <c r="R587" i="12" s="1"/>
  <c r="S587" i="12" s="1"/>
  <c r="Q591" i="12"/>
  <c r="R591" i="12" s="1"/>
  <c r="S591" i="12" s="1"/>
  <c r="Q595" i="12"/>
  <c r="R595" i="12" s="1"/>
  <c r="S595" i="12" s="1"/>
  <c r="Q571" i="12"/>
  <c r="R571" i="12" s="1"/>
  <c r="Q574" i="12"/>
  <c r="R574" i="12" s="1"/>
  <c r="Q579" i="12"/>
  <c r="R579" i="12" s="1"/>
  <c r="Q586" i="12"/>
  <c r="R586" i="12" s="1"/>
  <c r="S586" i="12" s="1"/>
  <c r="Q590" i="12"/>
  <c r="R590" i="12" s="1"/>
  <c r="S590" i="12" s="1"/>
  <c r="Q594" i="12"/>
  <c r="R594" i="12" s="1"/>
  <c r="S594" i="12" s="1"/>
  <c r="Q597" i="12"/>
  <c r="R597" i="12" s="1"/>
  <c r="S597" i="12" s="1"/>
  <c r="Q589" i="12"/>
  <c r="R589" i="12" s="1"/>
  <c r="S589" i="12" s="1"/>
  <c r="Q584" i="12"/>
  <c r="R584" i="12" s="1"/>
  <c r="S584" i="12" s="1"/>
  <c r="Q490" i="12"/>
  <c r="R490" i="12" s="1"/>
  <c r="Q482" i="12"/>
  <c r="R482" i="12" s="1"/>
  <c r="Q245" i="12"/>
  <c r="R245" i="12" s="1"/>
  <c r="S245" i="12" s="1"/>
  <c r="Q241" i="12"/>
  <c r="R241" i="12" s="1"/>
  <c r="S241" i="12" s="1"/>
  <c r="Q237" i="12"/>
  <c r="R237" i="12" s="1"/>
  <c r="Q233" i="12"/>
  <c r="R233" i="12" s="1"/>
  <c r="S233" i="12" s="1"/>
  <c r="Q229" i="12"/>
  <c r="R229" i="12" s="1"/>
  <c r="S229" i="12" s="1"/>
  <c r="Q225" i="12"/>
  <c r="R225" i="12" s="1"/>
  <c r="S225" i="12" s="1"/>
  <c r="Q221" i="12"/>
  <c r="R221" i="12" s="1"/>
  <c r="Q217" i="12"/>
  <c r="R217" i="12" s="1"/>
  <c r="S217" i="12" s="1"/>
  <c r="Q213" i="12"/>
  <c r="R213" i="12" s="1"/>
  <c r="S213" i="12" s="1"/>
  <c r="Q209" i="12"/>
  <c r="R209" i="12" s="1"/>
  <c r="S209" i="12" s="1"/>
  <c r="Q205" i="12"/>
  <c r="R205" i="12" s="1"/>
  <c r="Q201" i="12"/>
  <c r="R201" i="12" s="1"/>
  <c r="S201" i="12" s="1"/>
  <c r="Q197" i="12"/>
  <c r="R197" i="12" s="1"/>
  <c r="S197" i="12" s="1"/>
  <c r="Q193" i="12"/>
  <c r="R193" i="12" s="1"/>
  <c r="Q188" i="12"/>
  <c r="R188" i="12" s="1"/>
  <c r="Q182" i="12"/>
  <c r="R182" i="12" s="1"/>
  <c r="S182" i="12" s="1"/>
  <c r="Q177" i="12"/>
  <c r="R177" i="12" s="1"/>
  <c r="S177" i="12" s="1"/>
  <c r="Q172" i="12"/>
  <c r="R172" i="12" s="1"/>
  <c r="Q166" i="12"/>
  <c r="R166" i="12" s="1"/>
  <c r="Q161" i="12"/>
  <c r="R161" i="12" s="1"/>
  <c r="Q156" i="12"/>
  <c r="R156" i="12" s="1"/>
  <c r="S156" i="12" s="1"/>
  <c r="Q150" i="12"/>
  <c r="R150" i="12" s="1"/>
  <c r="Q145" i="12"/>
  <c r="R145" i="12" s="1"/>
  <c r="Q140" i="12"/>
  <c r="R140" i="12" s="1"/>
  <c r="Q131" i="12"/>
  <c r="R131" i="12" s="1"/>
  <c r="Q120" i="12"/>
  <c r="R120" i="12" s="1"/>
  <c r="Q105" i="12"/>
  <c r="R105" i="12" s="1"/>
  <c r="S105" i="12" s="1"/>
  <c r="Q87" i="12"/>
  <c r="R87" i="12" s="1"/>
  <c r="Q60" i="12"/>
  <c r="R60" i="12" s="1"/>
  <c r="T166" i="12"/>
  <c r="T154" i="12"/>
  <c r="T150" i="12"/>
  <c r="Q248" i="12"/>
  <c r="R248" i="12" s="1"/>
  <c r="Q244" i="12"/>
  <c r="R244" i="12" s="1"/>
  <c r="Q240" i="12"/>
  <c r="R240" i="12" s="1"/>
  <c r="S240" i="12" s="1"/>
  <c r="Q236" i="12"/>
  <c r="R236" i="12" s="1"/>
  <c r="Q232" i="12"/>
  <c r="R232" i="12" s="1"/>
  <c r="Q228" i="12"/>
  <c r="R228" i="12" s="1"/>
  <c r="Q224" i="12"/>
  <c r="R224" i="12" s="1"/>
  <c r="Q220" i="12"/>
  <c r="R220" i="12" s="1"/>
  <c r="Q216" i="12"/>
  <c r="R216" i="12" s="1"/>
  <c r="Q212" i="12"/>
  <c r="R212" i="12" s="1"/>
  <c r="Q208" i="12"/>
  <c r="R208" i="12" s="1"/>
  <c r="Q204" i="12"/>
  <c r="R204" i="12" s="1"/>
  <c r="Q200" i="12"/>
  <c r="R200" i="12" s="1"/>
  <c r="Q196" i="12"/>
  <c r="R196" i="12" s="1"/>
  <c r="Q192" i="12"/>
  <c r="R192" i="12" s="1"/>
  <c r="Q186" i="12"/>
  <c r="R186" i="12" s="1"/>
  <c r="Q181" i="12"/>
  <c r="R181" i="12" s="1"/>
  <c r="S181" i="12" s="1"/>
  <c r="Q176" i="12"/>
  <c r="R176" i="12" s="1"/>
  <c r="Q170" i="12"/>
  <c r="R170" i="12" s="1"/>
  <c r="Q165" i="12"/>
  <c r="R165" i="12" s="1"/>
  <c r="S165" i="12" s="1"/>
  <c r="Q160" i="12"/>
  <c r="R160" i="12" s="1"/>
  <c r="Q154" i="12"/>
  <c r="R154" i="12" s="1"/>
  <c r="Q149" i="12"/>
  <c r="R149" i="12" s="1"/>
  <c r="S149" i="12" s="1"/>
  <c r="Q144" i="12"/>
  <c r="R144" i="12" s="1"/>
  <c r="Q138" i="12"/>
  <c r="R138" i="12" s="1"/>
  <c r="Q128" i="12"/>
  <c r="R128" i="12" s="1"/>
  <c r="Q119" i="12"/>
  <c r="R119" i="12" s="1"/>
  <c r="Q99" i="12"/>
  <c r="R99" i="12" s="1"/>
  <c r="Q83" i="12"/>
  <c r="R83" i="12" s="1"/>
  <c r="Q53" i="12"/>
  <c r="R53" i="12" s="1"/>
  <c r="S53" i="12" s="1"/>
  <c r="Q134" i="12"/>
  <c r="R134" i="12" s="1"/>
  <c r="T126" i="12"/>
  <c r="T114" i="12"/>
  <c r="T110" i="12"/>
  <c r="T94" i="12"/>
  <c r="T82" i="12"/>
  <c r="T62" i="12"/>
  <c r="T46" i="12"/>
  <c r="U42" i="12"/>
  <c r="T42" i="12" s="1"/>
  <c r="U38" i="12"/>
  <c r="T38" i="12" s="1"/>
  <c r="U34" i="12"/>
  <c r="T34" i="12" s="1"/>
  <c r="U30" i="12"/>
  <c r="T30" i="12" s="1"/>
  <c r="U26" i="12"/>
  <c r="T26" i="12" s="1"/>
  <c r="U22" i="12"/>
  <c r="T22" i="12" s="1"/>
  <c r="U10" i="12"/>
  <c r="T10" i="12" s="1"/>
  <c r="Q191" i="12"/>
  <c r="R191" i="12" s="1"/>
  <c r="Q187" i="12"/>
  <c r="R187" i="12" s="1"/>
  <c r="Q183" i="12"/>
  <c r="R183" i="12" s="1"/>
  <c r="Q179" i="12"/>
  <c r="R179" i="12" s="1"/>
  <c r="Q175" i="12"/>
  <c r="R175" i="12" s="1"/>
  <c r="Q171" i="12"/>
  <c r="R171" i="12" s="1"/>
  <c r="S171" i="12" s="1"/>
  <c r="Q167" i="12"/>
  <c r="R167" i="12" s="1"/>
  <c r="Q163" i="12"/>
  <c r="R163" i="12" s="1"/>
  <c r="Q159" i="12"/>
  <c r="R159" i="12" s="1"/>
  <c r="S159" i="12" s="1"/>
  <c r="Q155" i="12"/>
  <c r="R155" i="12" s="1"/>
  <c r="Q151" i="12"/>
  <c r="R151" i="12" s="1"/>
  <c r="Q147" i="12"/>
  <c r="R147" i="12" s="1"/>
  <c r="Q143" i="12"/>
  <c r="R143" i="12" s="1"/>
  <c r="Q139" i="12"/>
  <c r="R139" i="12" s="1"/>
  <c r="Q132" i="12"/>
  <c r="R132" i="12" s="1"/>
  <c r="Q125" i="12"/>
  <c r="R125" i="12" s="1"/>
  <c r="S125" i="12" s="1"/>
  <c r="Q115" i="12"/>
  <c r="R115" i="12" s="1"/>
  <c r="S115" i="12" s="1"/>
  <c r="Q100" i="12"/>
  <c r="R100" i="12" s="1"/>
  <c r="Q89" i="12"/>
  <c r="R89" i="12" s="1"/>
  <c r="S89" i="12" s="1"/>
  <c r="Q77" i="12"/>
  <c r="R77" i="12" s="1"/>
  <c r="S77" i="12" s="1"/>
  <c r="Q28" i="12"/>
  <c r="R28" i="12" s="1"/>
  <c r="S28" i="12" s="1"/>
  <c r="P10" i="12"/>
  <c r="P286" i="12"/>
  <c r="Q18" i="12"/>
  <c r="R18" i="12" s="1"/>
  <c r="S18" i="12" s="1"/>
  <c r="Q14" i="12"/>
  <c r="R14" i="12" s="1"/>
  <c r="S14" i="12" s="1"/>
  <c r="Q10" i="12"/>
  <c r="R10" i="12" s="1"/>
  <c r="P22" i="12"/>
  <c r="P30" i="12"/>
  <c r="P42" i="12"/>
  <c r="P46" i="12"/>
  <c r="P50" i="12"/>
  <c r="P58" i="12"/>
  <c r="P62" i="12"/>
  <c r="P66" i="12"/>
  <c r="P70" i="12"/>
  <c r="P74" i="12"/>
  <c r="P78" i="12"/>
  <c r="P82" i="12"/>
  <c r="P86" i="12"/>
  <c r="P90" i="12"/>
  <c r="P94" i="12"/>
  <c r="P98" i="12"/>
  <c r="P102" i="12"/>
  <c r="P106" i="12"/>
  <c r="P110" i="12"/>
  <c r="P114" i="12"/>
  <c r="P118" i="12"/>
  <c r="P122" i="12"/>
  <c r="P126" i="12"/>
  <c r="P130" i="12"/>
  <c r="P134" i="12"/>
  <c r="P138" i="12"/>
  <c r="P142" i="12"/>
  <c r="P146" i="12"/>
  <c r="P150" i="12"/>
  <c r="P154" i="12"/>
  <c r="P158" i="12"/>
  <c r="P162" i="12"/>
  <c r="P166" i="12"/>
  <c r="P170" i="12"/>
  <c r="Q130" i="12"/>
  <c r="R130" i="12" s="1"/>
  <c r="P26" i="12"/>
  <c r="P34" i="12"/>
  <c r="P38" i="12"/>
  <c r="P54" i="12"/>
  <c r="Q113" i="12"/>
  <c r="R113" i="12" s="1"/>
  <c r="S113" i="12" s="1"/>
  <c r="Q104" i="12"/>
  <c r="R104" i="12" s="1"/>
  <c r="Q93" i="12"/>
  <c r="R93" i="12" s="1"/>
  <c r="S93" i="12" s="1"/>
  <c r="Q84" i="12"/>
  <c r="R84" i="12" s="1"/>
  <c r="Q76" i="12"/>
  <c r="R76" i="12" s="1"/>
  <c r="Q48" i="12"/>
  <c r="R48" i="12" s="1"/>
  <c r="S48" i="12" s="1"/>
  <c r="Q65" i="12"/>
  <c r="R65" i="12" s="1"/>
  <c r="Q44" i="12"/>
  <c r="R44" i="12" s="1"/>
  <c r="S44" i="12" s="1"/>
  <c r="Q137" i="12"/>
  <c r="R137" i="12" s="1"/>
  <c r="S137" i="12" s="1"/>
  <c r="Q133" i="12"/>
  <c r="R133" i="12" s="1"/>
  <c r="S133" i="12" s="1"/>
  <c r="Q129" i="12"/>
  <c r="R129" i="12" s="1"/>
  <c r="S129" i="12" s="1"/>
  <c r="Q124" i="12"/>
  <c r="R124" i="12" s="1"/>
  <c r="Q116" i="12"/>
  <c r="R116" i="12" s="1"/>
  <c r="Q109" i="12"/>
  <c r="R109" i="12" s="1"/>
  <c r="S109" i="12" s="1"/>
  <c r="Q103" i="12"/>
  <c r="R103" i="12" s="1"/>
  <c r="Q95" i="12"/>
  <c r="R95" i="12" s="1"/>
  <c r="S95" i="12" s="1"/>
  <c r="Q88" i="12"/>
  <c r="R88" i="12" s="1"/>
  <c r="Q81" i="12"/>
  <c r="R81" i="12" s="1"/>
  <c r="Q69" i="12"/>
  <c r="R69" i="12" s="1"/>
  <c r="S69" i="12" s="1"/>
  <c r="Q57" i="12"/>
  <c r="R57" i="12" s="1"/>
  <c r="S57" i="12" s="1"/>
  <c r="Q40" i="12"/>
  <c r="R40" i="12" s="1"/>
  <c r="S40" i="12" s="1"/>
  <c r="Q123" i="12"/>
  <c r="R123" i="12" s="1"/>
  <c r="Q117" i="12"/>
  <c r="R117" i="12" s="1"/>
  <c r="S117" i="12" s="1"/>
  <c r="Q112" i="12"/>
  <c r="R112" i="12" s="1"/>
  <c r="S112" i="12" s="1"/>
  <c r="Q107" i="12"/>
  <c r="R107" i="12" s="1"/>
  <c r="S107" i="12" s="1"/>
  <c r="Q101" i="12"/>
  <c r="R101" i="12" s="1"/>
  <c r="Q96" i="12"/>
  <c r="R96" i="12" s="1"/>
  <c r="Q91" i="12"/>
  <c r="R91" i="12" s="1"/>
  <c r="S91" i="12" s="1"/>
  <c r="Q85" i="12"/>
  <c r="R85" i="12" s="1"/>
  <c r="S85" i="12" s="1"/>
  <c r="Q80" i="12"/>
  <c r="R80" i="12" s="1"/>
  <c r="Q73" i="12"/>
  <c r="R73" i="12" s="1"/>
  <c r="S73" i="12" s="1"/>
  <c r="Q61" i="12"/>
  <c r="R61" i="12" s="1"/>
  <c r="Q52" i="12"/>
  <c r="R52" i="12" s="1"/>
  <c r="Q36" i="12"/>
  <c r="R36" i="12" s="1"/>
  <c r="S36" i="12" s="1"/>
  <c r="Q126" i="12"/>
  <c r="R126" i="12" s="1"/>
  <c r="Q122" i="12"/>
  <c r="R122" i="12" s="1"/>
  <c r="Q118" i="12"/>
  <c r="R118" i="12" s="1"/>
  <c r="Q114" i="12"/>
  <c r="R114" i="12" s="1"/>
  <c r="Q110" i="12"/>
  <c r="R110" i="12" s="1"/>
  <c r="Q106" i="12"/>
  <c r="R106" i="12" s="1"/>
  <c r="Q102" i="12"/>
  <c r="R102" i="12" s="1"/>
  <c r="Q98" i="12"/>
  <c r="R98" i="12" s="1"/>
  <c r="Q94" i="12"/>
  <c r="R94" i="12" s="1"/>
  <c r="Q90" i="12"/>
  <c r="R90" i="12" s="1"/>
  <c r="Q86" i="12"/>
  <c r="R86" i="12" s="1"/>
  <c r="Q82" i="12"/>
  <c r="R82" i="12" s="1"/>
  <c r="Q78" i="12"/>
  <c r="R78" i="12" s="1"/>
  <c r="Q72" i="12"/>
  <c r="R72" i="12" s="1"/>
  <c r="S72" i="12" s="1"/>
  <c r="Q64" i="12"/>
  <c r="R64" i="12" s="1"/>
  <c r="S64" i="12" s="1"/>
  <c r="Q56" i="12"/>
  <c r="R56" i="12" s="1"/>
  <c r="S56" i="12" s="1"/>
  <c r="Q45" i="12"/>
  <c r="R45" i="12" s="1"/>
  <c r="S45" i="12" s="1"/>
  <c r="Q32" i="12"/>
  <c r="R32" i="12" s="1"/>
  <c r="S32" i="12" s="1"/>
  <c r="Q37" i="12"/>
  <c r="R37" i="12" s="1"/>
  <c r="S37" i="12" s="1"/>
  <c r="Q29" i="12"/>
  <c r="R29" i="12" s="1"/>
  <c r="S29" i="12" s="1"/>
  <c r="Q21" i="12"/>
  <c r="R21" i="12" s="1"/>
  <c r="S21" i="12" s="1"/>
  <c r="Q49" i="12"/>
  <c r="R49" i="12" s="1"/>
  <c r="S49" i="12" s="1"/>
  <c r="Q41" i="12"/>
  <c r="R41" i="12" s="1"/>
  <c r="S41" i="12" s="1"/>
  <c r="Q33" i="12"/>
  <c r="R33" i="12" s="1"/>
  <c r="S33" i="12" s="1"/>
  <c r="Q25" i="12"/>
  <c r="R25" i="12" s="1"/>
  <c r="S25" i="12" s="1"/>
  <c r="T377" i="12"/>
  <c r="T373" i="12"/>
  <c r="T369" i="12"/>
  <c r="T365" i="12"/>
  <c r="T353" i="12"/>
  <c r="T349" i="12"/>
  <c r="T341" i="12"/>
  <c r="T337" i="12"/>
  <c r="T333" i="12"/>
  <c r="T317" i="12"/>
  <c r="T313" i="12"/>
  <c r="T309" i="12"/>
  <c r="T284" i="12"/>
  <c r="T277" i="12"/>
  <c r="T269" i="12"/>
  <c r="T265" i="12"/>
  <c r="T257" i="12"/>
  <c r="T241" i="12"/>
  <c r="T237" i="12"/>
  <c r="T229" i="12"/>
  <c r="T221" i="12"/>
  <c r="T209" i="12"/>
  <c r="T205" i="12"/>
  <c r="T193" i="12"/>
  <c r="T189" i="12"/>
  <c r="T181" i="12"/>
  <c r="T177" i="12"/>
  <c r="T173" i="12"/>
  <c r="T378" i="12"/>
  <c r="T374" i="12"/>
  <c r="T370" i="12"/>
  <c r="T362" i="12"/>
  <c r="T358" i="12"/>
  <c r="T354" i="12"/>
  <c r="T346" i="12"/>
  <c r="T342" i="12"/>
  <c r="T338" i="12"/>
  <c r="T334" i="12"/>
  <c r="T330" i="12"/>
  <c r="T326" i="12"/>
  <c r="T322" i="12"/>
  <c r="T318" i="12"/>
  <c r="T314" i="12"/>
  <c r="T310" i="12"/>
  <c r="T283" i="12"/>
  <c r="T282" i="12"/>
  <c r="T281" i="12"/>
  <c r="T279" i="12"/>
  <c r="T274" i="12"/>
  <c r="T266" i="12"/>
  <c r="T262" i="12"/>
  <c r="T258" i="12"/>
  <c r="T250" i="12"/>
  <c r="T246" i="12"/>
  <c r="T242" i="12"/>
  <c r="T234" i="12"/>
  <c r="T230" i="12"/>
  <c r="T226" i="12"/>
  <c r="T218" i="12"/>
  <c r="T214" i="12"/>
  <c r="T210" i="12"/>
  <c r="T202" i="12"/>
  <c r="T198" i="12"/>
  <c r="T194" i="12"/>
  <c r="T186" i="12"/>
  <c r="T182" i="12"/>
  <c r="T178" i="12"/>
  <c r="Q75" i="12"/>
  <c r="R75" i="12" s="1"/>
  <c r="Q71" i="12"/>
  <c r="R71" i="12" s="1"/>
  <c r="Q67" i="12"/>
  <c r="R67" i="12" s="1"/>
  <c r="Q63" i="12"/>
  <c r="R63" i="12" s="1"/>
  <c r="Q59" i="12"/>
  <c r="R59" i="12" s="1"/>
  <c r="Q55" i="12"/>
  <c r="R55" i="12" s="1"/>
  <c r="Q51" i="12"/>
  <c r="R51" i="12" s="1"/>
  <c r="S51" i="12" s="1"/>
  <c r="Q47" i="12"/>
  <c r="R47" i="12" s="1"/>
  <c r="Q43" i="12"/>
  <c r="R43" i="12" s="1"/>
  <c r="Q39" i="12"/>
  <c r="R39" i="12" s="1"/>
  <c r="S39" i="12" s="1"/>
  <c r="Q35" i="12"/>
  <c r="R35" i="12" s="1"/>
  <c r="Q31" i="12"/>
  <c r="R31" i="12" s="1"/>
  <c r="S31" i="12" s="1"/>
  <c r="Q27" i="12"/>
  <c r="R27" i="12" s="1"/>
  <c r="S27" i="12" s="1"/>
  <c r="Q23" i="12"/>
  <c r="R23" i="12" s="1"/>
  <c r="S23" i="12" s="1"/>
  <c r="Q74" i="12"/>
  <c r="R74" i="12" s="1"/>
  <c r="Q70" i="12"/>
  <c r="R70" i="12" s="1"/>
  <c r="Q66" i="12"/>
  <c r="R66" i="12" s="1"/>
  <c r="Q62" i="12"/>
  <c r="R62" i="12" s="1"/>
  <c r="Q58" i="12"/>
  <c r="R58" i="12" s="1"/>
  <c r="Q54" i="12"/>
  <c r="R54" i="12" s="1"/>
  <c r="Q50" i="12"/>
  <c r="R50" i="12" s="1"/>
  <c r="Q46" i="12"/>
  <c r="R46" i="12" s="1"/>
  <c r="Q42" i="12"/>
  <c r="R42" i="12" s="1"/>
  <c r="Q38" i="12"/>
  <c r="R38" i="12" s="1"/>
  <c r="Q34" i="12"/>
  <c r="R34" i="12" s="1"/>
  <c r="Q30" i="12"/>
  <c r="R30" i="12" s="1"/>
  <c r="Q26" i="12"/>
  <c r="R26" i="12" s="1"/>
  <c r="Q22" i="12"/>
  <c r="R22" i="12" s="1"/>
  <c r="M46" i="13"/>
  <c r="G47" i="13"/>
  <c r="Q48" i="13"/>
  <c r="K49" i="13"/>
  <c r="G51" i="13"/>
  <c r="O51" i="13"/>
  <c r="K53" i="13"/>
  <c r="E54" i="13"/>
  <c r="I56" i="13"/>
  <c r="M58" i="13"/>
  <c r="Q60" i="13"/>
  <c r="G63" i="13"/>
  <c r="K65" i="13"/>
  <c r="K70" i="13"/>
  <c r="E71" i="13"/>
  <c r="O72" i="13"/>
  <c r="M75" i="13"/>
  <c r="Q77" i="13"/>
  <c r="G80" i="13"/>
  <c r="O84" i="13"/>
  <c r="E87" i="13"/>
  <c r="I89" i="13"/>
  <c r="K28" i="13"/>
  <c r="E29" i="13"/>
  <c r="M29" i="13"/>
  <c r="G30" i="13"/>
  <c r="O30" i="13"/>
  <c r="I31" i="13"/>
  <c r="Q31" i="13"/>
  <c r="K32" i="13"/>
  <c r="E33" i="13"/>
  <c r="M33" i="13"/>
  <c r="G34" i="13"/>
  <c r="O34" i="13"/>
  <c r="I35" i="13"/>
  <c r="Q35" i="13"/>
  <c r="K36" i="13"/>
  <c r="E37" i="13"/>
  <c r="M37" i="13"/>
  <c r="G38" i="13"/>
  <c r="O38" i="13"/>
  <c r="I39" i="13"/>
  <c r="Q39" i="13"/>
  <c r="K40" i="13"/>
  <c r="E41" i="13"/>
  <c r="M41" i="13"/>
  <c r="G42" i="13"/>
  <c r="O42" i="13"/>
  <c r="M47" i="13"/>
  <c r="G48" i="13"/>
  <c r="G52" i="13"/>
  <c r="O52" i="13"/>
  <c r="K57" i="13"/>
  <c r="M59" i="13"/>
  <c r="I62" i="13"/>
  <c r="Q69" i="13"/>
  <c r="K72" i="13"/>
  <c r="K74" i="13"/>
  <c r="E75" i="13"/>
  <c r="M76" i="13"/>
  <c r="I79" i="13"/>
  <c r="M83" i="13"/>
  <c r="G84" i="13"/>
  <c r="O85" i="13"/>
  <c r="K88" i="13"/>
  <c r="I46" i="13"/>
  <c r="I48" i="13"/>
  <c r="I50" i="13"/>
  <c r="Q50" i="13"/>
  <c r="Q52" i="13"/>
  <c r="Q54" i="13"/>
  <c r="K55" i="13"/>
  <c r="O59" i="13"/>
  <c r="Q61" i="13"/>
  <c r="M64" i="13"/>
  <c r="I67" i="13"/>
  <c r="K71" i="13"/>
  <c r="E72" i="13"/>
  <c r="O76" i="13"/>
  <c r="I77" i="13"/>
  <c r="Q78" i="13"/>
  <c r="M81" i="13"/>
  <c r="Q85" i="13"/>
  <c r="K86" i="13"/>
  <c r="E88" i="13"/>
  <c r="Q49" i="13"/>
  <c r="K50" i="13"/>
  <c r="K54" i="13"/>
  <c r="E55" i="13"/>
  <c r="O57" i="13"/>
  <c r="E62" i="13"/>
  <c r="G64" i="13"/>
  <c r="G70" i="13"/>
  <c r="G72" i="13"/>
  <c r="O74" i="13"/>
  <c r="E79" i="13"/>
  <c r="M79" i="13"/>
  <c r="G81" i="13"/>
  <c r="Q83" i="13"/>
  <c r="G88" i="13"/>
  <c r="O88" i="13"/>
  <c r="I90" i="13"/>
  <c r="I28" i="13"/>
  <c r="Q28" i="13"/>
  <c r="K29" i="13"/>
  <c r="E30" i="13"/>
  <c r="M30" i="13"/>
  <c r="G31" i="13"/>
  <c r="O31" i="13"/>
  <c r="I32" i="13"/>
  <c r="Q32" i="13"/>
  <c r="K33" i="13"/>
  <c r="E34" i="13"/>
  <c r="M34" i="13"/>
  <c r="G35" i="13"/>
  <c r="O35" i="13"/>
  <c r="I36" i="13"/>
  <c r="Q36" i="13"/>
  <c r="K37" i="13"/>
  <c r="E38" i="13"/>
  <c r="M38" i="13"/>
  <c r="G39" i="13"/>
  <c r="O39" i="13"/>
  <c r="I40" i="13"/>
  <c r="Q40" i="13"/>
  <c r="K41" i="13"/>
  <c r="E42" i="13"/>
  <c r="M42" i="13"/>
  <c r="G43" i="13"/>
  <c r="O43" i="13"/>
  <c r="K45" i="13"/>
  <c r="E46" i="13"/>
  <c r="E48" i="13"/>
  <c r="M48" i="13"/>
  <c r="M50" i="13"/>
  <c r="M52" i="13"/>
  <c r="G53" i="13"/>
  <c r="G55" i="13"/>
  <c r="I57" i="13"/>
  <c r="E60" i="13"/>
  <c r="I64" i="13"/>
  <c r="K66" i="13"/>
  <c r="G69" i="13"/>
  <c r="O69" i="13"/>
  <c r="I74" i="13"/>
  <c r="E77" i="13"/>
  <c r="I81" i="13"/>
  <c r="Q81" i="13"/>
  <c r="K83" i="13"/>
  <c r="G86" i="13"/>
  <c r="K90" i="13"/>
  <c r="E91" i="13"/>
  <c r="Q56" i="13"/>
  <c r="I69" i="13"/>
  <c r="E83" i="13"/>
  <c r="E28" i="13"/>
  <c r="M28" i="13"/>
  <c r="G29" i="13"/>
  <c r="O29" i="13"/>
  <c r="I30" i="13"/>
  <c r="O47" i="13"/>
  <c r="I52" i="13"/>
  <c r="G59" i="13"/>
  <c r="Q67" i="13"/>
  <c r="G76" i="13"/>
  <c r="I85" i="13"/>
  <c r="E66" i="13"/>
  <c r="Q73" i="13"/>
  <c r="G28" i="13"/>
  <c r="O28" i="13"/>
  <c r="I29" i="13"/>
  <c r="Q29" i="13"/>
  <c r="K30" i="13"/>
  <c r="E31" i="13"/>
  <c r="M31" i="13"/>
  <c r="G32" i="13"/>
  <c r="O32" i="13"/>
  <c r="Q45" i="13"/>
  <c r="K61" i="13"/>
  <c r="M71" i="13"/>
  <c r="K78" i="13"/>
  <c r="M87" i="13"/>
  <c r="E50" i="13"/>
  <c r="M54" i="13"/>
  <c r="O63" i="13"/>
  <c r="O80" i="13"/>
  <c r="Q89" i="13"/>
  <c r="I44" i="13"/>
  <c r="Q44" i="13"/>
  <c r="K46" i="13"/>
  <c r="Q46" i="13"/>
  <c r="O48" i="13"/>
  <c r="G49" i="13"/>
  <c r="E51" i="13"/>
  <c r="K51" i="13"/>
  <c r="I53" i="13"/>
  <c r="O53" i="13"/>
  <c r="M55" i="13"/>
  <c r="E56" i="13"/>
  <c r="Q57" i="13"/>
  <c r="I58" i="13"/>
  <c r="G60" i="13"/>
  <c r="M60" i="13"/>
  <c r="K62" i="13"/>
  <c r="Q62" i="13"/>
  <c r="O64" i="13"/>
  <c r="G65" i="13"/>
  <c r="E67" i="13"/>
  <c r="K68" i="13"/>
  <c r="I70" i="13"/>
  <c r="M72" i="13"/>
  <c r="Q74" i="13"/>
  <c r="G77" i="13"/>
  <c r="K79" i="13"/>
  <c r="O81" i="13"/>
  <c r="E84" i="13"/>
  <c r="I86" i="13"/>
  <c r="M88" i="13"/>
  <c r="Q90" i="13"/>
  <c r="Q91" i="13"/>
  <c r="Q30" i="13"/>
  <c r="K31" i="13"/>
  <c r="E32" i="13"/>
  <c r="M32" i="13"/>
  <c r="G33" i="13"/>
  <c r="O33" i="13"/>
  <c r="I34" i="13"/>
  <c r="Q34" i="13"/>
  <c r="K35" i="13"/>
  <c r="E36" i="13"/>
  <c r="M36" i="13"/>
  <c r="G37" i="13"/>
  <c r="O37" i="13"/>
  <c r="I38" i="13"/>
  <c r="Q38" i="13"/>
  <c r="K39" i="13"/>
  <c r="E40" i="13"/>
  <c r="M40" i="13"/>
  <c r="G41" i="13"/>
  <c r="O41" i="13"/>
  <c r="I42" i="13"/>
  <c r="Q42" i="13"/>
  <c r="K43" i="13"/>
  <c r="E44" i="13"/>
  <c r="M44" i="13"/>
  <c r="G45" i="13"/>
  <c r="E47" i="13"/>
  <c r="K47" i="13"/>
  <c r="I49" i="13"/>
  <c r="O49" i="13"/>
  <c r="M51" i="13"/>
  <c r="E52" i="13"/>
  <c r="Q53" i="13"/>
  <c r="I54" i="13"/>
  <c r="G56" i="13"/>
  <c r="M56" i="13"/>
  <c r="K58" i="13"/>
  <c r="Q58" i="13"/>
  <c r="O60" i="13"/>
  <c r="G61" i="13"/>
  <c r="E63" i="13"/>
  <c r="K63" i="13"/>
  <c r="I65" i="13"/>
  <c r="O65" i="13"/>
  <c r="M66" i="13"/>
  <c r="M68" i="13"/>
  <c r="E69" i="13"/>
  <c r="Q70" i="13"/>
  <c r="I71" i="13"/>
  <c r="G73" i="13"/>
  <c r="M73" i="13"/>
  <c r="K75" i="13"/>
  <c r="Q75" i="13"/>
  <c r="O77" i="13"/>
  <c r="G78" i="13"/>
  <c r="E80" i="13"/>
  <c r="K80" i="13"/>
  <c r="I82" i="13"/>
  <c r="O82" i="13"/>
  <c r="M84" i="13"/>
  <c r="E85" i="13"/>
  <c r="Q86" i="13"/>
  <c r="I87" i="13"/>
  <c r="G89" i="13"/>
  <c r="M89" i="13"/>
  <c r="K91" i="13"/>
  <c r="I33" i="13"/>
  <c r="Q33" i="13"/>
  <c r="K34" i="13"/>
  <c r="E35" i="13"/>
  <c r="M35" i="13"/>
  <c r="G36" i="13"/>
  <c r="O36" i="13"/>
  <c r="I37" i="13"/>
  <c r="Q37" i="13"/>
  <c r="K38" i="13"/>
  <c r="E39" i="13"/>
  <c r="M39" i="13"/>
  <c r="G40" i="13"/>
  <c r="O40" i="13"/>
  <c r="I41" i="13"/>
  <c r="Q41" i="13"/>
  <c r="K42" i="13"/>
  <c r="E43" i="13"/>
  <c r="M43" i="13"/>
  <c r="G44" i="13"/>
  <c r="I45" i="13"/>
  <c r="O45" i="13"/>
  <c r="O56" i="13"/>
  <c r="G57" i="13"/>
  <c r="E59" i="13"/>
  <c r="K59" i="13"/>
  <c r="I61" i="13"/>
  <c r="O61" i="13"/>
  <c r="M63" i="13"/>
  <c r="E64" i="13"/>
  <c r="Q65" i="13"/>
  <c r="O73" i="13"/>
  <c r="E76" i="13"/>
  <c r="I78" i="13"/>
  <c r="M80" i="13"/>
  <c r="Q82" i="13"/>
  <c r="G85" i="13"/>
  <c r="K87" i="13"/>
  <c r="O89" i="13"/>
  <c r="M91" i="13"/>
  <c r="O91" i="13"/>
  <c r="O90" i="13"/>
  <c r="I43" i="13"/>
  <c r="Q43" i="13"/>
  <c r="E45" i="13"/>
  <c r="G46" i="13"/>
  <c r="I47" i="13"/>
  <c r="K48" i="13"/>
  <c r="M49" i="13"/>
  <c r="O50" i="13"/>
  <c r="Q51" i="13"/>
  <c r="E53" i="13"/>
  <c r="G54" i="13"/>
  <c r="I55" i="13"/>
  <c r="K56" i="13"/>
  <c r="M57" i="13"/>
  <c r="O58" i="13"/>
  <c r="Q59" i="13"/>
  <c r="E61" i="13"/>
  <c r="G62" i="13"/>
  <c r="I63" i="13"/>
  <c r="K64" i="13"/>
  <c r="M65" i="13"/>
  <c r="I66" i="13"/>
  <c r="O66" i="13"/>
  <c r="K67" i="13"/>
  <c r="O70" i="13"/>
  <c r="E73" i="13"/>
  <c r="I75" i="13"/>
  <c r="M77" i="13"/>
  <c r="Q79" i="13"/>
  <c r="G82" i="13"/>
  <c r="K84" i="13"/>
  <c r="O86" i="13"/>
  <c r="E89" i="13"/>
  <c r="I91" i="13"/>
  <c r="O44" i="13"/>
  <c r="M24" i="13"/>
  <c r="K44" i="13"/>
  <c r="M45" i="13"/>
  <c r="O46" i="13"/>
  <c r="Q47" i="13"/>
  <c r="E49" i="13"/>
  <c r="G50" i="13"/>
  <c r="I51" i="13"/>
  <c r="K52" i="13"/>
  <c r="M53" i="13"/>
  <c r="O54" i="13"/>
  <c r="Q55" i="13"/>
  <c r="E57" i="13"/>
  <c r="G58" i="13"/>
  <c r="I59" i="13"/>
  <c r="K60" i="13"/>
  <c r="M61" i="13"/>
  <c r="O62" i="13"/>
  <c r="Q63" i="13"/>
  <c r="E65" i="13"/>
  <c r="G66" i="13"/>
  <c r="Q66" i="13"/>
  <c r="M69" i="13"/>
  <c r="Q71" i="13"/>
  <c r="G74" i="13"/>
  <c r="K76" i="13"/>
  <c r="O78" i="13"/>
  <c r="E81" i="13"/>
  <c r="I83" i="13"/>
  <c r="M85" i="13"/>
  <c r="Q87" i="13"/>
  <c r="G90" i="13"/>
  <c r="I68" i="13"/>
  <c r="K69" i="13"/>
  <c r="M70" i="13"/>
  <c r="O71" i="13"/>
  <c r="Q72" i="13"/>
  <c r="E74" i="13"/>
  <c r="G75" i="13"/>
  <c r="I76" i="13"/>
  <c r="K77" i="13"/>
  <c r="M78" i="13"/>
  <c r="O79" i="13"/>
  <c r="Q80" i="13"/>
  <c r="E82" i="13"/>
  <c r="G83" i="13"/>
  <c r="I84" i="13"/>
  <c r="K85" i="13"/>
  <c r="M86" i="13"/>
  <c r="O87" i="13"/>
  <c r="Q88" i="13"/>
  <c r="E90" i="13"/>
  <c r="G91" i="13"/>
  <c r="E68" i="13"/>
  <c r="O67" i="13"/>
  <c r="Q68" i="13"/>
  <c r="E70" i="13"/>
  <c r="G71" i="13"/>
  <c r="I72" i="13"/>
  <c r="K73" i="13"/>
  <c r="M74" i="13"/>
  <c r="O75" i="13"/>
  <c r="Q76" i="13"/>
  <c r="E78" i="13"/>
  <c r="G79" i="13"/>
  <c r="I80" i="13"/>
  <c r="K81" i="13"/>
  <c r="M82" i="13"/>
  <c r="O83" i="13"/>
  <c r="Q84" i="13"/>
  <c r="E86" i="13"/>
  <c r="G87" i="13"/>
  <c r="I88" i="13"/>
  <c r="K89" i="13"/>
  <c r="M90" i="13"/>
  <c r="R5" i="12"/>
  <c r="Q5" i="12"/>
  <c r="T70" i="12"/>
  <c r="T98" i="12"/>
  <c r="T102" i="12"/>
  <c r="T118" i="12"/>
  <c r="T122" i="12"/>
  <c r="T50" i="12"/>
  <c r="T54" i="12"/>
  <c r="T58" i="12"/>
  <c r="T74" i="12"/>
  <c r="T78" i="12"/>
  <c r="T90" i="12"/>
  <c r="T106" i="12"/>
  <c r="T134" i="12"/>
  <c r="T146" i="12"/>
  <c r="T170" i="12"/>
  <c r="T174" i="12"/>
  <c r="T206" i="12"/>
  <c r="T222" i="12"/>
  <c r="T238" i="12"/>
  <c r="T254" i="12"/>
  <c r="T270" i="12"/>
  <c r="T350" i="12"/>
  <c r="T286" i="12"/>
  <c r="T66" i="12"/>
  <c r="T86" i="12"/>
  <c r="T130" i="12"/>
  <c r="T138" i="12"/>
  <c r="T142" i="12"/>
  <c r="T158" i="12"/>
  <c r="T162" i="12"/>
  <c r="T190" i="12"/>
  <c r="T285" i="12"/>
  <c r="S61" i="12" l="1"/>
  <c r="S283" i="12"/>
  <c r="S326" i="12"/>
  <c r="S306" i="12"/>
  <c r="S99" i="12"/>
  <c r="S393" i="12"/>
  <c r="F6" i="29"/>
  <c r="R599" i="12"/>
  <c r="D3" i="29"/>
  <c r="F105" i="29"/>
  <c r="F73" i="29"/>
  <c r="F41" i="29"/>
  <c r="F9" i="29"/>
  <c r="F80" i="29"/>
  <c r="F48" i="29"/>
  <c r="F16" i="29"/>
  <c r="F99" i="29"/>
  <c r="F83" i="29"/>
  <c r="F67" i="29"/>
  <c r="F51" i="29"/>
  <c r="F35" i="29"/>
  <c r="F19" i="29"/>
  <c r="F101" i="29"/>
  <c r="F69" i="29"/>
  <c r="F37" i="29"/>
  <c r="F5" i="29"/>
  <c r="F76" i="29"/>
  <c r="F44" i="29"/>
  <c r="F12" i="29"/>
  <c r="F98" i="29"/>
  <c r="F82" i="29"/>
  <c r="F66" i="29"/>
  <c r="F50" i="29"/>
  <c r="F34" i="29"/>
  <c r="F18" i="29"/>
  <c r="F97" i="29"/>
  <c r="F65" i="29"/>
  <c r="F33" i="29"/>
  <c r="F104" i="29"/>
  <c r="F72" i="29"/>
  <c r="F40" i="29"/>
  <c r="F8" i="29"/>
  <c r="F95" i="29"/>
  <c r="F79" i="29"/>
  <c r="F63" i="29"/>
  <c r="F47" i="29"/>
  <c r="F31" i="29"/>
  <c r="F15" i="29"/>
  <c r="F93" i="29"/>
  <c r="F61" i="29"/>
  <c r="F29" i="29"/>
  <c r="F100" i="29"/>
  <c r="F68" i="29"/>
  <c r="F36" i="29"/>
  <c r="F4" i="29"/>
  <c r="F94" i="29"/>
  <c r="F78" i="29"/>
  <c r="F62" i="29"/>
  <c r="F46" i="29"/>
  <c r="F30" i="29"/>
  <c r="F14" i="29"/>
  <c r="S161" i="12"/>
  <c r="S52" i="12"/>
  <c r="S250" i="12"/>
  <c r="F89" i="29"/>
  <c r="F57" i="29"/>
  <c r="F25" i="29"/>
  <c r="F96" i="29"/>
  <c r="F64" i="29"/>
  <c r="F32" i="29"/>
  <c r="F3" i="29"/>
  <c r="F91" i="29"/>
  <c r="F75" i="29"/>
  <c r="F59" i="29"/>
  <c r="F43" i="29"/>
  <c r="F27" i="29"/>
  <c r="F11" i="29"/>
  <c r="F85" i="29"/>
  <c r="F53" i="29"/>
  <c r="F21" i="29"/>
  <c r="F92" i="29"/>
  <c r="F60" i="29"/>
  <c r="F28" i="29"/>
  <c r="F106" i="29"/>
  <c r="F90" i="29"/>
  <c r="F74" i="29"/>
  <c r="F58" i="29"/>
  <c r="F42" i="29"/>
  <c r="F26" i="29"/>
  <c r="F10" i="29"/>
  <c r="S67" i="12"/>
  <c r="S172" i="12"/>
  <c r="S493" i="12"/>
  <c r="S238" i="12"/>
  <c r="S349" i="12"/>
  <c r="S255" i="12"/>
  <c r="F81" i="29"/>
  <c r="F49" i="29"/>
  <c r="F17" i="29"/>
  <c r="F88" i="29"/>
  <c r="F56" i="29"/>
  <c r="F24" i="29"/>
  <c r="F103" i="29"/>
  <c r="F87" i="29"/>
  <c r="F71" i="29"/>
  <c r="F55" i="29"/>
  <c r="F39" i="29"/>
  <c r="F23" i="29"/>
  <c r="F7" i="29"/>
  <c r="F77" i="29"/>
  <c r="F45" i="29"/>
  <c r="F13" i="29"/>
  <c r="F84" i="29"/>
  <c r="F52" i="29"/>
  <c r="F20" i="29"/>
  <c r="F102" i="29"/>
  <c r="F86" i="29"/>
  <c r="F70" i="29"/>
  <c r="F54" i="29"/>
  <c r="F38" i="29"/>
  <c r="F22" i="29"/>
  <c r="C70" i="14"/>
  <c r="C54" i="29"/>
  <c r="E4" i="29"/>
  <c r="C101" i="29"/>
  <c r="C76" i="29"/>
  <c r="C96" i="29"/>
  <c r="C49" i="29"/>
  <c r="C78" i="29"/>
  <c r="C72" i="29"/>
  <c r="C66" i="29"/>
  <c r="C73" i="29"/>
  <c r="C91" i="29"/>
  <c r="C44" i="29"/>
  <c r="C74" i="29"/>
  <c r="C36" i="29"/>
  <c r="C43" i="29"/>
  <c r="C56" i="29"/>
  <c r="C81" i="29"/>
  <c r="C102" i="29"/>
  <c r="C38" i="29"/>
  <c r="D94" i="29"/>
  <c r="D50" i="29"/>
  <c r="E99" i="29"/>
  <c r="D98" i="29"/>
  <c r="D71" i="29"/>
  <c r="D39" i="29"/>
  <c r="D106" i="29"/>
  <c r="D102" i="29"/>
  <c r="D78" i="29"/>
  <c r="D46" i="29"/>
  <c r="E91" i="29"/>
  <c r="D75" i="29"/>
  <c r="D43" i="29"/>
  <c r="E87" i="29"/>
  <c r="E71" i="29"/>
  <c r="E55" i="29"/>
  <c r="E39" i="29"/>
  <c r="E23" i="29"/>
  <c r="E7" i="29"/>
  <c r="D26" i="29"/>
  <c r="D10" i="29"/>
  <c r="E98" i="29"/>
  <c r="E82" i="29"/>
  <c r="E66" i="29"/>
  <c r="E50" i="29"/>
  <c r="E34" i="29"/>
  <c r="E18" i="29"/>
  <c r="D73" i="29"/>
  <c r="D45" i="29"/>
  <c r="D29" i="29"/>
  <c r="D13" i="29"/>
  <c r="E101" i="29"/>
  <c r="E85" i="29"/>
  <c r="E69" i="29"/>
  <c r="E53" i="29"/>
  <c r="E37" i="29"/>
  <c r="E21" i="29"/>
  <c r="E5" i="29"/>
  <c r="D69" i="29"/>
  <c r="D104" i="29"/>
  <c r="D88" i="29"/>
  <c r="D72" i="29"/>
  <c r="D56" i="29"/>
  <c r="D40" i="29"/>
  <c r="D24" i="29"/>
  <c r="D8" i="29"/>
  <c r="E96" i="29"/>
  <c r="E80" i="29"/>
  <c r="E64" i="29"/>
  <c r="E48" i="29"/>
  <c r="E32" i="29"/>
  <c r="E16" i="29"/>
  <c r="C59" i="29"/>
  <c r="C82" i="29"/>
  <c r="C75" i="29"/>
  <c r="C88" i="29"/>
  <c r="C28" i="29"/>
  <c r="C62" i="29"/>
  <c r="C84" i="29"/>
  <c r="C97" i="29"/>
  <c r="C34" i="29"/>
  <c r="C52" i="29"/>
  <c r="C69" i="29"/>
  <c r="C83" i="29"/>
  <c r="C99" i="29"/>
  <c r="C58" i="29"/>
  <c r="C105" i="29"/>
  <c r="C51" i="29"/>
  <c r="C50" i="29"/>
  <c r="C89" i="29"/>
  <c r="C35" i="29"/>
  <c r="C60" i="29"/>
  <c r="C86" i="29"/>
  <c r="D74" i="29"/>
  <c r="D42" i="29"/>
  <c r="D105" i="29"/>
  <c r="D93" i="29"/>
  <c r="D63" i="29"/>
  <c r="D23" i="29"/>
  <c r="D99" i="29"/>
  <c r="D97" i="29"/>
  <c r="D70" i="29"/>
  <c r="D35" i="29"/>
  <c r="D95" i="29"/>
  <c r="D67" i="29"/>
  <c r="D31" i="29"/>
  <c r="E83" i="29"/>
  <c r="E67" i="29"/>
  <c r="E51" i="29"/>
  <c r="E35" i="29"/>
  <c r="E19" i="29"/>
  <c r="D38" i="29"/>
  <c r="D22" i="29"/>
  <c r="D6" i="29"/>
  <c r="E94" i="29"/>
  <c r="E78" i="29"/>
  <c r="E62" i="29"/>
  <c r="E46" i="29"/>
  <c r="E30" i="29"/>
  <c r="E14" i="29"/>
  <c r="D61" i="29"/>
  <c r="D41" i="29"/>
  <c r="D25" i="29"/>
  <c r="D9" i="29"/>
  <c r="E97" i="29"/>
  <c r="E81" i="29"/>
  <c r="E65" i="29"/>
  <c r="E49" i="29"/>
  <c r="E33" i="29"/>
  <c r="E17" i="29"/>
  <c r="D85" i="29"/>
  <c r="D65" i="29"/>
  <c r="D100" i="29"/>
  <c r="D84" i="29"/>
  <c r="D68" i="29"/>
  <c r="D52" i="29"/>
  <c r="D36" i="29"/>
  <c r="D20" i="29"/>
  <c r="D4" i="29"/>
  <c r="E92" i="29"/>
  <c r="E76" i="29"/>
  <c r="E60" i="29"/>
  <c r="E44" i="29"/>
  <c r="E28" i="29"/>
  <c r="E12" i="29"/>
  <c r="C93" i="29"/>
  <c r="C79" i="29"/>
  <c r="C53" i="29"/>
  <c r="C67" i="29"/>
  <c r="C92" i="29"/>
  <c r="C46" i="29"/>
  <c r="C33" i="29"/>
  <c r="C15" i="29"/>
  <c r="C31" i="29"/>
  <c r="C48" i="29"/>
  <c r="C61" i="29"/>
  <c r="C87" i="29"/>
  <c r="C106" i="29"/>
  <c r="C42" i="29"/>
  <c r="C63" i="29"/>
  <c r="C68" i="29"/>
  <c r="C85" i="29"/>
  <c r="C104" i="29"/>
  <c r="C13" i="29"/>
  <c r="C39" i="29"/>
  <c r="C70" i="29"/>
  <c r="D66" i="29"/>
  <c r="D27" i="29"/>
  <c r="D82" i="29"/>
  <c r="D87" i="29"/>
  <c r="D55" i="29"/>
  <c r="D7" i="29"/>
  <c r="D89" i="29"/>
  <c r="D91" i="29"/>
  <c r="D62" i="29"/>
  <c r="D19" i="29"/>
  <c r="D90" i="29"/>
  <c r="D59" i="29"/>
  <c r="D15" i="29"/>
  <c r="E79" i="29"/>
  <c r="E63" i="29"/>
  <c r="E47" i="29"/>
  <c r="E31" i="29"/>
  <c r="E15" i="29"/>
  <c r="D34" i="29"/>
  <c r="D18" i="29"/>
  <c r="E106" i="29"/>
  <c r="E90" i="29"/>
  <c r="E74" i="29"/>
  <c r="E58" i="29"/>
  <c r="E42" i="29"/>
  <c r="E26" i="29"/>
  <c r="E10" i="29"/>
  <c r="D53" i="29"/>
  <c r="D37" i="29"/>
  <c r="D21" i="29"/>
  <c r="D5" i="29"/>
  <c r="E93" i="29"/>
  <c r="E77" i="29"/>
  <c r="E61" i="29"/>
  <c r="E45" i="29"/>
  <c r="E29" i="29"/>
  <c r="E13" i="29"/>
  <c r="D81" i="29"/>
  <c r="D57" i="29"/>
  <c r="D96" i="29"/>
  <c r="D80" i="29"/>
  <c r="D64" i="29"/>
  <c r="D48" i="29"/>
  <c r="D32" i="29"/>
  <c r="D16" i="29"/>
  <c r="E104" i="29"/>
  <c r="E88" i="29"/>
  <c r="E72" i="29"/>
  <c r="E56" i="29"/>
  <c r="E40" i="29"/>
  <c r="E24" i="29"/>
  <c r="E8" i="29"/>
  <c r="C41" i="29"/>
  <c r="C29" i="29"/>
  <c r="C57" i="29"/>
  <c r="C32" i="29"/>
  <c r="C45" i="29"/>
  <c r="C71" i="29"/>
  <c r="C94" i="29"/>
  <c r="C30" i="29"/>
  <c r="C37" i="29"/>
  <c r="C98" i="29"/>
  <c r="C95" i="29"/>
  <c r="C27" i="29"/>
  <c r="C40" i="29"/>
  <c r="C65" i="29"/>
  <c r="C90" i="29"/>
  <c r="C26" i="29"/>
  <c r="C80" i="29"/>
  <c r="C55" i="29"/>
  <c r="C100" i="29"/>
  <c r="C47" i="29"/>
  <c r="C64" i="29"/>
  <c r="C77" i="29"/>
  <c r="C103" i="29"/>
  <c r="D101" i="29"/>
  <c r="D58" i="29"/>
  <c r="D11" i="29"/>
  <c r="D103" i="29"/>
  <c r="D79" i="29"/>
  <c r="D47" i="29"/>
  <c r="E95" i="29"/>
  <c r="D86" i="29"/>
  <c r="D54" i="29"/>
  <c r="E3" i="29"/>
  <c r="D83" i="29"/>
  <c r="D51" i="29"/>
  <c r="E103" i="29"/>
  <c r="E75" i="29"/>
  <c r="E59" i="29"/>
  <c r="E43" i="29"/>
  <c r="E27" i="29"/>
  <c r="E11" i="29"/>
  <c r="D30" i="29"/>
  <c r="D14" i="29"/>
  <c r="E102" i="29"/>
  <c r="E86" i="29"/>
  <c r="E70" i="29"/>
  <c r="E54" i="29"/>
  <c r="E38" i="29"/>
  <c r="E22" i="29"/>
  <c r="E6" i="29"/>
  <c r="D49" i="29"/>
  <c r="D33" i="29"/>
  <c r="D17" i="29"/>
  <c r="E105" i="29"/>
  <c r="E89" i="29"/>
  <c r="E73" i="29"/>
  <c r="E57" i="29"/>
  <c r="E41" i="29"/>
  <c r="E25" i="29"/>
  <c r="E9" i="29"/>
  <c r="D77" i="29"/>
  <c r="C11" i="14"/>
  <c r="D92" i="29"/>
  <c r="D76" i="29"/>
  <c r="D60" i="29"/>
  <c r="D44" i="29"/>
  <c r="D28" i="29"/>
  <c r="D12" i="29"/>
  <c r="E100" i="29"/>
  <c r="E84" i="29"/>
  <c r="E68" i="29"/>
  <c r="E52" i="29"/>
  <c r="E36" i="29"/>
  <c r="E20" i="29"/>
  <c r="G4" i="14"/>
  <c r="S88" i="12"/>
  <c r="S76" i="12"/>
  <c r="S224" i="12"/>
  <c r="S145" i="12"/>
  <c r="S205" i="12"/>
  <c r="S342" i="12"/>
  <c r="S322" i="12"/>
  <c r="S10" i="12"/>
  <c r="S163" i="12"/>
  <c r="S119" i="12"/>
  <c r="S356" i="12"/>
  <c r="S282" i="12"/>
  <c r="S131" i="12"/>
  <c r="S80" i="12"/>
  <c r="S84" i="12"/>
  <c r="S228" i="12"/>
  <c r="S193" i="12"/>
  <c r="C21" i="29" s="1"/>
  <c r="S581" i="12"/>
  <c r="S565" i="12"/>
  <c r="S269" i="12"/>
  <c r="S132" i="12"/>
  <c r="S520" i="12"/>
  <c r="S513" i="12"/>
  <c r="S472" i="12"/>
  <c r="S425" i="12"/>
  <c r="S206" i="12"/>
  <c r="S136" i="12"/>
  <c r="S253" i="12"/>
  <c r="S222" i="12"/>
  <c r="S164" i="12"/>
  <c r="S324" i="12"/>
  <c r="S574" i="12"/>
  <c r="S175" i="12"/>
  <c r="S187" i="12"/>
  <c r="S139" i="12"/>
  <c r="S221" i="12"/>
  <c r="S237" i="12"/>
  <c r="S552" i="12"/>
  <c r="S536" i="12"/>
  <c r="S421" i="12"/>
  <c r="S260" i="12"/>
  <c r="S376" i="12"/>
  <c r="S372" i="12"/>
  <c r="S157" i="12"/>
  <c r="S365" i="12"/>
  <c r="S239" i="12"/>
  <c r="S551" i="12"/>
  <c r="S287" i="12"/>
  <c r="S223" i="12"/>
  <c r="S65" i="12"/>
  <c r="S530" i="12"/>
  <c r="S514" i="12"/>
  <c r="S506" i="12"/>
  <c r="S498" i="12"/>
  <c r="S344" i="12"/>
  <c r="S318" i="12"/>
  <c r="S556" i="12"/>
  <c r="S522" i="12"/>
  <c r="S457" i="12"/>
  <c r="S297" i="12"/>
  <c r="S271" i="12"/>
  <c r="S482" i="12"/>
  <c r="S577" i="12"/>
  <c r="S561" i="12"/>
  <c r="S545" i="12"/>
  <c r="S505" i="12"/>
  <c r="S497" i="12"/>
  <c r="S453" i="12"/>
  <c r="S409" i="12"/>
  <c r="S573" i="12"/>
  <c r="S173" i="12"/>
  <c r="S337" i="12"/>
  <c r="S317" i="12"/>
  <c r="S259" i="12"/>
  <c r="S281" i="12"/>
  <c r="S351" i="12"/>
  <c r="S128" i="12"/>
  <c r="S212" i="12"/>
  <c r="S244" i="12"/>
  <c r="S423" i="12"/>
  <c r="S424" i="12"/>
  <c r="S55" i="12"/>
  <c r="S71" i="12"/>
  <c r="S96" i="12"/>
  <c r="S179" i="12"/>
  <c r="S232" i="12"/>
  <c r="S483" i="12"/>
  <c r="S517" i="12"/>
  <c r="S435" i="12"/>
  <c r="S419" i="12"/>
  <c r="S524" i="12"/>
  <c r="S511" i="12"/>
  <c r="S507" i="12"/>
  <c r="S503" i="12"/>
  <c r="S499" i="12"/>
  <c r="S420" i="12"/>
  <c r="S489" i="12"/>
  <c r="S449" i="12"/>
  <c r="S433" i="12"/>
  <c r="S417" i="12"/>
  <c r="S332" i="12"/>
  <c r="S268" i="12"/>
  <c r="S141" i="12"/>
  <c r="S305" i="12"/>
  <c r="S327" i="12"/>
  <c r="S492" i="12"/>
  <c r="S199" i="12"/>
  <c r="S328" i="12"/>
  <c r="S270" i="12"/>
  <c r="S313" i="12"/>
  <c r="S334" i="12"/>
  <c r="S377" i="12"/>
  <c r="S288" i="12"/>
  <c r="S378" i="12"/>
  <c r="S111" i="12"/>
  <c r="S242" i="12"/>
  <c r="S124" i="12"/>
  <c r="S191" i="12"/>
  <c r="C19" i="29" s="1"/>
  <c r="S120" i="12"/>
  <c r="S487" i="12"/>
  <c r="S468" i="12"/>
  <c r="S381" i="12"/>
  <c r="S529" i="12"/>
  <c r="S265" i="12"/>
  <c r="S43" i="12"/>
  <c r="S101" i="12"/>
  <c r="S81" i="12"/>
  <c r="S104" i="12"/>
  <c r="S220" i="12"/>
  <c r="S564" i="12"/>
  <c r="S540" i="12"/>
  <c r="S400" i="12"/>
  <c r="S397" i="12"/>
  <c r="S194" i="12"/>
  <c r="S226" i="12"/>
  <c r="S300" i="12"/>
  <c r="S296" i="12"/>
  <c r="S68" i="12"/>
  <c r="S289" i="12"/>
  <c r="S310" i="12"/>
  <c r="S374" i="12"/>
  <c r="S333" i="12"/>
  <c r="S231" i="12"/>
  <c r="S189" i="12"/>
  <c r="S214" i="12"/>
  <c r="S339" i="12"/>
  <c r="S346" i="12"/>
  <c r="C24" i="22"/>
  <c r="B24" i="22"/>
  <c r="S60" i="12"/>
  <c r="S490" i="12"/>
  <c r="S428" i="12"/>
  <c r="S412" i="12"/>
  <c r="S364" i="12"/>
  <c r="S304" i="12"/>
  <c r="S246" i="12"/>
  <c r="S267" i="12"/>
  <c r="S290" i="12"/>
  <c r="S252" i="12"/>
  <c r="S275" i="12"/>
  <c r="S243" i="12"/>
  <c r="S203" i="12"/>
  <c r="R664" i="12"/>
  <c r="S375" i="12"/>
  <c r="S147" i="12"/>
  <c r="S151" i="12"/>
  <c r="S167" i="12"/>
  <c r="S204" i="12"/>
  <c r="S140" i="12"/>
  <c r="C6" i="29" s="1"/>
  <c r="S571" i="12"/>
  <c r="S553" i="12"/>
  <c r="S582" i="12"/>
  <c r="S544" i="12"/>
  <c r="S521" i="12"/>
  <c r="S439" i="12"/>
  <c r="S407" i="12"/>
  <c r="S500" i="12"/>
  <c r="S531" i="12"/>
  <c r="S515" i="12"/>
  <c r="S459" i="12"/>
  <c r="S440" i="12"/>
  <c r="S408" i="12"/>
  <c r="S477" i="12"/>
  <c r="S455" i="12"/>
  <c r="S539" i="12"/>
  <c r="S276" i="12"/>
  <c r="S559" i="12"/>
  <c r="S338" i="12"/>
  <c r="S359" i="12"/>
  <c r="S79" i="12"/>
  <c r="S302" i="12"/>
  <c r="S323" i="12"/>
  <c r="S298" i="12"/>
  <c r="S367" i="12"/>
  <c r="S572" i="12"/>
  <c r="S63" i="12"/>
  <c r="S116" i="12"/>
  <c r="S100" i="12"/>
  <c r="S155" i="12"/>
  <c r="S192" i="12"/>
  <c r="C20" i="29" s="1"/>
  <c r="S208" i="12"/>
  <c r="S188" i="12"/>
  <c r="S580" i="12"/>
  <c r="S516" i="12"/>
  <c r="S527" i="12"/>
  <c r="S466" i="12"/>
  <c r="S535" i="12"/>
  <c r="N646" i="12"/>
  <c r="R666" i="12"/>
  <c r="R659" i="12"/>
  <c r="N661" i="12"/>
  <c r="R661" i="12"/>
  <c r="N659" i="12"/>
  <c r="N650" i="12"/>
  <c r="N652" i="12"/>
  <c r="R656" i="12"/>
  <c r="C40" i="14"/>
  <c r="S258" i="12"/>
  <c r="S143" i="12"/>
  <c r="S176" i="12"/>
  <c r="S451" i="12"/>
  <c r="S436" i="12"/>
  <c r="R662" i="12"/>
  <c r="C69" i="14"/>
  <c r="N657" i="12"/>
  <c r="R657" i="12"/>
  <c r="R663" i="12"/>
  <c r="N664" i="12"/>
  <c r="R650" i="12"/>
  <c r="R652" i="12"/>
  <c r="S340" i="12"/>
  <c r="S196" i="12"/>
  <c r="C25" i="29" s="1"/>
  <c r="S262" i="12"/>
  <c r="S263" i="12"/>
  <c r="S347" i="12"/>
  <c r="S59" i="12"/>
  <c r="S75" i="12"/>
  <c r="S83" i="12"/>
  <c r="S160" i="12"/>
  <c r="S200" i="12"/>
  <c r="S216" i="12"/>
  <c r="S248" i="12"/>
  <c r="S549" i="12"/>
  <c r="S479" i="12"/>
  <c r="S548" i="12"/>
  <c r="S532" i="12"/>
  <c r="S447" i="12"/>
  <c r="S415" i="12"/>
  <c r="S452" i="12"/>
  <c r="S476" i="12"/>
  <c r="S461" i="12"/>
  <c r="S384" i="12"/>
  <c r="S485" i="12"/>
  <c r="S445" i="12"/>
  <c r="S429" i="12"/>
  <c r="S413" i="12"/>
  <c r="S484" i="12"/>
  <c r="S219" i="12"/>
  <c r="S299" i="12"/>
  <c r="S336" i="12"/>
  <c r="S576" i="12"/>
  <c r="S368" i="12"/>
  <c r="S92" i="12"/>
  <c r="R655" i="12"/>
  <c r="N658" i="12"/>
  <c r="R658" i="12"/>
  <c r="N667" i="12"/>
  <c r="N653" i="12"/>
  <c r="R653" i="12"/>
  <c r="R651" i="12"/>
  <c r="N660" i="12"/>
  <c r="S148" i="12"/>
  <c r="S280" i="12"/>
  <c r="S316" i="12"/>
  <c r="R667" i="12"/>
  <c r="S108" i="12"/>
  <c r="S235" i="12"/>
  <c r="S355" i="12"/>
  <c r="S47" i="12"/>
  <c r="S123" i="12"/>
  <c r="S183" i="12"/>
  <c r="S144" i="12"/>
  <c r="S236" i="12"/>
  <c r="S87" i="12"/>
  <c r="S444" i="12"/>
  <c r="S392" i="12"/>
  <c r="S488" i="12"/>
  <c r="S352" i="12"/>
  <c r="R630" i="12"/>
  <c r="R634" i="12"/>
  <c r="R638" i="12"/>
  <c r="R642" i="12"/>
  <c r="R628" i="12"/>
  <c r="R606" i="12"/>
  <c r="R633" i="12"/>
  <c r="R645" i="12"/>
  <c r="R612" i="12"/>
  <c r="R618" i="12"/>
  <c r="R631" i="12"/>
  <c r="R635" i="12"/>
  <c r="R639" i="12"/>
  <c r="R643" i="12"/>
  <c r="R607" i="12"/>
  <c r="R609" i="12"/>
  <c r="R611" i="12"/>
  <c r="R613" i="12"/>
  <c r="R615" i="12"/>
  <c r="R617" i="12"/>
  <c r="R619" i="12"/>
  <c r="R621" i="12"/>
  <c r="R623" i="12"/>
  <c r="R641" i="12"/>
  <c r="R608" i="12"/>
  <c r="R614" i="12"/>
  <c r="R620" i="12"/>
  <c r="R632" i="12"/>
  <c r="R636" i="12"/>
  <c r="R640" i="12"/>
  <c r="R644" i="12"/>
  <c r="R629" i="12"/>
  <c r="R637" i="12"/>
  <c r="R610" i="12"/>
  <c r="R616" i="12"/>
  <c r="R622" i="12"/>
  <c r="N663" i="12"/>
  <c r="N654" i="12"/>
  <c r="R654" i="12"/>
  <c r="N651" i="12"/>
  <c r="N665" i="12"/>
  <c r="R665" i="12"/>
  <c r="R660" i="12"/>
  <c r="S46" i="12"/>
  <c r="S467" i="12"/>
  <c r="S547" i="12"/>
  <c r="S284" i="12"/>
  <c r="S135" i="12"/>
  <c r="S315" i="12"/>
  <c r="S579" i="12"/>
  <c r="S431" i="12"/>
  <c r="S399" i="12"/>
  <c r="S210" i="12"/>
  <c r="S443" i="12"/>
  <c r="S519" i="12"/>
  <c r="S460" i="12"/>
  <c r="S383" i="12"/>
  <c r="S272" i="12"/>
  <c r="S562" i="12"/>
  <c r="S554" i="12"/>
  <c r="S546" i="12"/>
  <c r="S538" i="12"/>
  <c r="S458" i="12"/>
  <c r="S474" i="12"/>
  <c r="S471" i="12"/>
  <c r="S450" i="12"/>
  <c r="S247" i="12"/>
  <c r="S566" i="12"/>
  <c r="S558" i="12"/>
  <c r="S550" i="12"/>
  <c r="S542" i="12"/>
  <c r="S534" i="12"/>
  <c r="S495" i="12"/>
  <c r="S446" i="12"/>
  <c r="S454" i="12"/>
  <c r="S478" i="12"/>
  <c r="S567" i="12"/>
  <c r="S58" i="12"/>
  <c r="S74" i="12"/>
  <c r="S170" i="12"/>
  <c r="S555" i="12"/>
  <c r="S363" i="12"/>
  <c r="S211" i="12"/>
  <c r="S90" i="12"/>
  <c r="S207" i="12"/>
  <c r="S134" i="12"/>
  <c r="S66" i="12"/>
  <c r="S130" i="12"/>
  <c r="S154" i="12"/>
  <c r="S150" i="12"/>
  <c r="S570" i="12"/>
  <c r="S563" i="12"/>
  <c r="S350" i="12"/>
  <c r="S543" i="12"/>
  <c r="S303" i="12"/>
  <c r="S166" i="12"/>
  <c r="S526" i="12"/>
  <c r="S518" i="12"/>
  <c r="S470" i="12"/>
  <c r="S319" i="12"/>
  <c r="S127" i="12"/>
  <c r="S146" i="12"/>
  <c r="S266" i="12"/>
  <c r="S274" i="12"/>
  <c r="S335" i="12"/>
  <c r="S103" i="12"/>
  <c r="S463" i="12"/>
  <c r="S510" i="12"/>
  <c r="S502" i="12"/>
  <c r="S494" i="12"/>
  <c r="S523" i="12"/>
  <c r="S486" i="12"/>
  <c r="S162" i="12"/>
  <c r="S256" i="12"/>
  <c r="S26" i="12"/>
  <c r="S82" i="12"/>
  <c r="S98" i="12"/>
  <c r="S114" i="12"/>
  <c r="S186" i="12"/>
  <c r="S569" i="12"/>
  <c r="S491" i="12"/>
  <c r="S427" i="12"/>
  <c r="S411" i="12"/>
  <c r="S395" i="12"/>
  <c r="S501" i="12"/>
  <c r="S475" i="12"/>
  <c r="S481" i="12"/>
  <c r="S462" i="12"/>
  <c r="S190" i="12"/>
  <c r="S354" i="12"/>
  <c r="S541" i="12"/>
  <c r="S391" i="12"/>
  <c r="S465" i="12"/>
  <c r="S251" i="12"/>
  <c r="S379" i="12"/>
  <c r="S286" i="12"/>
  <c r="S86" i="12"/>
  <c r="S102" i="12"/>
  <c r="S118" i="12"/>
  <c r="S138" i="12"/>
  <c r="S22" i="12"/>
  <c r="S38" i="12"/>
  <c r="S70" i="12"/>
  <c r="S34" i="12"/>
  <c r="S50" i="12"/>
  <c r="S234" i="12"/>
  <c r="S218" i="12"/>
  <c r="S348" i="12"/>
  <c r="S30" i="12"/>
  <c r="S106" i="12"/>
  <c r="S122" i="12"/>
  <c r="T381" i="12"/>
  <c r="T387" i="12"/>
  <c r="T394" i="12"/>
  <c r="T398" i="12"/>
  <c r="T402" i="12"/>
  <c r="T406" i="12"/>
  <c r="T410" i="12"/>
  <c r="T414" i="12"/>
  <c r="T418" i="12"/>
  <c r="T422" i="12"/>
  <c r="T426" i="12"/>
  <c r="T430" i="12"/>
  <c r="T434" i="12"/>
  <c r="T438" i="12"/>
  <c r="T442" i="12"/>
  <c r="T446" i="12"/>
  <c r="T450" i="12"/>
  <c r="T451" i="12"/>
  <c r="T452" i="12"/>
  <c r="T457" i="12"/>
  <c r="T463" i="12"/>
  <c r="T464" i="12"/>
  <c r="T466" i="12"/>
  <c r="T470" i="12"/>
  <c r="T474" i="12"/>
  <c r="T478" i="12"/>
  <c r="T482" i="12"/>
  <c r="T486" i="12"/>
  <c r="T490" i="12"/>
  <c r="T288" i="12"/>
  <c r="T290" i="12"/>
  <c r="T292" i="12"/>
  <c r="T294" i="12"/>
  <c r="T296" i="12"/>
  <c r="T298" i="12"/>
  <c r="T300" i="12"/>
  <c r="T386" i="12"/>
  <c r="T392" i="12"/>
  <c r="T393" i="12"/>
  <c r="T397" i="12"/>
  <c r="T401" i="12"/>
  <c r="T405" i="12"/>
  <c r="T409" i="12"/>
  <c r="T413" i="12"/>
  <c r="T417" i="12"/>
  <c r="T421" i="12"/>
  <c r="T425" i="12"/>
  <c r="T429" i="12"/>
  <c r="T433" i="12"/>
  <c r="T437" i="12"/>
  <c r="T441" i="12"/>
  <c r="T445" i="12"/>
  <c r="T449" i="12"/>
  <c r="T455" i="12"/>
  <c r="T456" i="12"/>
  <c r="T462" i="12"/>
  <c r="T467" i="12"/>
  <c r="T471" i="12"/>
  <c r="T475" i="12"/>
  <c r="T384" i="12"/>
  <c r="T388" i="12"/>
  <c r="T465" i="12"/>
  <c r="T469" i="12"/>
  <c r="T473" i="12"/>
  <c r="T516" i="12"/>
  <c r="T520" i="12"/>
  <c r="T524" i="12"/>
  <c r="T528" i="12"/>
  <c r="T289" i="12"/>
  <c r="T293" i="12"/>
  <c r="T297" i="12"/>
  <c r="T301" i="12"/>
  <c r="T390" i="12"/>
  <c r="T396" i="12"/>
  <c r="T400" i="12"/>
  <c r="T404" i="12"/>
  <c r="T408" i="12"/>
  <c r="T412" i="12"/>
  <c r="T416" i="12"/>
  <c r="T420" i="12"/>
  <c r="T424" i="12"/>
  <c r="T428" i="12"/>
  <c r="T432" i="12"/>
  <c r="T436" i="12"/>
  <c r="T440" i="12"/>
  <c r="T444" i="12"/>
  <c r="T448" i="12"/>
  <c r="T453" i="12"/>
  <c r="T460" i="12"/>
  <c r="T468" i="12"/>
  <c r="T472" i="12"/>
  <c r="T476" i="12"/>
  <c r="T477" i="12"/>
  <c r="T479" i="12"/>
  <c r="T480" i="12"/>
  <c r="T481" i="12"/>
  <c r="T483" i="12"/>
  <c r="T484" i="12"/>
  <c r="T485" i="12"/>
  <c r="T487" i="12"/>
  <c r="T488" i="12"/>
  <c r="T489" i="12"/>
  <c r="T491" i="12"/>
  <c r="T383" i="12"/>
  <c r="T385" i="12"/>
  <c r="T459" i="12"/>
  <c r="T492" i="12"/>
  <c r="T514" i="12"/>
  <c r="T518" i="12"/>
  <c r="T522" i="12"/>
  <c r="T291" i="12"/>
  <c r="T399" i="12"/>
  <c r="T415" i="12"/>
  <c r="T431" i="12"/>
  <c r="T447" i="12"/>
  <c r="T515" i="12"/>
  <c r="T517" i="12"/>
  <c r="T529" i="12"/>
  <c r="T578" i="12"/>
  <c r="U585" i="12"/>
  <c r="T585" i="12" s="1"/>
  <c r="U589" i="12"/>
  <c r="T589" i="12" s="1"/>
  <c r="U593" i="12"/>
  <c r="T593" i="12" s="1"/>
  <c r="U597" i="12"/>
  <c r="T597" i="12" s="1"/>
  <c r="T295" i="12"/>
  <c r="T403" i="12"/>
  <c r="T419" i="12"/>
  <c r="T435" i="12"/>
  <c r="T454" i="12"/>
  <c r="T493" i="12"/>
  <c r="T495" i="12"/>
  <c r="T497" i="12"/>
  <c r="T499" i="12"/>
  <c r="T501" i="12"/>
  <c r="T503" i="12"/>
  <c r="T505" i="12"/>
  <c r="T507" i="12"/>
  <c r="T509" i="12"/>
  <c r="T511" i="12"/>
  <c r="T513" i="12"/>
  <c r="T525" i="12"/>
  <c r="T534" i="12"/>
  <c r="T538" i="12"/>
  <c r="T542" i="12"/>
  <c r="T546" i="12"/>
  <c r="T550" i="12"/>
  <c r="T554" i="12"/>
  <c r="T558" i="12"/>
  <c r="T562" i="12"/>
  <c r="T566" i="12"/>
  <c r="T575" i="12"/>
  <c r="U583" i="12"/>
  <c r="T583" i="12" s="1"/>
  <c r="U584" i="12"/>
  <c r="T584" i="12" s="1"/>
  <c r="U588" i="12"/>
  <c r="T588" i="12" s="1"/>
  <c r="U592" i="12"/>
  <c r="T592" i="12" s="1"/>
  <c r="U596" i="12"/>
  <c r="T596" i="12" s="1"/>
  <c r="T299" i="12"/>
  <c r="T382" i="12"/>
  <c r="T391" i="12"/>
  <c r="T407" i="12"/>
  <c r="T423" i="12"/>
  <c r="T439" i="12"/>
  <c r="T458" i="12"/>
  <c r="T461" i="12"/>
  <c r="T527" i="12"/>
  <c r="T530" i="12"/>
  <c r="T531" i="12"/>
  <c r="T533" i="12"/>
  <c r="T535" i="12"/>
  <c r="T537" i="12"/>
  <c r="T539" i="12"/>
  <c r="T541" i="12"/>
  <c r="T543" i="12"/>
  <c r="T545" i="12"/>
  <c r="T547" i="12"/>
  <c r="T549" i="12"/>
  <c r="T551" i="12"/>
  <c r="T553" i="12"/>
  <c r="T555" i="12"/>
  <c r="T557" i="12"/>
  <c r="T559" i="12"/>
  <c r="T561" i="12"/>
  <c r="T563" i="12"/>
  <c r="T565" i="12"/>
  <c r="T567" i="12"/>
  <c r="T577" i="12"/>
  <c r="T581" i="12"/>
  <c r="T582" i="12"/>
  <c r="U587" i="12"/>
  <c r="T587" i="12" s="1"/>
  <c r="U591" i="12"/>
  <c r="T591" i="12" s="1"/>
  <c r="U595" i="12"/>
  <c r="T595" i="12" s="1"/>
  <c r="T395" i="12"/>
  <c r="T498" i="12"/>
  <c r="T506" i="12"/>
  <c r="T521" i="12"/>
  <c r="T576" i="12"/>
  <c r="U586" i="12"/>
  <c r="T586" i="12" s="1"/>
  <c r="U594" i="12"/>
  <c r="T594" i="12" s="1"/>
  <c r="T389" i="12"/>
  <c r="T411" i="12"/>
  <c r="T496" i="12"/>
  <c r="T504" i="12"/>
  <c r="T512" i="12"/>
  <c r="T519" i="12"/>
  <c r="T536" i="12"/>
  <c r="T544" i="12"/>
  <c r="T552" i="12"/>
  <c r="T560" i="12"/>
  <c r="T579" i="12"/>
  <c r="T427" i="12"/>
  <c r="T494" i="12"/>
  <c r="T502" i="12"/>
  <c r="T510" i="12"/>
  <c r="U590" i="12"/>
  <c r="T590" i="12" s="1"/>
  <c r="T508" i="12"/>
  <c r="T523" i="12"/>
  <c r="T526" i="12"/>
  <c r="T532" i="12"/>
  <c r="T548" i="12"/>
  <c r="T564" i="12"/>
  <c r="T580" i="12"/>
  <c r="T372" i="12"/>
  <c r="T367" i="12"/>
  <c r="T355" i="12"/>
  <c r="T352" i="12"/>
  <c r="T340" i="12"/>
  <c r="T335" i="12"/>
  <c r="T323" i="12"/>
  <c r="T320" i="12"/>
  <c r="T308" i="12"/>
  <c r="T306" i="12"/>
  <c r="T276" i="12"/>
  <c r="T267" i="12"/>
  <c r="T260" i="12"/>
  <c r="T251" i="12"/>
  <c r="T244" i="12"/>
  <c r="T235" i="12"/>
  <c r="T228" i="12"/>
  <c r="T219" i="12"/>
  <c r="T212" i="12"/>
  <c r="T203" i="12"/>
  <c r="T196" i="12"/>
  <c r="T187" i="12"/>
  <c r="T180" i="12"/>
  <c r="T171" i="12"/>
  <c r="T168" i="12"/>
  <c r="T165" i="12"/>
  <c r="T163" i="12"/>
  <c r="T160" i="12"/>
  <c r="T157" i="12"/>
  <c r="T155" i="12"/>
  <c r="T152" i="12"/>
  <c r="T149" i="12"/>
  <c r="T147" i="12"/>
  <c r="T144" i="12"/>
  <c r="T141" i="12"/>
  <c r="T139" i="12"/>
  <c r="T136" i="12"/>
  <c r="T133" i="12"/>
  <c r="T131" i="12"/>
  <c r="T128" i="12"/>
  <c r="T125" i="12"/>
  <c r="T123" i="12"/>
  <c r="T120" i="12"/>
  <c r="T117" i="12"/>
  <c r="T115" i="12"/>
  <c r="T112" i="12"/>
  <c r="T109" i="12"/>
  <c r="T107" i="12"/>
  <c r="T104" i="12"/>
  <c r="T101" i="12"/>
  <c r="T99" i="12"/>
  <c r="T96" i="12"/>
  <c r="T93" i="12"/>
  <c r="T91" i="12"/>
  <c r="T88" i="12"/>
  <c r="T85" i="12"/>
  <c r="T83" i="12"/>
  <c r="T80" i="12"/>
  <c r="T77" i="12"/>
  <c r="T75" i="12"/>
  <c r="T72" i="12"/>
  <c r="T69" i="12"/>
  <c r="T67" i="12"/>
  <c r="T64" i="12"/>
  <c r="T61" i="12"/>
  <c r="T59" i="12"/>
  <c r="T56" i="12"/>
  <c r="T53" i="12"/>
  <c r="T51" i="12"/>
  <c r="T48" i="12"/>
  <c r="T45" i="12"/>
  <c r="T43" i="12"/>
  <c r="U40" i="12"/>
  <c r="T40" i="12" s="1"/>
  <c r="U37" i="12"/>
  <c r="T37" i="12" s="1"/>
  <c r="U35" i="12"/>
  <c r="T35" i="12" s="1"/>
  <c r="U32" i="12"/>
  <c r="T32" i="12" s="1"/>
  <c r="U29" i="12"/>
  <c r="T29" i="12" s="1"/>
  <c r="U27" i="12"/>
  <c r="T27" i="12" s="1"/>
  <c r="U24" i="12"/>
  <c r="T24" i="12" s="1"/>
  <c r="U21" i="12"/>
  <c r="T21" i="12" s="1"/>
  <c r="U19" i="12"/>
  <c r="T19" i="12" s="1"/>
  <c r="U16" i="12"/>
  <c r="T16" i="12" s="1"/>
  <c r="U13" i="12"/>
  <c r="T13" i="12" s="1"/>
  <c r="T364" i="12"/>
  <c r="T359" i="12"/>
  <c r="T347" i="12"/>
  <c r="T327" i="12"/>
  <c r="T315" i="12"/>
  <c r="T304" i="12"/>
  <c r="T287" i="12"/>
  <c r="T271" i="12"/>
  <c r="T264" i="12"/>
  <c r="T223" i="12"/>
  <c r="T216" i="12"/>
  <c r="T207" i="12"/>
  <c r="T200" i="12"/>
  <c r="T175" i="12"/>
  <c r="U18" i="12"/>
  <c r="T18" i="12" s="1"/>
  <c r="U15" i="12"/>
  <c r="T15" i="12" s="1"/>
  <c r="U12" i="12"/>
  <c r="T12" i="12" s="1"/>
  <c r="T380" i="12"/>
  <c r="T375" i="12"/>
  <c r="T363" i="12"/>
  <c r="T360" i="12"/>
  <c r="T348" i="12"/>
  <c r="T343" i="12"/>
  <c r="T331" i="12"/>
  <c r="T328" i="12"/>
  <c r="T316" i="12"/>
  <c r="T311" i="12"/>
  <c r="T305" i="12"/>
  <c r="T303" i="12"/>
  <c r="T272" i="12"/>
  <c r="T263" i="12"/>
  <c r="T256" i="12"/>
  <c r="T247" i="12"/>
  <c r="T240" i="12"/>
  <c r="T231" i="12"/>
  <c r="T224" i="12"/>
  <c r="T215" i="12"/>
  <c r="T208" i="12"/>
  <c r="T199" i="12"/>
  <c r="T192" i="12"/>
  <c r="T183" i="12"/>
  <c r="T176" i="12"/>
  <c r="U17" i="12"/>
  <c r="T17" i="12" s="1"/>
  <c r="T371" i="12"/>
  <c r="T368" i="12"/>
  <c r="T356" i="12"/>
  <c r="T351" i="12"/>
  <c r="T339" i="12"/>
  <c r="T324" i="12"/>
  <c r="T307" i="12"/>
  <c r="T275" i="12"/>
  <c r="T259" i="12"/>
  <c r="T252" i="12"/>
  <c r="T243" i="12"/>
  <c r="T236" i="12"/>
  <c r="T227" i="12"/>
  <c r="T220" i="12"/>
  <c r="T211" i="12"/>
  <c r="T204" i="12"/>
  <c r="T195" i="12"/>
  <c r="T188" i="12"/>
  <c r="T169" i="12"/>
  <c r="T164" i="12"/>
  <c r="T159" i="12"/>
  <c r="T153" i="12"/>
  <c r="T148" i="12"/>
  <c r="T143" i="12"/>
  <c r="T137" i="12"/>
  <c r="T132" i="12"/>
  <c r="T129" i="12"/>
  <c r="T124" i="12"/>
  <c r="T119" i="12"/>
  <c r="T116" i="12"/>
  <c r="T111" i="12"/>
  <c r="T108" i="12"/>
  <c r="T103" i="12"/>
  <c r="T97" i="12"/>
  <c r="T92" i="12"/>
  <c r="T87" i="12"/>
  <c r="T84" i="12"/>
  <c r="T79" i="12"/>
  <c r="T73" i="12"/>
  <c r="T68" i="12"/>
  <c r="T65" i="12"/>
  <c r="T60" i="12"/>
  <c r="T55" i="12"/>
  <c r="T52" i="12"/>
  <c r="T47" i="12"/>
  <c r="U41" i="12"/>
  <c r="T41" i="12" s="1"/>
  <c r="U39" i="12"/>
  <c r="T39" i="12" s="1"/>
  <c r="U33" i="12"/>
  <c r="T33" i="12" s="1"/>
  <c r="U31" i="12"/>
  <c r="T31" i="12" s="1"/>
  <c r="U25" i="12"/>
  <c r="T25" i="12" s="1"/>
  <c r="U23" i="12"/>
  <c r="T23" i="12" s="1"/>
  <c r="U11" i="12"/>
  <c r="T11" i="12" s="1"/>
  <c r="U9" i="12"/>
  <c r="T9" i="12" s="1"/>
  <c r="U7" i="12"/>
  <c r="T7" i="12" s="1"/>
  <c r="T443" i="12"/>
  <c r="T500" i="12"/>
  <c r="T379" i="12"/>
  <c r="T376" i="12"/>
  <c r="T344" i="12"/>
  <c r="T332" i="12"/>
  <c r="T312" i="12"/>
  <c r="T302" i="12"/>
  <c r="T255" i="12"/>
  <c r="T248" i="12"/>
  <c r="T239" i="12"/>
  <c r="T232" i="12"/>
  <c r="T191" i="12"/>
  <c r="T184" i="12"/>
  <c r="T540" i="12"/>
  <c r="T556" i="12"/>
  <c r="T336" i="12"/>
  <c r="T319" i="12"/>
  <c r="T268" i="12"/>
  <c r="T179" i="12"/>
  <c r="T172" i="12"/>
  <c r="T167" i="12"/>
  <c r="T161" i="12"/>
  <c r="T156" i="12"/>
  <c r="T151" i="12"/>
  <c r="T145" i="12"/>
  <c r="T140" i="12"/>
  <c r="T135" i="12"/>
  <c r="T127" i="12"/>
  <c r="T121" i="12"/>
  <c r="T113" i="12"/>
  <c r="T105" i="12"/>
  <c r="T100" i="12"/>
  <c r="T95" i="12"/>
  <c r="T89" i="12"/>
  <c r="T81" i="12"/>
  <c r="T76" i="12"/>
  <c r="T71" i="12"/>
  <c r="T63" i="12"/>
  <c r="T57" i="12"/>
  <c r="T49" i="12"/>
  <c r="T44" i="12"/>
  <c r="U36" i="12"/>
  <c r="T36" i="12" s="1"/>
  <c r="U28" i="12"/>
  <c r="T28" i="12" s="1"/>
  <c r="U20" i="12"/>
  <c r="T20" i="12" s="1"/>
  <c r="U14" i="12"/>
  <c r="T14" i="12" s="1"/>
  <c r="U8" i="12"/>
  <c r="T8" i="12" s="1"/>
  <c r="U6" i="12"/>
  <c r="S360" i="12"/>
  <c r="S202" i="12"/>
  <c r="S158" i="12"/>
  <c r="S54" i="12"/>
  <c r="S42" i="12"/>
  <c r="S78" i="12"/>
  <c r="S94" i="12"/>
  <c r="S110" i="12"/>
  <c r="S126" i="12"/>
  <c r="S142" i="12"/>
  <c r="S62" i="12"/>
  <c r="T253" i="12"/>
  <c r="T225" i="12"/>
  <c r="S278" i="12"/>
  <c r="T325" i="12"/>
  <c r="T278" i="12"/>
  <c r="S295" i="12"/>
  <c r="S257" i="12"/>
  <c r="S12" i="12"/>
  <c r="S35" i="12"/>
  <c r="C71" i="14" l="1"/>
  <c r="E71" i="14" s="1"/>
  <c r="E70" i="14"/>
  <c r="C23" i="29"/>
  <c r="C16" i="29"/>
  <c r="C10" i="29"/>
  <c r="C3" i="29"/>
  <c r="C12" i="14"/>
  <c r="E12" i="14" s="1"/>
  <c r="C41" i="14"/>
  <c r="E41" i="14" s="1"/>
  <c r="C18" i="29"/>
  <c r="C9" i="29"/>
  <c r="C11" i="29"/>
  <c r="C8" i="29"/>
  <c r="C4" i="29"/>
  <c r="C7" i="29"/>
  <c r="C12" i="29"/>
  <c r="C14" i="29"/>
  <c r="C5" i="29"/>
  <c r="C24" i="29"/>
  <c r="C22" i="29"/>
  <c r="C17" i="29"/>
  <c r="H4" i="14"/>
  <c r="C98" i="14"/>
  <c r="B25" i="22"/>
  <c r="C25" i="22"/>
  <c r="R624" i="12"/>
  <c r="E75" i="14"/>
  <c r="T6" i="12"/>
  <c r="T633" i="12" s="1"/>
  <c r="U599" i="12"/>
  <c r="U631" i="12"/>
  <c r="U635" i="12"/>
  <c r="U639" i="12"/>
  <c r="U643" i="12"/>
  <c r="U608" i="12"/>
  <c r="U610" i="12"/>
  <c r="U612" i="12"/>
  <c r="U614" i="12"/>
  <c r="U616" i="12"/>
  <c r="U618" i="12"/>
  <c r="U620" i="12"/>
  <c r="U622" i="12"/>
  <c r="U638" i="12"/>
  <c r="U606" i="12"/>
  <c r="U628" i="12"/>
  <c r="U632" i="12"/>
  <c r="U636" i="12"/>
  <c r="U640" i="12"/>
  <c r="U644" i="12"/>
  <c r="U630" i="12"/>
  <c r="U642" i="12"/>
  <c r="U629" i="12"/>
  <c r="U633" i="12"/>
  <c r="U637" i="12"/>
  <c r="U641" i="12"/>
  <c r="U645" i="12"/>
  <c r="U607" i="12"/>
  <c r="U609" i="12"/>
  <c r="U611" i="12"/>
  <c r="U613" i="12"/>
  <c r="U615" i="12"/>
  <c r="U617" i="12"/>
  <c r="U619" i="12"/>
  <c r="U621" i="12"/>
  <c r="U623" i="12"/>
  <c r="U634" i="12"/>
  <c r="U661" i="12"/>
  <c r="U656" i="12"/>
  <c r="U650" i="12"/>
  <c r="U666" i="12"/>
  <c r="U655" i="12"/>
  <c r="U660" i="12"/>
  <c r="U665" i="12"/>
  <c r="U654" i="12"/>
  <c r="U652" i="12"/>
  <c r="U659" i="12"/>
  <c r="U663" i="12"/>
  <c r="U653" i="12"/>
  <c r="U658" i="12"/>
  <c r="U664" i="12"/>
  <c r="U657" i="12"/>
  <c r="U662" i="12"/>
  <c r="U651" i="12"/>
  <c r="U667" i="12"/>
  <c r="S621" i="12"/>
  <c r="S616" i="12"/>
  <c r="R646" i="12"/>
  <c r="N668" i="12"/>
  <c r="N671" i="12" s="1"/>
  <c r="N672" i="12" s="1"/>
  <c r="AM46" i="14"/>
  <c r="S614" i="12"/>
  <c r="R668" i="12"/>
  <c r="BB100" i="14"/>
  <c r="S606" i="12"/>
  <c r="S630" i="12"/>
  <c r="S653" i="12"/>
  <c r="AP17" i="14"/>
  <c r="Z17" i="14"/>
  <c r="J17" i="14"/>
  <c r="AQ46" i="14"/>
  <c r="AA46" i="14"/>
  <c r="AA47" i="14" s="1"/>
  <c r="AA49" i="14" s="1"/>
  <c r="K46" i="14"/>
  <c r="AR75" i="14"/>
  <c r="AR76" i="14" s="1"/>
  <c r="AR78" i="14" s="1"/>
  <c r="AB75" i="14"/>
  <c r="L75" i="14"/>
  <c r="S607" i="12"/>
  <c r="S631" i="12"/>
  <c r="S654" i="12"/>
  <c r="AW17" i="14"/>
  <c r="AG17" i="14"/>
  <c r="Q17" i="14"/>
  <c r="AX46" i="14"/>
  <c r="AH46" i="14"/>
  <c r="AH47" i="14" s="1"/>
  <c r="AH49" i="14" s="1"/>
  <c r="R46" i="14"/>
  <c r="AY75" i="14"/>
  <c r="AI75" i="14"/>
  <c r="S75" i="14"/>
  <c r="S76" i="14" s="1"/>
  <c r="S78" i="14" s="1"/>
  <c r="S640" i="12"/>
  <c r="S667" i="12"/>
  <c r="S651" i="12"/>
  <c r="AR17" i="14"/>
  <c r="AB17" i="14"/>
  <c r="L17" i="14"/>
  <c r="AS46" i="14"/>
  <c r="AC46" i="14"/>
  <c r="M46" i="14"/>
  <c r="AX75" i="14"/>
  <c r="AX76" i="14" s="1"/>
  <c r="AX78" i="14" s="1"/>
  <c r="AH75" i="14"/>
  <c r="R75" i="14"/>
  <c r="S645" i="12"/>
  <c r="S629" i="12"/>
  <c r="S652" i="12"/>
  <c r="AQ17" i="14"/>
  <c r="AA17" i="14"/>
  <c r="K17" i="14"/>
  <c r="AR46" i="14"/>
  <c r="AR47" i="14" s="1"/>
  <c r="AR49" i="14" s="1"/>
  <c r="AB46" i="14"/>
  <c r="L46" i="14"/>
  <c r="AW75" i="14"/>
  <c r="AG75" i="14"/>
  <c r="Q75" i="14"/>
  <c r="S612" i="12"/>
  <c r="S642" i="12"/>
  <c r="V17" i="14"/>
  <c r="W46" i="14"/>
  <c r="G46" i="14"/>
  <c r="AN75" i="14"/>
  <c r="X75" i="14"/>
  <c r="H75" i="14"/>
  <c r="S643" i="12"/>
  <c r="S666" i="12"/>
  <c r="S650" i="12"/>
  <c r="AS17" i="14"/>
  <c r="AC17" i="14"/>
  <c r="M17" i="14"/>
  <c r="AT46" i="14"/>
  <c r="AT47" i="14" s="1"/>
  <c r="AT49" i="14" s="1"/>
  <c r="AD46" i="14"/>
  <c r="N46" i="14"/>
  <c r="AU75" i="14"/>
  <c r="AE75" i="14"/>
  <c r="AE76" i="14" s="1"/>
  <c r="AE78" i="14" s="1"/>
  <c r="O75" i="14"/>
  <c r="S636" i="12"/>
  <c r="S663" i="12"/>
  <c r="E17" i="14"/>
  <c r="AN17" i="14"/>
  <c r="X17" i="14"/>
  <c r="H17" i="14"/>
  <c r="AO46" i="14"/>
  <c r="Y46" i="14"/>
  <c r="I46" i="14"/>
  <c r="AT75" i="14"/>
  <c r="AD75" i="14"/>
  <c r="N75" i="14"/>
  <c r="S641" i="12"/>
  <c r="S664" i="12"/>
  <c r="F17" i="14"/>
  <c r="AM17" i="14"/>
  <c r="W17" i="14"/>
  <c r="G17" i="14"/>
  <c r="AN46" i="14"/>
  <c r="X46" i="14"/>
  <c r="H46" i="14"/>
  <c r="AS75" i="14"/>
  <c r="AC75" i="14"/>
  <c r="M75" i="14"/>
  <c r="S622" i="12"/>
  <c r="S618" i="12"/>
  <c r="BB17" i="14"/>
  <c r="D46" i="14"/>
  <c r="S620" i="12"/>
  <c r="S610" i="12"/>
  <c r="S644" i="12"/>
  <c r="S615" i="12"/>
  <c r="S638" i="12"/>
  <c r="S661" i="12"/>
  <c r="AX17" i="14"/>
  <c r="AH17" i="14"/>
  <c r="R17" i="14"/>
  <c r="AY46" i="14"/>
  <c r="AI46" i="14"/>
  <c r="S46" i="14"/>
  <c r="S47" i="14" s="1"/>
  <c r="S49" i="14" s="1"/>
  <c r="AZ75" i="14"/>
  <c r="AJ75" i="14"/>
  <c r="T75" i="14"/>
  <c r="S609" i="12"/>
  <c r="S639" i="12"/>
  <c r="S662" i="12"/>
  <c r="D17" i="14"/>
  <c r="AO17" i="14"/>
  <c r="Y17" i="14"/>
  <c r="I17" i="14"/>
  <c r="AP46" i="14"/>
  <c r="Z46" i="14"/>
  <c r="J46" i="14"/>
  <c r="AQ75" i="14"/>
  <c r="AA75" i="14"/>
  <c r="K75" i="14"/>
  <c r="S632" i="12"/>
  <c r="S659" i="12"/>
  <c r="AZ17" i="14"/>
  <c r="AJ17" i="14"/>
  <c r="T17" i="14"/>
  <c r="BA46" i="14"/>
  <c r="AK46" i="14"/>
  <c r="U46" i="14"/>
  <c r="E46" i="14"/>
  <c r="AP75" i="14"/>
  <c r="Z75" i="14"/>
  <c r="J75" i="14"/>
  <c r="S637" i="12"/>
  <c r="S660" i="12"/>
  <c r="AY17" i="14"/>
  <c r="AI17" i="14"/>
  <c r="S17" i="14"/>
  <c r="AZ46" i="14"/>
  <c r="AZ47" i="14" s="1"/>
  <c r="AZ49" i="14" s="1"/>
  <c r="AJ46" i="14"/>
  <c r="T46" i="14"/>
  <c r="T47" i="14" s="1"/>
  <c r="T49" i="14" s="1"/>
  <c r="D75" i="14"/>
  <c r="AO75" i="14"/>
  <c r="Y75" i="14"/>
  <c r="Y76" i="14" s="1"/>
  <c r="Y78" i="14" s="1"/>
  <c r="I75" i="14"/>
  <c r="S611" i="12"/>
  <c r="S665" i="12"/>
  <c r="AL17" i="14"/>
  <c r="S619" i="12"/>
  <c r="S617" i="12"/>
  <c r="S623" i="12"/>
  <c r="S613" i="12"/>
  <c r="S634" i="12"/>
  <c r="S657" i="12"/>
  <c r="AT17" i="14"/>
  <c r="AD17" i="14"/>
  <c r="N17" i="14"/>
  <c r="AU46" i="14"/>
  <c r="AE46" i="14"/>
  <c r="O46" i="14"/>
  <c r="AV75" i="14"/>
  <c r="AF75" i="14"/>
  <c r="P75" i="14"/>
  <c r="S608" i="12"/>
  <c r="S635" i="12"/>
  <c r="S658" i="12"/>
  <c r="BA17" i="14"/>
  <c r="AK17" i="14"/>
  <c r="U17" i="14"/>
  <c r="BB46" i="14"/>
  <c r="BB47" i="14" s="1"/>
  <c r="BB49" i="14" s="1"/>
  <c r="BB51" i="14" s="1"/>
  <c r="BB53" i="14" s="1"/>
  <c r="AL46" i="14"/>
  <c r="V46" i="14"/>
  <c r="F46" i="14"/>
  <c r="AM75" i="14"/>
  <c r="W75" i="14"/>
  <c r="G75" i="14"/>
  <c r="S628" i="12"/>
  <c r="S655" i="12"/>
  <c r="AV17" i="14"/>
  <c r="AF17" i="14"/>
  <c r="P17" i="14"/>
  <c r="AW46" i="14"/>
  <c r="AG46" i="14"/>
  <c r="Q46" i="14"/>
  <c r="BB75" i="14"/>
  <c r="AL75" i="14"/>
  <c r="V75" i="14"/>
  <c r="F75" i="14"/>
  <c r="S633" i="12"/>
  <c r="S656" i="12"/>
  <c r="AU17" i="14"/>
  <c r="AE17" i="14"/>
  <c r="O17" i="14"/>
  <c r="AV46" i="14"/>
  <c r="AF46" i="14"/>
  <c r="P46" i="14"/>
  <c r="BA75" i="14"/>
  <c r="AK75" i="14"/>
  <c r="AK76" i="14" s="1"/>
  <c r="AK78" i="14" s="1"/>
  <c r="U75" i="14"/>
  <c r="S599" i="12"/>
  <c r="C72" i="14" l="1"/>
  <c r="E72" i="14" s="1"/>
  <c r="T606" i="12"/>
  <c r="T636" i="12"/>
  <c r="T642" i="12"/>
  <c r="T616" i="12"/>
  <c r="T635" i="12"/>
  <c r="T651" i="12"/>
  <c r="T653" i="12"/>
  <c r="T599" i="12"/>
  <c r="T631" i="12"/>
  <c r="T615" i="12"/>
  <c r="T629" i="12"/>
  <c r="T619" i="12"/>
  <c r="T640" i="12"/>
  <c r="C42" i="14"/>
  <c r="E42" i="14" s="1"/>
  <c r="D74" i="14"/>
  <c r="D59" i="14"/>
  <c r="E59" i="14" s="1"/>
  <c r="D30" i="14"/>
  <c r="E30" i="14" s="1"/>
  <c r="H74" i="14"/>
  <c r="H76" i="14" s="1"/>
  <c r="K74" i="14"/>
  <c r="J74" i="14"/>
  <c r="J76" i="14" s="1"/>
  <c r="M74" i="14"/>
  <c r="L74" i="14"/>
  <c r="I74" i="14"/>
  <c r="F74" i="14"/>
  <c r="E74" i="14"/>
  <c r="G74" i="14"/>
  <c r="G76" i="14" s="1"/>
  <c r="T657" i="12"/>
  <c r="D27" i="32"/>
  <c r="C13" i="14"/>
  <c r="R671" i="12"/>
  <c r="R672" i="12" s="1"/>
  <c r="D88" i="14"/>
  <c r="I4" i="14"/>
  <c r="W100" i="14"/>
  <c r="BA100" i="14"/>
  <c r="AM100" i="14"/>
  <c r="BA76" i="14"/>
  <c r="BA78" i="14" s="1"/>
  <c r="Q47" i="14"/>
  <c r="Q49" i="14" s="1"/>
  <c r="W76" i="14"/>
  <c r="W78" i="14" s="1"/>
  <c r="AJ47" i="14"/>
  <c r="AJ49" i="14" s="1"/>
  <c r="AP47" i="14"/>
  <c r="AP49" i="14" s="1"/>
  <c r="O47" i="14"/>
  <c r="O49" i="14" s="1"/>
  <c r="Z47" i="14"/>
  <c r="Z49" i="14" s="1"/>
  <c r="X47" i="14"/>
  <c r="X49" i="14" s="1"/>
  <c r="N76" i="14"/>
  <c r="AM76" i="14"/>
  <c r="AM78" i="14" s="1"/>
  <c r="AX100" i="14"/>
  <c r="AD100" i="14"/>
  <c r="AB100" i="14"/>
  <c r="U76" i="14"/>
  <c r="U78" i="14" s="1"/>
  <c r="AF47" i="14"/>
  <c r="AF49" i="14" s="1"/>
  <c r="AG47" i="14"/>
  <c r="AG49" i="14" s="1"/>
  <c r="U47" i="14"/>
  <c r="U49" i="14" s="1"/>
  <c r="AR100" i="14"/>
  <c r="Y100" i="14"/>
  <c r="U100" i="14"/>
  <c r="AV47" i="14"/>
  <c r="AV49" i="14" s="1"/>
  <c r="AL76" i="14"/>
  <c r="AL78" i="14" s="1"/>
  <c r="AF76" i="14"/>
  <c r="AF78" i="14" s="1"/>
  <c r="AU47" i="14"/>
  <c r="AU49" i="14" s="1"/>
  <c r="Y47" i="14"/>
  <c r="Y49" i="14" s="1"/>
  <c r="W47" i="14"/>
  <c r="W49" i="14" s="1"/>
  <c r="Q76" i="14"/>
  <c r="Q78" i="14" s="1"/>
  <c r="AB47" i="14"/>
  <c r="AB49" i="14" s="1"/>
  <c r="AD76" i="14"/>
  <c r="AD78" i="14" s="1"/>
  <c r="X76" i="14"/>
  <c r="X78" i="14" s="1"/>
  <c r="BA47" i="14"/>
  <c r="BA49" i="14" s="1"/>
  <c r="BA51" i="14" s="1"/>
  <c r="BA53" i="14" s="1"/>
  <c r="AT76" i="14"/>
  <c r="AT78" i="14" s="1"/>
  <c r="AN76" i="14"/>
  <c r="AN78" i="14" s="1"/>
  <c r="O76" i="14"/>
  <c r="O78" i="14" s="1"/>
  <c r="AC47" i="14"/>
  <c r="AC49" i="14" s="1"/>
  <c r="T612" i="12"/>
  <c r="T608" i="12"/>
  <c r="T658" i="12"/>
  <c r="T667" i="12"/>
  <c r="T656" i="12"/>
  <c r="T630" i="12"/>
  <c r="T618" i="12"/>
  <c r="AE100" i="14"/>
  <c r="O100" i="14"/>
  <c r="AZ100" i="14"/>
  <c r="P100" i="14"/>
  <c r="V76" i="14"/>
  <c r="V78" i="14" s="1"/>
  <c r="AL47" i="14"/>
  <c r="AL49" i="14" s="1"/>
  <c r="P76" i="14"/>
  <c r="P78" i="14" s="1"/>
  <c r="AE47" i="14"/>
  <c r="AE49" i="14" s="1"/>
  <c r="T617" i="12"/>
  <c r="T611" i="12"/>
  <c r="T607" i="12"/>
  <c r="T654" i="12"/>
  <c r="T663" i="12"/>
  <c r="T652" i="12"/>
  <c r="T665" i="12"/>
  <c r="BB76" i="14"/>
  <c r="BB78" i="14" s="1"/>
  <c r="AV76" i="14"/>
  <c r="AV78" i="14" s="1"/>
  <c r="T645" i="12"/>
  <c r="T614" i="12"/>
  <c r="T623" i="12"/>
  <c r="T610" i="12"/>
  <c r="T643" i="12"/>
  <c r="T666" i="12"/>
  <c r="T650" i="12"/>
  <c r="T632" i="12"/>
  <c r="T659" i="12"/>
  <c r="T664" i="12"/>
  <c r="T641" i="12"/>
  <c r="T638" i="12"/>
  <c r="T661" i="12"/>
  <c r="AO76" i="14"/>
  <c r="AO78" i="14" s="1"/>
  <c r="AY47" i="14"/>
  <c r="AY49" i="14" s="1"/>
  <c r="AS76" i="14"/>
  <c r="AS78" i="14" s="1"/>
  <c r="AU76" i="14"/>
  <c r="AU78" i="14" s="1"/>
  <c r="AY76" i="14"/>
  <c r="AY78" i="14" s="1"/>
  <c r="AU100" i="14"/>
  <c r="AY100" i="14"/>
  <c r="AV100" i="14"/>
  <c r="AK100" i="14"/>
  <c r="AT100" i="14"/>
  <c r="N100" i="14"/>
  <c r="T622" i="12"/>
  <c r="T620" i="12"/>
  <c r="T613" i="12"/>
  <c r="T621" i="12"/>
  <c r="T609" i="12"/>
  <c r="T639" i="12"/>
  <c r="T662" i="12"/>
  <c r="T644" i="12"/>
  <c r="T628" i="12"/>
  <c r="T655" i="12"/>
  <c r="T660" i="12"/>
  <c r="T637" i="12"/>
  <c r="T634" i="12"/>
  <c r="N47" i="14"/>
  <c r="AD47" i="14"/>
  <c r="AD49" i="14" s="1"/>
  <c r="R76" i="14"/>
  <c r="R78" i="14" s="1"/>
  <c r="AI18" i="14"/>
  <c r="AI20" i="14" s="1"/>
  <c r="AI100" i="14"/>
  <c r="AQ18" i="14"/>
  <c r="AQ20" i="14" s="1"/>
  <c r="AQ100" i="14"/>
  <c r="AO18" i="14"/>
  <c r="AO20" i="14" s="1"/>
  <c r="AO100" i="14"/>
  <c r="AJ100" i="14"/>
  <c r="AA100" i="14"/>
  <c r="AL18" i="14"/>
  <c r="AL100" i="14"/>
  <c r="AP100" i="14"/>
  <c r="AC76" i="14"/>
  <c r="AC78" i="14" s="1"/>
  <c r="AO47" i="14"/>
  <c r="AO49" i="14" s="1"/>
  <c r="AH76" i="14"/>
  <c r="AH78" i="14" s="1"/>
  <c r="AI76" i="14"/>
  <c r="AI78" i="14" s="1"/>
  <c r="AB76" i="14"/>
  <c r="AB78" i="14" s="1"/>
  <c r="AQ47" i="14"/>
  <c r="AQ49" i="14" s="1"/>
  <c r="X18" i="14"/>
  <c r="X100" i="14"/>
  <c r="T18" i="14"/>
  <c r="T20" i="14" s="1"/>
  <c r="T100" i="14"/>
  <c r="AC18" i="14"/>
  <c r="AC20" i="14" s="1"/>
  <c r="AC100" i="14"/>
  <c r="AG18" i="14"/>
  <c r="AG20" i="14" s="1"/>
  <c r="AG100" i="14"/>
  <c r="Z18" i="14"/>
  <c r="Z20" i="14" s="1"/>
  <c r="Z100" i="14"/>
  <c r="S18" i="14"/>
  <c r="S100" i="14"/>
  <c r="AW100" i="14"/>
  <c r="AN100" i="14"/>
  <c r="V100" i="14"/>
  <c r="Q18" i="14"/>
  <c r="Q100" i="14"/>
  <c r="AH100" i="14"/>
  <c r="AF18" i="14"/>
  <c r="AF100" i="14"/>
  <c r="AS100" i="14"/>
  <c r="R18" i="14"/>
  <c r="R20" i="14" s="1"/>
  <c r="R100" i="14"/>
  <c r="S101" i="14"/>
  <c r="R101" i="14"/>
  <c r="AB18" i="14"/>
  <c r="AB20" i="14" s="1"/>
  <c r="W18" i="14"/>
  <c r="Y18" i="14"/>
  <c r="AA18" i="14"/>
  <c r="AA20" i="14" s="1"/>
  <c r="AY101" i="14"/>
  <c r="AX101" i="14"/>
  <c r="O101" i="14"/>
  <c r="P101" i="14"/>
  <c r="U101" i="14"/>
  <c r="N101" i="14"/>
  <c r="I101" i="14"/>
  <c r="H101" i="14"/>
  <c r="M101" i="14"/>
  <c r="K101" i="14"/>
  <c r="L101" i="14"/>
  <c r="AZ101" i="14"/>
  <c r="D101" i="14"/>
  <c r="F101" i="14"/>
  <c r="E101" i="14"/>
  <c r="V101" i="14"/>
  <c r="BB18" i="14"/>
  <c r="BB20" i="14" s="1"/>
  <c r="BB101" i="14"/>
  <c r="AE101" i="14"/>
  <c r="AX18" i="14"/>
  <c r="AX20" i="14" s="1"/>
  <c r="AZ18" i="14"/>
  <c r="AZ20" i="14" s="1"/>
  <c r="AU101" i="14"/>
  <c r="AV101" i="14"/>
  <c r="BA101" i="14"/>
  <c r="AT101" i="14"/>
  <c r="AI101" i="14"/>
  <c r="AJ101" i="14"/>
  <c r="AO101" i="14"/>
  <c r="AH101" i="14"/>
  <c r="AM101" i="14"/>
  <c r="AN101" i="14"/>
  <c r="AS101" i="14"/>
  <c r="AQ101" i="14"/>
  <c r="AR101" i="14"/>
  <c r="AW101" i="14"/>
  <c r="AP101" i="14"/>
  <c r="AL101" i="14"/>
  <c r="G101" i="14"/>
  <c r="Q101" i="14"/>
  <c r="J101" i="14"/>
  <c r="V18" i="14"/>
  <c r="V20" i="14" s="1"/>
  <c r="AF101" i="14"/>
  <c r="AK101" i="14"/>
  <c r="AD101" i="14"/>
  <c r="T101" i="14"/>
  <c r="Y101" i="14"/>
  <c r="W101" i="14"/>
  <c r="X101" i="14"/>
  <c r="AC101" i="14"/>
  <c r="AA101" i="14"/>
  <c r="AB101" i="14"/>
  <c r="AG101" i="14"/>
  <c r="Z101" i="14"/>
  <c r="R47" i="14"/>
  <c r="R49" i="14" s="1"/>
  <c r="AD18" i="14"/>
  <c r="AD20" i="14" s="1"/>
  <c r="P47" i="14"/>
  <c r="P49" i="14" s="1"/>
  <c r="AY18" i="14"/>
  <c r="AY20" i="14" s="1"/>
  <c r="AR18" i="14"/>
  <c r="AR20" i="14" s="1"/>
  <c r="AJ18" i="14"/>
  <c r="AJ20" i="14" s="1"/>
  <c r="AP18" i="14"/>
  <c r="AP20" i="14" s="1"/>
  <c r="BA18" i="14"/>
  <c r="BA20" i="14" s="1"/>
  <c r="AW47" i="14"/>
  <c r="AW49" i="14" s="1"/>
  <c r="Z76" i="14"/>
  <c r="Z78" i="14" s="1"/>
  <c r="AK47" i="14"/>
  <c r="AK49" i="14" s="1"/>
  <c r="AA76" i="14"/>
  <c r="AA78" i="14" s="1"/>
  <c r="T76" i="14"/>
  <c r="T78" i="14" s="1"/>
  <c r="AI47" i="14"/>
  <c r="AI49" i="14" s="1"/>
  <c r="AN47" i="14"/>
  <c r="AN49" i="14" s="1"/>
  <c r="AG76" i="14"/>
  <c r="AG78" i="14" s="1"/>
  <c r="AS47" i="14"/>
  <c r="AS49" i="14" s="1"/>
  <c r="AX47" i="14"/>
  <c r="AX49" i="14" s="1"/>
  <c r="AP76" i="14"/>
  <c r="AP78" i="14" s="1"/>
  <c r="AQ76" i="14"/>
  <c r="AQ78" i="14" s="1"/>
  <c r="AJ76" i="14"/>
  <c r="AJ78" i="14" s="1"/>
  <c r="AW76" i="14"/>
  <c r="AW78" i="14" s="1"/>
  <c r="AW18" i="14"/>
  <c r="AW20" i="14" s="1"/>
  <c r="AH18" i="14"/>
  <c r="AH20" i="14" s="1"/>
  <c r="AS18" i="14"/>
  <c r="AS20" i="14" s="1"/>
  <c r="V47" i="14"/>
  <c r="V49" i="14" s="1"/>
  <c r="AZ76" i="14"/>
  <c r="AZ78" i="14" s="1"/>
  <c r="B26" i="22"/>
  <c r="C26" i="22"/>
  <c r="AV18" i="14"/>
  <c r="AV20" i="14" s="1"/>
  <c r="AM47" i="14"/>
  <c r="AM49" i="14" s="1"/>
  <c r="AT18" i="14"/>
  <c r="AT20" i="14" s="1"/>
  <c r="AU18" i="14"/>
  <c r="AU20" i="14" s="1"/>
  <c r="U668" i="12"/>
  <c r="U646" i="12"/>
  <c r="U624" i="12"/>
  <c r="N18" i="14"/>
  <c r="S624" i="12"/>
  <c r="S646" i="12"/>
  <c r="AE18" i="14"/>
  <c r="AE20" i="14" s="1"/>
  <c r="O18" i="14"/>
  <c r="O20" i="14" s="1"/>
  <c r="P18" i="14"/>
  <c r="P20" i="14" s="1"/>
  <c r="U18" i="14"/>
  <c r="U20" i="14" s="1"/>
  <c r="S668" i="12"/>
  <c r="AM18" i="14"/>
  <c r="AM20" i="14" s="1"/>
  <c r="AK18" i="14"/>
  <c r="AK20" i="14" s="1"/>
  <c r="AN18" i="14"/>
  <c r="AN20" i="14" s="1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F30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F19" i="2"/>
  <c r="E41" i="2"/>
  <c r="E30" i="2"/>
  <c r="E19" i="2"/>
  <c r="X11" i="2"/>
  <c r="Y11" i="2"/>
  <c r="Z11" i="2"/>
  <c r="AA11" i="2"/>
  <c r="AB11" i="2"/>
  <c r="X15" i="2"/>
  <c r="Y15" i="2"/>
  <c r="Z15" i="2"/>
  <c r="AA15" i="2"/>
  <c r="AB15" i="2"/>
  <c r="X16" i="2"/>
  <c r="Y16" i="2"/>
  <c r="Z16" i="2"/>
  <c r="AA16" i="2"/>
  <c r="AB16" i="2"/>
  <c r="X17" i="2"/>
  <c r="Y17" i="2"/>
  <c r="Z17" i="2"/>
  <c r="AA17" i="2"/>
  <c r="AB17" i="2"/>
  <c r="X18" i="2"/>
  <c r="Y18" i="2"/>
  <c r="Z18" i="2"/>
  <c r="AA18" i="2"/>
  <c r="AB18" i="2"/>
  <c r="X26" i="2"/>
  <c r="Y26" i="2"/>
  <c r="Z26" i="2"/>
  <c r="AA26" i="2"/>
  <c r="AB26" i="2"/>
  <c r="X27" i="2"/>
  <c r="Y27" i="2"/>
  <c r="Z27" i="2"/>
  <c r="AA27" i="2"/>
  <c r="AB27" i="2"/>
  <c r="X28" i="2"/>
  <c r="Y28" i="2"/>
  <c r="Z28" i="2"/>
  <c r="AA28" i="2"/>
  <c r="AB28" i="2"/>
  <c r="X29" i="2"/>
  <c r="Y29" i="2"/>
  <c r="Z29" i="2"/>
  <c r="AA29" i="2"/>
  <c r="AB29" i="2"/>
  <c r="X37" i="2"/>
  <c r="Y37" i="2"/>
  <c r="Z37" i="2"/>
  <c r="AA37" i="2"/>
  <c r="AB37" i="2"/>
  <c r="X38" i="2"/>
  <c r="Y38" i="2"/>
  <c r="Z38" i="2"/>
  <c r="AA38" i="2"/>
  <c r="AB38" i="2"/>
  <c r="X39" i="2"/>
  <c r="Y39" i="2"/>
  <c r="Z39" i="2"/>
  <c r="AA39" i="2"/>
  <c r="AB39" i="2"/>
  <c r="X40" i="2"/>
  <c r="Y40" i="2"/>
  <c r="Z40" i="2"/>
  <c r="AA40" i="2"/>
  <c r="AB40" i="2"/>
  <c r="C10" i="2"/>
  <c r="V37" i="2"/>
  <c r="W37" i="2"/>
  <c r="T39" i="2"/>
  <c r="U39" i="2"/>
  <c r="V39" i="2"/>
  <c r="W39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F40" i="2"/>
  <c r="V26" i="2"/>
  <c r="W26" i="2"/>
  <c r="T28" i="2"/>
  <c r="U28" i="2"/>
  <c r="V28" i="2"/>
  <c r="W28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F29" i="2"/>
  <c r="V15" i="2"/>
  <c r="W15" i="2"/>
  <c r="T17" i="2"/>
  <c r="U17" i="2"/>
  <c r="V17" i="2"/>
  <c r="W17" i="2"/>
  <c r="G18" i="2"/>
  <c r="H18" i="2"/>
  <c r="I18" i="2"/>
  <c r="J18" i="2"/>
  <c r="K18" i="2"/>
  <c r="L18" i="2"/>
  <c r="N18" i="2"/>
  <c r="O18" i="2"/>
  <c r="P18" i="2"/>
  <c r="Q18" i="2"/>
  <c r="R18" i="2"/>
  <c r="S18" i="2"/>
  <c r="T18" i="2"/>
  <c r="U18" i="2"/>
  <c r="V18" i="2"/>
  <c r="W18" i="2"/>
  <c r="F18" i="2"/>
  <c r="E40" i="2"/>
  <c r="E29" i="2"/>
  <c r="E18" i="2"/>
  <c r="C9" i="2"/>
  <c r="E17" i="2"/>
  <c r="E16" i="2"/>
  <c r="E15" i="2"/>
  <c r="E28" i="2"/>
  <c r="E27" i="2"/>
  <c r="E26" i="2"/>
  <c r="E39" i="2"/>
  <c r="E38" i="2"/>
  <c r="E37" i="2"/>
  <c r="S44" i="7"/>
  <c r="S22" i="7"/>
  <c r="S23" i="7"/>
  <c r="S25" i="7"/>
  <c r="S41" i="7"/>
  <c r="T63" i="7"/>
  <c r="U63" i="7" s="1"/>
  <c r="V63" i="7" s="1"/>
  <c r="W63" i="7" s="1"/>
  <c r="X63" i="7" s="1"/>
  <c r="Y63" i="7" s="1"/>
  <c r="Z63" i="7" s="1"/>
  <c r="AA63" i="7" s="1"/>
  <c r="AB63" i="7" s="1"/>
  <c r="T59" i="7"/>
  <c r="T60" i="7"/>
  <c r="U60" i="7" s="1"/>
  <c r="V60" i="7" s="1"/>
  <c r="W60" i="7" s="1"/>
  <c r="X60" i="7" s="1"/>
  <c r="Y60" i="7" s="1"/>
  <c r="Z60" i="7" s="1"/>
  <c r="AA60" i="7" s="1"/>
  <c r="AB60" i="7" s="1"/>
  <c r="T57" i="7"/>
  <c r="U57" i="7" s="1"/>
  <c r="V57" i="7" s="1"/>
  <c r="W57" i="7" s="1"/>
  <c r="X57" i="7" s="1"/>
  <c r="Y57" i="7" s="1"/>
  <c r="Z57" i="7" s="1"/>
  <c r="AA57" i="7" s="1"/>
  <c r="AB57" i="7" s="1"/>
  <c r="T56" i="7"/>
  <c r="U56" i="7" s="1"/>
  <c r="V56" i="7" s="1"/>
  <c r="W56" i="7" s="1"/>
  <c r="X56" i="7" s="1"/>
  <c r="Y56" i="7" s="1"/>
  <c r="Z56" i="7" s="1"/>
  <c r="AA56" i="7" s="1"/>
  <c r="AB56" i="7" s="1"/>
  <c r="T55" i="7"/>
  <c r="E87" i="19"/>
  <c r="Y43" i="2" l="1"/>
  <c r="U55" i="7"/>
  <c r="V55" i="7" s="1"/>
  <c r="W55" i="7" s="1"/>
  <c r="X55" i="7" s="1"/>
  <c r="Y55" i="7" s="1"/>
  <c r="Z55" i="7" s="1"/>
  <c r="AA55" i="7" s="1"/>
  <c r="AB55" i="7" s="1"/>
  <c r="AB48" i="2"/>
  <c r="X48" i="2"/>
  <c r="AB32" i="2"/>
  <c r="X32" i="2"/>
  <c r="AB21" i="2"/>
  <c r="Z43" i="2"/>
  <c r="AA32" i="2"/>
  <c r="X21" i="2"/>
  <c r="Y21" i="2"/>
  <c r="AA21" i="2"/>
  <c r="C43" i="14"/>
  <c r="E43" i="14" s="1"/>
  <c r="G45" i="14" s="1"/>
  <c r="G47" i="14" s="1"/>
  <c r="H30" i="14"/>
  <c r="F30" i="14"/>
  <c r="AZ80" i="14"/>
  <c r="AZ82" i="14" s="1"/>
  <c r="G30" i="14"/>
  <c r="M68" i="34"/>
  <c r="G59" i="14"/>
  <c r="N68" i="34"/>
  <c r="H59" i="14"/>
  <c r="F59" i="14"/>
  <c r="R647" i="12"/>
  <c r="D55" i="14" s="1"/>
  <c r="E76" i="19" s="1"/>
  <c r="E81" i="19" s="1"/>
  <c r="H88" i="14"/>
  <c r="O68" i="34"/>
  <c r="R625" i="12"/>
  <c r="R669" i="12"/>
  <c r="D84" i="14" s="1"/>
  <c r="E113" i="19" s="1"/>
  <c r="E118" i="19" s="1"/>
  <c r="AW80" i="14"/>
  <c r="AW82" i="14" s="1"/>
  <c r="Y80" i="14"/>
  <c r="Y82" i="14" s="1"/>
  <c r="AJ80" i="14"/>
  <c r="AJ82" i="14" s="1"/>
  <c r="T80" i="14"/>
  <c r="T82" i="14" s="1"/>
  <c r="AS80" i="14"/>
  <c r="AS82" i="14" s="1"/>
  <c r="AE80" i="14"/>
  <c r="AE82" i="14" s="1"/>
  <c r="AQ80" i="14"/>
  <c r="AQ82" i="14" s="1"/>
  <c r="AG80" i="14"/>
  <c r="AG82" i="14" s="1"/>
  <c r="AA80" i="14"/>
  <c r="AA82" i="14" s="1"/>
  <c r="BB80" i="14"/>
  <c r="BB82" i="14" s="1"/>
  <c r="O80" i="14"/>
  <c r="O82" i="14" s="1"/>
  <c r="X80" i="14"/>
  <c r="X82" i="14" s="1"/>
  <c r="AL80" i="14"/>
  <c r="AL82" i="14" s="1"/>
  <c r="U80" i="14"/>
  <c r="U82" i="14" s="1"/>
  <c r="AM80" i="14"/>
  <c r="AM82" i="14" s="1"/>
  <c r="AK80" i="14"/>
  <c r="AK82" i="14" s="1"/>
  <c r="AP80" i="14"/>
  <c r="AP82" i="14" s="1"/>
  <c r="AB80" i="14"/>
  <c r="AB82" i="14" s="1"/>
  <c r="AC80" i="14"/>
  <c r="AC82" i="14" s="1"/>
  <c r="R80" i="14"/>
  <c r="R82" i="14" s="1"/>
  <c r="AY80" i="14"/>
  <c r="AY82" i="14" s="1"/>
  <c r="AO80" i="14"/>
  <c r="AO82" i="14" s="1"/>
  <c r="P80" i="14"/>
  <c r="P82" i="14" s="1"/>
  <c r="AN80" i="14"/>
  <c r="AN82" i="14" s="1"/>
  <c r="AD80" i="14"/>
  <c r="AD82" i="14" s="1"/>
  <c r="BA80" i="14"/>
  <c r="BA82" i="14" s="1"/>
  <c r="Z80" i="14"/>
  <c r="Z82" i="14" s="1"/>
  <c r="AI80" i="14"/>
  <c r="AI82" i="14" s="1"/>
  <c r="AU80" i="14"/>
  <c r="AU82" i="14" s="1"/>
  <c r="AT80" i="14"/>
  <c r="AT82" i="14" s="1"/>
  <c r="AR80" i="14"/>
  <c r="AR82" i="14" s="1"/>
  <c r="AH80" i="14"/>
  <c r="AH82" i="14" s="1"/>
  <c r="AV80" i="14"/>
  <c r="AV82" i="14" s="1"/>
  <c r="V80" i="14"/>
  <c r="V82" i="14" s="1"/>
  <c r="Q80" i="14"/>
  <c r="Q82" i="14" s="1"/>
  <c r="AF80" i="14"/>
  <c r="AF82" i="14" s="1"/>
  <c r="W80" i="14"/>
  <c r="W82" i="14" s="1"/>
  <c r="S80" i="14"/>
  <c r="S82" i="14" s="1"/>
  <c r="AX80" i="14"/>
  <c r="AX82" i="14" s="1"/>
  <c r="Y32" i="2"/>
  <c r="Z48" i="2"/>
  <c r="C14" i="14"/>
  <c r="E14" i="14" s="1"/>
  <c r="E13" i="14"/>
  <c r="I88" i="14"/>
  <c r="E88" i="14"/>
  <c r="F88" i="14"/>
  <c r="G88" i="14"/>
  <c r="I30" i="14"/>
  <c r="I59" i="14"/>
  <c r="AZ51" i="14"/>
  <c r="AZ53" i="14" s="1"/>
  <c r="J4" i="14"/>
  <c r="J88" i="14" s="1"/>
  <c r="AY51" i="14"/>
  <c r="AY53" i="14" s="1"/>
  <c r="AL102" i="14"/>
  <c r="W51" i="14"/>
  <c r="W53" i="14" s="1"/>
  <c r="Q20" i="14"/>
  <c r="Q104" i="14" s="1"/>
  <c r="X102" i="14"/>
  <c r="X20" i="14"/>
  <c r="X104" i="14" s="1"/>
  <c r="W102" i="14"/>
  <c r="W20" i="14"/>
  <c r="W104" i="14" s="1"/>
  <c r="AL20" i="14"/>
  <c r="AL104" i="14" s="1"/>
  <c r="S20" i="14"/>
  <c r="S104" i="14" s="1"/>
  <c r="Y20" i="14"/>
  <c r="Y104" i="14" s="1"/>
  <c r="AF20" i="14"/>
  <c r="AF104" i="14" s="1"/>
  <c r="X33" i="2"/>
  <c r="AA33" i="2"/>
  <c r="Z33" i="2"/>
  <c r="X44" i="2"/>
  <c r="AB44" i="2"/>
  <c r="Y44" i="2"/>
  <c r="AA22" i="2"/>
  <c r="AB22" i="2"/>
  <c r="AA48" i="2"/>
  <c r="AA43" i="2"/>
  <c r="Y48" i="2"/>
  <c r="X22" i="2"/>
  <c r="Y22" i="2"/>
  <c r="AA44" i="2"/>
  <c r="S19" i="7"/>
  <c r="S31" i="7"/>
  <c r="S42" i="7"/>
  <c r="S20" i="7"/>
  <c r="S32" i="7"/>
  <c r="S43" i="7"/>
  <c r="AB33" i="2"/>
  <c r="Z44" i="2"/>
  <c r="AB43" i="2"/>
  <c r="X43" i="2"/>
  <c r="Z32" i="2"/>
  <c r="Z21" i="2"/>
  <c r="N102" i="14"/>
  <c r="AF102" i="14"/>
  <c r="AO102" i="14"/>
  <c r="T646" i="12"/>
  <c r="T668" i="12"/>
  <c r="S102" i="14"/>
  <c r="T624" i="12"/>
  <c r="Y51" i="14"/>
  <c r="Y53" i="14" s="1"/>
  <c r="AB102" i="14"/>
  <c r="Z51" i="14"/>
  <c r="Z53" i="14" s="1"/>
  <c r="Q102" i="14"/>
  <c r="X51" i="14"/>
  <c r="X53" i="14" s="1"/>
  <c r="D76" i="14"/>
  <c r="E76" i="14"/>
  <c r="AO104" i="14"/>
  <c r="L76" i="14"/>
  <c r="K76" i="14"/>
  <c r="AC104" i="14"/>
  <c r="F76" i="14"/>
  <c r="M76" i="14"/>
  <c r="Y102" i="14"/>
  <c r="I76" i="14"/>
  <c r="AC102" i="14"/>
  <c r="AB104" i="14"/>
  <c r="R102" i="14"/>
  <c r="AI104" i="14"/>
  <c r="AA51" i="14"/>
  <c r="AA53" i="14" s="1"/>
  <c r="Z104" i="14"/>
  <c r="Z102" i="14"/>
  <c r="T104" i="14"/>
  <c r="AN104" i="14"/>
  <c r="AN102" i="14"/>
  <c r="AE104" i="14"/>
  <c r="AE102" i="14"/>
  <c r="AS104" i="14"/>
  <c r="AS102" i="14"/>
  <c r="AR104" i="14"/>
  <c r="AR102" i="14"/>
  <c r="AG102" i="14"/>
  <c r="T102" i="14"/>
  <c r="AA104" i="14"/>
  <c r="AQ102" i="14"/>
  <c r="AX104" i="14"/>
  <c r="AX102" i="14"/>
  <c r="U102" i="14"/>
  <c r="AV104" i="14"/>
  <c r="AV102" i="14"/>
  <c r="AH104" i="14"/>
  <c r="AH102" i="14"/>
  <c r="BA102" i="14"/>
  <c r="AM104" i="14"/>
  <c r="AM102" i="14"/>
  <c r="P104" i="14"/>
  <c r="P102" i="14"/>
  <c r="AU104" i="14"/>
  <c r="AU102" i="14"/>
  <c r="AW104" i="14"/>
  <c r="AW102" i="14"/>
  <c r="AP104" i="14"/>
  <c r="AP102" i="14"/>
  <c r="R104" i="14"/>
  <c r="AK104" i="14"/>
  <c r="AK102" i="14"/>
  <c r="AY104" i="14"/>
  <c r="AY102" i="14"/>
  <c r="V104" i="14"/>
  <c r="V102" i="14"/>
  <c r="AG104" i="14"/>
  <c r="AQ104" i="14"/>
  <c r="O104" i="14"/>
  <c r="O102" i="14"/>
  <c r="AT104" i="14"/>
  <c r="AT102" i="14"/>
  <c r="AJ104" i="14"/>
  <c r="AJ102" i="14"/>
  <c r="AD104" i="14"/>
  <c r="AD102" i="14"/>
  <c r="AA102" i="14"/>
  <c r="AI102" i="14"/>
  <c r="AZ104" i="14"/>
  <c r="AZ102" i="14"/>
  <c r="BB102" i="14"/>
  <c r="AV51" i="14"/>
  <c r="AV53" i="14" s="1"/>
  <c r="P51" i="14"/>
  <c r="P53" i="14" s="1"/>
  <c r="AU51" i="14"/>
  <c r="AU53" i="14" s="1"/>
  <c r="U51" i="14"/>
  <c r="U53" i="14" s="1"/>
  <c r="O51" i="14"/>
  <c r="O53" i="14" s="1"/>
  <c r="T51" i="14"/>
  <c r="T53" i="14" s="1"/>
  <c r="R51" i="14"/>
  <c r="R53" i="14" s="1"/>
  <c r="AN51" i="14"/>
  <c r="AN53" i="14" s="1"/>
  <c r="AB51" i="14"/>
  <c r="AB53" i="14" s="1"/>
  <c r="V51" i="14"/>
  <c r="V53" i="14" s="1"/>
  <c r="S51" i="14"/>
  <c r="S53" i="14" s="1"/>
  <c r="AQ51" i="14"/>
  <c r="AQ53" i="14" s="1"/>
  <c r="AS51" i="14"/>
  <c r="AS53" i="14" s="1"/>
  <c r="AO51" i="14"/>
  <c r="AO53" i="14" s="1"/>
  <c r="AP51" i="14"/>
  <c r="AP53" i="14" s="1"/>
  <c r="AC51" i="14"/>
  <c r="AC53" i="14" s="1"/>
  <c r="AE51" i="14"/>
  <c r="AE53" i="14" s="1"/>
  <c r="AW51" i="14"/>
  <c r="AW53" i="14" s="1"/>
  <c r="Q51" i="14"/>
  <c r="Q53" i="14" s="1"/>
  <c r="AX51" i="14"/>
  <c r="AX53" i="14" s="1"/>
  <c r="AR51" i="14"/>
  <c r="AR53" i="14" s="1"/>
  <c r="AT51" i="14"/>
  <c r="AT53" i="14" s="1"/>
  <c r="S18" i="7"/>
  <c r="S30" i="7"/>
  <c r="S21" i="7"/>
  <c r="S33" i="7"/>
  <c r="S35" i="7"/>
  <c r="T25" i="7"/>
  <c r="S48" i="7"/>
  <c r="S37" i="7"/>
  <c r="S45" i="7"/>
  <c r="S34" i="7"/>
  <c r="B27" i="22"/>
  <c r="C27" i="22"/>
  <c r="AM51" i="14"/>
  <c r="AM53" i="14" s="1"/>
  <c r="AG51" i="14"/>
  <c r="AG53" i="14" s="1"/>
  <c r="AF51" i="14"/>
  <c r="AF53" i="14" s="1"/>
  <c r="AH51" i="14"/>
  <c r="AH53" i="14" s="1"/>
  <c r="AI51" i="14"/>
  <c r="AI53" i="14" s="1"/>
  <c r="AK51" i="14"/>
  <c r="AK53" i="14" s="1"/>
  <c r="AL51" i="14"/>
  <c r="AL53" i="14" s="1"/>
  <c r="AJ51" i="14"/>
  <c r="AJ53" i="14" s="1"/>
  <c r="AD51" i="14"/>
  <c r="AD53" i="14" s="1"/>
  <c r="T41" i="7"/>
  <c r="U59" i="7"/>
  <c r="T54" i="7"/>
  <c r="U54" i="7" s="1"/>
  <c r="E48" i="19"/>
  <c r="E124" i="19" s="1"/>
  <c r="T62" i="7"/>
  <c r="T22" i="7"/>
  <c r="T44" i="7"/>
  <c r="Y33" i="2"/>
  <c r="Z22" i="2"/>
  <c r="L7" i="4"/>
  <c r="F99" i="3"/>
  <c r="O62" i="34" s="1"/>
  <c r="P62" i="34" s="1"/>
  <c r="L6" i="4"/>
  <c r="G5" i="4"/>
  <c r="H5" i="4"/>
  <c r="I5" i="4"/>
  <c r="J5" i="4"/>
  <c r="K5" i="4"/>
  <c r="L5" i="4"/>
  <c r="O60" i="34"/>
  <c r="P5" i="1"/>
  <c r="P43" i="1" s="1"/>
  <c r="O430" i="1"/>
  <c r="N430" i="1"/>
  <c r="M430" i="1"/>
  <c r="L430" i="1"/>
  <c r="K430" i="1"/>
  <c r="J430" i="1"/>
  <c r="I430" i="1"/>
  <c r="H430" i="1"/>
  <c r="G430" i="1"/>
  <c r="F430" i="1"/>
  <c r="O429" i="1"/>
  <c r="N429" i="1"/>
  <c r="M429" i="1"/>
  <c r="L429" i="1"/>
  <c r="K429" i="1"/>
  <c r="J429" i="1"/>
  <c r="I429" i="1"/>
  <c r="H429" i="1"/>
  <c r="G429" i="1"/>
  <c r="F429" i="1"/>
  <c r="O428" i="1"/>
  <c r="N428" i="1"/>
  <c r="M428" i="1"/>
  <c r="L428" i="1"/>
  <c r="K428" i="1"/>
  <c r="J428" i="1"/>
  <c r="I428" i="1"/>
  <c r="H428" i="1"/>
  <c r="G428" i="1"/>
  <c r="F428" i="1"/>
  <c r="O427" i="1"/>
  <c r="N427" i="1"/>
  <c r="M427" i="1"/>
  <c r="L427" i="1"/>
  <c r="K427" i="1"/>
  <c r="J427" i="1"/>
  <c r="I427" i="1"/>
  <c r="H427" i="1"/>
  <c r="G427" i="1"/>
  <c r="F427" i="1"/>
  <c r="O426" i="1"/>
  <c r="N426" i="1"/>
  <c r="M426" i="1"/>
  <c r="L426" i="1"/>
  <c r="K426" i="1"/>
  <c r="J426" i="1"/>
  <c r="I426" i="1"/>
  <c r="H426" i="1"/>
  <c r="G426" i="1"/>
  <c r="F426" i="1"/>
  <c r="O425" i="1"/>
  <c r="N425" i="1"/>
  <c r="M425" i="1"/>
  <c r="L425" i="1"/>
  <c r="K425" i="1"/>
  <c r="J425" i="1"/>
  <c r="I425" i="1"/>
  <c r="H425" i="1"/>
  <c r="G425" i="1"/>
  <c r="F425" i="1"/>
  <c r="O424" i="1"/>
  <c r="N424" i="1"/>
  <c r="M424" i="1"/>
  <c r="L424" i="1"/>
  <c r="K424" i="1"/>
  <c r="J424" i="1"/>
  <c r="I424" i="1"/>
  <c r="H424" i="1"/>
  <c r="G424" i="1"/>
  <c r="F424" i="1"/>
  <c r="O423" i="1"/>
  <c r="N423" i="1"/>
  <c r="M423" i="1"/>
  <c r="L423" i="1"/>
  <c r="K423" i="1"/>
  <c r="J423" i="1"/>
  <c r="I423" i="1"/>
  <c r="H423" i="1"/>
  <c r="G423" i="1"/>
  <c r="F423" i="1"/>
  <c r="O422" i="1"/>
  <c r="N422" i="1"/>
  <c r="M422" i="1"/>
  <c r="L422" i="1"/>
  <c r="K422" i="1"/>
  <c r="J422" i="1"/>
  <c r="I422" i="1"/>
  <c r="H422" i="1"/>
  <c r="G422" i="1"/>
  <c r="F422" i="1"/>
  <c r="O421" i="1"/>
  <c r="N421" i="1"/>
  <c r="M421" i="1"/>
  <c r="L421" i="1"/>
  <c r="K421" i="1"/>
  <c r="J421" i="1"/>
  <c r="I421" i="1"/>
  <c r="H421" i="1"/>
  <c r="G421" i="1"/>
  <c r="F421" i="1"/>
  <c r="O420" i="1"/>
  <c r="N420" i="1"/>
  <c r="M420" i="1"/>
  <c r="L420" i="1"/>
  <c r="K420" i="1"/>
  <c r="J420" i="1"/>
  <c r="I420" i="1"/>
  <c r="H420" i="1"/>
  <c r="G420" i="1"/>
  <c r="F420" i="1"/>
  <c r="O419" i="1"/>
  <c r="N419" i="1"/>
  <c r="M419" i="1"/>
  <c r="L419" i="1"/>
  <c r="K419" i="1"/>
  <c r="J419" i="1"/>
  <c r="I419" i="1"/>
  <c r="H419" i="1"/>
  <c r="G419" i="1"/>
  <c r="F419" i="1"/>
  <c r="O418" i="1"/>
  <c r="N418" i="1"/>
  <c r="M418" i="1"/>
  <c r="L418" i="1"/>
  <c r="K418" i="1"/>
  <c r="J418" i="1"/>
  <c r="I418" i="1"/>
  <c r="H418" i="1"/>
  <c r="G418" i="1"/>
  <c r="F418" i="1"/>
  <c r="O417" i="1"/>
  <c r="N417" i="1"/>
  <c r="M417" i="1"/>
  <c r="L417" i="1"/>
  <c r="K417" i="1"/>
  <c r="J417" i="1"/>
  <c r="I417" i="1"/>
  <c r="H417" i="1"/>
  <c r="G417" i="1"/>
  <c r="F417" i="1"/>
  <c r="O416" i="1"/>
  <c r="N416" i="1"/>
  <c r="M416" i="1"/>
  <c r="L416" i="1"/>
  <c r="K416" i="1"/>
  <c r="J416" i="1"/>
  <c r="I416" i="1"/>
  <c r="H416" i="1"/>
  <c r="G416" i="1"/>
  <c r="F416" i="1"/>
  <c r="O415" i="1"/>
  <c r="N415" i="1"/>
  <c r="M415" i="1"/>
  <c r="L415" i="1"/>
  <c r="K415" i="1"/>
  <c r="J415" i="1"/>
  <c r="I415" i="1"/>
  <c r="H415" i="1"/>
  <c r="G415" i="1"/>
  <c r="F415" i="1"/>
  <c r="O414" i="1"/>
  <c r="N414" i="1"/>
  <c r="M414" i="1"/>
  <c r="L414" i="1"/>
  <c r="K414" i="1"/>
  <c r="J414" i="1"/>
  <c r="I414" i="1"/>
  <c r="H414" i="1"/>
  <c r="G414" i="1"/>
  <c r="F414" i="1"/>
  <c r="O412" i="1"/>
  <c r="N412" i="1"/>
  <c r="M412" i="1"/>
  <c r="L412" i="1"/>
  <c r="K412" i="1"/>
  <c r="J412" i="1"/>
  <c r="I412" i="1"/>
  <c r="H412" i="1"/>
  <c r="G412" i="1"/>
  <c r="F412" i="1"/>
  <c r="O411" i="1"/>
  <c r="N411" i="1"/>
  <c r="M411" i="1"/>
  <c r="L411" i="1"/>
  <c r="K411" i="1"/>
  <c r="J411" i="1"/>
  <c r="I411" i="1"/>
  <c r="H411" i="1"/>
  <c r="G411" i="1"/>
  <c r="F411" i="1"/>
  <c r="O410" i="1"/>
  <c r="N410" i="1"/>
  <c r="M410" i="1"/>
  <c r="L410" i="1"/>
  <c r="K410" i="1"/>
  <c r="J410" i="1"/>
  <c r="I410" i="1"/>
  <c r="H410" i="1"/>
  <c r="G410" i="1"/>
  <c r="F410" i="1"/>
  <c r="O409" i="1"/>
  <c r="N409" i="1"/>
  <c r="M409" i="1"/>
  <c r="L409" i="1"/>
  <c r="K409" i="1"/>
  <c r="J409" i="1"/>
  <c r="I409" i="1"/>
  <c r="H409" i="1"/>
  <c r="G409" i="1"/>
  <c r="F409" i="1"/>
  <c r="O408" i="1"/>
  <c r="N408" i="1"/>
  <c r="M408" i="1"/>
  <c r="L408" i="1"/>
  <c r="K408" i="1"/>
  <c r="J408" i="1"/>
  <c r="I408" i="1"/>
  <c r="H408" i="1"/>
  <c r="G408" i="1"/>
  <c r="F408" i="1"/>
  <c r="O407" i="1"/>
  <c r="N407" i="1"/>
  <c r="M407" i="1"/>
  <c r="L407" i="1"/>
  <c r="K407" i="1"/>
  <c r="J407" i="1"/>
  <c r="I407" i="1"/>
  <c r="H407" i="1"/>
  <c r="G407" i="1"/>
  <c r="F407" i="1"/>
  <c r="O406" i="1"/>
  <c r="N406" i="1"/>
  <c r="M406" i="1"/>
  <c r="L406" i="1"/>
  <c r="K406" i="1"/>
  <c r="J406" i="1"/>
  <c r="I406" i="1"/>
  <c r="H406" i="1"/>
  <c r="G406" i="1"/>
  <c r="F406" i="1"/>
  <c r="O405" i="1"/>
  <c r="N405" i="1"/>
  <c r="M405" i="1"/>
  <c r="L405" i="1"/>
  <c r="K405" i="1"/>
  <c r="J405" i="1"/>
  <c r="I405" i="1"/>
  <c r="H405" i="1"/>
  <c r="G405" i="1"/>
  <c r="F405" i="1"/>
  <c r="O404" i="1"/>
  <c r="N404" i="1"/>
  <c r="M404" i="1"/>
  <c r="L404" i="1"/>
  <c r="K404" i="1"/>
  <c r="J404" i="1"/>
  <c r="I404" i="1"/>
  <c r="H404" i="1"/>
  <c r="G404" i="1"/>
  <c r="F404" i="1"/>
  <c r="O403" i="1"/>
  <c r="N403" i="1"/>
  <c r="M403" i="1"/>
  <c r="L403" i="1"/>
  <c r="K403" i="1"/>
  <c r="J403" i="1"/>
  <c r="I403" i="1"/>
  <c r="H403" i="1"/>
  <c r="G403" i="1"/>
  <c r="F403" i="1"/>
  <c r="O402" i="1"/>
  <c r="N402" i="1"/>
  <c r="M402" i="1"/>
  <c r="L402" i="1"/>
  <c r="K402" i="1"/>
  <c r="J402" i="1"/>
  <c r="I402" i="1"/>
  <c r="H402" i="1"/>
  <c r="G402" i="1"/>
  <c r="F402" i="1"/>
  <c r="O401" i="1"/>
  <c r="N401" i="1"/>
  <c r="M401" i="1"/>
  <c r="L401" i="1"/>
  <c r="K401" i="1"/>
  <c r="J401" i="1"/>
  <c r="I401" i="1"/>
  <c r="H401" i="1"/>
  <c r="G401" i="1"/>
  <c r="F401" i="1"/>
  <c r="O400" i="1"/>
  <c r="N400" i="1"/>
  <c r="M400" i="1"/>
  <c r="L400" i="1"/>
  <c r="K400" i="1"/>
  <c r="J400" i="1"/>
  <c r="I400" i="1"/>
  <c r="H400" i="1"/>
  <c r="G400" i="1"/>
  <c r="F400" i="1"/>
  <c r="O399" i="1"/>
  <c r="N399" i="1"/>
  <c r="M399" i="1"/>
  <c r="L399" i="1"/>
  <c r="K399" i="1"/>
  <c r="J399" i="1"/>
  <c r="I399" i="1"/>
  <c r="H399" i="1"/>
  <c r="G399" i="1"/>
  <c r="F399" i="1"/>
  <c r="O398" i="1"/>
  <c r="N398" i="1"/>
  <c r="M398" i="1"/>
  <c r="L398" i="1"/>
  <c r="K398" i="1"/>
  <c r="J398" i="1"/>
  <c r="I398" i="1"/>
  <c r="H398" i="1"/>
  <c r="G398" i="1"/>
  <c r="F398" i="1"/>
  <c r="O397" i="1"/>
  <c r="N397" i="1"/>
  <c r="M397" i="1"/>
  <c r="L397" i="1"/>
  <c r="K397" i="1"/>
  <c r="J397" i="1"/>
  <c r="I397" i="1"/>
  <c r="H397" i="1"/>
  <c r="G397" i="1"/>
  <c r="F397" i="1"/>
  <c r="O396" i="1"/>
  <c r="N396" i="1"/>
  <c r="M396" i="1"/>
  <c r="L396" i="1"/>
  <c r="K396" i="1"/>
  <c r="J396" i="1"/>
  <c r="I396" i="1"/>
  <c r="H396" i="1"/>
  <c r="G396" i="1"/>
  <c r="F396" i="1"/>
  <c r="O395" i="1"/>
  <c r="N395" i="1"/>
  <c r="M395" i="1"/>
  <c r="L395" i="1"/>
  <c r="K395" i="1"/>
  <c r="J395" i="1"/>
  <c r="I395" i="1"/>
  <c r="H395" i="1"/>
  <c r="G395" i="1"/>
  <c r="F395" i="1"/>
  <c r="O394" i="1"/>
  <c r="N394" i="1"/>
  <c r="M394" i="1"/>
  <c r="L394" i="1"/>
  <c r="K394" i="1"/>
  <c r="J394" i="1"/>
  <c r="I394" i="1"/>
  <c r="H394" i="1"/>
  <c r="G394" i="1"/>
  <c r="F394" i="1"/>
  <c r="O393" i="1"/>
  <c r="N393" i="1"/>
  <c r="M393" i="1"/>
  <c r="L393" i="1"/>
  <c r="K393" i="1"/>
  <c r="J393" i="1"/>
  <c r="I393" i="1"/>
  <c r="H393" i="1"/>
  <c r="G393" i="1"/>
  <c r="F393" i="1"/>
  <c r="O392" i="1"/>
  <c r="N392" i="1"/>
  <c r="M392" i="1"/>
  <c r="L392" i="1"/>
  <c r="K392" i="1"/>
  <c r="J392" i="1"/>
  <c r="I392" i="1"/>
  <c r="H392" i="1"/>
  <c r="G392" i="1"/>
  <c r="F392" i="1"/>
  <c r="O391" i="1"/>
  <c r="N391" i="1"/>
  <c r="M391" i="1"/>
  <c r="L391" i="1"/>
  <c r="K391" i="1"/>
  <c r="J391" i="1"/>
  <c r="I391" i="1"/>
  <c r="H391" i="1"/>
  <c r="G391" i="1"/>
  <c r="F391" i="1"/>
  <c r="O384" i="1"/>
  <c r="N384" i="1"/>
  <c r="M384" i="1"/>
  <c r="L384" i="1"/>
  <c r="K384" i="1"/>
  <c r="J384" i="1"/>
  <c r="I384" i="1"/>
  <c r="H384" i="1"/>
  <c r="G384" i="1"/>
  <c r="F384" i="1"/>
  <c r="O383" i="1"/>
  <c r="N383" i="1"/>
  <c r="M383" i="1"/>
  <c r="L383" i="1"/>
  <c r="K383" i="1"/>
  <c r="J383" i="1"/>
  <c r="I383" i="1"/>
  <c r="H383" i="1"/>
  <c r="G383" i="1"/>
  <c r="F383" i="1"/>
  <c r="O382" i="1"/>
  <c r="N382" i="1"/>
  <c r="M382" i="1"/>
  <c r="L382" i="1"/>
  <c r="K382" i="1"/>
  <c r="J382" i="1"/>
  <c r="I382" i="1"/>
  <c r="H382" i="1"/>
  <c r="G382" i="1"/>
  <c r="F382" i="1"/>
  <c r="O381" i="1"/>
  <c r="N381" i="1"/>
  <c r="M381" i="1"/>
  <c r="L381" i="1"/>
  <c r="K381" i="1"/>
  <c r="J381" i="1"/>
  <c r="I381" i="1"/>
  <c r="H381" i="1"/>
  <c r="G381" i="1"/>
  <c r="F381" i="1"/>
  <c r="O380" i="1"/>
  <c r="N380" i="1"/>
  <c r="M380" i="1"/>
  <c r="L380" i="1"/>
  <c r="K380" i="1"/>
  <c r="J380" i="1"/>
  <c r="I380" i="1"/>
  <c r="H380" i="1"/>
  <c r="G380" i="1"/>
  <c r="F380" i="1"/>
  <c r="O379" i="1"/>
  <c r="N379" i="1"/>
  <c r="M379" i="1"/>
  <c r="L379" i="1"/>
  <c r="K379" i="1"/>
  <c r="J379" i="1"/>
  <c r="I379" i="1"/>
  <c r="H379" i="1"/>
  <c r="G379" i="1"/>
  <c r="F379" i="1"/>
  <c r="O378" i="1"/>
  <c r="N378" i="1"/>
  <c r="M378" i="1"/>
  <c r="L378" i="1"/>
  <c r="K378" i="1"/>
  <c r="J378" i="1"/>
  <c r="I378" i="1"/>
  <c r="H378" i="1"/>
  <c r="G378" i="1"/>
  <c r="F378" i="1"/>
  <c r="O377" i="1"/>
  <c r="N377" i="1"/>
  <c r="M377" i="1"/>
  <c r="L377" i="1"/>
  <c r="K377" i="1"/>
  <c r="J377" i="1"/>
  <c r="I377" i="1"/>
  <c r="H377" i="1"/>
  <c r="G377" i="1"/>
  <c r="F377" i="1"/>
  <c r="O376" i="1"/>
  <c r="N376" i="1"/>
  <c r="M376" i="1"/>
  <c r="L376" i="1"/>
  <c r="K376" i="1"/>
  <c r="J376" i="1"/>
  <c r="I376" i="1"/>
  <c r="H376" i="1"/>
  <c r="G376" i="1"/>
  <c r="F376" i="1"/>
  <c r="O375" i="1"/>
  <c r="N375" i="1"/>
  <c r="M375" i="1"/>
  <c r="L375" i="1"/>
  <c r="K375" i="1"/>
  <c r="J375" i="1"/>
  <c r="I375" i="1"/>
  <c r="H375" i="1"/>
  <c r="G375" i="1"/>
  <c r="F375" i="1"/>
  <c r="O374" i="1"/>
  <c r="N374" i="1"/>
  <c r="M374" i="1"/>
  <c r="L374" i="1"/>
  <c r="K374" i="1"/>
  <c r="J374" i="1"/>
  <c r="I374" i="1"/>
  <c r="H374" i="1"/>
  <c r="G374" i="1"/>
  <c r="F374" i="1"/>
  <c r="O373" i="1"/>
  <c r="N373" i="1"/>
  <c r="M373" i="1"/>
  <c r="L373" i="1"/>
  <c r="K373" i="1"/>
  <c r="J373" i="1"/>
  <c r="I373" i="1"/>
  <c r="H373" i="1"/>
  <c r="G373" i="1"/>
  <c r="F373" i="1"/>
  <c r="O372" i="1"/>
  <c r="N372" i="1"/>
  <c r="M372" i="1"/>
  <c r="L372" i="1"/>
  <c r="K372" i="1"/>
  <c r="J372" i="1"/>
  <c r="I372" i="1"/>
  <c r="H372" i="1"/>
  <c r="G372" i="1"/>
  <c r="F372" i="1"/>
  <c r="O371" i="1"/>
  <c r="N371" i="1"/>
  <c r="M371" i="1"/>
  <c r="L371" i="1"/>
  <c r="K371" i="1"/>
  <c r="J371" i="1"/>
  <c r="I371" i="1"/>
  <c r="H371" i="1"/>
  <c r="G371" i="1"/>
  <c r="F371" i="1"/>
  <c r="O450" i="1"/>
  <c r="N450" i="1"/>
  <c r="M450" i="1"/>
  <c r="L450" i="1"/>
  <c r="K450" i="1"/>
  <c r="J450" i="1"/>
  <c r="I450" i="1"/>
  <c r="H450" i="1"/>
  <c r="G450" i="1"/>
  <c r="F450" i="1"/>
  <c r="O370" i="1"/>
  <c r="N370" i="1"/>
  <c r="M370" i="1"/>
  <c r="L370" i="1"/>
  <c r="K370" i="1"/>
  <c r="J370" i="1"/>
  <c r="I370" i="1"/>
  <c r="H370" i="1"/>
  <c r="G370" i="1"/>
  <c r="F370" i="1"/>
  <c r="O449" i="1"/>
  <c r="N449" i="1"/>
  <c r="M449" i="1"/>
  <c r="L449" i="1"/>
  <c r="K449" i="1"/>
  <c r="J449" i="1"/>
  <c r="I449" i="1"/>
  <c r="H449" i="1"/>
  <c r="G449" i="1"/>
  <c r="F449" i="1"/>
  <c r="O368" i="1"/>
  <c r="N368" i="1"/>
  <c r="M368" i="1"/>
  <c r="L368" i="1"/>
  <c r="K368" i="1"/>
  <c r="J368" i="1"/>
  <c r="I368" i="1"/>
  <c r="H368" i="1"/>
  <c r="G368" i="1"/>
  <c r="F368" i="1"/>
  <c r="O367" i="1"/>
  <c r="N367" i="1"/>
  <c r="M367" i="1"/>
  <c r="L367" i="1"/>
  <c r="K367" i="1"/>
  <c r="J367" i="1"/>
  <c r="I367" i="1"/>
  <c r="H367" i="1"/>
  <c r="G367" i="1"/>
  <c r="F367" i="1"/>
  <c r="O366" i="1"/>
  <c r="N366" i="1"/>
  <c r="M366" i="1"/>
  <c r="L366" i="1"/>
  <c r="K366" i="1"/>
  <c r="J366" i="1"/>
  <c r="I366" i="1"/>
  <c r="H366" i="1"/>
  <c r="G366" i="1"/>
  <c r="F366" i="1"/>
  <c r="O365" i="1"/>
  <c r="N365" i="1"/>
  <c r="M365" i="1"/>
  <c r="L365" i="1"/>
  <c r="K365" i="1"/>
  <c r="J365" i="1"/>
  <c r="I365" i="1"/>
  <c r="H365" i="1"/>
  <c r="G365" i="1"/>
  <c r="F365" i="1"/>
  <c r="O364" i="1"/>
  <c r="N364" i="1"/>
  <c r="M364" i="1"/>
  <c r="L364" i="1"/>
  <c r="K364" i="1"/>
  <c r="J364" i="1"/>
  <c r="I364" i="1"/>
  <c r="H364" i="1"/>
  <c r="G364" i="1"/>
  <c r="F364" i="1"/>
  <c r="O363" i="1"/>
  <c r="N363" i="1"/>
  <c r="M363" i="1"/>
  <c r="L363" i="1"/>
  <c r="K363" i="1"/>
  <c r="J363" i="1"/>
  <c r="I363" i="1"/>
  <c r="H363" i="1"/>
  <c r="G363" i="1"/>
  <c r="F363" i="1"/>
  <c r="O362" i="1"/>
  <c r="N362" i="1"/>
  <c r="M362" i="1"/>
  <c r="L362" i="1"/>
  <c r="K362" i="1"/>
  <c r="J362" i="1"/>
  <c r="I362" i="1"/>
  <c r="H362" i="1"/>
  <c r="G362" i="1"/>
  <c r="F362" i="1"/>
  <c r="O361" i="1"/>
  <c r="N361" i="1"/>
  <c r="M361" i="1"/>
  <c r="L361" i="1"/>
  <c r="K361" i="1"/>
  <c r="J361" i="1"/>
  <c r="I361" i="1"/>
  <c r="H361" i="1"/>
  <c r="G361" i="1"/>
  <c r="F361" i="1"/>
  <c r="O360" i="1"/>
  <c r="N360" i="1"/>
  <c r="M360" i="1"/>
  <c r="L360" i="1"/>
  <c r="K360" i="1"/>
  <c r="J360" i="1"/>
  <c r="I360" i="1"/>
  <c r="H360" i="1"/>
  <c r="G360" i="1"/>
  <c r="F360" i="1"/>
  <c r="O359" i="1"/>
  <c r="N359" i="1"/>
  <c r="M359" i="1"/>
  <c r="L359" i="1"/>
  <c r="K359" i="1"/>
  <c r="J359" i="1"/>
  <c r="I359" i="1"/>
  <c r="H359" i="1"/>
  <c r="G359" i="1"/>
  <c r="F359" i="1"/>
  <c r="O358" i="1"/>
  <c r="N358" i="1"/>
  <c r="M358" i="1"/>
  <c r="L358" i="1"/>
  <c r="K358" i="1"/>
  <c r="J358" i="1"/>
  <c r="I358" i="1"/>
  <c r="H358" i="1"/>
  <c r="G358" i="1"/>
  <c r="F358" i="1"/>
  <c r="O357" i="1"/>
  <c r="N357" i="1"/>
  <c r="M357" i="1"/>
  <c r="L357" i="1"/>
  <c r="K357" i="1"/>
  <c r="J357" i="1"/>
  <c r="I357" i="1"/>
  <c r="H357" i="1"/>
  <c r="G357" i="1"/>
  <c r="F357" i="1"/>
  <c r="O356" i="1"/>
  <c r="N356" i="1"/>
  <c r="M356" i="1"/>
  <c r="L356" i="1"/>
  <c r="K356" i="1"/>
  <c r="J356" i="1"/>
  <c r="I356" i="1"/>
  <c r="H356" i="1"/>
  <c r="G356" i="1"/>
  <c r="F356" i="1"/>
  <c r="O355" i="1"/>
  <c r="N355" i="1"/>
  <c r="M355" i="1"/>
  <c r="L355" i="1"/>
  <c r="K355" i="1"/>
  <c r="J355" i="1"/>
  <c r="I355" i="1"/>
  <c r="H355" i="1"/>
  <c r="G355" i="1"/>
  <c r="F355" i="1"/>
  <c r="O354" i="1"/>
  <c r="N354" i="1"/>
  <c r="M354" i="1"/>
  <c r="L354" i="1"/>
  <c r="K354" i="1"/>
  <c r="J354" i="1"/>
  <c r="I354" i="1"/>
  <c r="H354" i="1"/>
  <c r="G354" i="1"/>
  <c r="F354" i="1"/>
  <c r="O353" i="1"/>
  <c r="N353" i="1"/>
  <c r="M353" i="1"/>
  <c r="L353" i="1"/>
  <c r="K353" i="1"/>
  <c r="J353" i="1"/>
  <c r="I353" i="1"/>
  <c r="H353" i="1"/>
  <c r="G353" i="1"/>
  <c r="F353" i="1"/>
  <c r="O352" i="1"/>
  <c r="N352" i="1"/>
  <c r="M352" i="1"/>
  <c r="L352" i="1"/>
  <c r="K352" i="1"/>
  <c r="J352" i="1"/>
  <c r="I352" i="1"/>
  <c r="H352" i="1"/>
  <c r="G352" i="1"/>
  <c r="F352" i="1"/>
  <c r="O351" i="1"/>
  <c r="N351" i="1"/>
  <c r="M351" i="1"/>
  <c r="L351" i="1"/>
  <c r="K351" i="1"/>
  <c r="J351" i="1"/>
  <c r="I351" i="1"/>
  <c r="H351" i="1"/>
  <c r="G351" i="1"/>
  <c r="F351" i="1"/>
  <c r="O350" i="1"/>
  <c r="N350" i="1"/>
  <c r="M350" i="1"/>
  <c r="L350" i="1"/>
  <c r="K350" i="1"/>
  <c r="J350" i="1"/>
  <c r="I350" i="1"/>
  <c r="H350" i="1"/>
  <c r="G350" i="1"/>
  <c r="F350" i="1"/>
  <c r="S5" i="1" s="1"/>
  <c r="D45" i="14" l="1"/>
  <c r="D47" i="14" s="1"/>
  <c r="I45" i="14"/>
  <c r="I47" i="14" s="1"/>
  <c r="L45" i="14"/>
  <c r="L47" i="14" s="1"/>
  <c r="D26" i="14"/>
  <c r="E37" i="19" s="1"/>
  <c r="D16" i="14"/>
  <c r="F45" i="14"/>
  <c r="F47" i="14" s="1"/>
  <c r="E45" i="14"/>
  <c r="E47" i="14" s="1"/>
  <c r="K45" i="14"/>
  <c r="K47" i="14" s="1"/>
  <c r="H45" i="14"/>
  <c r="H47" i="14" s="1"/>
  <c r="J45" i="14"/>
  <c r="J47" i="14" s="1"/>
  <c r="M45" i="14"/>
  <c r="M47" i="14" s="1"/>
  <c r="O63" i="34"/>
  <c r="P60" i="34"/>
  <c r="P63" i="34" s="1"/>
  <c r="P68" i="34"/>
  <c r="T23" i="7"/>
  <c r="T35" i="7"/>
  <c r="E7" i="4"/>
  <c r="H7" i="4"/>
  <c r="I7" i="4"/>
  <c r="K7" i="4"/>
  <c r="G7" i="4"/>
  <c r="C7" i="4"/>
  <c r="J7" i="4"/>
  <c r="F7" i="4"/>
  <c r="D15" i="32"/>
  <c r="D6" i="4"/>
  <c r="L8" i="4"/>
  <c r="K6" i="4"/>
  <c r="C6" i="4"/>
  <c r="C5" i="4"/>
  <c r="E15" i="32"/>
  <c r="J6" i="4"/>
  <c r="F6" i="4"/>
  <c r="E5" i="4"/>
  <c r="G15" i="32"/>
  <c r="H6" i="4"/>
  <c r="D5" i="4"/>
  <c r="F15" i="32"/>
  <c r="G6" i="4"/>
  <c r="F5" i="4"/>
  <c r="H15" i="32"/>
  <c r="I6" i="4"/>
  <c r="E6" i="4"/>
  <c r="F16" i="14"/>
  <c r="E16" i="14"/>
  <c r="E18" i="14" s="1"/>
  <c r="G16" i="14"/>
  <c r="H16" i="14"/>
  <c r="L16" i="14"/>
  <c r="I16" i="14"/>
  <c r="K16" i="14"/>
  <c r="J16" i="14"/>
  <c r="M16" i="14"/>
  <c r="J30" i="14"/>
  <c r="J59" i="14"/>
  <c r="K4" i="14"/>
  <c r="K88" i="14" s="1"/>
  <c r="S7" i="1"/>
  <c r="S238" i="1"/>
  <c r="S130" i="1"/>
  <c r="S9" i="1"/>
  <c r="S132" i="1"/>
  <c r="S240" i="1"/>
  <c r="S11" i="1"/>
  <c r="S134" i="1"/>
  <c r="S242" i="1"/>
  <c r="S13" i="1"/>
  <c r="S244" i="1"/>
  <c r="S136" i="1"/>
  <c r="S15" i="1"/>
  <c r="S246" i="1"/>
  <c r="S138" i="1"/>
  <c r="S17" i="1"/>
  <c r="S140" i="1"/>
  <c r="S248" i="1"/>
  <c r="S19" i="1"/>
  <c r="S250" i="1"/>
  <c r="S142" i="1"/>
  <c r="S21" i="1"/>
  <c r="S252" i="1"/>
  <c r="S144" i="1"/>
  <c r="S23" i="1"/>
  <c r="S146" i="1"/>
  <c r="S254" i="1"/>
  <c r="S27" i="1"/>
  <c r="S150" i="1"/>
  <c r="S258" i="1"/>
  <c r="S29" i="1"/>
  <c r="S260" i="1"/>
  <c r="S152" i="1"/>
  <c r="S31" i="1"/>
  <c r="S262" i="1"/>
  <c r="S154" i="1"/>
  <c r="S33" i="1"/>
  <c r="S264" i="1"/>
  <c r="S156" i="1"/>
  <c r="S35" i="1"/>
  <c r="S266" i="1"/>
  <c r="S158" i="1"/>
  <c r="S37" i="1"/>
  <c r="S268" i="1"/>
  <c r="S160" i="1"/>
  <c r="S39" i="1"/>
  <c r="S270" i="1"/>
  <c r="S162" i="1"/>
  <c r="T391" i="1"/>
  <c r="S46" i="1"/>
  <c r="S48" i="1"/>
  <c r="T393" i="1"/>
  <c r="T395" i="1"/>
  <c r="S50" i="1"/>
  <c r="S52" i="1"/>
  <c r="T397" i="1"/>
  <c r="S54" i="1"/>
  <c r="T399" i="1"/>
  <c r="T401" i="1"/>
  <c r="S56" i="1"/>
  <c r="T403" i="1"/>
  <c r="S58" i="1"/>
  <c r="T405" i="1"/>
  <c r="S60" i="1"/>
  <c r="S62" i="1"/>
  <c r="T407" i="1"/>
  <c r="T409" i="1"/>
  <c r="S64" i="1"/>
  <c r="S66" i="1"/>
  <c r="T411" i="1"/>
  <c r="S69" i="1"/>
  <c r="T414" i="1"/>
  <c r="S71" i="1"/>
  <c r="T416" i="1"/>
  <c r="T418" i="1"/>
  <c r="S73" i="1"/>
  <c r="S75" i="1"/>
  <c r="T420" i="1"/>
  <c r="S77" i="1"/>
  <c r="T422" i="1"/>
  <c r="S79" i="1"/>
  <c r="T424" i="1"/>
  <c r="S81" i="1"/>
  <c r="T426" i="1"/>
  <c r="S83" i="1"/>
  <c r="T428" i="1"/>
  <c r="S85" i="1"/>
  <c r="T430" i="1"/>
  <c r="S129" i="1"/>
  <c r="S237" i="1"/>
  <c r="S8" i="1"/>
  <c r="S239" i="1"/>
  <c r="S131" i="1"/>
  <c r="S10" i="1"/>
  <c r="S133" i="1"/>
  <c r="S241" i="1"/>
  <c r="S12" i="1"/>
  <c r="S135" i="1"/>
  <c r="S243" i="1"/>
  <c r="S14" i="1"/>
  <c r="S137" i="1"/>
  <c r="S245" i="1"/>
  <c r="S16" i="1"/>
  <c r="S139" i="1"/>
  <c r="S247" i="1"/>
  <c r="S18" i="1"/>
  <c r="S141" i="1"/>
  <c r="S249" i="1"/>
  <c r="S20" i="1"/>
  <c r="S143" i="1"/>
  <c r="S251" i="1"/>
  <c r="S22" i="1"/>
  <c r="S145" i="1"/>
  <c r="S253" i="1"/>
  <c r="S24" i="1"/>
  <c r="S255" i="1"/>
  <c r="S147" i="1"/>
  <c r="S25" i="1"/>
  <c r="S148" i="1"/>
  <c r="S256" i="1"/>
  <c r="S26" i="1"/>
  <c r="S149" i="1"/>
  <c r="S257" i="1"/>
  <c r="S28" i="1"/>
  <c r="S259" i="1"/>
  <c r="S151" i="1"/>
  <c r="S30" i="1"/>
  <c r="S153" i="1"/>
  <c r="S261" i="1"/>
  <c r="S32" i="1"/>
  <c r="S263" i="1"/>
  <c r="S155" i="1"/>
  <c r="S34" i="1"/>
  <c r="S157" i="1"/>
  <c r="S265" i="1"/>
  <c r="S36" i="1"/>
  <c r="S267" i="1"/>
  <c r="S159" i="1"/>
  <c r="S38" i="1"/>
  <c r="S161" i="1"/>
  <c r="S269" i="1"/>
  <c r="S47" i="1"/>
  <c r="T392" i="1"/>
  <c r="S49" i="1"/>
  <c r="T394" i="1"/>
  <c r="S51" i="1"/>
  <c r="T396" i="1"/>
  <c r="T398" i="1"/>
  <c r="S53" i="1"/>
  <c r="S55" i="1"/>
  <c r="T400" i="1"/>
  <c r="S57" i="1"/>
  <c r="T402" i="1"/>
  <c r="T404" i="1"/>
  <c r="S59" i="1"/>
  <c r="T406" i="1"/>
  <c r="S61" i="1"/>
  <c r="S63" i="1"/>
  <c r="T408" i="1"/>
  <c r="S65" i="1"/>
  <c r="T410" i="1"/>
  <c r="S67" i="1"/>
  <c r="T412" i="1"/>
  <c r="S70" i="1"/>
  <c r="T415" i="1"/>
  <c r="T417" i="1"/>
  <c r="S72" i="1"/>
  <c r="S74" i="1"/>
  <c r="T419" i="1"/>
  <c r="S76" i="1"/>
  <c r="T421" i="1"/>
  <c r="S78" i="1"/>
  <c r="T423" i="1"/>
  <c r="S80" i="1"/>
  <c r="T425" i="1"/>
  <c r="S82" i="1"/>
  <c r="T427" i="1"/>
  <c r="S84" i="1"/>
  <c r="T429" i="1"/>
  <c r="S432" i="1"/>
  <c r="S388" i="1"/>
  <c r="R43" i="1"/>
  <c r="Q43" i="1"/>
  <c r="T43" i="7"/>
  <c r="T20" i="7"/>
  <c r="T32" i="7"/>
  <c r="T42" i="7"/>
  <c r="T19" i="7"/>
  <c r="T31" i="7"/>
  <c r="Q22" i="14"/>
  <c r="Q24" i="14" s="1"/>
  <c r="Q108" i="14" s="1"/>
  <c r="AH22" i="14"/>
  <c r="AH24" i="14" s="1"/>
  <c r="AH108" i="14" s="1"/>
  <c r="S22" i="14"/>
  <c r="S24" i="14" s="1"/>
  <c r="S108" i="14" s="1"/>
  <c r="AG22" i="14"/>
  <c r="AG106" i="14" s="1"/>
  <c r="P22" i="14"/>
  <c r="P24" i="14" s="1"/>
  <c r="P108" i="14" s="1"/>
  <c r="AJ22" i="14"/>
  <c r="AJ24" i="14" s="1"/>
  <c r="AJ108" i="14" s="1"/>
  <c r="AI22" i="14"/>
  <c r="AI24" i="14" s="1"/>
  <c r="AI108" i="14" s="1"/>
  <c r="R22" i="14"/>
  <c r="R106" i="14" s="1"/>
  <c r="AQ22" i="14"/>
  <c r="AQ24" i="14" s="1"/>
  <c r="AQ108" i="14" s="1"/>
  <c r="AF22" i="14"/>
  <c r="AF24" i="14" s="1"/>
  <c r="AF108" i="14" s="1"/>
  <c r="AL22" i="14"/>
  <c r="AL24" i="14" s="1"/>
  <c r="AL108" i="14" s="1"/>
  <c r="AT22" i="14"/>
  <c r="AT24" i="14" s="1"/>
  <c r="AT108" i="14" s="1"/>
  <c r="AB22" i="14"/>
  <c r="AB106" i="14" s="1"/>
  <c r="AE22" i="14"/>
  <c r="AE106" i="14" s="1"/>
  <c r="AP22" i="14"/>
  <c r="Y22" i="14"/>
  <c r="AO22" i="14"/>
  <c r="AS22" i="14"/>
  <c r="U22" i="14"/>
  <c r="AW22" i="14"/>
  <c r="X22" i="14"/>
  <c r="AC22" i="14"/>
  <c r="AD22" i="14"/>
  <c r="AK22" i="14"/>
  <c r="Z22" i="14"/>
  <c r="O22" i="14"/>
  <c r="AA22" i="14"/>
  <c r="AX22" i="14"/>
  <c r="BB22" i="14"/>
  <c r="BB104" i="14"/>
  <c r="BA22" i="14"/>
  <c r="BA104" i="14"/>
  <c r="AN22" i="14"/>
  <c r="AM22" i="14"/>
  <c r="V22" i="14"/>
  <c r="W22" i="14"/>
  <c r="AZ22" i="14"/>
  <c r="AR22" i="14"/>
  <c r="AV22" i="14"/>
  <c r="AU22" i="14"/>
  <c r="AY22" i="14"/>
  <c r="T22" i="14"/>
  <c r="U104" i="14"/>
  <c r="T21" i="7"/>
  <c r="T33" i="7"/>
  <c r="S49" i="7"/>
  <c r="F87" i="19" s="1"/>
  <c r="T18" i="7"/>
  <c r="T30" i="7"/>
  <c r="T45" i="7"/>
  <c r="T34" i="7"/>
  <c r="T37" i="7"/>
  <c r="T48" i="7"/>
  <c r="T46" i="7"/>
  <c r="C28" i="22"/>
  <c r="B28" i="22"/>
  <c r="L34" i="3"/>
  <c r="H34" i="3"/>
  <c r="M34" i="3"/>
  <c r="O34" i="3"/>
  <c r="K34" i="3"/>
  <c r="G34" i="3"/>
  <c r="I34" i="3"/>
  <c r="N34" i="3"/>
  <c r="J34" i="3"/>
  <c r="U41" i="7"/>
  <c r="S38" i="7"/>
  <c r="F46" i="8" s="1"/>
  <c r="S26" i="7"/>
  <c r="U46" i="7"/>
  <c r="U22" i="7"/>
  <c r="U62" i="7"/>
  <c r="V59" i="7"/>
  <c r="R124" i="1"/>
  <c r="P124" i="1"/>
  <c r="Q124" i="1"/>
  <c r="T351" i="1"/>
  <c r="T353" i="1"/>
  <c r="T355" i="1"/>
  <c r="T357" i="1"/>
  <c r="T359" i="1"/>
  <c r="T361" i="1"/>
  <c r="T363" i="1"/>
  <c r="T365" i="1"/>
  <c r="T367" i="1"/>
  <c r="T370" i="1"/>
  <c r="T371" i="1"/>
  <c r="T373" i="1"/>
  <c r="T375" i="1"/>
  <c r="T377" i="1"/>
  <c r="T379" i="1"/>
  <c r="T381" i="1"/>
  <c r="T383" i="1"/>
  <c r="T350" i="1"/>
  <c r="T352" i="1"/>
  <c r="T354" i="1"/>
  <c r="T356" i="1"/>
  <c r="T358" i="1"/>
  <c r="T474" i="1" s="1"/>
  <c r="T360" i="1"/>
  <c r="T362" i="1"/>
  <c r="T364" i="1"/>
  <c r="T366" i="1"/>
  <c r="T368" i="1"/>
  <c r="T449" i="1"/>
  <c r="T450" i="1"/>
  <c r="U450" i="1" s="1"/>
  <c r="V450" i="1" s="1"/>
  <c r="W450" i="1" s="1"/>
  <c r="X450" i="1" s="1"/>
  <c r="Y450" i="1" s="1"/>
  <c r="Z450" i="1" s="1"/>
  <c r="AA450" i="1" s="1"/>
  <c r="AB450" i="1" s="1"/>
  <c r="T372" i="1"/>
  <c r="T374" i="1"/>
  <c r="T376" i="1"/>
  <c r="T378" i="1"/>
  <c r="T380" i="1"/>
  <c r="T382" i="1"/>
  <c r="T384" i="1"/>
  <c r="N321" i="1"/>
  <c r="AA321" i="1" s="1"/>
  <c r="O321" i="1"/>
  <c r="O322" i="1"/>
  <c r="AB322" i="1" s="1"/>
  <c r="O323" i="1"/>
  <c r="AB323" i="1" s="1"/>
  <c r="O324" i="1"/>
  <c r="AB324" i="1" s="1"/>
  <c r="O325" i="1"/>
  <c r="AB325" i="1" s="1"/>
  <c r="O326" i="1"/>
  <c r="AB326" i="1" s="1"/>
  <c r="O328" i="1"/>
  <c r="AB328" i="1" s="1"/>
  <c r="O329" i="1"/>
  <c r="AB329" i="1" s="1"/>
  <c r="O330" i="1"/>
  <c r="AB330" i="1" s="1"/>
  <c r="O331" i="1"/>
  <c r="AB331" i="1" s="1"/>
  <c r="O332" i="1"/>
  <c r="AB332" i="1" s="1"/>
  <c r="O334" i="1"/>
  <c r="AB334" i="1" s="1"/>
  <c r="O335" i="1"/>
  <c r="AB335" i="1" s="1"/>
  <c r="G336" i="1"/>
  <c r="T336" i="1" s="1"/>
  <c r="H336" i="1"/>
  <c r="I336" i="1"/>
  <c r="J336" i="1"/>
  <c r="K336" i="1"/>
  <c r="L336" i="1"/>
  <c r="M336" i="1"/>
  <c r="N336" i="1"/>
  <c r="O336" i="1"/>
  <c r="G337" i="1"/>
  <c r="T337" i="1" s="1"/>
  <c r="H337" i="1"/>
  <c r="I337" i="1"/>
  <c r="J337" i="1"/>
  <c r="K337" i="1"/>
  <c r="L337" i="1"/>
  <c r="M337" i="1"/>
  <c r="N337" i="1"/>
  <c r="O337" i="1"/>
  <c r="G338" i="1"/>
  <c r="T338" i="1" s="1"/>
  <c r="H338" i="1"/>
  <c r="I338" i="1"/>
  <c r="J338" i="1"/>
  <c r="K338" i="1"/>
  <c r="L338" i="1"/>
  <c r="M338" i="1"/>
  <c r="N338" i="1"/>
  <c r="O338" i="1"/>
  <c r="G340" i="1"/>
  <c r="T340" i="1" s="1"/>
  <c r="H340" i="1"/>
  <c r="I340" i="1"/>
  <c r="J340" i="1"/>
  <c r="K340" i="1"/>
  <c r="L340" i="1"/>
  <c r="M340" i="1"/>
  <c r="N340" i="1"/>
  <c r="O340" i="1"/>
  <c r="G341" i="1"/>
  <c r="T341" i="1" s="1"/>
  <c r="H341" i="1"/>
  <c r="I341" i="1"/>
  <c r="J341" i="1"/>
  <c r="K341" i="1"/>
  <c r="L341" i="1"/>
  <c r="M341" i="1"/>
  <c r="N341" i="1"/>
  <c r="O341" i="1"/>
  <c r="G342" i="1"/>
  <c r="T342" i="1" s="1"/>
  <c r="H342" i="1"/>
  <c r="I342" i="1"/>
  <c r="J342" i="1"/>
  <c r="K342" i="1"/>
  <c r="L342" i="1"/>
  <c r="M342" i="1"/>
  <c r="N342" i="1"/>
  <c r="O342" i="1"/>
  <c r="G343" i="1"/>
  <c r="T343" i="1" s="1"/>
  <c r="H343" i="1"/>
  <c r="I343" i="1"/>
  <c r="J343" i="1"/>
  <c r="K343" i="1"/>
  <c r="L343" i="1"/>
  <c r="M343" i="1"/>
  <c r="N343" i="1"/>
  <c r="O343" i="1"/>
  <c r="F336" i="1"/>
  <c r="F337" i="1"/>
  <c r="F338" i="1"/>
  <c r="F340" i="1"/>
  <c r="F341" i="1"/>
  <c r="F342" i="1"/>
  <c r="F343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277" i="1"/>
  <c r="E236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413" i="1" s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169" i="1"/>
  <c r="E128" i="1"/>
  <c r="T5" i="1" l="1"/>
  <c r="T473" i="1"/>
  <c r="T476" i="1" s="1"/>
  <c r="T478" i="1" s="1"/>
  <c r="D110" i="14"/>
  <c r="E160" i="19"/>
  <c r="E42" i="19"/>
  <c r="E161" i="19" s="1"/>
  <c r="U449" i="1"/>
  <c r="V449" i="1" s="1"/>
  <c r="W449" i="1" s="1"/>
  <c r="X449" i="1" s="1"/>
  <c r="Y449" i="1" s="1"/>
  <c r="Z449" i="1" s="1"/>
  <c r="AA449" i="1" s="1"/>
  <c r="AB449" i="1" s="1"/>
  <c r="U44" i="7"/>
  <c r="V44" i="7"/>
  <c r="U15" i="7"/>
  <c r="U31" i="7"/>
  <c r="U25" i="7"/>
  <c r="U37" i="7"/>
  <c r="S433" i="1"/>
  <c r="S464" i="1"/>
  <c r="L15" i="4"/>
  <c r="P112" i="3"/>
  <c r="Q441" i="1"/>
  <c r="Q446" i="1"/>
  <c r="P441" i="1"/>
  <c r="P446" i="1"/>
  <c r="R441" i="1"/>
  <c r="R446" i="1"/>
  <c r="S389" i="1"/>
  <c r="Q126" i="1"/>
  <c r="D7" i="8" s="1"/>
  <c r="T345" i="1"/>
  <c r="R126" i="1"/>
  <c r="E7" i="8" s="1"/>
  <c r="P126" i="1"/>
  <c r="C7" i="8" s="1"/>
  <c r="F9" i="19"/>
  <c r="F19" i="8"/>
  <c r="K8" i="4"/>
  <c r="H8" i="4"/>
  <c r="U23" i="7"/>
  <c r="U35" i="7"/>
  <c r="J8" i="4"/>
  <c r="F8" i="4"/>
  <c r="E8" i="4"/>
  <c r="L13" i="4"/>
  <c r="L14" i="4"/>
  <c r="I8" i="4"/>
  <c r="M112" i="3" s="1"/>
  <c r="C8" i="4"/>
  <c r="D21" i="32"/>
  <c r="D22" i="32" s="1"/>
  <c r="D23" i="32" s="1"/>
  <c r="D25" i="32" s="1"/>
  <c r="D8" i="4"/>
  <c r="G8" i="4"/>
  <c r="K18" i="14"/>
  <c r="K100" i="14"/>
  <c r="G18" i="14"/>
  <c r="G100" i="14"/>
  <c r="I100" i="14"/>
  <c r="I18" i="14"/>
  <c r="E100" i="14"/>
  <c r="M18" i="14"/>
  <c r="M100" i="14"/>
  <c r="L100" i="14"/>
  <c r="L18" i="14"/>
  <c r="F100" i="14"/>
  <c r="F18" i="14"/>
  <c r="D18" i="14"/>
  <c r="D100" i="14"/>
  <c r="J18" i="14"/>
  <c r="J100" i="14"/>
  <c r="H18" i="14"/>
  <c r="H100" i="14"/>
  <c r="K30" i="14"/>
  <c r="K59" i="14"/>
  <c r="L4" i="14"/>
  <c r="L88" i="14" s="1"/>
  <c r="AF106" i="14"/>
  <c r="E423" i="1"/>
  <c r="Q201" i="1"/>
  <c r="S201" i="1"/>
  <c r="T201" i="1"/>
  <c r="R201" i="1"/>
  <c r="P201" i="1"/>
  <c r="E402" i="1"/>
  <c r="Q180" i="1"/>
  <c r="R180" i="1"/>
  <c r="S180" i="1"/>
  <c r="T180" i="1"/>
  <c r="P180" i="1"/>
  <c r="S313" i="1"/>
  <c r="T313" i="1"/>
  <c r="Q313" i="1"/>
  <c r="P313" i="1"/>
  <c r="R313" i="1"/>
  <c r="R292" i="1"/>
  <c r="S292" i="1"/>
  <c r="Q292" i="1"/>
  <c r="T292" i="1"/>
  <c r="P292" i="1"/>
  <c r="T37" i="1"/>
  <c r="T160" i="1"/>
  <c r="T268" i="1"/>
  <c r="T29" i="1"/>
  <c r="T260" i="1"/>
  <c r="T152" i="1"/>
  <c r="T23" i="1"/>
  <c r="T146" i="1"/>
  <c r="T254" i="1"/>
  <c r="T15" i="1"/>
  <c r="T138" i="1"/>
  <c r="T246" i="1"/>
  <c r="T7" i="1"/>
  <c r="T130" i="1"/>
  <c r="T238" i="1"/>
  <c r="T34" i="1"/>
  <c r="T157" i="1"/>
  <c r="T265" i="1"/>
  <c r="T26" i="1"/>
  <c r="T149" i="1"/>
  <c r="T257" i="1"/>
  <c r="T20" i="1"/>
  <c r="T251" i="1"/>
  <c r="T143" i="1"/>
  <c r="T12" i="1"/>
  <c r="T135" i="1"/>
  <c r="T243" i="1"/>
  <c r="P442" i="1"/>
  <c r="T72" i="1"/>
  <c r="U417" i="1"/>
  <c r="U303" i="1" s="1"/>
  <c r="T59" i="1"/>
  <c r="U404" i="1"/>
  <c r="U290" i="1" s="1"/>
  <c r="T73" i="1"/>
  <c r="U418" i="1"/>
  <c r="U196" i="1" s="1"/>
  <c r="T64" i="1"/>
  <c r="U409" i="1"/>
  <c r="U295" i="1" s="1"/>
  <c r="T60" i="1"/>
  <c r="U405" i="1"/>
  <c r="U291" i="1" s="1"/>
  <c r="T56" i="1"/>
  <c r="U401" i="1"/>
  <c r="U179" i="1" s="1"/>
  <c r="P169" i="1"/>
  <c r="R169" i="1"/>
  <c r="S169" i="1"/>
  <c r="T169" i="1"/>
  <c r="Q169" i="1"/>
  <c r="E419" i="1"/>
  <c r="Q197" i="1"/>
  <c r="R197" i="1"/>
  <c r="S197" i="1"/>
  <c r="T197" i="1"/>
  <c r="P197" i="1"/>
  <c r="E406" i="1"/>
  <c r="Q184" i="1"/>
  <c r="R184" i="1"/>
  <c r="S184" i="1"/>
  <c r="T184" i="1"/>
  <c r="P184" i="1"/>
  <c r="R277" i="1"/>
  <c r="S277" i="1"/>
  <c r="T277" i="1"/>
  <c r="P277" i="1"/>
  <c r="Q277" i="1"/>
  <c r="S305" i="1"/>
  <c r="T305" i="1"/>
  <c r="Q305" i="1"/>
  <c r="R305" i="1"/>
  <c r="P305" i="1"/>
  <c r="R296" i="1"/>
  <c r="S296" i="1"/>
  <c r="Q296" i="1"/>
  <c r="T296" i="1"/>
  <c r="P296" i="1"/>
  <c r="R288" i="1"/>
  <c r="S288" i="1"/>
  <c r="Q288" i="1"/>
  <c r="T288" i="1"/>
  <c r="P288" i="1"/>
  <c r="R280" i="1"/>
  <c r="S280" i="1"/>
  <c r="T280" i="1"/>
  <c r="Q280" i="1"/>
  <c r="P280" i="1"/>
  <c r="E430" i="1"/>
  <c r="T208" i="1"/>
  <c r="Q208" i="1"/>
  <c r="P208" i="1"/>
  <c r="R208" i="1"/>
  <c r="S208" i="1"/>
  <c r="E426" i="1"/>
  <c r="Q204" i="1"/>
  <c r="T204" i="1"/>
  <c r="P204" i="1"/>
  <c r="R204" i="1"/>
  <c r="S204" i="1"/>
  <c r="Q200" i="1"/>
  <c r="E422" i="1"/>
  <c r="R200" i="1"/>
  <c r="T200" i="1"/>
  <c r="P200" i="1"/>
  <c r="S200" i="1"/>
  <c r="E418" i="1"/>
  <c r="Q196" i="1"/>
  <c r="R196" i="1"/>
  <c r="T196" i="1"/>
  <c r="P196" i="1"/>
  <c r="S196" i="1"/>
  <c r="E414" i="1"/>
  <c r="Q192" i="1"/>
  <c r="R192" i="1"/>
  <c r="T192" i="1"/>
  <c r="P192" i="1"/>
  <c r="S192" i="1"/>
  <c r="E409" i="1"/>
  <c r="Q187" i="1"/>
  <c r="R187" i="1"/>
  <c r="T187" i="1"/>
  <c r="P187" i="1"/>
  <c r="S187" i="1"/>
  <c r="Q183" i="1"/>
  <c r="R183" i="1"/>
  <c r="E405" i="1"/>
  <c r="T183" i="1"/>
  <c r="P183" i="1"/>
  <c r="S183" i="1"/>
  <c r="Q179" i="1"/>
  <c r="R179" i="1"/>
  <c r="E401" i="1"/>
  <c r="T179" i="1"/>
  <c r="P179" i="1"/>
  <c r="S179" i="1"/>
  <c r="E397" i="1"/>
  <c r="Q175" i="1"/>
  <c r="R175" i="1"/>
  <c r="T175" i="1"/>
  <c r="P175" i="1"/>
  <c r="S175" i="1"/>
  <c r="E393" i="1"/>
  <c r="Q171" i="1"/>
  <c r="R171" i="1"/>
  <c r="T171" i="1"/>
  <c r="P171" i="1"/>
  <c r="S171" i="1"/>
  <c r="S316" i="1"/>
  <c r="Q316" i="1"/>
  <c r="P316" i="1"/>
  <c r="R316" i="1"/>
  <c r="T316" i="1"/>
  <c r="S312" i="1"/>
  <c r="Q312" i="1"/>
  <c r="P312" i="1"/>
  <c r="R312" i="1"/>
  <c r="T312" i="1"/>
  <c r="S308" i="1"/>
  <c r="T308" i="1"/>
  <c r="P308" i="1"/>
  <c r="Q308" i="1"/>
  <c r="R308" i="1"/>
  <c r="S304" i="1"/>
  <c r="T304" i="1"/>
  <c r="P304" i="1"/>
  <c r="Q304" i="1"/>
  <c r="R304" i="1"/>
  <c r="S300" i="1"/>
  <c r="T300" i="1"/>
  <c r="P300" i="1"/>
  <c r="Q300" i="1"/>
  <c r="R300" i="1"/>
  <c r="R295" i="1"/>
  <c r="S295" i="1"/>
  <c r="Q295" i="1"/>
  <c r="T295" i="1"/>
  <c r="P295" i="1"/>
  <c r="R291" i="1"/>
  <c r="S291" i="1"/>
  <c r="Q291" i="1"/>
  <c r="T291" i="1"/>
  <c r="P291" i="1"/>
  <c r="R287" i="1"/>
  <c r="S287" i="1"/>
  <c r="Q287" i="1"/>
  <c r="T287" i="1"/>
  <c r="P287" i="1"/>
  <c r="R283" i="1"/>
  <c r="S283" i="1"/>
  <c r="T283" i="1"/>
  <c r="Q283" i="1"/>
  <c r="P283" i="1"/>
  <c r="R279" i="1"/>
  <c r="S279" i="1"/>
  <c r="T279" i="1"/>
  <c r="Q279" i="1"/>
  <c r="P279" i="1"/>
  <c r="T35" i="1"/>
  <c r="T158" i="1"/>
  <c r="T266" i="1"/>
  <c r="T27" i="1"/>
  <c r="T150" i="1"/>
  <c r="T258" i="1"/>
  <c r="T21" i="1"/>
  <c r="T144" i="1"/>
  <c r="T252" i="1"/>
  <c r="T13" i="1"/>
  <c r="T244" i="1"/>
  <c r="T136" i="1"/>
  <c r="T32" i="1"/>
  <c r="T155" i="1"/>
  <c r="T263" i="1"/>
  <c r="T25" i="1"/>
  <c r="T256" i="1"/>
  <c r="T148" i="1"/>
  <c r="T18" i="1"/>
  <c r="T141" i="1"/>
  <c r="T249" i="1"/>
  <c r="T10" i="1"/>
  <c r="T133" i="1"/>
  <c r="T241" i="1"/>
  <c r="U427" i="1"/>
  <c r="T82" i="1"/>
  <c r="T78" i="1"/>
  <c r="U423" i="1"/>
  <c r="U309" i="1" s="1"/>
  <c r="U419" i="1"/>
  <c r="T74" i="1"/>
  <c r="U415" i="1"/>
  <c r="T70" i="1"/>
  <c r="U410" i="1"/>
  <c r="U188" i="1" s="1"/>
  <c r="T65" i="1"/>
  <c r="U402" i="1"/>
  <c r="T57" i="1"/>
  <c r="U394" i="1"/>
  <c r="T49" i="1"/>
  <c r="T83" i="1"/>
  <c r="U428" i="1"/>
  <c r="U206" i="1" s="1"/>
  <c r="T79" i="1"/>
  <c r="U424" i="1"/>
  <c r="U202" i="1" s="1"/>
  <c r="T75" i="1"/>
  <c r="U420" i="1"/>
  <c r="U198" i="1" s="1"/>
  <c r="T71" i="1"/>
  <c r="U416" i="1"/>
  <c r="U194" i="1" s="1"/>
  <c r="T66" i="1"/>
  <c r="U411" i="1"/>
  <c r="U297" i="1" s="1"/>
  <c r="T62" i="1"/>
  <c r="U407" i="1"/>
  <c r="U293" i="1" s="1"/>
  <c r="T54" i="1"/>
  <c r="U399" i="1"/>
  <c r="U285" i="1" s="1"/>
  <c r="S87" i="1"/>
  <c r="E427" i="1"/>
  <c r="Q205" i="1"/>
  <c r="S205" i="1"/>
  <c r="T205" i="1"/>
  <c r="R205" i="1"/>
  <c r="P205" i="1"/>
  <c r="E415" i="1"/>
  <c r="Q193" i="1"/>
  <c r="R193" i="1"/>
  <c r="S193" i="1"/>
  <c r="T193" i="1"/>
  <c r="P193" i="1"/>
  <c r="E398" i="1"/>
  <c r="Q176" i="1"/>
  <c r="R176" i="1"/>
  <c r="S176" i="1"/>
  <c r="T176" i="1"/>
  <c r="P176" i="1"/>
  <c r="E394" i="1"/>
  <c r="Q172" i="1"/>
  <c r="R172" i="1"/>
  <c r="S172" i="1"/>
  <c r="T172" i="1"/>
  <c r="P172" i="1"/>
  <c r="S309" i="1"/>
  <c r="T309" i="1"/>
  <c r="Q309" i="1"/>
  <c r="R309" i="1"/>
  <c r="P309" i="1"/>
  <c r="S301" i="1"/>
  <c r="T301" i="1"/>
  <c r="Q301" i="1"/>
  <c r="R301" i="1"/>
  <c r="U301" i="1"/>
  <c r="P301" i="1"/>
  <c r="R284" i="1"/>
  <c r="S284" i="1"/>
  <c r="T284" i="1"/>
  <c r="Q284" i="1"/>
  <c r="P284" i="1"/>
  <c r="E421" i="1"/>
  <c r="Q199" i="1"/>
  <c r="R199" i="1"/>
  <c r="P199" i="1"/>
  <c r="S199" i="1"/>
  <c r="T199" i="1"/>
  <c r="E404" i="1"/>
  <c r="Q182" i="1"/>
  <c r="R182" i="1"/>
  <c r="P182" i="1"/>
  <c r="S182" i="1"/>
  <c r="T182" i="1"/>
  <c r="E392" i="1"/>
  <c r="Q170" i="1"/>
  <c r="R170" i="1"/>
  <c r="S170" i="1"/>
  <c r="T170" i="1"/>
  <c r="S311" i="1"/>
  <c r="Q311" i="1"/>
  <c r="P311" i="1"/>
  <c r="R311" i="1"/>
  <c r="T311" i="1"/>
  <c r="S307" i="1"/>
  <c r="T307" i="1"/>
  <c r="Q307" i="1"/>
  <c r="P307" i="1"/>
  <c r="R307" i="1"/>
  <c r="S303" i="1"/>
  <c r="T303" i="1"/>
  <c r="Q303" i="1"/>
  <c r="P303" i="1"/>
  <c r="R303" i="1"/>
  <c r="S298" i="1"/>
  <c r="T298" i="1"/>
  <c r="Q298" i="1"/>
  <c r="P298" i="1"/>
  <c r="R298" i="1"/>
  <c r="R294" i="1"/>
  <c r="S294" i="1"/>
  <c r="P294" i="1"/>
  <c r="Q294" i="1"/>
  <c r="T294" i="1"/>
  <c r="R290" i="1"/>
  <c r="S290" i="1"/>
  <c r="P290" i="1"/>
  <c r="Q290" i="1"/>
  <c r="T290" i="1"/>
  <c r="R286" i="1"/>
  <c r="S286" i="1"/>
  <c r="P286" i="1"/>
  <c r="Q286" i="1"/>
  <c r="T286" i="1"/>
  <c r="R282" i="1"/>
  <c r="S282" i="1"/>
  <c r="T282" i="1"/>
  <c r="P282" i="1"/>
  <c r="Q282" i="1"/>
  <c r="R278" i="1"/>
  <c r="S278" i="1"/>
  <c r="T278" i="1"/>
  <c r="Q278" i="1"/>
  <c r="P278" i="1"/>
  <c r="T33" i="1"/>
  <c r="T264" i="1"/>
  <c r="T156" i="1"/>
  <c r="T19" i="1"/>
  <c r="T250" i="1"/>
  <c r="T142" i="1"/>
  <c r="T11" i="1"/>
  <c r="T134" i="1"/>
  <c r="T242" i="1"/>
  <c r="T38" i="1"/>
  <c r="T161" i="1"/>
  <c r="T269" i="1"/>
  <c r="T30" i="1"/>
  <c r="T153" i="1"/>
  <c r="T261" i="1"/>
  <c r="T16" i="1"/>
  <c r="T247" i="1"/>
  <c r="T139" i="1"/>
  <c r="T8" i="1"/>
  <c r="T239" i="1"/>
  <c r="T131" i="1"/>
  <c r="R442" i="1"/>
  <c r="U406" i="1"/>
  <c r="U292" i="1" s="1"/>
  <c r="T61" i="1"/>
  <c r="T53" i="1"/>
  <c r="U398" i="1"/>
  <c r="T58" i="1"/>
  <c r="U403" i="1"/>
  <c r="U289" i="1" s="1"/>
  <c r="T50" i="1"/>
  <c r="U395" i="1"/>
  <c r="U173" i="1" s="1"/>
  <c r="T46" i="1"/>
  <c r="U391" i="1"/>
  <c r="E410" i="1"/>
  <c r="Q188" i="1"/>
  <c r="R188" i="1"/>
  <c r="S188" i="1"/>
  <c r="T188" i="1"/>
  <c r="P188" i="1"/>
  <c r="E429" i="1"/>
  <c r="T207" i="1"/>
  <c r="P207" i="1"/>
  <c r="Q207" i="1"/>
  <c r="R207" i="1"/>
  <c r="S207" i="1"/>
  <c r="E425" i="1"/>
  <c r="Q203" i="1"/>
  <c r="P203" i="1"/>
  <c r="R203" i="1"/>
  <c r="S203" i="1"/>
  <c r="T203" i="1"/>
  <c r="E417" i="1"/>
  <c r="Q195" i="1"/>
  <c r="R195" i="1"/>
  <c r="P195" i="1"/>
  <c r="S195" i="1"/>
  <c r="T195" i="1"/>
  <c r="E412" i="1"/>
  <c r="Q190" i="1"/>
  <c r="R190" i="1"/>
  <c r="P190" i="1"/>
  <c r="S190" i="1"/>
  <c r="T190" i="1"/>
  <c r="E408" i="1"/>
  <c r="Q186" i="1"/>
  <c r="R186" i="1"/>
  <c r="P186" i="1"/>
  <c r="S186" i="1"/>
  <c r="T186" i="1"/>
  <c r="E400" i="1"/>
  <c r="Q178" i="1"/>
  <c r="R178" i="1"/>
  <c r="P178" i="1"/>
  <c r="S178" i="1"/>
  <c r="T178" i="1"/>
  <c r="E396" i="1"/>
  <c r="Q174" i="1"/>
  <c r="R174" i="1"/>
  <c r="P174" i="1"/>
  <c r="S174" i="1"/>
  <c r="T174" i="1"/>
  <c r="S315" i="1"/>
  <c r="Q315" i="1"/>
  <c r="P315" i="1"/>
  <c r="R315" i="1"/>
  <c r="T315" i="1"/>
  <c r="E350" i="1"/>
  <c r="T128" i="1"/>
  <c r="Q128" i="1"/>
  <c r="R128" i="1"/>
  <c r="S128" i="1"/>
  <c r="P128" i="1"/>
  <c r="E428" i="1"/>
  <c r="Q206" i="1"/>
  <c r="R206" i="1"/>
  <c r="S206" i="1"/>
  <c r="T206" i="1"/>
  <c r="P206" i="1"/>
  <c r="E424" i="1"/>
  <c r="Q202" i="1"/>
  <c r="R202" i="1"/>
  <c r="S202" i="1"/>
  <c r="T202" i="1"/>
  <c r="P202" i="1"/>
  <c r="E420" i="1"/>
  <c r="Q198" i="1"/>
  <c r="R198" i="1"/>
  <c r="T198" i="1"/>
  <c r="P198" i="1"/>
  <c r="S198" i="1"/>
  <c r="E416" i="1"/>
  <c r="Q194" i="1"/>
  <c r="R194" i="1"/>
  <c r="T194" i="1"/>
  <c r="P194" i="1"/>
  <c r="S194" i="1"/>
  <c r="E411" i="1"/>
  <c r="Q189" i="1"/>
  <c r="R189" i="1"/>
  <c r="T189" i="1"/>
  <c r="P189" i="1"/>
  <c r="S189" i="1"/>
  <c r="E407" i="1"/>
  <c r="Q185" i="1"/>
  <c r="R185" i="1"/>
  <c r="T185" i="1"/>
  <c r="P185" i="1"/>
  <c r="S185" i="1"/>
  <c r="E403" i="1"/>
  <c r="Q181" i="1"/>
  <c r="R181" i="1"/>
  <c r="T181" i="1"/>
  <c r="P181" i="1"/>
  <c r="S181" i="1"/>
  <c r="E399" i="1"/>
  <c r="Q177" i="1"/>
  <c r="R177" i="1"/>
  <c r="T177" i="1"/>
  <c r="P177" i="1"/>
  <c r="S177" i="1"/>
  <c r="E395" i="1"/>
  <c r="Q173" i="1"/>
  <c r="R173" i="1"/>
  <c r="T173" i="1"/>
  <c r="S173" i="1"/>
  <c r="P173" i="1"/>
  <c r="S236" i="1"/>
  <c r="R236" i="1"/>
  <c r="T236" i="1"/>
  <c r="Q236" i="1"/>
  <c r="P236" i="1"/>
  <c r="P274" i="1" s="1"/>
  <c r="S314" i="1"/>
  <c r="R314" i="1"/>
  <c r="T314" i="1"/>
  <c r="P314" i="1"/>
  <c r="Q314" i="1"/>
  <c r="S310" i="1"/>
  <c r="R310" i="1"/>
  <c r="T310" i="1"/>
  <c r="Q310" i="1"/>
  <c r="P310" i="1"/>
  <c r="S306" i="1"/>
  <c r="T306" i="1"/>
  <c r="Q306" i="1"/>
  <c r="R306" i="1"/>
  <c r="P306" i="1"/>
  <c r="S302" i="1"/>
  <c r="T302" i="1"/>
  <c r="Q302" i="1"/>
  <c r="R302" i="1"/>
  <c r="P302" i="1"/>
  <c r="R297" i="1"/>
  <c r="S297" i="1"/>
  <c r="Q297" i="1"/>
  <c r="T297" i="1"/>
  <c r="P297" i="1"/>
  <c r="R293" i="1"/>
  <c r="S293" i="1"/>
  <c r="Q293" i="1"/>
  <c r="T293" i="1"/>
  <c r="P293" i="1"/>
  <c r="R289" i="1"/>
  <c r="S289" i="1"/>
  <c r="Q289" i="1"/>
  <c r="T289" i="1"/>
  <c r="P289" i="1"/>
  <c r="R285" i="1"/>
  <c r="S285" i="1"/>
  <c r="Q285" i="1"/>
  <c r="T285" i="1"/>
  <c r="P285" i="1"/>
  <c r="R281" i="1"/>
  <c r="S281" i="1"/>
  <c r="T281" i="1"/>
  <c r="Q281" i="1"/>
  <c r="P281" i="1"/>
  <c r="U342" i="1"/>
  <c r="V342" i="1" s="1"/>
  <c r="W342" i="1" s="1"/>
  <c r="X342" i="1" s="1"/>
  <c r="Y342" i="1" s="1"/>
  <c r="Z342" i="1" s="1"/>
  <c r="AA342" i="1" s="1"/>
  <c r="AB342" i="1" s="1"/>
  <c r="U337" i="1"/>
  <c r="V337" i="1" s="1"/>
  <c r="W337" i="1" s="1"/>
  <c r="X337" i="1" s="1"/>
  <c r="Y337" i="1" s="1"/>
  <c r="Z337" i="1" s="1"/>
  <c r="AA337" i="1" s="1"/>
  <c r="AB337" i="1" s="1"/>
  <c r="T39" i="1"/>
  <c r="T162" i="1"/>
  <c r="T270" i="1"/>
  <c r="T31" i="1"/>
  <c r="T154" i="1"/>
  <c r="T262" i="1"/>
  <c r="T17" i="1"/>
  <c r="T248" i="1"/>
  <c r="T140" i="1"/>
  <c r="T9" i="1"/>
  <c r="T240" i="1"/>
  <c r="T132" i="1"/>
  <c r="T36" i="1"/>
  <c r="T159" i="1"/>
  <c r="T267" i="1"/>
  <c r="T28" i="1"/>
  <c r="T151" i="1"/>
  <c r="T259" i="1"/>
  <c r="T22" i="1"/>
  <c r="T253" i="1"/>
  <c r="T145" i="1"/>
  <c r="T14" i="1"/>
  <c r="T137" i="1"/>
  <c r="T245" i="1"/>
  <c r="T6" i="1"/>
  <c r="T237" i="1"/>
  <c r="T129" i="1"/>
  <c r="Q442" i="1"/>
  <c r="T84" i="1"/>
  <c r="U429" i="1"/>
  <c r="U207" i="1" s="1"/>
  <c r="T80" i="1"/>
  <c r="U425" i="1"/>
  <c r="T76" i="1"/>
  <c r="U421" i="1"/>
  <c r="T67" i="1"/>
  <c r="U412" i="1"/>
  <c r="U298" i="1" s="1"/>
  <c r="T63" i="1"/>
  <c r="U408" i="1"/>
  <c r="U294" i="1" s="1"/>
  <c r="T55" i="1"/>
  <c r="U400" i="1"/>
  <c r="T51" i="1"/>
  <c r="U396" i="1"/>
  <c r="U174" i="1" s="1"/>
  <c r="T47" i="1"/>
  <c r="U392" i="1"/>
  <c r="T85" i="1"/>
  <c r="U430" i="1"/>
  <c r="U208" i="1" s="1"/>
  <c r="T81" i="1"/>
  <c r="U426" i="1"/>
  <c r="T77" i="1"/>
  <c r="U422" i="1"/>
  <c r="U200" i="1" s="1"/>
  <c r="T69" i="1"/>
  <c r="U414" i="1"/>
  <c r="U192" i="1" s="1"/>
  <c r="T52" i="1"/>
  <c r="U397" i="1"/>
  <c r="U175" i="1" s="1"/>
  <c r="T48" i="1"/>
  <c r="U393" i="1"/>
  <c r="V393" i="1" s="1"/>
  <c r="U341" i="1"/>
  <c r="V341" i="1" s="1"/>
  <c r="W341" i="1" s="1"/>
  <c r="X341" i="1" s="1"/>
  <c r="Y341" i="1" s="1"/>
  <c r="Z341" i="1" s="1"/>
  <c r="AA341" i="1" s="1"/>
  <c r="AB341" i="1" s="1"/>
  <c r="U336" i="1"/>
  <c r="U340" i="1"/>
  <c r="V340" i="1" s="1"/>
  <c r="W340" i="1" s="1"/>
  <c r="X340" i="1" s="1"/>
  <c r="Y340" i="1" s="1"/>
  <c r="Z340" i="1" s="1"/>
  <c r="AA340" i="1" s="1"/>
  <c r="AB340" i="1" s="1"/>
  <c r="U343" i="1"/>
  <c r="V343" i="1" s="1"/>
  <c r="W343" i="1" s="1"/>
  <c r="X343" i="1" s="1"/>
  <c r="Y343" i="1" s="1"/>
  <c r="Z343" i="1" s="1"/>
  <c r="AA343" i="1" s="1"/>
  <c r="AB343" i="1" s="1"/>
  <c r="U338" i="1"/>
  <c r="V338" i="1" s="1"/>
  <c r="W338" i="1" s="1"/>
  <c r="X338" i="1" s="1"/>
  <c r="Y338" i="1" s="1"/>
  <c r="Z338" i="1" s="1"/>
  <c r="AA338" i="1" s="1"/>
  <c r="AB338" i="1" s="1"/>
  <c r="AB321" i="1"/>
  <c r="E391" i="1"/>
  <c r="T432" i="1"/>
  <c r="T433" i="1" s="1"/>
  <c r="U378" i="1"/>
  <c r="U364" i="1"/>
  <c r="U356" i="1"/>
  <c r="U383" i="1"/>
  <c r="U375" i="1"/>
  <c r="U361" i="1"/>
  <c r="U353" i="1"/>
  <c r="U8" i="1" s="1"/>
  <c r="U384" i="1"/>
  <c r="U376" i="1"/>
  <c r="U362" i="1"/>
  <c r="U354" i="1"/>
  <c r="U381" i="1"/>
  <c r="U373" i="1"/>
  <c r="U367" i="1"/>
  <c r="U359" i="1"/>
  <c r="U351" i="1"/>
  <c r="U382" i="1"/>
  <c r="U374" i="1"/>
  <c r="U368" i="1"/>
  <c r="U360" i="1"/>
  <c r="U352" i="1"/>
  <c r="U379" i="1"/>
  <c r="U371" i="1"/>
  <c r="U365" i="1"/>
  <c r="U357" i="1"/>
  <c r="U380" i="1"/>
  <c r="U372" i="1"/>
  <c r="U366" i="1"/>
  <c r="U358" i="1"/>
  <c r="U377" i="1"/>
  <c r="U370" i="1"/>
  <c r="U363" i="1"/>
  <c r="U355" i="1"/>
  <c r="F48" i="19"/>
  <c r="U42" i="7"/>
  <c r="U19" i="7"/>
  <c r="U32" i="7"/>
  <c r="U43" i="7"/>
  <c r="U20" i="7"/>
  <c r="S106" i="14"/>
  <c r="AL106" i="14"/>
  <c r="AI106" i="14"/>
  <c r="Q106" i="14"/>
  <c r="AG24" i="14"/>
  <c r="AG108" i="14" s="1"/>
  <c r="AT106" i="14"/>
  <c r="AQ106" i="14"/>
  <c r="P106" i="14"/>
  <c r="AJ106" i="14"/>
  <c r="AH106" i="14"/>
  <c r="R24" i="14"/>
  <c r="R108" i="14" s="1"/>
  <c r="AB24" i="14"/>
  <c r="AB108" i="14" s="1"/>
  <c r="AE24" i="14"/>
  <c r="AE108" i="14" s="1"/>
  <c r="AV24" i="14"/>
  <c r="AV108" i="14" s="1"/>
  <c r="AV106" i="14"/>
  <c r="O24" i="14"/>
  <c r="O108" i="14" s="1"/>
  <c r="O106" i="14"/>
  <c r="U24" i="14"/>
  <c r="U108" i="14" s="1"/>
  <c r="U106" i="14"/>
  <c r="AP24" i="14"/>
  <c r="AP108" i="14" s="1"/>
  <c r="AP106" i="14"/>
  <c r="AU24" i="14"/>
  <c r="AU108" i="14" s="1"/>
  <c r="AU106" i="14"/>
  <c r="W24" i="14"/>
  <c r="W108" i="14" s="1"/>
  <c r="W106" i="14"/>
  <c r="AA24" i="14"/>
  <c r="AA108" i="14" s="1"/>
  <c r="AA106" i="14"/>
  <c r="AD24" i="14"/>
  <c r="AD108" i="14" s="1"/>
  <c r="AD106" i="14"/>
  <c r="AW24" i="14"/>
  <c r="AW108" i="14" s="1"/>
  <c r="AW106" i="14"/>
  <c r="Y24" i="14"/>
  <c r="Y108" i="14" s="1"/>
  <c r="Y106" i="14"/>
  <c r="BA24" i="14"/>
  <c r="BA108" i="14" s="1"/>
  <c r="BA106" i="14"/>
  <c r="AC24" i="14"/>
  <c r="AC108" i="14" s="1"/>
  <c r="AC106" i="14"/>
  <c r="T24" i="14"/>
  <c r="T108" i="14" s="1"/>
  <c r="T106" i="14"/>
  <c r="AR24" i="14"/>
  <c r="AR108" i="14" s="1"/>
  <c r="AR106" i="14"/>
  <c r="AM24" i="14"/>
  <c r="AM108" i="14" s="1"/>
  <c r="AM106" i="14"/>
  <c r="BB24" i="14"/>
  <c r="BB108" i="14" s="1"/>
  <c r="BB106" i="14"/>
  <c r="Z24" i="14"/>
  <c r="Z108" i="14" s="1"/>
  <c r="Z106" i="14"/>
  <c r="AS24" i="14"/>
  <c r="AS108" i="14" s="1"/>
  <c r="AS106" i="14"/>
  <c r="V24" i="14"/>
  <c r="V108" i="14" s="1"/>
  <c r="V106" i="14"/>
  <c r="AY24" i="14"/>
  <c r="AY108" i="14" s="1"/>
  <c r="AY106" i="14"/>
  <c r="AZ24" i="14"/>
  <c r="AZ108" i="14" s="1"/>
  <c r="AZ106" i="14"/>
  <c r="AN24" i="14"/>
  <c r="AN108" i="14" s="1"/>
  <c r="AN106" i="14"/>
  <c r="AX24" i="14"/>
  <c r="AX108" i="14" s="1"/>
  <c r="AX106" i="14"/>
  <c r="AK24" i="14"/>
  <c r="AK108" i="14" s="1"/>
  <c r="AK106" i="14"/>
  <c r="X24" i="14"/>
  <c r="X108" i="14" s="1"/>
  <c r="X106" i="14"/>
  <c r="AO24" i="14"/>
  <c r="AO108" i="14" s="1"/>
  <c r="AO106" i="14"/>
  <c r="F73" i="8"/>
  <c r="U18" i="7"/>
  <c r="U30" i="7"/>
  <c r="U21" i="7"/>
  <c r="U33" i="7"/>
  <c r="T49" i="7"/>
  <c r="G87" i="19" s="1"/>
  <c r="U34" i="7"/>
  <c r="U45" i="7"/>
  <c r="V25" i="7"/>
  <c r="U48" i="7"/>
  <c r="B29" i="22"/>
  <c r="C29" i="22"/>
  <c r="T38" i="7"/>
  <c r="G46" i="8" s="1"/>
  <c r="T26" i="7"/>
  <c r="V22" i="7"/>
  <c r="V46" i="7"/>
  <c r="V54" i="7"/>
  <c r="V62" i="7"/>
  <c r="W59" i="7"/>
  <c r="S124" i="1"/>
  <c r="S441" i="1" s="1"/>
  <c r="P170" i="1"/>
  <c r="U350" i="1"/>
  <c r="U5" i="1" s="1"/>
  <c r="O105" i="3"/>
  <c r="N105" i="3"/>
  <c r="M105" i="3"/>
  <c r="L105" i="3"/>
  <c r="K105" i="3"/>
  <c r="J105" i="3"/>
  <c r="I105" i="3"/>
  <c r="H105" i="3"/>
  <c r="G105" i="3"/>
  <c r="F105" i="3"/>
  <c r="P95" i="3"/>
  <c r="P96" i="3" s="1"/>
  <c r="M65" i="14" s="1"/>
  <c r="O95" i="3"/>
  <c r="O96" i="3" s="1"/>
  <c r="N95" i="3"/>
  <c r="N96" i="3" s="1"/>
  <c r="M95" i="3"/>
  <c r="M96" i="3" s="1"/>
  <c r="L95" i="3"/>
  <c r="L96" i="3" s="1"/>
  <c r="K95" i="3"/>
  <c r="K96" i="3" s="1"/>
  <c r="J95" i="3"/>
  <c r="J96" i="3" s="1"/>
  <c r="I95" i="3"/>
  <c r="I96" i="3" s="1"/>
  <c r="H95" i="3"/>
  <c r="H96" i="3" s="1"/>
  <c r="G95" i="3"/>
  <c r="F95" i="3"/>
  <c r="F96" i="3" s="1"/>
  <c r="S43" i="1"/>
  <c r="N21" i="11"/>
  <c r="U345" i="1" l="1"/>
  <c r="U432" i="1"/>
  <c r="U433" i="1" s="1"/>
  <c r="U26" i="7"/>
  <c r="U49" i="7"/>
  <c r="U38" i="7"/>
  <c r="C8" i="8"/>
  <c r="E8" i="8"/>
  <c r="D8" i="8"/>
  <c r="E114" i="16"/>
  <c r="F65" i="14"/>
  <c r="P114" i="16"/>
  <c r="J65" i="14"/>
  <c r="O114" i="16"/>
  <c r="I65" i="14"/>
  <c r="F114" i="16"/>
  <c r="G65" i="14"/>
  <c r="Q114" i="16"/>
  <c r="K65" i="14"/>
  <c r="G114" i="16"/>
  <c r="H65" i="14"/>
  <c r="R114" i="16"/>
  <c r="L65" i="14"/>
  <c r="D114" i="16"/>
  <c r="E65" i="14"/>
  <c r="F124" i="19"/>
  <c r="E15" i="4"/>
  <c r="I112" i="3"/>
  <c r="F15" i="4"/>
  <c r="J112" i="3"/>
  <c r="H15" i="4"/>
  <c r="L112" i="3"/>
  <c r="C15" i="4"/>
  <c r="G112" i="3"/>
  <c r="G14" i="4"/>
  <c r="K112" i="3"/>
  <c r="D15" i="4"/>
  <c r="H112" i="3"/>
  <c r="J15" i="4"/>
  <c r="N112" i="3"/>
  <c r="K15" i="4"/>
  <c r="O112" i="3"/>
  <c r="G96" i="3"/>
  <c r="S467" i="1"/>
  <c r="R127" i="1"/>
  <c r="Q127" i="1"/>
  <c r="S446" i="1"/>
  <c r="N78" i="14"/>
  <c r="S114" i="16"/>
  <c r="H14" i="4"/>
  <c r="H13" i="4"/>
  <c r="S126" i="1"/>
  <c r="S127" i="1" s="1"/>
  <c r="U187" i="1"/>
  <c r="U183" i="1"/>
  <c r="U310" i="1"/>
  <c r="U195" i="1"/>
  <c r="G9" i="19"/>
  <c r="G19" i="8"/>
  <c r="U304" i="1"/>
  <c r="S442" i="1"/>
  <c r="S466" i="1" s="1"/>
  <c r="T443" i="1"/>
  <c r="L102" i="14"/>
  <c r="H102" i="14"/>
  <c r="D102" i="14"/>
  <c r="E102" i="14"/>
  <c r="G102" i="14"/>
  <c r="F102" i="14"/>
  <c r="I102" i="14"/>
  <c r="J102" i="14"/>
  <c r="M102" i="14"/>
  <c r="K102" i="14"/>
  <c r="K14" i="4"/>
  <c r="K13" i="4"/>
  <c r="U185" i="1"/>
  <c r="U281" i="1"/>
  <c r="U302" i="1"/>
  <c r="V23" i="7"/>
  <c r="V35" i="7"/>
  <c r="J14" i="4"/>
  <c r="J13" i="4"/>
  <c r="D14" i="4"/>
  <c r="E14" i="4"/>
  <c r="E13" i="4"/>
  <c r="D13" i="4"/>
  <c r="I15" i="4"/>
  <c r="I13" i="4"/>
  <c r="C14" i="4"/>
  <c r="G15" i="4"/>
  <c r="G13" i="4"/>
  <c r="C13" i="4"/>
  <c r="F14" i="4"/>
  <c r="F13" i="4"/>
  <c r="I14" i="4"/>
  <c r="T442" i="1"/>
  <c r="U181" i="1"/>
  <c r="U314" i="1"/>
  <c r="U177" i="1"/>
  <c r="U306" i="1"/>
  <c r="U189" i="1"/>
  <c r="U182" i="1"/>
  <c r="U287" i="1"/>
  <c r="L30" i="14"/>
  <c r="L59" i="14"/>
  <c r="M4" i="14"/>
  <c r="M88" i="14" s="1"/>
  <c r="U21" i="1"/>
  <c r="U252" i="1"/>
  <c r="U144" i="1"/>
  <c r="U15" i="1"/>
  <c r="U138" i="1"/>
  <c r="U246" i="1"/>
  <c r="U39" i="1"/>
  <c r="U162" i="1"/>
  <c r="U270" i="1"/>
  <c r="U47" i="1"/>
  <c r="V392" i="1"/>
  <c r="U80" i="1"/>
  <c r="V425" i="1"/>
  <c r="U50" i="1"/>
  <c r="V395" i="1"/>
  <c r="U53" i="1"/>
  <c r="V398" i="1"/>
  <c r="U282" i="1"/>
  <c r="U284" i="1"/>
  <c r="U49" i="1"/>
  <c r="V394" i="1"/>
  <c r="V410" i="1"/>
  <c r="U65" i="1"/>
  <c r="V419" i="1"/>
  <c r="U74" i="1"/>
  <c r="V427" i="1"/>
  <c r="U82" i="1"/>
  <c r="U283" i="1"/>
  <c r="U300" i="1"/>
  <c r="U305" i="1"/>
  <c r="U18" i="1"/>
  <c r="U141" i="1"/>
  <c r="U249" i="1"/>
  <c r="U6" i="1"/>
  <c r="U129" i="1"/>
  <c r="U237" i="1"/>
  <c r="U33" i="1"/>
  <c r="U156" i="1"/>
  <c r="U264" i="1"/>
  <c r="U81" i="1"/>
  <c r="V426" i="1"/>
  <c r="U25" i="1"/>
  <c r="U256" i="1"/>
  <c r="U148" i="1"/>
  <c r="U27" i="1"/>
  <c r="U150" i="1"/>
  <c r="U258" i="1"/>
  <c r="U26" i="1"/>
  <c r="U149" i="1"/>
  <c r="U257" i="1"/>
  <c r="U23" i="1"/>
  <c r="U254" i="1"/>
  <c r="U146" i="1"/>
  <c r="U14" i="1"/>
  <c r="U137" i="1"/>
  <c r="U245" i="1"/>
  <c r="U9" i="1"/>
  <c r="U240" i="1"/>
  <c r="U132" i="1"/>
  <c r="U131" i="1"/>
  <c r="U239" i="1"/>
  <c r="U38" i="1"/>
  <c r="U269" i="1"/>
  <c r="U161" i="1"/>
  <c r="U236" i="1"/>
  <c r="U186" i="1"/>
  <c r="U176" i="1"/>
  <c r="U205" i="1"/>
  <c r="U54" i="1"/>
  <c r="V399" i="1"/>
  <c r="U66" i="1"/>
  <c r="V411" i="1"/>
  <c r="U75" i="1"/>
  <c r="V420" i="1"/>
  <c r="U83" i="1"/>
  <c r="V428" i="1"/>
  <c r="U78" i="1"/>
  <c r="V423" i="1"/>
  <c r="U316" i="1"/>
  <c r="U280" i="1"/>
  <c r="U197" i="1"/>
  <c r="V401" i="1"/>
  <c r="U56" i="1"/>
  <c r="V409" i="1"/>
  <c r="U64" i="1"/>
  <c r="U59" i="1"/>
  <c r="V404" i="1"/>
  <c r="U201" i="1"/>
  <c r="U20" i="1"/>
  <c r="U251" i="1"/>
  <c r="U143" i="1"/>
  <c r="U36" i="1"/>
  <c r="U159" i="1"/>
  <c r="U267" i="1"/>
  <c r="U30" i="1"/>
  <c r="U153" i="1"/>
  <c r="U261" i="1"/>
  <c r="U48" i="1"/>
  <c r="U55" i="1"/>
  <c r="V400" i="1"/>
  <c r="U32" i="1"/>
  <c r="U155" i="1"/>
  <c r="U263" i="1"/>
  <c r="U34" i="1"/>
  <c r="U157" i="1"/>
  <c r="U265" i="1"/>
  <c r="U29" i="1"/>
  <c r="U260" i="1"/>
  <c r="U152" i="1"/>
  <c r="U22" i="1"/>
  <c r="U145" i="1"/>
  <c r="U253" i="1"/>
  <c r="U16" i="1"/>
  <c r="U139" i="1"/>
  <c r="U247" i="1"/>
  <c r="U11" i="1"/>
  <c r="U242" i="1"/>
  <c r="U134" i="1"/>
  <c r="V397" i="1"/>
  <c r="U52" i="1"/>
  <c r="U77" i="1"/>
  <c r="V422" i="1"/>
  <c r="V430" i="1"/>
  <c r="U85" i="1"/>
  <c r="U51" i="1"/>
  <c r="V396" i="1"/>
  <c r="U63" i="1"/>
  <c r="V408" i="1"/>
  <c r="V421" i="1"/>
  <c r="U76" i="1"/>
  <c r="V429" i="1"/>
  <c r="U84" i="1"/>
  <c r="U315" i="1"/>
  <c r="U46" i="1"/>
  <c r="V391" i="1"/>
  <c r="U58" i="1"/>
  <c r="V403" i="1"/>
  <c r="U170" i="1"/>
  <c r="U199" i="1"/>
  <c r="V402" i="1"/>
  <c r="U57" i="1"/>
  <c r="V415" i="1"/>
  <c r="U70" i="1"/>
  <c r="U279" i="1"/>
  <c r="U308" i="1"/>
  <c r="U312" i="1"/>
  <c r="U171" i="1"/>
  <c r="U204" i="1"/>
  <c r="U288" i="1"/>
  <c r="U277" i="1"/>
  <c r="U169" i="1"/>
  <c r="U313" i="1"/>
  <c r="V414" i="1"/>
  <c r="U69" i="1"/>
  <c r="U67" i="1"/>
  <c r="V412" i="1"/>
  <c r="U35" i="1"/>
  <c r="U158" i="1"/>
  <c r="U266" i="1"/>
  <c r="U17" i="1"/>
  <c r="U248" i="1"/>
  <c r="U140" i="1"/>
  <c r="U10" i="1"/>
  <c r="U133" i="1"/>
  <c r="U241" i="1"/>
  <c r="U13" i="1"/>
  <c r="U136" i="1"/>
  <c r="U244" i="1"/>
  <c r="U12" i="1"/>
  <c r="U135" i="1"/>
  <c r="U243" i="1"/>
  <c r="U7" i="1"/>
  <c r="U238" i="1"/>
  <c r="U130" i="1"/>
  <c r="U37" i="1"/>
  <c r="U160" i="1"/>
  <c r="U268" i="1"/>
  <c r="U28" i="1"/>
  <c r="U151" i="1"/>
  <c r="U259" i="1"/>
  <c r="U31" i="1"/>
  <c r="U154" i="1"/>
  <c r="U262" i="1"/>
  <c r="U19" i="1"/>
  <c r="U142" i="1"/>
  <c r="U250" i="1"/>
  <c r="U128" i="1"/>
  <c r="U178" i="1"/>
  <c r="U190" i="1"/>
  <c r="U203" i="1"/>
  <c r="T87" i="1"/>
  <c r="V406" i="1"/>
  <c r="U61" i="1"/>
  <c r="U278" i="1"/>
  <c r="U286" i="1"/>
  <c r="U307" i="1"/>
  <c r="U311" i="1"/>
  <c r="U172" i="1"/>
  <c r="U193" i="1"/>
  <c r="U62" i="1"/>
  <c r="V407" i="1"/>
  <c r="V416" i="1"/>
  <c r="U71" i="1"/>
  <c r="U79" i="1"/>
  <c r="V424" i="1"/>
  <c r="U296" i="1"/>
  <c r="U184" i="1"/>
  <c r="U60" i="1"/>
  <c r="V405" i="1"/>
  <c r="V418" i="1"/>
  <c r="W418" i="1" s="1"/>
  <c r="U73" i="1"/>
  <c r="U72" i="1"/>
  <c r="V417" i="1"/>
  <c r="U180" i="1"/>
  <c r="R274" i="1"/>
  <c r="Q274" i="1"/>
  <c r="V336" i="1"/>
  <c r="V345" i="1" s="1"/>
  <c r="Q166" i="1"/>
  <c r="P166" i="1"/>
  <c r="P439" i="1" s="1"/>
  <c r="R166" i="1"/>
  <c r="Q318" i="1"/>
  <c r="Q210" i="1"/>
  <c r="R318" i="1"/>
  <c r="P210" i="1"/>
  <c r="P318" i="1"/>
  <c r="P347" i="1" s="1"/>
  <c r="C61" i="8" s="1"/>
  <c r="C62" i="8" s="1"/>
  <c r="R210" i="1"/>
  <c r="V355" i="1"/>
  <c r="V370" i="1"/>
  <c r="V358" i="1"/>
  <c r="V372" i="1"/>
  <c r="V357" i="1"/>
  <c r="V371" i="1"/>
  <c r="V352" i="1"/>
  <c r="V368" i="1"/>
  <c r="V382" i="1"/>
  <c r="V359" i="1"/>
  <c r="V373" i="1"/>
  <c r="V354" i="1"/>
  <c r="V376" i="1"/>
  <c r="V353" i="1"/>
  <c r="V383" i="1"/>
  <c r="V364" i="1"/>
  <c r="V363" i="1"/>
  <c r="V377" i="1"/>
  <c r="V366" i="1"/>
  <c r="V380" i="1"/>
  <c r="V365" i="1"/>
  <c r="V379" i="1"/>
  <c r="V360" i="1"/>
  <c r="V374" i="1"/>
  <c r="V351" i="1"/>
  <c r="V367" i="1"/>
  <c r="V381" i="1"/>
  <c r="V362" i="1"/>
  <c r="V384" i="1"/>
  <c r="V361" i="1"/>
  <c r="V375" i="1"/>
  <c r="V356" i="1"/>
  <c r="V378" i="1"/>
  <c r="V30" i="7"/>
  <c r="V41" i="7"/>
  <c r="V20" i="7"/>
  <c r="V32" i="7"/>
  <c r="V43" i="7"/>
  <c r="V19" i="7"/>
  <c r="V31" i="7"/>
  <c r="V42" i="7"/>
  <c r="G73" i="8"/>
  <c r="V21" i="7"/>
  <c r="V33" i="7"/>
  <c r="W41" i="7"/>
  <c r="V18" i="7"/>
  <c r="H46" i="8"/>
  <c r="V45" i="7"/>
  <c r="V34" i="7"/>
  <c r="W25" i="7"/>
  <c r="V48" i="7"/>
  <c r="V37" i="7"/>
  <c r="B30" i="22"/>
  <c r="C30" i="22"/>
  <c r="G48" i="19"/>
  <c r="L65" i="8"/>
  <c r="M65" i="8"/>
  <c r="W44" i="7"/>
  <c r="W46" i="7"/>
  <c r="W22" i="7"/>
  <c r="X59" i="7"/>
  <c r="W62" i="7"/>
  <c r="W54" i="7"/>
  <c r="S210" i="1"/>
  <c r="S318" i="1"/>
  <c r="S274" i="1"/>
  <c r="S166" i="1"/>
  <c r="T124" i="1"/>
  <c r="V350" i="1"/>
  <c r="O65" i="8"/>
  <c r="U210" i="1" l="1"/>
  <c r="U318" i="1"/>
  <c r="U87" i="1"/>
  <c r="C114" i="16"/>
  <c r="D65" i="14"/>
  <c r="G124" i="19"/>
  <c r="H9" i="19"/>
  <c r="H19" i="8"/>
  <c r="S234" i="1"/>
  <c r="Q347" i="1"/>
  <c r="D61" i="8" s="1"/>
  <c r="D62" i="8" s="1"/>
  <c r="P234" i="1"/>
  <c r="C34" i="8" s="1"/>
  <c r="U442" i="1"/>
  <c r="R347" i="1"/>
  <c r="E61" i="8" s="1"/>
  <c r="E62" i="8" s="1"/>
  <c r="R234" i="1"/>
  <c r="E34" i="8" s="1"/>
  <c r="Q234" i="1"/>
  <c r="D34" i="8" s="1"/>
  <c r="S347" i="1"/>
  <c r="U443" i="1"/>
  <c r="N80" i="14"/>
  <c r="N82" i="14" s="1"/>
  <c r="W23" i="7"/>
  <c r="W35" i="7"/>
  <c r="T441" i="1"/>
  <c r="R439" i="1"/>
  <c r="M59" i="14"/>
  <c r="M30" i="14"/>
  <c r="N4" i="14"/>
  <c r="N88" i="14" s="1"/>
  <c r="V36" i="1"/>
  <c r="V159" i="1"/>
  <c r="V267" i="1"/>
  <c r="V15" i="1"/>
  <c r="V246" i="1"/>
  <c r="V138" i="1"/>
  <c r="V21" i="1"/>
  <c r="V252" i="1"/>
  <c r="V144" i="1"/>
  <c r="V38" i="1"/>
  <c r="V161" i="1"/>
  <c r="V269" i="1"/>
  <c r="V9" i="1"/>
  <c r="V240" i="1"/>
  <c r="V132" i="1"/>
  <c r="V23" i="1"/>
  <c r="V146" i="1"/>
  <c r="V254" i="1"/>
  <c r="W417" i="1"/>
  <c r="V72" i="1"/>
  <c r="V195" i="1"/>
  <c r="V303" i="1"/>
  <c r="V60" i="1"/>
  <c r="W405" i="1"/>
  <c r="V291" i="1"/>
  <c r="V183" i="1"/>
  <c r="V79" i="1"/>
  <c r="W424" i="1"/>
  <c r="V202" i="1"/>
  <c r="V310" i="1"/>
  <c r="W407" i="1"/>
  <c r="V62" i="1"/>
  <c r="V185" i="1"/>
  <c r="V293" i="1"/>
  <c r="W412" i="1"/>
  <c r="V67" i="1"/>
  <c r="V298" i="1"/>
  <c r="V190" i="1"/>
  <c r="W402" i="1"/>
  <c r="V57" i="1"/>
  <c r="V288" i="1"/>
  <c r="V180" i="1"/>
  <c r="W408" i="1"/>
  <c r="V63" i="1"/>
  <c r="V294" i="1"/>
  <c r="V186" i="1"/>
  <c r="W400" i="1"/>
  <c r="V55" i="1"/>
  <c r="V286" i="1"/>
  <c r="V178" i="1"/>
  <c r="V30" i="1"/>
  <c r="V153" i="1"/>
  <c r="V261" i="1"/>
  <c r="V27" i="1"/>
  <c r="V150" i="1"/>
  <c r="V258" i="1"/>
  <c r="V16" i="1"/>
  <c r="V247" i="1"/>
  <c r="V139" i="1"/>
  <c r="V22" i="1"/>
  <c r="V145" i="1"/>
  <c r="V253" i="1"/>
  <c r="V34" i="1"/>
  <c r="V157" i="1"/>
  <c r="V265" i="1"/>
  <c r="V32" i="1"/>
  <c r="V263" i="1"/>
  <c r="V155" i="1"/>
  <c r="V28" i="1"/>
  <c r="V259" i="1"/>
  <c r="V151" i="1"/>
  <c r="V7" i="1"/>
  <c r="V130" i="1"/>
  <c r="V238" i="1"/>
  <c r="V13" i="1"/>
  <c r="V244" i="1"/>
  <c r="V136" i="1"/>
  <c r="W406" i="1"/>
  <c r="V61" i="1"/>
  <c r="V292" i="1"/>
  <c r="V184" i="1"/>
  <c r="V46" i="1"/>
  <c r="W391" i="1"/>
  <c r="V169" i="1"/>
  <c r="V277" i="1"/>
  <c r="W429" i="1"/>
  <c r="V84" i="1"/>
  <c r="V207" i="1"/>
  <c r="V315" i="1"/>
  <c r="W430" i="1"/>
  <c r="V85" i="1"/>
  <c r="V316" i="1"/>
  <c r="V208" i="1"/>
  <c r="W397" i="1"/>
  <c r="V52" i="1"/>
  <c r="V175" i="1"/>
  <c r="V283" i="1"/>
  <c r="W409" i="1"/>
  <c r="V64" i="1"/>
  <c r="V187" i="1"/>
  <c r="V295" i="1"/>
  <c r="W428" i="1"/>
  <c r="V83" i="1"/>
  <c r="V206" i="1"/>
  <c r="V314" i="1"/>
  <c r="W411" i="1"/>
  <c r="V66" i="1"/>
  <c r="V297" i="1"/>
  <c r="V189" i="1"/>
  <c r="V82" i="1"/>
  <c r="W427" i="1"/>
  <c r="V313" i="1"/>
  <c r="V205" i="1"/>
  <c r="W410" i="1"/>
  <c r="V65" i="1"/>
  <c r="V296" i="1"/>
  <c r="V188" i="1"/>
  <c r="V50" i="1"/>
  <c r="W395" i="1"/>
  <c r="V281" i="1"/>
  <c r="V173" i="1"/>
  <c r="V47" i="1"/>
  <c r="W392" i="1"/>
  <c r="V170" i="1"/>
  <c r="V278" i="1"/>
  <c r="V33" i="1"/>
  <c r="V156" i="1"/>
  <c r="V264" i="1"/>
  <c r="V39" i="1"/>
  <c r="V162" i="1"/>
  <c r="V270" i="1"/>
  <c r="V6" i="1"/>
  <c r="V129" i="1"/>
  <c r="V237" i="1"/>
  <c r="V20" i="1"/>
  <c r="V251" i="1"/>
  <c r="V143" i="1"/>
  <c r="V18" i="1"/>
  <c r="V141" i="1"/>
  <c r="V249" i="1"/>
  <c r="V8" i="1"/>
  <c r="V131" i="1"/>
  <c r="V239" i="1"/>
  <c r="V14" i="1"/>
  <c r="V137" i="1"/>
  <c r="V245" i="1"/>
  <c r="V26" i="1"/>
  <c r="V149" i="1"/>
  <c r="V257" i="1"/>
  <c r="V25" i="1"/>
  <c r="V148" i="1"/>
  <c r="V256" i="1"/>
  <c r="V70" i="1"/>
  <c r="W415" i="1"/>
  <c r="V301" i="1"/>
  <c r="V193" i="1"/>
  <c r="W396" i="1"/>
  <c r="V51" i="1"/>
  <c r="V282" i="1"/>
  <c r="V174" i="1"/>
  <c r="V77" i="1"/>
  <c r="W422" i="1"/>
  <c r="V200" i="1"/>
  <c r="V308" i="1"/>
  <c r="V48" i="1"/>
  <c r="W393" i="1"/>
  <c r="V171" i="1"/>
  <c r="V279" i="1"/>
  <c r="W404" i="1"/>
  <c r="V59" i="1"/>
  <c r="V182" i="1"/>
  <c r="V290" i="1"/>
  <c r="V81" i="1"/>
  <c r="W426" i="1"/>
  <c r="V312" i="1"/>
  <c r="V204" i="1"/>
  <c r="V49" i="1"/>
  <c r="W394" i="1"/>
  <c r="V280" i="1"/>
  <c r="V172" i="1"/>
  <c r="V5" i="1"/>
  <c r="V236" i="1"/>
  <c r="V128" i="1"/>
  <c r="V11" i="1"/>
  <c r="V134" i="1"/>
  <c r="V242" i="1"/>
  <c r="V17" i="1"/>
  <c r="V248" i="1"/>
  <c r="V140" i="1"/>
  <c r="V29" i="1"/>
  <c r="V152" i="1"/>
  <c r="V260" i="1"/>
  <c r="V35" i="1"/>
  <c r="V266" i="1"/>
  <c r="V158" i="1"/>
  <c r="V19" i="1"/>
  <c r="V142" i="1"/>
  <c r="V250" i="1"/>
  <c r="V31" i="1"/>
  <c r="V154" i="1"/>
  <c r="V262" i="1"/>
  <c r="V37" i="1"/>
  <c r="V160" i="1"/>
  <c r="V268" i="1"/>
  <c r="V12" i="1"/>
  <c r="V243" i="1"/>
  <c r="V135" i="1"/>
  <c r="V10" i="1"/>
  <c r="V133" i="1"/>
  <c r="V241" i="1"/>
  <c r="V73" i="1"/>
  <c r="V196" i="1"/>
  <c r="V304" i="1"/>
  <c r="V71" i="1"/>
  <c r="W416" i="1"/>
  <c r="V194" i="1"/>
  <c r="V302" i="1"/>
  <c r="W414" i="1"/>
  <c r="V69" i="1"/>
  <c r="V300" i="1"/>
  <c r="V192" i="1"/>
  <c r="V58" i="1"/>
  <c r="W403" i="1"/>
  <c r="V181" i="1"/>
  <c r="V289" i="1"/>
  <c r="W421" i="1"/>
  <c r="V76" i="1"/>
  <c r="V199" i="1"/>
  <c r="V307" i="1"/>
  <c r="W401" i="1"/>
  <c r="V56" i="1"/>
  <c r="V287" i="1"/>
  <c r="V179" i="1"/>
  <c r="V78" i="1"/>
  <c r="W423" i="1"/>
  <c r="V201" i="1"/>
  <c r="V309" i="1"/>
  <c r="V75" i="1"/>
  <c r="W420" i="1"/>
  <c r="V306" i="1"/>
  <c r="V198" i="1"/>
  <c r="V54" i="1"/>
  <c r="W399" i="1"/>
  <c r="V177" i="1"/>
  <c r="V285" i="1"/>
  <c r="V74" i="1"/>
  <c r="W419" i="1"/>
  <c r="V197" i="1"/>
  <c r="V305" i="1"/>
  <c r="V53" i="1"/>
  <c r="W398" i="1"/>
  <c r="V176" i="1"/>
  <c r="V284" i="1"/>
  <c r="V80" i="1"/>
  <c r="W425" i="1"/>
  <c r="V311" i="1"/>
  <c r="V203" i="1"/>
  <c r="Q440" i="1"/>
  <c r="P440" i="1"/>
  <c r="S440" i="1"/>
  <c r="R440" i="1"/>
  <c r="Q439" i="1"/>
  <c r="S439" i="1"/>
  <c r="W336" i="1"/>
  <c r="W345" i="1" s="1"/>
  <c r="V432" i="1"/>
  <c r="V433" i="1" s="1"/>
  <c r="W356" i="1"/>
  <c r="W361" i="1"/>
  <c r="W362" i="1"/>
  <c r="W367" i="1"/>
  <c r="W374" i="1"/>
  <c r="W379" i="1"/>
  <c r="W380" i="1"/>
  <c r="W377" i="1"/>
  <c r="W364" i="1"/>
  <c r="W376" i="1"/>
  <c r="W373" i="1"/>
  <c r="W382" i="1"/>
  <c r="W352" i="1"/>
  <c r="W357" i="1"/>
  <c r="W358" i="1"/>
  <c r="W355" i="1"/>
  <c r="W378" i="1"/>
  <c r="W375" i="1"/>
  <c r="W384" i="1"/>
  <c r="W381" i="1"/>
  <c r="W351" i="1"/>
  <c r="W360" i="1"/>
  <c r="W365" i="1"/>
  <c r="W366" i="1"/>
  <c r="W363" i="1"/>
  <c r="W383" i="1"/>
  <c r="W353" i="1"/>
  <c r="W354" i="1"/>
  <c r="W359" i="1"/>
  <c r="W368" i="1"/>
  <c r="W371" i="1"/>
  <c r="W372" i="1"/>
  <c r="W370" i="1"/>
  <c r="W19" i="7"/>
  <c r="W31" i="7"/>
  <c r="W42" i="7"/>
  <c r="W20" i="7"/>
  <c r="W32" i="7"/>
  <c r="W43" i="7"/>
  <c r="X41" i="7"/>
  <c r="H48" i="19"/>
  <c r="I65" i="8"/>
  <c r="I93" i="19" s="1"/>
  <c r="H78" i="14"/>
  <c r="F78" i="14"/>
  <c r="E78" i="14"/>
  <c r="M78" i="14"/>
  <c r="I78" i="14"/>
  <c r="J78" i="14"/>
  <c r="L78" i="14"/>
  <c r="G78" i="14"/>
  <c r="D78" i="14"/>
  <c r="K78" i="14"/>
  <c r="T318" i="1"/>
  <c r="W21" i="7"/>
  <c r="W33" i="7"/>
  <c r="W18" i="7"/>
  <c r="W30" i="7"/>
  <c r="V38" i="7"/>
  <c r="I46" i="8" s="1"/>
  <c r="V49" i="7"/>
  <c r="I87" i="19" s="1"/>
  <c r="W45" i="7"/>
  <c r="W34" i="7"/>
  <c r="X25" i="7"/>
  <c r="W48" i="7"/>
  <c r="W37" i="7"/>
  <c r="B31" i="22"/>
  <c r="C31" i="22"/>
  <c r="H87" i="19"/>
  <c r="H73" i="8"/>
  <c r="K65" i="8"/>
  <c r="G65" i="8"/>
  <c r="H65" i="8"/>
  <c r="N65" i="8"/>
  <c r="J65" i="8"/>
  <c r="L93" i="19"/>
  <c r="O93" i="19"/>
  <c r="F65" i="8"/>
  <c r="M93" i="19"/>
  <c r="V26" i="7"/>
  <c r="X22" i="7"/>
  <c r="X44" i="7"/>
  <c r="X46" i="7"/>
  <c r="X62" i="7"/>
  <c r="X54" i="7"/>
  <c r="Y59" i="7"/>
  <c r="T210" i="1"/>
  <c r="W350" i="1"/>
  <c r="V124" i="1"/>
  <c r="V441" i="1" s="1"/>
  <c r="U440" i="1" l="1"/>
  <c r="H100" i="8"/>
  <c r="D35" i="8"/>
  <c r="D88" i="8"/>
  <c r="D89" i="8" s="1"/>
  <c r="C35" i="8"/>
  <c r="C88" i="8"/>
  <c r="C89" i="8" s="1"/>
  <c r="E35" i="8"/>
  <c r="E88" i="8"/>
  <c r="E89" i="8" s="1"/>
  <c r="H124" i="19"/>
  <c r="Q235" i="1"/>
  <c r="S235" i="1"/>
  <c r="R235" i="1"/>
  <c r="I9" i="19"/>
  <c r="I19" i="8"/>
  <c r="V442" i="1"/>
  <c r="V443" i="1"/>
  <c r="F102" i="3"/>
  <c r="F80" i="14"/>
  <c r="F82" i="14" s="1"/>
  <c r="H111" i="19" s="1"/>
  <c r="E88" i="16" s="1"/>
  <c r="K80" i="14"/>
  <c r="K82" i="14" s="1"/>
  <c r="M111" i="19" s="1"/>
  <c r="Q88" i="16" s="1"/>
  <c r="J80" i="14"/>
  <c r="J82" i="14" s="1"/>
  <c r="L111" i="19" s="1"/>
  <c r="P88" i="16" s="1"/>
  <c r="I80" i="14"/>
  <c r="I82" i="14" s="1"/>
  <c r="K111" i="19" s="1"/>
  <c r="O88" i="16" s="1"/>
  <c r="D80" i="14"/>
  <c r="D82" i="14" s="1"/>
  <c r="F111" i="19" s="1"/>
  <c r="C88" i="16" s="1"/>
  <c r="H80" i="14"/>
  <c r="H82" i="14" s="1"/>
  <c r="J111" i="19" s="1"/>
  <c r="G88" i="16" s="1"/>
  <c r="G80" i="14"/>
  <c r="G82" i="14" s="1"/>
  <c r="I111" i="19" s="1"/>
  <c r="F88" i="16" s="1"/>
  <c r="M80" i="14"/>
  <c r="M82" i="14" s="1"/>
  <c r="O111" i="19" s="1"/>
  <c r="S88" i="16" s="1"/>
  <c r="L80" i="14"/>
  <c r="L82" i="14" s="1"/>
  <c r="N111" i="19" s="1"/>
  <c r="R88" i="16" s="1"/>
  <c r="E80" i="14"/>
  <c r="E82" i="14" s="1"/>
  <c r="G111" i="19" s="1"/>
  <c r="D88" i="16" s="1"/>
  <c r="X23" i="7"/>
  <c r="X35" i="7"/>
  <c r="X18" i="7"/>
  <c r="Y41" i="7"/>
  <c r="X30" i="7"/>
  <c r="N30" i="14"/>
  <c r="N59" i="14"/>
  <c r="O4" i="14"/>
  <c r="O88" i="14" s="1"/>
  <c r="W16" i="1"/>
  <c r="W139" i="1"/>
  <c r="W247" i="1"/>
  <c r="W60" i="1"/>
  <c r="X405" i="1"/>
  <c r="W183" i="1"/>
  <c r="W291" i="1"/>
  <c r="W26" i="1"/>
  <c r="W149" i="1"/>
  <c r="W257" i="1"/>
  <c r="W8" i="1"/>
  <c r="W239" i="1"/>
  <c r="W131" i="1"/>
  <c r="W20" i="1"/>
  <c r="W143" i="1"/>
  <c r="W251" i="1"/>
  <c r="W39" i="1"/>
  <c r="W270" i="1"/>
  <c r="W162" i="1"/>
  <c r="W10" i="1"/>
  <c r="W133" i="1"/>
  <c r="W241" i="1"/>
  <c r="W37" i="1"/>
  <c r="W268" i="1"/>
  <c r="W160" i="1"/>
  <c r="W19" i="1"/>
  <c r="W250" i="1"/>
  <c r="W142" i="1"/>
  <c r="W29" i="1"/>
  <c r="W260" i="1"/>
  <c r="W152" i="1"/>
  <c r="W11" i="1"/>
  <c r="W134" i="1"/>
  <c r="W242" i="1"/>
  <c r="W49" i="1"/>
  <c r="X394" i="1"/>
  <c r="W280" i="1"/>
  <c r="W172" i="1"/>
  <c r="W81" i="1"/>
  <c r="X426" i="1"/>
  <c r="W204" i="1"/>
  <c r="W312" i="1"/>
  <c r="W48" i="1"/>
  <c r="X393" i="1"/>
  <c r="W171" i="1"/>
  <c r="W279" i="1"/>
  <c r="W77" i="1"/>
  <c r="X422" i="1"/>
  <c r="W308" i="1"/>
  <c r="W200" i="1"/>
  <c r="W47" i="1"/>
  <c r="X392" i="1"/>
  <c r="W278" i="1"/>
  <c r="W170" i="1"/>
  <c r="X395" i="1"/>
  <c r="W50" i="1"/>
  <c r="W281" i="1"/>
  <c r="W173" i="1"/>
  <c r="W82" i="1"/>
  <c r="X427" i="1"/>
  <c r="W205" i="1"/>
  <c r="W313" i="1"/>
  <c r="X400" i="1"/>
  <c r="W55" i="1"/>
  <c r="W286" i="1"/>
  <c r="W178" i="1"/>
  <c r="W63" i="1"/>
  <c r="X408" i="1"/>
  <c r="W294" i="1"/>
  <c r="W186" i="1"/>
  <c r="W57" i="1"/>
  <c r="X402" i="1"/>
  <c r="W180" i="1"/>
  <c r="W288" i="1"/>
  <c r="X412" i="1"/>
  <c r="W67" i="1"/>
  <c r="W298" i="1"/>
  <c r="W190" i="1"/>
  <c r="W62" i="1"/>
  <c r="X407" i="1"/>
  <c r="W185" i="1"/>
  <c r="W293" i="1"/>
  <c r="X417" i="1"/>
  <c r="W72" i="1"/>
  <c r="W195" i="1"/>
  <c r="W303" i="1"/>
  <c r="W21" i="1"/>
  <c r="W144" i="1"/>
  <c r="W252" i="1"/>
  <c r="W23" i="1"/>
  <c r="W254" i="1"/>
  <c r="W146" i="1"/>
  <c r="W38" i="1"/>
  <c r="W161" i="1"/>
  <c r="W269" i="1"/>
  <c r="W15" i="1"/>
  <c r="W246" i="1"/>
  <c r="W138" i="1"/>
  <c r="W30" i="1"/>
  <c r="W153" i="1"/>
  <c r="W261" i="1"/>
  <c r="W13" i="1"/>
  <c r="W244" i="1"/>
  <c r="W136" i="1"/>
  <c r="W28" i="1"/>
  <c r="W259" i="1"/>
  <c r="W151" i="1"/>
  <c r="W32" i="1"/>
  <c r="W263" i="1"/>
  <c r="W155" i="1"/>
  <c r="W22" i="1"/>
  <c r="W145" i="1"/>
  <c r="W253" i="1"/>
  <c r="W80" i="1"/>
  <c r="X425" i="1"/>
  <c r="W311" i="1"/>
  <c r="W203" i="1"/>
  <c r="W53" i="1"/>
  <c r="X398" i="1"/>
  <c r="W176" i="1"/>
  <c r="W284" i="1"/>
  <c r="W74" i="1"/>
  <c r="X419" i="1"/>
  <c r="W197" i="1"/>
  <c r="W305" i="1"/>
  <c r="X399" i="1"/>
  <c r="W54" i="1"/>
  <c r="W177" i="1"/>
  <c r="W285" i="1"/>
  <c r="X420" i="1"/>
  <c r="W75" i="1"/>
  <c r="W198" i="1"/>
  <c r="W306" i="1"/>
  <c r="W78" i="1"/>
  <c r="X423" i="1"/>
  <c r="W309" i="1"/>
  <c r="W201" i="1"/>
  <c r="X403" i="1"/>
  <c r="W58" i="1"/>
  <c r="W181" i="1"/>
  <c r="W289" i="1"/>
  <c r="X416" i="1"/>
  <c r="W71" i="1"/>
  <c r="W194" i="1"/>
  <c r="W302" i="1"/>
  <c r="X404" i="1"/>
  <c r="W59" i="1"/>
  <c r="W290" i="1"/>
  <c r="W182" i="1"/>
  <c r="X396" i="1"/>
  <c r="W51" i="1"/>
  <c r="W174" i="1"/>
  <c r="W282" i="1"/>
  <c r="W70" i="1"/>
  <c r="X415" i="1"/>
  <c r="W193" i="1"/>
  <c r="W301" i="1"/>
  <c r="W65" i="1"/>
  <c r="X410" i="1"/>
  <c r="W296" i="1"/>
  <c r="W188" i="1"/>
  <c r="W46" i="1"/>
  <c r="X391" i="1"/>
  <c r="W277" i="1"/>
  <c r="W169" i="1"/>
  <c r="W27" i="1"/>
  <c r="W258" i="1"/>
  <c r="W150" i="1"/>
  <c r="W9" i="1"/>
  <c r="W240" i="1"/>
  <c r="W132" i="1"/>
  <c r="W36" i="1"/>
  <c r="W267" i="1"/>
  <c r="W159" i="1"/>
  <c r="W7" i="1"/>
  <c r="W238" i="1"/>
  <c r="W130" i="1"/>
  <c r="W34" i="1"/>
  <c r="W157" i="1"/>
  <c r="W265" i="1"/>
  <c r="W79" i="1"/>
  <c r="X424" i="1"/>
  <c r="W202" i="1"/>
  <c r="W310" i="1"/>
  <c r="W5" i="1"/>
  <c r="W236" i="1"/>
  <c r="W128" i="1"/>
  <c r="W25" i="1"/>
  <c r="W148" i="1"/>
  <c r="W256" i="1"/>
  <c r="W14" i="1"/>
  <c r="W137" i="1"/>
  <c r="W245" i="1"/>
  <c r="W18" i="1"/>
  <c r="W141" i="1"/>
  <c r="W249" i="1"/>
  <c r="W6" i="1"/>
  <c r="W129" i="1"/>
  <c r="W237" i="1"/>
  <c r="W33" i="1"/>
  <c r="W156" i="1"/>
  <c r="W264" i="1"/>
  <c r="W12" i="1"/>
  <c r="W135" i="1"/>
  <c r="W243" i="1"/>
  <c r="W31" i="1"/>
  <c r="W262" i="1"/>
  <c r="W154" i="1"/>
  <c r="W35" i="1"/>
  <c r="W266" i="1"/>
  <c r="W158" i="1"/>
  <c r="W17" i="1"/>
  <c r="W140" i="1"/>
  <c r="W248" i="1"/>
  <c r="X401" i="1"/>
  <c r="W56" i="1"/>
  <c r="W179" i="1"/>
  <c r="W287" i="1"/>
  <c r="W76" i="1"/>
  <c r="X421" i="1"/>
  <c r="W199" i="1"/>
  <c r="W307" i="1"/>
  <c r="W69" i="1"/>
  <c r="X414" i="1"/>
  <c r="W192" i="1"/>
  <c r="W300" i="1"/>
  <c r="W73" i="1"/>
  <c r="X418" i="1"/>
  <c r="W196" i="1"/>
  <c r="W304" i="1"/>
  <c r="W66" i="1"/>
  <c r="X411" i="1"/>
  <c r="W189" i="1"/>
  <c r="W297" i="1"/>
  <c r="W83" i="1"/>
  <c r="X428" i="1"/>
  <c r="W314" i="1"/>
  <c r="W206" i="1"/>
  <c r="X409" i="1"/>
  <c r="W64" i="1"/>
  <c r="W187" i="1"/>
  <c r="W295" i="1"/>
  <c r="X397" i="1"/>
  <c r="W52" i="1"/>
  <c r="W283" i="1"/>
  <c r="W175" i="1"/>
  <c r="W85" i="1"/>
  <c r="X430" i="1"/>
  <c r="W208" i="1"/>
  <c r="W316" i="1"/>
  <c r="X429" i="1"/>
  <c r="W84" i="1"/>
  <c r="W207" i="1"/>
  <c r="W315" i="1"/>
  <c r="V87" i="1"/>
  <c r="W61" i="1"/>
  <c r="X406" i="1"/>
  <c r="W292" i="1"/>
  <c r="W184" i="1"/>
  <c r="T440" i="1"/>
  <c r="X336" i="1"/>
  <c r="X345" i="1" s="1"/>
  <c r="W432" i="1"/>
  <c r="W433" i="1" s="1"/>
  <c r="X372" i="1"/>
  <c r="X368" i="1"/>
  <c r="X354" i="1"/>
  <c r="X383" i="1"/>
  <c r="X366" i="1"/>
  <c r="X360" i="1"/>
  <c r="X381" i="1"/>
  <c r="X375" i="1"/>
  <c r="X358" i="1"/>
  <c r="X352" i="1"/>
  <c r="X373" i="1"/>
  <c r="X377" i="1"/>
  <c r="X379" i="1"/>
  <c r="X367" i="1"/>
  <c r="X361" i="1"/>
  <c r="X370" i="1"/>
  <c r="X371" i="1"/>
  <c r="X359" i="1"/>
  <c r="X353" i="1"/>
  <c r="X363" i="1"/>
  <c r="X365" i="1"/>
  <c r="X351" i="1"/>
  <c r="X384" i="1"/>
  <c r="X378" i="1"/>
  <c r="X355" i="1"/>
  <c r="X357" i="1"/>
  <c r="X382" i="1"/>
  <c r="X376" i="1"/>
  <c r="X364" i="1"/>
  <c r="X380" i="1"/>
  <c r="X374" i="1"/>
  <c r="X362" i="1"/>
  <c r="X356" i="1"/>
  <c r="I48" i="19"/>
  <c r="X43" i="7"/>
  <c r="X20" i="7"/>
  <c r="X32" i="7"/>
  <c r="X42" i="7"/>
  <c r="X19" i="7"/>
  <c r="X31" i="7"/>
  <c r="X21" i="7"/>
  <c r="X33" i="7"/>
  <c r="I73" i="8"/>
  <c r="W38" i="7"/>
  <c r="J46" i="8" s="1"/>
  <c r="W49" i="7"/>
  <c r="J87" i="19" s="1"/>
  <c r="X34" i="7"/>
  <c r="X45" i="7"/>
  <c r="Y25" i="7"/>
  <c r="X37" i="7"/>
  <c r="X48" i="7"/>
  <c r="C32" i="22"/>
  <c r="B32" i="22"/>
  <c r="G93" i="19"/>
  <c r="F93" i="19"/>
  <c r="N93" i="19"/>
  <c r="J93" i="19"/>
  <c r="H93" i="19"/>
  <c r="K93" i="19"/>
  <c r="W26" i="7"/>
  <c r="Y44" i="7"/>
  <c r="Y46" i="7"/>
  <c r="Y22" i="7"/>
  <c r="Y54" i="7"/>
  <c r="Z59" i="7"/>
  <c r="Y62" i="7"/>
  <c r="E93" i="19"/>
  <c r="W124" i="1"/>
  <c r="W441" i="1" s="1"/>
  <c r="X350" i="1"/>
  <c r="E130" i="19" l="1"/>
  <c r="I124" i="19"/>
  <c r="D86" i="14"/>
  <c r="D90" i="14" s="1"/>
  <c r="I68" i="8"/>
  <c r="L68" i="8"/>
  <c r="N68" i="8"/>
  <c r="H68" i="8"/>
  <c r="G68" i="8"/>
  <c r="J68" i="8"/>
  <c r="M68" i="8"/>
  <c r="O68" i="8"/>
  <c r="K68" i="8"/>
  <c r="Z41" i="7"/>
  <c r="J9" i="19"/>
  <c r="J19" i="8"/>
  <c r="W442" i="1"/>
  <c r="W443" i="1"/>
  <c r="G102" i="3"/>
  <c r="Y23" i="7"/>
  <c r="Y35" i="7"/>
  <c r="Y30" i="7"/>
  <c r="Y18" i="7"/>
  <c r="X432" i="1"/>
  <c r="X433" i="1" s="1"/>
  <c r="O30" i="14"/>
  <c r="O59" i="14"/>
  <c r="P4" i="14"/>
  <c r="P88" i="14" s="1"/>
  <c r="F68" i="8"/>
  <c r="X19" i="1"/>
  <c r="X142" i="1"/>
  <c r="X250" i="1"/>
  <c r="X26" i="1"/>
  <c r="X149" i="1"/>
  <c r="X257" i="1"/>
  <c r="X28" i="1"/>
  <c r="X259" i="1"/>
  <c r="X151" i="1"/>
  <c r="X36" i="1"/>
  <c r="X267" i="1"/>
  <c r="X159" i="1"/>
  <c r="X9" i="1"/>
  <c r="X132" i="1"/>
  <c r="X240" i="1"/>
  <c r="X85" i="1"/>
  <c r="Y430" i="1"/>
  <c r="X316" i="1"/>
  <c r="X208" i="1"/>
  <c r="X83" i="1"/>
  <c r="Y428" i="1"/>
  <c r="X314" i="1"/>
  <c r="X206" i="1"/>
  <c r="X73" i="1"/>
  <c r="Y418" i="1"/>
  <c r="X304" i="1"/>
  <c r="X196" i="1"/>
  <c r="X18" i="1"/>
  <c r="X141" i="1"/>
  <c r="X249" i="1"/>
  <c r="X64" i="1"/>
  <c r="Y409" i="1"/>
  <c r="X187" i="1"/>
  <c r="X295" i="1"/>
  <c r="X46" i="1"/>
  <c r="Y391" i="1"/>
  <c r="X169" i="1"/>
  <c r="X277" i="1"/>
  <c r="Y410" i="1"/>
  <c r="X65" i="1"/>
  <c r="X296" i="1"/>
  <c r="X188" i="1"/>
  <c r="X70" i="1"/>
  <c r="Y415" i="1"/>
  <c r="X193" i="1"/>
  <c r="X301" i="1"/>
  <c r="X78" i="1"/>
  <c r="Y423" i="1"/>
  <c r="X309" i="1"/>
  <c r="X201" i="1"/>
  <c r="X74" i="1"/>
  <c r="Y419" i="1"/>
  <c r="X305" i="1"/>
  <c r="X197" i="1"/>
  <c r="X53" i="1"/>
  <c r="Y398" i="1"/>
  <c r="X284" i="1"/>
  <c r="X176" i="1"/>
  <c r="X80" i="1"/>
  <c r="Y425" i="1"/>
  <c r="X311" i="1"/>
  <c r="X203" i="1"/>
  <c r="X62" i="1"/>
  <c r="Y407" i="1"/>
  <c r="X293" i="1"/>
  <c r="X185" i="1"/>
  <c r="X57" i="1"/>
  <c r="Y402" i="1"/>
  <c r="X180" i="1"/>
  <c r="X288" i="1"/>
  <c r="X63" i="1"/>
  <c r="Y408" i="1"/>
  <c r="X294" i="1"/>
  <c r="X186" i="1"/>
  <c r="Y427" i="1"/>
  <c r="X82" i="1"/>
  <c r="X205" i="1"/>
  <c r="X313" i="1"/>
  <c r="X47" i="1"/>
  <c r="Y392" i="1"/>
  <c r="X170" i="1"/>
  <c r="X278" i="1"/>
  <c r="X77" i="1"/>
  <c r="Y422" i="1"/>
  <c r="X200" i="1"/>
  <c r="X308" i="1"/>
  <c r="X48" i="1"/>
  <c r="Y393" i="1"/>
  <c r="X279" i="1"/>
  <c r="X171" i="1"/>
  <c r="X81" i="1"/>
  <c r="Y426" i="1"/>
  <c r="X312" i="1"/>
  <c r="X204" i="1"/>
  <c r="X49" i="1"/>
  <c r="Y394" i="1"/>
  <c r="X172" i="1"/>
  <c r="X280" i="1"/>
  <c r="X10" i="1"/>
  <c r="X133" i="1"/>
  <c r="X241" i="1"/>
  <c r="X22" i="1"/>
  <c r="X145" i="1"/>
  <c r="X253" i="1"/>
  <c r="X69" i="1"/>
  <c r="Y414" i="1"/>
  <c r="X192" i="1"/>
  <c r="X300" i="1"/>
  <c r="X31" i="1"/>
  <c r="X262" i="1"/>
  <c r="X154" i="1"/>
  <c r="X25" i="1"/>
  <c r="X256" i="1"/>
  <c r="X148" i="1"/>
  <c r="X7" i="1"/>
  <c r="X130" i="1"/>
  <c r="X238" i="1"/>
  <c r="X23" i="1"/>
  <c r="X254" i="1"/>
  <c r="X146" i="1"/>
  <c r="X37" i="1"/>
  <c r="X268" i="1"/>
  <c r="X160" i="1"/>
  <c r="X39" i="1"/>
  <c r="X270" i="1"/>
  <c r="X162" i="1"/>
  <c r="X8" i="1"/>
  <c r="X239" i="1"/>
  <c r="X131" i="1"/>
  <c r="X32" i="1"/>
  <c r="X263" i="1"/>
  <c r="X155" i="1"/>
  <c r="X21" i="1"/>
  <c r="X144" i="1"/>
  <c r="X252" i="1"/>
  <c r="X27" i="1"/>
  <c r="X258" i="1"/>
  <c r="X150" i="1"/>
  <c r="X79" i="1"/>
  <c r="Y424" i="1"/>
  <c r="X310" i="1"/>
  <c r="X202" i="1"/>
  <c r="W87" i="1"/>
  <c r="Y396" i="1"/>
  <c r="X51" i="1"/>
  <c r="X282" i="1"/>
  <c r="X174" i="1"/>
  <c r="Y404" i="1"/>
  <c r="X59" i="1"/>
  <c r="X182" i="1"/>
  <c r="X290" i="1"/>
  <c r="Y416" i="1"/>
  <c r="X71" i="1"/>
  <c r="X194" i="1"/>
  <c r="X302" i="1"/>
  <c r="Y403" i="1"/>
  <c r="X58" i="1"/>
  <c r="X289" i="1"/>
  <c r="X181" i="1"/>
  <c r="Y420" i="1"/>
  <c r="X75" i="1"/>
  <c r="X306" i="1"/>
  <c r="X198" i="1"/>
  <c r="Y399" i="1"/>
  <c r="X54" i="1"/>
  <c r="X177" i="1"/>
  <c r="X285" i="1"/>
  <c r="X72" i="1"/>
  <c r="Y417" i="1"/>
  <c r="X303" i="1"/>
  <c r="X195" i="1"/>
  <c r="X67" i="1"/>
  <c r="Y412" i="1"/>
  <c r="X190" i="1"/>
  <c r="X298" i="1"/>
  <c r="Y400" i="1"/>
  <c r="X55" i="1"/>
  <c r="X286" i="1"/>
  <c r="X178" i="1"/>
  <c r="Y395" i="1"/>
  <c r="X50" i="1"/>
  <c r="X173" i="1"/>
  <c r="X281" i="1"/>
  <c r="X11" i="1"/>
  <c r="X134" i="1"/>
  <c r="X242" i="1"/>
  <c r="X20" i="1"/>
  <c r="X251" i="1"/>
  <c r="X143" i="1"/>
  <c r="X66" i="1"/>
  <c r="Y411" i="1"/>
  <c r="X297" i="1"/>
  <c r="X189" i="1"/>
  <c r="X76" i="1"/>
  <c r="Y421" i="1"/>
  <c r="X307" i="1"/>
  <c r="X199" i="1"/>
  <c r="X60" i="1"/>
  <c r="Y405" i="1"/>
  <c r="X183" i="1"/>
  <c r="X291" i="1"/>
  <c r="X5" i="1"/>
  <c r="X128" i="1"/>
  <c r="X236" i="1"/>
  <c r="X17" i="1"/>
  <c r="X140" i="1"/>
  <c r="X248" i="1"/>
  <c r="X33" i="1"/>
  <c r="X264" i="1"/>
  <c r="X156" i="1"/>
  <c r="X34" i="1"/>
  <c r="X157" i="1"/>
  <c r="X265" i="1"/>
  <c r="X15" i="1"/>
  <c r="X138" i="1"/>
  <c r="X246" i="1"/>
  <c r="X84" i="1"/>
  <c r="Y429" i="1"/>
  <c r="X207" i="1"/>
  <c r="X315" i="1"/>
  <c r="X52" i="1"/>
  <c r="Y397" i="1"/>
  <c r="X175" i="1"/>
  <c r="X283" i="1"/>
  <c r="Y401" i="1"/>
  <c r="X56" i="1"/>
  <c r="X287" i="1"/>
  <c r="X179" i="1"/>
  <c r="X29" i="1"/>
  <c r="X260" i="1"/>
  <c r="X152" i="1"/>
  <c r="X13" i="1"/>
  <c r="X136" i="1"/>
  <c r="X244" i="1"/>
  <c r="X35" i="1"/>
  <c r="X266" i="1"/>
  <c r="X158" i="1"/>
  <c r="X12" i="1"/>
  <c r="X243" i="1"/>
  <c r="X135" i="1"/>
  <c r="X6" i="1"/>
  <c r="X129" i="1"/>
  <c r="X237" i="1"/>
  <c r="X14" i="1"/>
  <c r="X137" i="1"/>
  <c r="X245" i="1"/>
  <c r="X16" i="1"/>
  <c r="X247" i="1"/>
  <c r="X139" i="1"/>
  <c r="X30" i="1"/>
  <c r="X153" i="1"/>
  <c r="X261" i="1"/>
  <c r="X38" i="1"/>
  <c r="X161" i="1"/>
  <c r="X269" i="1"/>
  <c r="Y406" i="1"/>
  <c r="X61" i="1"/>
  <c r="X292" i="1"/>
  <c r="X184" i="1"/>
  <c r="Y336" i="1"/>
  <c r="Y345" i="1" s="1"/>
  <c r="V318" i="1"/>
  <c r="Y362" i="1"/>
  <c r="Y380" i="1"/>
  <c r="Y376" i="1"/>
  <c r="Y357" i="1"/>
  <c r="Y378" i="1"/>
  <c r="Y351" i="1"/>
  <c r="Y363" i="1"/>
  <c r="Y359" i="1"/>
  <c r="Y370" i="1"/>
  <c r="Y361" i="1"/>
  <c r="Y379" i="1"/>
  <c r="Y352" i="1"/>
  <c r="Y375" i="1"/>
  <c r="Y360" i="1"/>
  <c r="Y383" i="1"/>
  <c r="Y368" i="1"/>
  <c r="Y356" i="1"/>
  <c r="Y374" i="1"/>
  <c r="Y364" i="1"/>
  <c r="Y382" i="1"/>
  <c r="Y355" i="1"/>
  <c r="Y384" i="1"/>
  <c r="Y365" i="1"/>
  <c r="Y353" i="1"/>
  <c r="Y371" i="1"/>
  <c r="Y367" i="1"/>
  <c r="Y377" i="1"/>
  <c r="Y373" i="1"/>
  <c r="Y358" i="1"/>
  <c r="Y381" i="1"/>
  <c r="Y366" i="1"/>
  <c r="Y354" i="1"/>
  <c r="Y372" i="1"/>
  <c r="Y31" i="7"/>
  <c r="Y42" i="7"/>
  <c r="Y19" i="7"/>
  <c r="Y32" i="7"/>
  <c r="Y43" i="7"/>
  <c r="Y20" i="7"/>
  <c r="Y21" i="7"/>
  <c r="Y33" i="7"/>
  <c r="J48" i="19"/>
  <c r="J73" i="8"/>
  <c r="X49" i="7"/>
  <c r="K87" i="19" s="1"/>
  <c r="X38" i="7"/>
  <c r="K46" i="8" s="1"/>
  <c r="Z25" i="7"/>
  <c r="Y37" i="7"/>
  <c r="Y48" i="7"/>
  <c r="Y34" i="7"/>
  <c r="Y45" i="7"/>
  <c r="B33" i="22"/>
  <c r="C33" i="22"/>
  <c r="X26" i="7"/>
  <c r="Z22" i="7"/>
  <c r="Z44" i="7"/>
  <c r="Z46" i="7"/>
  <c r="AA59" i="7"/>
  <c r="Z62" i="7"/>
  <c r="Z54" i="7"/>
  <c r="V210" i="1"/>
  <c r="Y350" i="1"/>
  <c r="X124" i="1"/>
  <c r="X441" i="1" s="1"/>
  <c r="J124" i="19" l="1"/>
  <c r="AA41" i="7"/>
  <c r="Z18" i="7"/>
  <c r="Z30" i="7"/>
  <c r="K9" i="19"/>
  <c r="K19" i="8"/>
  <c r="X442" i="1"/>
  <c r="X443" i="1"/>
  <c r="H102" i="3"/>
  <c r="Z23" i="7"/>
  <c r="Z35" i="7"/>
  <c r="P30" i="14"/>
  <c r="P59" i="14"/>
  <c r="Q4" i="14"/>
  <c r="Q88" i="14" s="1"/>
  <c r="E84" i="14"/>
  <c r="Y5" i="1"/>
  <c r="Y128" i="1"/>
  <c r="Y236" i="1"/>
  <c r="Y27" i="1"/>
  <c r="Y258" i="1"/>
  <c r="Y150" i="1"/>
  <c r="Y26" i="1"/>
  <c r="Y149" i="1"/>
  <c r="Y257" i="1"/>
  <c r="Y11" i="1"/>
  <c r="Y134" i="1"/>
  <c r="Y242" i="1"/>
  <c r="Y34" i="1"/>
  <c r="Y157" i="1"/>
  <c r="Y265" i="1"/>
  <c r="Y31" i="1"/>
  <c r="Y262" i="1"/>
  <c r="Y154" i="1"/>
  <c r="Y76" i="1"/>
  <c r="Z421" i="1"/>
  <c r="Y307" i="1"/>
  <c r="Y199" i="1"/>
  <c r="Z427" i="1"/>
  <c r="Y82" i="1"/>
  <c r="Y313" i="1"/>
  <c r="Y205" i="1"/>
  <c r="X87" i="1"/>
  <c r="Y9" i="1"/>
  <c r="Y132" i="1"/>
  <c r="Y240" i="1"/>
  <c r="Y8" i="1"/>
  <c r="Y239" i="1"/>
  <c r="Y131" i="1"/>
  <c r="Y37" i="1"/>
  <c r="Y268" i="1"/>
  <c r="Y160" i="1"/>
  <c r="Y30" i="1"/>
  <c r="Y153" i="1"/>
  <c r="Y261" i="1"/>
  <c r="Y6" i="1"/>
  <c r="Y129" i="1"/>
  <c r="Y237" i="1"/>
  <c r="Y69" i="1"/>
  <c r="Z414" i="1"/>
  <c r="Y192" i="1"/>
  <c r="Y300" i="1"/>
  <c r="Y10" i="1"/>
  <c r="Y133" i="1"/>
  <c r="Y241" i="1"/>
  <c r="Y15" i="1"/>
  <c r="Y246" i="1"/>
  <c r="Y138" i="1"/>
  <c r="Y18" i="1"/>
  <c r="Y141" i="1"/>
  <c r="Y249" i="1"/>
  <c r="Y28" i="1"/>
  <c r="Y151" i="1"/>
  <c r="Y259" i="1"/>
  <c r="Z397" i="1"/>
  <c r="Y52" i="1"/>
  <c r="Y175" i="1"/>
  <c r="Y283" i="1"/>
  <c r="Y32" i="1"/>
  <c r="Y155" i="1"/>
  <c r="Y263" i="1"/>
  <c r="Y23" i="1"/>
  <c r="Y146" i="1"/>
  <c r="Y254" i="1"/>
  <c r="Y33" i="1"/>
  <c r="Y264" i="1"/>
  <c r="Y156" i="1"/>
  <c r="Z406" i="1"/>
  <c r="Y61" i="1"/>
  <c r="Y184" i="1"/>
  <c r="Y292" i="1"/>
  <c r="Z401" i="1"/>
  <c r="Y56" i="1"/>
  <c r="Y179" i="1"/>
  <c r="Y287" i="1"/>
  <c r="Y67" i="1"/>
  <c r="Z412" i="1"/>
  <c r="Y190" i="1"/>
  <c r="Y298" i="1"/>
  <c r="Y72" i="1"/>
  <c r="Z417" i="1"/>
  <c r="Y303" i="1"/>
  <c r="Y195" i="1"/>
  <c r="Y73" i="1"/>
  <c r="Z418" i="1"/>
  <c r="Y196" i="1"/>
  <c r="Y304" i="1"/>
  <c r="Y83" i="1"/>
  <c r="Z428" i="1"/>
  <c r="Y206" i="1"/>
  <c r="Y314" i="1"/>
  <c r="Y85" i="1"/>
  <c r="Z430" i="1"/>
  <c r="Y208" i="1"/>
  <c r="Y316" i="1"/>
  <c r="Y13" i="1"/>
  <c r="Y244" i="1"/>
  <c r="Y136" i="1"/>
  <c r="Y60" i="1"/>
  <c r="Z405" i="1"/>
  <c r="Y291" i="1"/>
  <c r="Y183" i="1"/>
  <c r="Y66" i="1"/>
  <c r="Z411" i="1"/>
  <c r="Y189" i="1"/>
  <c r="Y297" i="1"/>
  <c r="Z410" i="1"/>
  <c r="Y65" i="1"/>
  <c r="Y296" i="1"/>
  <c r="Y188" i="1"/>
  <c r="Y16" i="1"/>
  <c r="Y247" i="1"/>
  <c r="Y139" i="1"/>
  <c r="Y35" i="1"/>
  <c r="Y266" i="1"/>
  <c r="Y158" i="1"/>
  <c r="Y84" i="1"/>
  <c r="Z429" i="1"/>
  <c r="Y315" i="1"/>
  <c r="Y207" i="1"/>
  <c r="Y21" i="1"/>
  <c r="Y252" i="1"/>
  <c r="Y144" i="1"/>
  <c r="Y20" i="1"/>
  <c r="Y143" i="1"/>
  <c r="Y251" i="1"/>
  <c r="Y19" i="1"/>
  <c r="Y250" i="1"/>
  <c r="Y142" i="1"/>
  <c r="Y7" i="1"/>
  <c r="Y238" i="1"/>
  <c r="Y130" i="1"/>
  <c r="Y25" i="1"/>
  <c r="Y256" i="1"/>
  <c r="Y148" i="1"/>
  <c r="Y17" i="1"/>
  <c r="Y248" i="1"/>
  <c r="Y140" i="1"/>
  <c r="Y36" i="1"/>
  <c r="Y159" i="1"/>
  <c r="Y267" i="1"/>
  <c r="Y22" i="1"/>
  <c r="Y145" i="1"/>
  <c r="Y253" i="1"/>
  <c r="Y39" i="1"/>
  <c r="Y162" i="1"/>
  <c r="Y270" i="1"/>
  <c r="Y29" i="1"/>
  <c r="Y260" i="1"/>
  <c r="Y152" i="1"/>
  <c r="Y38" i="1"/>
  <c r="Y161" i="1"/>
  <c r="Y269" i="1"/>
  <c r="Y14" i="1"/>
  <c r="Y137" i="1"/>
  <c r="Y245" i="1"/>
  <c r="Y12" i="1"/>
  <c r="Y243" i="1"/>
  <c r="Y135" i="1"/>
  <c r="Z395" i="1"/>
  <c r="Y50" i="1"/>
  <c r="Y173" i="1"/>
  <c r="Y281" i="1"/>
  <c r="Y55" i="1"/>
  <c r="Z400" i="1"/>
  <c r="Y178" i="1"/>
  <c r="Y286" i="1"/>
  <c r="Z399" i="1"/>
  <c r="Y54" i="1"/>
  <c r="Y177" i="1"/>
  <c r="Y285" i="1"/>
  <c r="Y75" i="1"/>
  <c r="Z420" i="1"/>
  <c r="Y198" i="1"/>
  <c r="Y306" i="1"/>
  <c r="Z403" i="1"/>
  <c r="Y58" i="1"/>
  <c r="Y181" i="1"/>
  <c r="Y289" i="1"/>
  <c r="Y71" i="1"/>
  <c r="Z416" i="1"/>
  <c r="Y302" i="1"/>
  <c r="Y194" i="1"/>
  <c r="Y59" i="1"/>
  <c r="Z404" i="1"/>
  <c r="Y182" i="1"/>
  <c r="Y290" i="1"/>
  <c r="Y51" i="1"/>
  <c r="Z396" i="1"/>
  <c r="Y282" i="1"/>
  <c r="Y174" i="1"/>
  <c r="Y79" i="1"/>
  <c r="Z424" i="1"/>
  <c r="Y202" i="1"/>
  <c r="Y310" i="1"/>
  <c r="Y49" i="1"/>
  <c r="Z394" i="1"/>
  <c r="Y172" i="1"/>
  <c r="Y280" i="1"/>
  <c r="Y81" i="1"/>
  <c r="Z426" i="1"/>
  <c r="Y204" i="1"/>
  <c r="Y312" i="1"/>
  <c r="Y48" i="1"/>
  <c r="Z393" i="1"/>
  <c r="Y171" i="1"/>
  <c r="Y279" i="1"/>
  <c r="Y77" i="1"/>
  <c r="Z422" i="1"/>
  <c r="Y308" i="1"/>
  <c r="Y200" i="1"/>
  <c r="Y47" i="1"/>
  <c r="Z392" i="1"/>
  <c r="Y278" i="1"/>
  <c r="Y170" i="1"/>
  <c r="Y63" i="1"/>
  <c r="Z408" i="1"/>
  <c r="Y294" i="1"/>
  <c r="Y186" i="1"/>
  <c r="Y57" i="1"/>
  <c r="Z402" i="1"/>
  <c r="Y180" i="1"/>
  <c r="Y288" i="1"/>
  <c r="Y62" i="1"/>
  <c r="Z407" i="1"/>
  <c r="Y293" i="1"/>
  <c r="Y185" i="1"/>
  <c r="Y80" i="1"/>
  <c r="Z425" i="1"/>
  <c r="Y203" i="1"/>
  <c r="Y311" i="1"/>
  <c r="Y53" i="1"/>
  <c r="Z398" i="1"/>
  <c r="Y284" i="1"/>
  <c r="Y176" i="1"/>
  <c r="Y74" i="1"/>
  <c r="Z419" i="1"/>
  <c r="Y305" i="1"/>
  <c r="Y197" i="1"/>
  <c r="Y78" i="1"/>
  <c r="Z423" i="1"/>
  <c r="Y309" i="1"/>
  <c r="Y201" i="1"/>
  <c r="Y70" i="1"/>
  <c r="Z415" i="1"/>
  <c r="Y301" i="1"/>
  <c r="Y193" i="1"/>
  <c r="Y46" i="1"/>
  <c r="Z391" i="1"/>
  <c r="Y169" i="1"/>
  <c r="Y277" i="1"/>
  <c r="Y64" i="1"/>
  <c r="Z409" i="1"/>
  <c r="Y295" i="1"/>
  <c r="Y187" i="1"/>
  <c r="V440" i="1"/>
  <c r="Z336" i="1"/>
  <c r="Z345" i="1" s="1"/>
  <c r="W318" i="1"/>
  <c r="Y432" i="1"/>
  <c r="Y433" i="1" s="1"/>
  <c r="Z381" i="1"/>
  <c r="Z375" i="1"/>
  <c r="Z361" i="1"/>
  <c r="Z351" i="1"/>
  <c r="Z357" i="1"/>
  <c r="Z380" i="1"/>
  <c r="Z354" i="1"/>
  <c r="Z367" i="1"/>
  <c r="Z382" i="1"/>
  <c r="Z373" i="1"/>
  <c r="Z353" i="1"/>
  <c r="Z384" i="1"/>
  <c r="Z374" i="1"/>
  <c r="Z383" i="1"/>
  <c r="Z359" i="1"/>
  <c r="Z372" i="1"/>
  <c r="Z366" i="1"/>
  <c r="Z358" i="1"/>
  <c r="Z377" i="1"/>
  <c r="Z371" i="1"/>
  <c r="Z365" i="1"/>
  <c r="Z355" i="1"/>
  <c r="Z364" i="1"/>
  <c r="Z356" i="1"/>
  <c r="Z368" i="1"/>
  <c r="Z360" i="1"/>
  <c r="Z352" i="1"/>
  <c r="Z379" i="1"/>
  <c r="Z370" i="1"/>
  <c r="Z363" i="1"/>
  <c r="Z378" i="1"/>
  <c r="Z376" i="1"/>
  <c r="Z362" i="1"/>
  <c r="K48" i="19"/>
  <c r="Z20" i="7"/>
  <c r="Z32" i="7"/>
  <c r="Z43" i="7"/>
  <c r="Z19" i="7"/>
  <c r="Z31" i="7"/>
  <c r="Z42" i="7"/>
  <c r="K73" i="8"/>
  <c r="Z21" i="7"/>
  <c r="Z33" i="7"/>
  <c r="Y49" i="7"/>
  <c r="L87" i="19" s="1"/>
  <c r="Y38" i="7"/>
  <c r="L46" i="8" s="1"/>
  <c r="Z45" i="7"/>
  <c r="Z34" i="7"/>
  <c r="AA25" i="7"/>
  <c r="Z48" i="7"/>
  <c r="Z37" i="7"/>
  <c r="B34" i="22"/>
  <c r="C34" i="22"/>
  <c r="Y26" i="7"/>
  <c r="AA44" i="7"/>
  <c r="AA46" i="7"/>
  <c r="AA22" i="7"/>
  <c r="AA62" i="7"/>
  <c r="AA54" i="7"/>
  <c r="AB59" i="7"/>
  <c r="W210" i="1"/>
  <c r="Y124" i="1"/>
  <c r="Y441" i="1" s="1"/>
  <c r="Z350" i="1"/>
  <c r="K124" i="19" l="1"/>
  <c r="E86" i="14"/>
  <c r="AB41" i="7"/>
  <c r="AA18" i="7"/>
  <c r="AA30" i="7"/>
  <c r="L9" i="19"/>
  <c r="L19" i="8"/>
  <c r="Y442" i="1"/>
  <c r="Y443" i="1"/>
  <c r="I102" i="3"/>
  <c r="AA23" i="7"/>
  <c r="AA35" i="7"/>
  <c r="Y87" i="1"/>
  <c r="Q30" i="14"/>
  <c r="Q59" i="14"/>
  <c r="R4" i="14"/>
  <c r="R88" i="14" s="1"/>
  <c r="Z25" i="1"/>
  <c r="Z256" i="1"/>
  <c r="Z148" i="1"/>
  <c r="Z35" i="1"/>
  <c r="Z158" i="1"/>
  <c r="Z266" i="1"/>
  <c r="Z50" i="1"/>
  <c r="AA395" i="1"/>
  <c r="Z281" i="1"/>
  <c r="Z173" i="1"/>
  <c r="Z60" i="1"/>
  <c r="AA405" i="1"/>
  <c r="Z291" i="1"/>
  <c r="Z183" i="1"/>
  <c r="AA401" i="1"/>
  <c r="Z56" i="1"/>
  <c r="Z179" i="1"/>
  <c r="Z287" i="1"/>
  <c r="Z76" i="1"/>
  <c r="AA421" i="1"/>
  <c r="Z199" i="1"/>
  <c r="Z307" i="1"/>
  <c r="Z34" i="1"/>
  <c r="Z157" i="1"/>
  <c r="Z265" i="1"/>
  <c r="AA397" i="1"/>
  <c r="Z52" i="1"/>
  <c r="Z175" i="1"/>
  <c r="Z283" i="1"/>
  <c r="Z82" i="1"/>
  <c r="AA427" i="1"/>
  <c r="Z313" i="1"/>
  <c r="Z205" i="1"/>
  <c r="Z20" i="1"/>
  <c r="Z143" i="1"/>
  <c r="Z251" i="1"/>
  <c r="Z66" i="1"/>
  <c r="AA411" i="1"/>
  <c r="Z297" i="1"/>
  <c r="Z189" i="1"/>
  <c r="Z31" i="1"/>
  <c r="Z154" i="1"/>
  <c r="Z262" i="1"/>
  <c r="Z26" i="1"/>
  <c r="Z149" i="1"/>
  <c r="Z257" i="1"/>
  <c r="Z39" i="1"/>
  <c r="Z162" i="1"/>
  <c r="Z270" i="1"/>
  <c r="Z30" i="1"/>
  <c r="Z153" i="1"/>
  <c r="Z261" i="1"/>
  <c r="Z7" i="1"/>
  <c r="Z130" i="1"/>
  <c r="Z238" i="1"/>
  <c r="Z32" i="1"/>
  <c r="Z155" i="1"/>
  <c r="Z263" i="1"/>
  <c r="Z8" i="1"/>
  <c r="Z131" i="1"/>
  <c r="Z239" i="1"/>
  <c r="Z6" i="1"/>
  <c r="Z129" i="1"/>
  <c r="Z237" i="1"/>
  <c r="AA429" i="1"/>
  <c r="Z84" i="1"/>
  <c r="Z207" i="1"/>
  <c r="Z315" i="1"/>
  <c r="Z17" i="1"/>
  <c r="Z140" i="1"/>
  <c r="Z248" i="1"/>
  <c r="Z23" i="1"/>
  <c r="Z254" i="1"/>
  <c r="Z146" i="1"/>
  <c r="Z21" i="1"/>
  <c r="Z252" i="1"/>
  <c r="Z144" i="1"/>
  <c r="Z29" i="1"/>
  <c r="Z260" i="1"/>
  <c r="Z152" i="1"/>
  <c r="Z58" i="1"/>
  <c r="AA403" i="1"/>
  <c r="Z289" i="1"/>
  <c r="Z181" i="1"/>
  <c r="Z54" i="1"/>
  <c r="AA399" i="1"/>
  <c r="Z177" i="1"/>
  <c r="Z285" i="1"/>
  <c r="AA406" i="1"/>
  <c r="Z61" i="1"/>
  <c r="Z184" i="1"/>
  <c r="Z292" i="1"/>
  <c r="Z69" i="1"/>
  <c r="AA414" i="1"/>
  <c r="Z300" i="1"/>
  <c r="Z192" i="1"/>
  <c r="Z11" i="1"/>
  <c r="Z242" i="1"/>
  <c r="Z134" i="1"/>
  <c r="Z27" i="1"/>
  <c r="Z258" i="1"/>
  <c r="Z150" i="1"/>
  <c r="Z37" i="1"/>
  <c r="Z160" i="1"/>
  <c r="Z268" i="1"/>
  <c r="Z12" i="1"/>
  <c r="Z135" i="1"/>
  <c r="Z243" i="1"/>
  <c r="Z65" i="1"/>
  <c r="AA410" i="1"/>
  <c r="Z296" i="1"/>
  <c r="Z188" i="1"/>
  <c r="Z33" i="1"/>
  <c r="Z264" i="1"/>
  <c r="Z156" i="1"/>
  <c r="Z19" i="1"/>
  <c r="Z250" i="1"/>
  <c r="Z142" i="1"/>
  <c r="Z14" i="1"/>
  <c r="Z137" i="1"/>
  <c r="Z245" i="1"/>
  <c r="Z22" i="1"/>
  <c r="Z145" i="1"/>
  <c r="Z253" i="1"/>
  <c r="Z36" i="1"/>
  <c r="Z159" i="1"/>
  <c r="Z267" i="1"/>
  <c r="Z5" i="1"/>
  <c r="Z128" i="1"/>
  <c r="Z236" i="1"/>
  <c r="Z18" i="1"/>
  <c r="Z249" i="1"/>
  <c r="Z141" i="1"/>
  <c r="Z15" i="1"/>
  <c r="Z246" i="1"/>
  <c r="Z138" i="1"/>
  <c r="Z10" i="1"/>
  <c r="Z133" i="1"/>
  <c r="Z241" i="1"/>
  <c r="Z13" i="1"/>
  <c r="Z136" i="1"/>
  <c r="Z244" i="1"/>
  <c r="Z38" i="1"/>
  <c r="Z161" i="1"/>
  <c r="Z269" i="1"/>
  <c r="Z28" i="1"/>
  <c r="Z151" i="1"/>
  <c r="Z259" i="1"/>
  <c r="Z9" i="1"/>
  <c r="Z240" i="1"/>
  <c r="Z132" i="1"/>
  <c r="Z16" i="1"/>
  <c r="Z139" i="1"/>
  <c r="Z247" i="1"/>
  <c r="Z64" i="1"/>
  <c r="AA409" i="1"/>
  <c r="Z295" i="1"/>
  <c r="Z187" i="1"/>
  <c r="Z46" i="1"/>
  <c r="AA391" i="1"/>
  <c r="Z169" i="1"/>
  <c r="Z277" i="1"/>
  <c r="Z70" i="1"/>
  <c r="AA415" i="1"/>
  <c r="Z193" i="1"/>
  <c r="Z301" i="1"/>
  <c r="Z78" i="1"/>
  <c r="AA423" i="1"/>
  <c r="Z309" i="1"/>
  <c r="Z201" i="1"/>
  <c r="Z74" i="1"/>
  <c r="AA419" i="1"/>
  <c r="Z197" i="1"/>
  <c r="Z305" i="1"/>
  <c r="Z53" i="1"/>
  <c r="AA398" i="1"/>
  <c r="Z284" i="1"/>
  <c r="Z176" i="1"/>
  <c r="Z80" i="1"/>
  <c r="AA425" i="1"/>
  <c r="Z311" i="1"/>
  <c r="Z203" i="1"/>
  <c r="Z62" i="1"/>
  <c r="AA407" i="1"/>
  <c r="Z185" i="1"/>
  <c r="Z293" i="1"/>
  <c r="Z57" i="1"/>
  <c r="AA402" i="1"/>
  <c r="Z180" i="1"/>
  <c r="Z288" i="1"/>
  <c r="Z63" i="1"/>
  <c r="AA408" i="1"/>
  <c r="Z294" i="1"/>
  <c r="Z186" i="1"/>
  <c r="Z47" i="1"/>
  <c r="AA392" i="1"/>
  <c r="Z170" i="1"/>
  <c r="Z278" i="1"/>
  <c r="Z77" i="1"/>
  <c r="AA422" i="1"/>
  <c r="Z200" i="1"/>
  <c r="Z308" i="1"/>
  <c r="Z48" i="1"/>
  <c r="AA393" i="1"/>
  <c r="Z279" i="1"/>
  <c r="Z171" i="1"/>
  <c r="Z81" i="1"/>
  <c r="AA426" i="1"/>
  <c r="Z204" i="1"/>
  <c r="Z312" i="1"/>
  <c r="Z49" i="1"/>
  <c r="AA394" i="1"/>
  <c r="Z172" i="1"/>
  <c r="Z280" i="1"/>
  <c r="Z79" i="1"/>
  <c r="AA424" i="1"/>
  <c r="Z202" i="1"/>
  <c r="Z310" i="1"/>
  <c r="AA396" i="1"/>
  <c r="Z51" i="1"/>
  <c r="Z282" i="1"/>
  <c r="Z174" i="1"/>
  <c r="AA404" i="1"/>
  <c r="Z59" i="1"/>
  <c r="Z182" i="1"/>
  <c r="Z290" i="1"/>
  <c r="Z71" i="1"/>
  <c r="AA416" i="1"/>
  <c r="Z194" i="1"/>
  <c r="Z302" i="1"/>
  <c r="AA420" i="1"/>
  <c r="Z75" i="1"/>
  <c r="Z306" i="1"/>
  <c r="Z198" i="1"/>
  <c r="AA400" i="1"/>
  <c r="Z55" i="1"/>
  <c r="Z286" i="1"/>
  <c r="Z178" i="1"/>
  <c r="Z85" i="1"/>
  <c r="AA430" i="1"/>
  <c r="Z316" i="1"/>
  <c r="Z208" i="1"/>
  <c r="Z83" i="1"/>
  <c r="AA428" i="1"/>
  <c r="Z314" i="1"/>
  <c r="Z206" i="1"/>
  <c r="Z73" i="1"/>
  <c r="AA418" i="1"/>
  <c r="Z196" i="1"/>
  <c r="Z304" i="1"/>
  <c r="Z72" i="1"/>
  <c r="AA417" i="1"/>
  <c r="Z303" i="1"/>
  <c r="Z195" i="1"/>
  <c r="AA412" i="1"/>
  <c r="Z67" i="1"/>
  <c r="Z190" i="1"/>
  <c r="Z298" i="1"/>
  <c r="W440" i="1"/>
  <c r="X318" i="1"/>
  <c r="AA336" i="1"/>
  <c r="AA345" i="1" s="1"/>
  <c r="Z432" i="1"/>
  <c r="Z433" i="1" s="1"/>
  <c r="AA376" i="1"/>
  <c r="AA363" i="1"/>
  <c r="AA379" i="1"/>
  <c r="AA360" i="1"/>
  <c r="AA356" i="1"/>
  <c r="AA355" i="1"/>
  <c r="AA371" i="1"/>
  <c r="AA358" i="1"/>
  <c r="AA372" i="1"/>
  <c r="AA383" i="1"/>
  <c r="AA384" i="1"/>
  <c r="AA373" i="1"/>
  <c r="AA382" i="1"/>
  <c r="AA354" i="1"/>
  <c r="AA357" i="1"/>
  <c r="AA361" i="1"/>
  <c r="AA375" i="1"/>
  <c r="AA362" i="1"/>
  <c r="AA378" i="1"/>
  <c r="AA370" i="1"/>
  <c r="AA352" i="1"/>
  <c r="AA368" i="1"/>
  <c r="AA364" i="1"/>
  <c r="AA365" i="1"/>
  <c r="AA377" i="1"/>
  <c r="AA366" i="1"/>
  <c r="AA359" i="1"/>
  <c r="AA374" i="1"/>
  <c r="AA353" i="1"/>
  <c r="AA367" i="1"/>
  <c r="AA380" i="1"/>
  <c r="AA351" i="1"/>
  <c r="AA381" i="1"/>
  <c r="L48" i="19"/>
  <c r="AA19" i="7"/>
  <c r="AA31" i="7"/>
  <c r="AA42" i="7"/>
  <c r="AA20" i="7"/>
  <c r="AA32" i="7"/>
  <c r="AA43" i="7"/>
  <c r="L73" i="8"/>
  <c r="AA21" i="7"/>
  <c r="AA33" i="7"/>
  <c r="Z49" i="7"/>
  <c r="M73" i="8" s="1"/>
  <c r="Z38" i="7"/>
  <c r="M46" i="8" s="1"/>
  <c r="AB25" i="7"/>
  <c r="AA48" i="7"/>
  <c r="AA37" i="7"/>
  <c r="AA45" i="7"/>
  <c r="AA34" i="7"/>
  <c r="B35" i="22"/>
  <c r="C35" i="22"/>
  <c r="Z26" i="7"/>
  <c r="AB22" i="7"/>
  <c r="AB44" i="7"/>
  <c r="AB46" i="7"/>
  <c r="AB54" i="7"/>
  <c r="AB62" i="7"/>
  <c r="X210" i="1"/>
  <c r="Z124" i="1"/>
  <c r="Z441" i="1" s="1"/>
  <c r="AA350" i="1"/>
  <c r="E90" i="14" l="1"/>
  <c r="F84" i="14"/>
  <c r="F86" i="14" s="1"/>
  <c r="L124" i="19"/>
  <c r="AB18" i="7"/>
  <c r="AB30" i="7"/>
  <c r="M9" i="19"/>
  <c r="M19" i="8"/>
  <c r="Z442" i="1"/>
  <c r="Z443" i="1"/>
  <c r="J102" i="3"/>
  <c r="AB23" i="7"/>
  <c r="AB35" i="7"/>
  <c r="R30" i="14"/>
  <c r="R59" i="14"/>
  <c r="S4" i="14"/>
  <c r="S88" i="14" s="1"/>
  <c r="AA36" i="1"/>
  <c r="AA267" i="1"/>
  <c r="AA159" i="1"/>
  <c r="AA23" i="1"/>
  <c r="AA146" i="1"/>
  <c r="AA254" i="1"/>
  <c r="AA12" i="1"/>
  <c r="AA135" i="1"/>
  <c r="AA243" i="1"/>
  <c r="AA26" i="1"/>
  <c r="AA149" i="1"/>
  <c r="AA257" i="1"/>
  <c r="AA34" i="1"/>
  <c r="AA157" i="1"/>
  <c r="AA265" i="1"/>
  <c r="AA73" i="1"/>
  <c r="AB418" i="1"/>
  <c r="AA196" i="1"/>
  <c r="AA304" i="1"/>
  <c r="AA85" i="1"/>
  <c r="AB430" i="1"/>
  <c r="AA208" i="1"/>
  <c r="AA316" i="1"/>
  <c r="AA71" i="1"/>
  <c r="AB416" i="1"/>
  <c r="AA194" i="1"/>
  <c r="AA302" i="1"/>
  <c r="AA49" i="1"/>
  <c r="AB394" i="1"/>
  <c r="AA280" i="1"/>
  <c r="AA172" i="1"/>
  <c r="AA77" i="1"/>
  <c r="AB422" i="1"/>
  <c r="AA200" i="1"/>
  <c r="AA308" i="1"/>
  <c r="AA57" i="1"/>
  <c r="AB402" i="1"/>
  <c r="AA288" i="1"/>
  <c r="AA180" i="1"/>
  <c r="AA80" i="1"/>
  <c r="AB425" i="1"/>
  <c r="AA311" i="1"/>
  <c r="AA203" i="1"/>
  <c r="AA74" i="1"/>
  <c r="AB419" i="1"/>
  <c r="AA197" i="1"/>
  <c r="AA305" i="1"/>
  <c r="AA70" i="1"/>
  <c r="AB415" i="1"/>
  <c r="AA193" i="1"/>
  <c r="AA301" i="1"/>
  <c r="AA46" i="1"/>
  <c r="AB391" i="1"/>
  <c r="AA277" i="1"/>
  <c r="AA169" i="1"/>
  <c r="AB406" i="1"/>
  <c r="AA61" i="1"/>
  <c r="AA292" i="1"/>
  <c r="AA184" i="1"/>
  <c r="AA84" i="1"/>
  <c r="AB429" i="1"/>
  <c r="AA315" i="1"/>
  <c r="AA207" i="1"/>
  <c r="AA8" i="1"/>
  <c r="AA131" i="1"/>
  <c r="AA239" i="1"/>
  <c r="AA7" i="1"/>
  <c r="AA130" i="1"/>
  <c r="AA238" i="1"/>
  <c r="AA9" i="1"/>
  <c r="AA240" i="1"/>
  <c r="AA132" i="1"/>
  <c r="AA18" i="1"/>
  <c r="AA141" i="1"/>
  <c r="AA249" i="1"/>
  <c r="AA67" i="1"/>
  <c r="AB412" i="1"/>
  <c r="AA190" i="1"/>
  <c r="AA298" i="1"/>
  <c r="Z87" i="1"/>
  <c r="AA76" i="1"/>
  <c r="AB421" i="1"/>
  <c r="AA199" i="1"/>
  <c r="AA307" i="1"/>
  <c r="AA60" i="1"/>
  <c r="AB405" i="1"/>
  <c r="AA291" i="1"/>
  <c r="AA183" i="1"/>
  <c r="AA50" i="1"/>
  <c r="AB395" i="1"/>
  <c r="AA173" i="1"/>
  <c r="AA281" i="1"/>
  <c r="AA21" i="1"/>
  <c r="AA252" i="1"/>
  <c r="AA144" i="1"/>
  <c r="AA39" i="1"/>
  <c r="AA270" i="1"/>
  <c r="AA162" i="1"/>
  <c r="AA48" i="1"/>
  <c r="AB393" i="1"/>
  <c r="AA171" i="1"/>
  <c r="AA279" i="1"/>
  <c r="AA32" i="1"/>
  <c r="AA263" i="1"/>
  <c r="AA155" i="1"/>
  <c r="AA38" i="1"/>
  <c r="AA161" i="1"/>
  <c r="AA269" i="1"/>
  <c r="AB400" i="1"/>
  <c r="AA55" i="1"/>
  <c r="AA178" i="1"/>
  <c r="AA286" i="1"/>
  <c r="AB404" i="1"/>
  <c r="AA59" i="1"/>
  <c r="AA290" i="1"/>
  <c r="AA182" i="1"/>
  <c r="AA5" i="1"/>
  <c r="AA236" i="1"/>
  <c r="AA128" i="1"/>
  <c r="AA25" i="1"/>
  <c r="AA256" i="1"/>
  <c r="AA148" i="1"/>
  <c r="AA82" i="1"/>
  <c r="AB427" i="1"/>
  <c r="AA205" i="1"/>
  <c r="AA313" i="1"/>
  <c r="AB401" i="1"/>
  <c r="AA56" i="1"/>
  <c r="AA179" i="1"/>
  <c r="AA287" i="1"/>
  <c r="AA22" i="1"/>
  <c r="AA145" i="1"/>
  <c r="AA253" i="1"/>
  <c r="AA17" i="1"/>
  <c r="AA248" i="1"/>
  <c r="AA140" i="1"/>
  <c r="AA72" i="1"/>
  <c r="AB417" i="1"/>
  <c r="AA303" i="1"/>
  <c r="AA195" i="1"/>
  <c r="AA83" i="1"/>
  <c r="AB428" i="1"/>
  <c r="AA206" i="1"/>
  <c r="AA314" i="1"/>
  <c r="AA79" i="1"/>
  <c r="AB424" i="1"/>
  <c r="AA202" i="1"/>
  <c r="AA310" i="1"/>
  <c r="AA81" i="1"/>
  <c r="AB426" i="1"/>
  <c r="AA312" i="1"/>
  <c r="AA204" i="1"/>
  <c r="AA47" i="1"/>
  <c r="AB392" i="1"/>
  <c r="AA170" i="1"/>
  <c r="AA278" i="1"/>
  <c r="AA63" i="1"/>
  <c r="AB408" i="1"/>
  <c r="AA294" i="1"/>
  <c r="AA186" i="1"/>
  <c r="AA62" i="1"/>
  <c r="AB407" i="1"/>
  <c r="AA185" i="1"/>
  <c r="AA293" i="1"/>
  <c r="AA53" i="1"/>
  <c r="AB398" i="1"/>
  <c r="AA176" i="1"/>
  <c r="AA284" i="1"/>
  <c r="AA78" i="1"/>
  <c r="AB423" i="1"/>
  <c r="AA201" i="1"/>
  <c r="AA309" i="1"/>
  <c r="AA64" i="1"/>
  <c r="AB409" i="1"/>
  <c r="AA187" i="1"/>
  <c r="AA295" i="1"/>
  <c r="AA10" i="1"/>
  <c r="AA241" i="1"/>
  <c r="AA133" i="1"/>
  <c r="AA75" i="1"/>
  <c r="AB420" i="1"/>
  <c r="AA198" i="1"/>
  <c r="AA306" i="1"/>
  <c r="AA51" i="1"/>
  <c r="AB396" i="1"/>
  <c r="AA282" i="1"/>
  <c r="AA174" i="1"/>
  <c r="AA6" i="1"/>
  <c r="AA129" i="1"/>
  <c r="AA237" i="1"/>
  <c r="AA29" i="1"/>
  <c r="AA260" i="1"/>
  <c r="AA152" i="1"/>
  <c r="AA20" i="1"/>
  <c r="AA143" i="1"/>
  <c r="AA251" i="1"/>
  <c r="AA30" i="1"/>
  <c r="AA153" i="1"/>
  <c r="AA261" i="1"/>
  <c r="AA37" i="1"/>
  <c r="AA268" i="1"/>
  <c r="AA160" i="1"/>
  <c r="AA27" i="1"/>
  <c r="AA150" i="1"/>
  <c r="AA258" i="1"/>
  <c r="AA11" i="1"/>
  <c r="AA134" i="1"/>
  <c r="AA242" i="1"/>
  <c r="AA31" i="1"/>
  <c r="AA154" i="1"/>
  <c r="AA262" i="1"/>
  <c r="AA35" i="1"/>
  <c r="AA158" i="1"/>
  <c r="AA266" i="1"/>
  <c r="AA14" i="1"/>
  <c r="AA137" i="1"/>
  <c r="AA245" i="1"/>
  <c r="AA19" i="1"/>
  <c r="AA142" i="1"/>
  <c r="AA250" i="1"/>
  <c r="AA33" i="1"/>
  <c r="AA264" i="1"/>
  <c r="AA156" i="1"/>
  <c r="AA16" i="1"/>
  <c r="AA139" i="1"/>
  <c r="AA247" i="1"/>
  <c r="AA28" i="1"/>
  <c r="AA259" i="1"/>
  <c r="AA151" i="1"/>
  <c r="AA13" i="1"/>
  <c r="AA244" i="1"/>
  <c r="AA136" i="1"/>
  <c r="AA15" i="1"/>
  <c r="AA138" i="1"/>
  <c r="AA246" i="1"/>
  <c r="AA65" i="1"/>
  <c r="AB410" i="1"/>
  <c r="AA296" i="1"/>
  <c r="AA188" i="1"/>
  <c r="AA69" i="1"/>
  <c r="AB414" i="1"/>
  <c r="AA192" i="1"/>
  <c r="AA300" i="1"/>
  <c r="AB399" i="1"/>
  <c r="AA54" i="1"/>
  <c r="AA177" i="1"/>
  <c r="AA285" i="1"/>
  <c r="AB403" i="1"/>
  <c r="AA58" i="1"/>
  <c r="AA181" i="1"/>
  <c r="AA289" i="1"/>
  <c r="AA66" i="1"/>
  <c r="AB411" i="1"/>
  <c r="AA189" i="1"/>
  <c r="AA297" i="1"/>
  <c r="AB397" i="1"/>
  <c r="AA52" i="1"/>
  <c r="AA175" i="1"/>
  <c r="AA283" i="1"/>
  <c r="X440" i="1"/>
  <c r="Y318" i="1"/>
  <c r="AB336" i="1"/>
  <c r="AB345" i="1" s="1"/>
  <c r="AA432" i="1"/>
  <c r="AA433" i="1" s="1"/>
  <c r="AB353" i="1"/>
  <c r="AB359" i="1"/>
  <c r="AB364" i="1"/>
  <c r="AB352" i="1"/>
  <c r="AB378" i="1"/>
  <c r="AB361" i="1"/>
  <c r="AB354" i="1"/>
  <c r="AB373" i="1"/>
  <c r="AB383" i="1"/>
  <c r="AB358" i="1"/>
  <c r="AB355" i="1"/>
  <c r="AB360" i="1"/>
  <c r="AB363" i="1"/>
  <c r="AB380" i="1"/>
  <c r="AB377" i="1"/>
  <c r="AB381" i="1"/>
  <c r="AB351" i="1"/>
  <c r="AB367" i="1"/>
  <c r="AB374" i="1"/>
  <c r="AB366" i="1"/>
  <c r="AB365" i="1"/>
  <c r="AB368" i="1"/>
  <c r="AB370" i="1"/>
  <c r="AB362" i="1"/>
  <c r="AB375" i="1"/>
  <c r="AB357" i="1"/>
  <c r="AB382" i="1"/>
  <c r="AB384" i="1"/>
  <c r="AB372" i="1"/>
  <c r="AB371" i="1"/>
  <c r="AB356" i="1"/>
  <c r="AB379" i="1"/>
  <c r="AB376" i="1"/>
  <c r="AB43" i="7"/>
  <c r="AB20" i="7"/>
  <c r="AB32" i="7"/>
  <c r="AB42" i="7"/>
  <c r="AB19" i="7"/>
  <c r="AB31" i="7"/>
  <c r="Z318" i="1"/>
  <c r="M87" i="19"/>
  <c r="AB21" i="7"/>
  <c r="AB33" i="7"/>
  <c r="M48" i="19"/>
  <c r="AA49" i="7"/>
  <c r="N87" i="19" s="1"/>
  <c r="AA38" i="7"/>
  <c r="N46" i="8" s="1"/>
  <c r="AB48" i="7"/>
  <c r="AB37" i="7"/>
  <c r="AB45" i="7"/>
  <c r="AB34" i="7"/>
  <c r="C36" i="22"/>
  <c r="B36" i="22"/>
  <c r="AA26" i="7"/>
  <c r="Y210" i="1"/>
  <c r="AB350" i="1"/>
  <c r="AA124" i="1"/>
  <c r="AA441" i="1" s="1"/>
  <c r="F90" i="14" l="1"/>
  <c r="G84" i="14"/>
  <c r="G86" i="14" s="1"/>
  <c r="M124" i="19"/>
  <c r="N9" i="19"/>
  <c r="N19" i="8"/>
  <c r="AA442" i="1"/>
  <c r="AA443" i="1"/>
  <c r="AB443" i="1"/>
  <c r="K102" i="3"/>
  <c r="S30" i="14"/>
  <c r="S59" i="14"/>
  <c r="T4" i="14"/>
  <c r="T88" i="14" s="1"/>
  <c r="AB5" i="1"/>
  <c r="AB128" i="1"/>
  <c r="AB236" i="1"/>
  <c r="AB39" i="1"/>
  <c r="AB270" i="1"/>
  <c r="AB162" i="1"/>
  <c r="AB21" i="1"/>
  <c r="AB144" i="1"/>
  <c r="AB252" i="1"/>
  <c r="AB18" i="1"/>
  <c r="AB141" i="1"/>
  <c r="AB249" i="1"/>
  <c r="AB38" i="1"/>
  <c r="AB161" i="1"/>
  <c r="AB269" i="1"/>
  <c r="AB33" i="1"/>
  <c r="AB264" i="1"/>
  <c r="AB156" i="1"/>
  <c r="AB8" i="1"/>
  <c r="AB239" i="1"/>
  <c r="AB131" i="1"/>
  <c r="AB54" i="1"/>
  <c r="AB285" i="1"/>
  <c r="AB177" i="1"/>
  <c r="AB51" i="1"/>
  <c r="AB174" i="1"/>
  <c r="AB282" i="1"/>
  <c r="AB59" i="1"/>
  <c r="AB182" i="1"/>
  <c r="AB290" i="1"/>
  <c r="AB48" i="1"/>
  <c r="AB279" i="1"/>
  <c r="AB171" i="1"/>
  <c r="AA87" i="1"/>
  <c r="AB37" i="1"/>
  <c r="AB160" i="1"/>
  <c r="AB268" i="1"/>
  <c r="AB29" i="1"/>
  <c r="AB260" i="1"/>
  <c r="AB152" i="1"/>
  <c r="AB32" i="1"/>
  <c r="AB155" i="1"/>
  <c r="AB263" i="1"/>
  <c r="AB28" i="1"/>
  <c r="AB151" i="1"/>
  <c r="AB259" i="1"/>
  <c r="AB7" i="1"/>
  <c r="AB238" i="1"/>
  <c r="AB130" i="1"/>
  <c r="AB82" i="1"/>
  <c r="AB313" i="1"/>
  <c r="AB205" i="1"/>
  <c r="AB56" i="1"/>
  <c r="AB287" i="1"/>
  <c r="AB179" i="1"/>
  <c r="AB50" i="1"/>
  <c r="AB281" i="1"/>
  <c r="AB173" i="1"/>
  <c r="AB60" i="1"/>
  <c r="AB291" i="1"/>
  <c r="AB183" i="1"/>
  <c r="AB76" i="1"/>
  <c r="AB307" i="1"/>
  <c r="AB199" i="1"/>
  <c r="AB34" i="1"/>
  <c r="AB157" i="1"/>
  <c r="AB265" i="1"/>
  <c r="AB17" i="1"/>
  <c r="AB248" i="1"/>
  <c r="AB140" i="1"/>
  <c r="AB36" i="1"/>
  <c r="AB159" i="1"/>
  <c r="AB267" i="1"/>
  <c r="AB52" i="1"/>
  <c r="AB175" i="1"/>
  <c r="AB283" i="1"/>
  <c r="AB58" i="1"/>
  <c r="AB181" i="1"/>
  <c r="AB289" i="1"/>
  <c r="AB75" i="1"/>
  <c r="AB198" i="1"/>
  <c r="AB306" i="1"/>
  <c r="AB55" i="1"/>
  <c r="AB286" i="1"/>
  <c r="AB178" i="1"/>
  <c r="AB61" i="1"/>
  <c r="AB292" i="1"/>
  <c r="AB184" i="1"/>
  <c r="AB11" i="1"/>
  <c r="AB242" i="1"/>
  <c r="AB134" i="1"/>
  <c r="AB25" i="1"/>
  <c r="AB256" i="1"/>
  <c r="AB148" i="1"/>
  <c r="AB15" i="1"/>
  <c r="AB246" i="1"/>
  <c r="AB138" i="1"/>
  <c r="AB432" i="1"/>
  <c r="AB433" i="1" s="1"/>
  <c r="AB26" i="1"/>
  <c r="AB149" i="1"/>
  <c r="AB257" i="1"/>
  <c r="AB12" i="1"/>
  <c r="AB243" i="1"/>
  <c r="AB135" i="1"/>
  <c r="AB23" i="1"/>
  <c r="AB254" i="1"/>
  <c r="AB146" i="1"/>
  <c r="AB22" i="1"/>
  <c r="AB145" i="1"/>
  <c r="AB253" i="1"/>
  <c r="AB35" i="1"/>
  <c r="AB266" i="1"/>
  <c r="AB158" i="1"/>
  <c r="AB10" i="1"/>
  <c r="AB133" i="1"/>
  <c r="AB241" i="1"/>
  <c r="AB9" i="1"/>
  <c r="AB132" i="1"/>
  <c r="AB240" i="1"/>
  <c r="AB19" i="1"/>
  <c r="AB250" i="1"/>
  <c r="AB142" i="1"/>
  <c r="AB31" i="1"/>
  <c r="AB262" i="1"/>
  <c r="AB154" i="1"/>
  <c r="AB27" i="1"/>
  <c r="AB258" i="1"/>
  <c r="AB150" i="1"/>
  <c r="AB30" i="1"/>
  <c r="AB153" i="1"/>
  <c r="AB261" i="1"/>
  <c r="AB20" i="1"/>
  <c r="AB251" i="1"/>
  <c r="AB143" i="1"/>
  <c r="AB6" i="1"/>
  <c r="AB129" i="1"/>
  <c r="AB237" i="1"/>
  <c r="AB13" i="1"/>
  <c r="AB244" i="1"/>
  <c r="AB136" i="1"/>
  <c r="AB16" i="1"/>
  <c r="AB247" i="1"/>
  <c r="AB139" i="1"/>
  <c r="AB14" i="1"/>
  <c r="AB137" i="1"/>
  <c r="AB245" i="1"/>
  <c r="AB66" i="1"/>
  <c r="AB189" i="1"/>
  <c r="AB297" i="1"/>
  <c r="AB69" i="1"/>
  <c r="AB192" i="1"/>
  <c r="AB300" i="1"/>
  <c r="AB65" i="1"/>
  <c r="AB188" i="1"/>
  <c r="AB296" i="1"/>
  <c r="AB64" i="1"/>
  <c r="AB187" i="1"/>
  <c r="AB295" i="1"/>
  <c r="AB78" i="1"/>
  <c r="AB201" i="1"/>
  <c r="AB309" i="1"/>
  <c r="AB53" i="1"/>
  <c r="AB284" i="1"/>
  <c r="AB176" i="1"/>
  <c r="AB62" i="1"/>
  <c r="AB293" i="1"/>
  <c r="AB185" i="1"/>
  <c r="AB63" i="1"/>
  <c r="AB186" i="1"/>
  <c r="AB294" i="1"/>
  <c r="AB47" i="1"/>
  <c r="AB278" i="1"/>
  <c r="AB170" i="1"/>
  <c r="AB81" i="1"/>
  <c r="AB312" i="1"/>
  <c r="AB204" i="1"/>
  <c r="AB79" i="1"/>
  <c r="AB310" i="1"/>
  <c r="AB202" i="1"/>
  <c r="AB83" i="1"/>
  <c r="AB314" i="1"/>
  <c r="AB206" i="1"/>
  <c r="AB72" i="1"/>
  <c r="AB195" i="1"/>
  <c r="AB303" i="1"/>
  <c r="AB67" i="1"/>
  <c r="AB298" i="1"/>
  <c r="AB190" i="1"/>
  <c r="AB84" i="1"/>
  <c r="AB207" i="1"/>
  <c r="AB315" i="1"/>
  <c r="AB46" i="1"/>
  <c r="AB277" i="1"/>
  <c r="AB169" i="1"/>
  <c r="AB70" i="1"/>
  <c r="AB193" i="1"/>
  <c r="AB301" i="1"/>
  <c r="AB74" i="1"/>
  <c r="AB305" i="1"/>
  <c r="AB197" i="1"/>
  <c r="AB80" i="1"/>
  <c r="AB311" i="1"/>
  <c r="AB203" i="1"/>
  <c r="AB57" i="1"/>
  <c r="AB180" i="1"/>
  <c r="AB288" i="1"/>
  <c r="AB77" i="1"/>
  <c r="AB200" i="1"/>
  <c r="AB308" i="1"/>
  <c r="AB49" i="1"/>
  <c r="AB280" i="1"/>
  <c r="AB172" i="1"/>
  <c r="AB71" i="1"/>
  <c r="AB302" i="1"/>
  <c r="AB194" i="1"/>
  <c r="AB85" i="1"/>
  <c r="AB208" i="1"/>
  <c r="AB316" i="1"/>
  <c r="AB73" i="1"/>
  <c r="AB304" i="1"/>
  <c r="AB196" i="1"/>
  <c r="Y440" i="1"/>
  <c r="N48" i="19"/>
  <c r="AA318" i="1"/>
  <c r="N73" i="8"/>
  <c r="AB49" i="7"/>
  <c r="O73" i="8" s="1"/>
  <c r="B37" i="22"/>
  <c r="C37" i="22"/>
  <c r="AB26" i="7"/>
  <c r="AB38" i="7"/>
  <c r="O46" i="8" s="1"/>
  <c r="Z210" i="1"/>
  <c r="AB124" i="1"/>
  <c r="AB441" i="1" s="1"/>
  <c r="H84" i="14" l="1"/>
  <c r="H86" i="14" s="1"/>
  <c r="N124" i="19"/>
  <c r="G90" i="14"/>
  <c r="O9" i="19"/>
  <c r="O19" i="8"/>
  <c r="AB442" i="1"/>
  <c r="Z440" i="1"/>
  <c r="L102" i="3"/>
  <c r="T59" i="14"/>
  <c r="T30" i="14"/>
  <c r="U4" i="14"/>
  <c r="U88" i="14" s="1"/>
  <c r="AB87" i="1"/>
  <c r="O48" i="19"/>
  <c r="AB318" i="1"/>
  <c r="O87" i="19"/>
  <c r="B38" i="22"/>
  <c r="C38" i="22"/>
  <c r="AA210" i="1"/>
  <c r="H90" i="14" l="1"/>
  <c r="I84" i="14"/>
  <c r="I86" i="14" s="1"/>
  <c r="O124" i="19"/>
  <c r="AA440" i="1"/>
  <c r="M102" i="3"/>
  <c r="U59" i="14"/>
  <c r="U30" i="14"/>
  <c r="V4" i="14"/>
  <c r="V88" i="14" s="1"/>
  <c r="B39" i="22"/>
  <c r="C39" i="22"/>
  <c r="AB210" i="1"/>
  <c r="J84" i="14" l="1"/>
  <c r="J86" i="14" s="1"/>
  <c r="I90" i="14"/>
  <c r="AB440" i="1"/>
  <c r="N102" i="3"/>
  <c r="V30" i="14"/>
  <c r="V59" i="14"/>
  <c r="W4" i="14"/>
  <c r="W88" i="14" s="1"/>
  <c r="C40" i="22"/>
  <c r="B40" i="22"/>
  <c r="J90" i="14" l="1"/>
  <c r="K84" i="14"/>
  <c r="K86" i="14" s="1"/>
  <c r="P102" i="3"/>
  <c r="O102" i="3"/>
  <c r="W30" i="14"/>
  <c r="W59" i="14"/>
  <c r="X4" i="14"/>
  <c r="X88" i="14" s="1"/>
  <c r="B41" i="22"/>
  <c r="C41" i="22"/>
  <c r="K90" i="14" l="1"/>
  <c r="L84" i="14"/>
  <c r="X30" i="14"/>
  <c r="X59" i="14"/>
  <c r="Y4" i="14"/>
  <c r="Y88" i="14" s="1"/>
  <c r="B42" i="22"/>
  <c r="C42" i="22"/>
  <c r="D9" i="4"/>
  <c r="E9" i="4"/>
  <c r="F9" i="4"/>
  <c r="G9" i="4"/>
  <c r="H9" i="4"/>
  <c r="I9" i="4"/>
  <c r="J9" i="4"/>
  <c r="K9" i="4"/>
  <c r="L9" i="4"/>
  <c r="L86" i="14" l="1"/>
  <c r="Y30" i="14"/>
  <c r="Y59" i="14"/>
  <c r="Z4" i="14"/>
  <c r="Z88" i="14" s="1"/>
  <c r="B43" i="22"/>
  <c r="C43" i="2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H16" i="2" s="1"/>
  <c r="G7" i="2"/>
  <c r="F7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H15" i="2" s="1"/>
  <c r="G6" i="2"/>
  <c r="F6" i="2"/>
  <c r="I11" i="2" l="1"/>
  <c r="C6" i="2"/>
  <c r="M84" i="14"/>
  <c r="M86" i="14" s="1"/>
  <c r="L90" i="14"/>
  <c r="Z30" i="14"/>
  <c r="Z59" i="14"/>
  <c r="AA4" i="14"/>
  <c r="AA88" i="14" s="1"/>
  <c r="H37" i="2"/>
  <c r="H26" i="2"/>
  <c r="H11" i="2"/>
  <c r="L37" i="2"/>
  <c r="L26" i="2"/>
  <c r="L15" i="2"/>
  <c r="L11" i="2"/>
  <c r="H27" i="2"/>
  <c r="H38" i="2"/>
  <c r="P38" i="2"/>
  <c r="P27" i="2"/>
  <c r="P16" i="2"/>
  <c r="F39" i="2"/>
  <c r="F28" i="2"/>
  <c r="F17" i="2"/>
  <c r="R39" i="2"/>
  <c r="R28" i="2"/>
  <c r="R17" i="2"/>
  <c r="I37" i="2"/>
  <c r="I26" i="2"/>
  <c r="I15" i="2"/>
  <c r="M11" i="2"/>
  <c r="M37" i="2"/>
  <c r="M26" i="2"/>
  <c r="M15" i="2"/>
  <c r="Q11" i="2"/>
  <c r="Q15" i="2"/>
  <c r="Q37" i="2"/>
  <c r="Q26" i="2"/>
  <c r="U11" i="2"/>
  <c r="U37" i="2"/>
  <c r="U26" i="2"/>
  <c r="U15" i="2"/>
  <c r="I38" i="2"/>
  <c r="I27" i="2"/>
  <c r="I16" i="2"/>
  <c r="M38" i="2"/>
  <c r="M27" i="2"/>
  <c r="M16" i="2"/>
  <c r="Q38" i="2"/>
  <c r="Q27" i="2"/>
  <c r="Q16" i="2"/>
  <c r="U38" i="2"/>
  <c r="U27" i="2"/>
  <c r="U16" i="2"/>
  <c r="G39" i="2"/>
  <c r="G28" i="2"/>
  <c r="G17" i="2"/>
  <c r="K17" i="2"/>
  <c r="K39" i="2"/>
  <c r="K28" i="2"/>
  <c r="O39" i="2"/>
  <c r="O28" i="2"/>
  <c r="O17" i="2"/>
  <c r="S17" i="2"/>
  <c r="S39" i="2"/>
  <c r="S28" i="2"/>
  <c r="T37" i="2"/>
  <c r="T26" i="2"/>
  <c r="T15" i="2"/>
  <c r="T11" i="2"/>
  <c r="J39" i="2"/>
  <c r="J28" i="2"/>
  <c r="J17" i="2"/>
  <c r="J37" i="2"/>
  <c r="J26" i="2"/>
  <c r="J15" i="2"/>
  <c r="J11" i="2"/>
  <c r="N37" i="2"/>
  <c r="N26" i="2"/>
  <c r="N15" i="2"/>
  <c r="N11" i="2"/>
  <c r="R37" i="2"/>
  <c r="R26" i="2"/>
  <c r="R15" i="2"/>
  <c r="R11" i="2"/>
  <c r="F38" i="2"/>
  <c r="F27" i="2"/>
  <c r="F16" i="2"/>
  <c r="J38" i="2"/>
  <c r="J27" i="2"/>
  <c r="J16" i="2"/>
  <c r="N38" i="2"/>
  <c r="N27" i="2"/>
  <c r="N16" i="2"/>
  <c r="R38" i="2"/>
  <c r="R27" i="2"/>
  <c r="R16" i="2"/>
  <c r="V11" i="2"/>
  <c r="V38" i="2"/>
  <c r="V27" i="2"/>
  <c r="V16" i="2"/>
  <c r="H39" i="2"/>
  <c r="H28" i="2"/>
  <c r="H17" i="2"/>
  <c r="L39" i="2"/>
  <c r="L28" i="2"/>
  <c r="L17" i="2"/>
  <c r="P39" i="2"/>
  <c r="P28" i="2"/>
  <c r="P17" i="2"/>
  <c r="P37" i="2"/>
  <c r="P26" i="2"/>
  <c r="P15" i="2"/>
  <c r="P11" i="2"/>
  <c r="L16" i="2"/>
  <c r="L27" i="2"/>
  <c r="L38" i="2"/>
  <c r="T16" i="2"/>
  <c r="T38" i="2"/>
  <c r="T27" i="2"/>
  <c r="N39" i="2"/>
  <c r="N28" i="2"/>
  <c r="N17" i="2"/>
  <c r="F37" i="2"/>
  <c r="F26" i="2"/>
  <c r="F11" i="2"/>
  <c r="F15" i="2"/>
  <c r="G37" i="2"/>
  <c r="G26" i="2"/>
  <c r="G15" i="2"/>
  <c r="G11" i="2"/>
  <c r="K37" i="2"/>
  <c r="K26" i="2"/>
  <c r="K15" i="2"/>
  <c r="K11" i="2"/>
  <c r="O37" i="2"/>
  <c r="O26" i="2"/>
  <c r="O15" i="2"/>
  <c r="O11" i="2"/>
  <c r="S37" i="2"/>
  <c r="S26" i="2"/>
  <c r="S15" i="2"/>
  <c r="S11" i="2"/>
  <c r="G38" i="2"/>
  <c r="G27" i="2"/>
  <c r="G16" i="2"/>
  <c r="K38" i="2"/>
  <c r="K27" i="2"/>
  <c r="K16" i="2"/>
  <c r="O38" i="2"/>
  <c r="O27" i="2"/>
  <c r="O16" i="2"/>
  <c r="S38" i="2"/>
  <c r="S27" i="2"/>
  <c r="S16" i="2"/>
  <c r="W38" i="2"/>
  <c r="W27" i="2"/>
  <c r="W16" i="2"/>
  <c r="W11" i="2"/>
  <c r="I39" i="2"/>
  <c r="I28" i="2"/>
  <c r="I17" i="2"/>
  <c r="M39" i="2"/>
  <c r="M28" i="2"/>
  <c r="M17" i="2"/>
  <c r="Q39" i="2"/>
  <c r="Q28" i="2"/>
  <c r="Q17" i="2"/>
  <c r="C44" i="22"/>
  <c r="B44" i="22"/>
  <c r="C8" i="2"/>
  <c r="C7" i="2"/>
  <c r="S454" i="1" l="1"/>
  <c r="F48" i="2"/>
  <c r="V48" i="2"/>
  <c r="P48" i="2"/>
  <c r="Q123" i="16" s="1"/>
  <c r="N84" i="14"/>
  <c r="N86" i="14" s="1"/>
  <c r="O84" i="14" s="1"/>
  <c r="M90" i="14"/>
  <c r="AA30" i="14"/>
  <c r="AA59" i="14"/>
  <c r="AB4" i="14"/>
  <c r="AB88" i="14" s="1"/>
  <c r="T48" i="2"/>
  <c r="Q32" i="2"/>
  <c r="Q33" i="2"/>
  <c r="N39" i="8" s="1"/>
  <c r="H48" i="2"/>
  <c r="W32" i="2"/>
  <c r="W33" i="2"/>
  <c r="S32" i="2"/>
  <c r="S33" i="2"/>
  <c r="O32" i="2"/>
  <c r="O33" i="2"/>
  <c r="L39" i="8" s="1"/>
  <c r="K32" i="2"/>
  <c r="K33" i="2"/>
  <c r="H39" i="8" s="1"/>
  <c r="G32" i="2"/>
  <c r="G33" i="2"/>
  <c r="D39" i="8" s="1"/>
  <c r="D42" i="8" s="1"/>
  <c r="D44" i="8" s="1"/>
  <c r="F32" i="2"/>
  <c r="F33" i="2"/>
  <c r="C39" i="8" s="1"/>
  <c r="C42" i="8" s="1"/>
  <c r="C44" i="8" s="1"/>
  <c r="P21" i="2"/>
  <c r="P22" i="2"/>
  <c r="M12" i="8" s="1"/>
  <c r="V22" i="2"/>
  <c r="V21" i="2"/>
  <c r="R48" i="2"/>
  <c r="S123" i="16" s="1"/>
  <c r="N48" i="2"/>
  <c r="O123" i="16" s="1"/>
  <c r="J48" i="2"/>
  <c r="D123" i="16" s="1"/>
  <c r="T21" i="2"/>
  <c r="T22" i="2"/>
  <c r="U32" i="2"/>
  <c r="U33" i="2"/>
  <c r="Q43" i="2"/>
  <c r="Q44" i="2"/>
  <c r="N66" i="8" s="1"/>
  <c r="M32" i="2"/>
  <c r="M33" i="2"/>
  <c r="J39" i="8" s="1"/>
  <c r="I32" i="2"/>
  <c r="I33" i="2"/>
  <c r="F39" i="8" s="1"/>
  <c r="L21" i="2"/>
  <c r="L22" i="2"/>
  <c r="I12" i="8" s="1"/>
  <c r="H21" i="2"/>
  <c r="H22" i="2"/>
  <c r="E12" i="8" s="1"/>
  <c r="W22" i="2"/>
  <c r="W21" i="2"/>
  <c r="S21" i="2"/>
  <c r="S22" i="2"/>
  <c r="O21" i="2"/>
  <c r="O22" i="2"/>
  <c r="L12" i="8" s="1"/>
  <c r="K21" i="2"/>
  <c r="K22" i="2"/>
  <c r="H12" i="8" s="1"/>
  <c r="G21" i="2"/>
  <c r="G22" i="2"/>
  <c r="D12" i="8" s="1"/>
  <c r="R43" i="2"/>
  <c r="R44" i="2"/>
  <c r="O66" i="8" s="1"/>
  <c r="N43" i="2"/>
  <c r="N44" i="2"/>
  <c r="K66" i="8" s="1"/>
  <c r="J43" i="2"/>
  <c r="J44" i="2"/>
  <c r="G66" i="8" s="1"/>
  <c r="U22" i="2"/>
  <c r="U21" i="2"/>
  <c r="M21" i="2"/>
  <c r="M22" i="2"/>
  <c r="J12" i="8" s="1"/>
  <c r="I21" i="2"/>
  <c r="I22" i="2"/>
  <c r="F12" i="8" s="1"/>
  <c r="L48" i="2"/>
  <c r="F123" i="16" s="1"/>
  <c r="W43" i="2"/>
  <c r="W44" i="2"/>
  <c r="S43" i="2"/>
  <c r="S44" i="2"/>
  <c r="O43" i="2"/>
  <c r="O44" i="2"/>
  <c r="L66" i="8" s="1"/>
  <c r="K43" i="2"/>
  <c r="K44" i="2"/>
  <c r="H66" i="8" s="1"/>
  <c r="G43" i="2"/>
  <c r="G44" i="2"/>
  <c r="D66" i="8" s="1"/>
  <c r="D69" i="8" s="1"/>
  <c r="D71" i="8" s="1"/>
  <c r="F43" i="2"/>
  <c r="F44" i="2"/>
  <c r="C66" i="8" s="1"/>
  <c r="C69" i="8" s="1"/>
  <c r="C71" i="8" s="1"/>
  <c r="P32" i="2"/>
  <c r="P33" i="2"/>
  <c r="M39" i="8" s="1"/>
  <c r="V32" i="2"/>
  <c r="V33" i="2"/>
  <c r="R21" i="2"/>
  <c r="R22" i="2"/>
  <c r="O12" i="8" s="1"/>
  <c r="N21" i="2"/>
  <c r="N22" i="2"/>
  <c r="K12" i="8" s="1"/>
  <c r="J22" i="2"/>
  <c r="G12" i="8" s="1"/>
  <c r="J21" i="2"/>
  <c r="T32" i="2"/>
  <c r="T33" i="2"/>
  <c r="U43" i="2"/>
  <c r="U44" i="2"/>
  <c r="Q22" i="2"/>
  <c r="N12" i="8" s="1"/>
  <c r="N93" i="8" s="1"/>
  <c r="Q12" i="2" s="1"/>
  <c r="Q21" i="2"/>
  <c r="M43" i="2"/>
  <c r="M44" i="2"/>
  <c r="J66" i="8" s="1"/>
  <c r="I43" i="2"/>
  <c r="I44" i="2"/>
  <c r="F66" i="8" s="1"/>
  <c r="L32" i="2"/>
  <c r="L33" i="2"/>
  <c r="I39" i="8" s="1"/>
  <c r="H32" i="2"/>
  <c r="H33" i="2"/>
  <c r="E39" i="8" s="1"/>
  <c r="E42" i="8" s="1"/>
  <c r="E44" i="8" s="1"/>
  <c r="W48" i="2"/>
  <c r="S48" i="2"/>
  <c r="O48" i="2"/>
  <c r="P123" i="16" s="1"/>
  <c r="K48" i="2"/>
  <c r="E123" i="16" s="1"/>
  <c r="G48" i="2"/>
  <c r="F22" i="2"/>
  <c r="C12" i="8" s="1"/>
  <c r="F21" i="2"/>
  <c r="P43" i="2"/>
  <c r="P44" i="2"/>
  <c r="M66" i="8" s="1"/>
  <c r="V44" i="2"/>
  <c r="V43" i="2"/>
  <c r="R33" i="2"/>
  <c r="O39" i="8" s="1"/>
  <c r="R32" i="2"/>
  <c r="N33" i="2"/>
  <c r="K39" i="8" s="1"/>
  <c r="N32" i="2"/>
  <c r="J33" i="2"/>
  <c r="G39" i="8" s="1"/>
  <c r="J32" i="2"/>
  <c r="T43" i="2"/>
  <c r="T44" i="2"/>
  <c r="U48" i="2"/>
  <c r="Q48" i="2"/>
  <c r="R123" i="16" s="1"/>
  <c r="M48" i="2"/>
  <c r="G123" i="16" s="1"/>
  <c r="I48" i="2"/>
  <c r="C123" i="16" s="1"/>
  <c r="L43" i="2"/>
  <c r="L44" i="2"/>
  <c r="I66" i="8" s="1"/>
  <c r="H43" i="2"/>
  <c r="H44" i="2"/>
  <c r="E66" i="8" s="1"/>
  <c r="E69" i="8" s="1"/>
  <c r="E71" i="8" s="1"/>
  <c r="B45" i="22"/>
  <c r="C45" i="22"/>
  <c r="H93" i="8" l="1"/>
  <c r="S463" i="1"/>
  <c r="E50" i="8"/>
  <c r="E48" i="8"/>
  <c r="C75" i="8"/>
  <c r="C77" i="8"/>
  <c r="C81" i="8" s="1"/>
  <c r="C48" i="8"/>
  <c r="C50" i="8"/>
  <c r="C54" i="8" s="1"/>
  <c r="D93" i="8"/>
  <c r="D96" i="8" s="1"/>
  <c r="D98" i="8" s="1"/>
  <c r="D15" i="8"/>
  <c r="D17" i="8" s="1"/>
  <c r="E77" i="8"/>
  <c r="E75" i="8"/>
  <c r="C15" i="8"/>
  <c r="C17" i="8" s="1"/>
  <c r="C93" i="8"/>
  <c r="C96" i="8" s="1"/>
  <c r="C98" i="8" s="1"/>
  <c r="D77" i="8"/>
  <c r="D81" i="8" s="1"/>
  <c r="D75" i="8"/>
  <c r="D50" i="8"/>
  <c r="D54" i="8" s="1"/>
  <c r="D48" i="8"/>
  <c r="E93" i="8"/>
  <c r="E96" i="8" s="1"/>
  <c r="E98" i="8" s="1"/>
  <c r="E15" i="8"/>
  <c r="E17" i="8" s="1"/>
  <c r="O86" i="14"/>
  <c r="P84" i="14" s="1"/>
  <c r="N90" i="14"/>
  <c r="K93" i="8"/>
  <c r="N12" i="2" s="1"/>
  <c r="L93" i="8"/>
  <c r="O12" i="2" s="1"/>
  <c r="I93" i="8"/>
  <c r="L12" i="2" s="1"/>
  <c r="F93" i="8"/>
  <c r="I12" i="2" s="1"/>
  <c r="O93" i="8"/>
  <c r="R12" i="2" s="1"/>
  <c r="M93" i="8"/>
  <c r="P12" i="2" s="1"/>
  <c r="G93" i="8"/>
  <c r="J12" i="2" s="1"/>
  <c r="J93" i="8"/>
  <c r="M12" i="2" s="1"/>
  <c r="K12" i="2"/>
  <c r="AB30" i="14"/>
  <c r="AB59" i="14"/>
  <c r="AC4" i="14"/>
  <c r="AC88" i="14" s="1"/>
  <c r="K14" i="19"/>
  <c r="H92" i="19"/>
  <c r="H53" i="19"/>
  <c r="E92" i="19"/>
  <c r="N14" i="19"/>
  <c r="F14" i="19"/>
  <c r="K92" i="19"/>
  <c r="L14" i="19"/>
  <c r="I14" i="19"/>
  <c r="J53" i="19"/>
  <c r="N53" i="19"/>
  <c r="G53" i="19"/>
  <c r="E53" i="19"/>
  <c r="K53" i="19"/>
  <c r="I53" i="19"/>
  <c r="J92" i="19"/>
  <c r="O14" i="19"/>
  <c r="M53" i="19"/>
  <c r="L92" i="19"/>
  <c r="M14" i="19"/>
  <c r="L53" i="19"/>
  <c r="O53" i="19"/>
  <c r="F92" i="19"/>
  <c r="I92" i="19"/>
  <c r="M92" i="19"/>
  <c r="G14" i="19"/>
  <c r="J14" i="19"/>
  <c r="G92" i="19"/>
  <c r="O92" i="19"/>
  <c r="H14" i="19"/>
  <c r="E14" i="19"/>
  <c r="F53" i="19"/>
  <c r="N92" i="19"/>
  <c r="B46" i="22"/>
  <c r="C46" i="22"/>
  <c r="C102" i="8" l="1"/>
  <c r="C104" i="8"/>
  <c r="C108" i="8" s="1"/>
  <c r="D21" i="8"/>
  <c r="D23" i="8"/>
  <c r="D27" i="8" s="1"/>
  <c r="C21" i="8"/>
  <c r="C23" i="8"/>
  <c r="C27" i="8" s="1"/>
  <c r="D104" i="8"/>
  <c r="D108" i="8" s="1"/>
  <c r="D102" i="8"/>
  <c r="E21" i="8"/>
  <c r="E23" i="8"/>
  <c r="E102" i="8"/>
  <c r="E104" i="8"/>
  <c r="G129" i="19"/>
  <c r="E129" i="19"/>
  <c r="L129" i="19"/>
  <c r="F129" i="19"/>
  <c r="O129" i="19"/>
  <c r="I129" i="19"/>
  <c r="N129" i="19"/>
  <c r="M129" i="19"/>
  <c r="H129" i="19"/>
  <c r="J129" i="19"/>
  <c r="K129" i="19"/>
  <c r="P86" i="14"/>
  <c r="Q84" i="14" s="1"/>
  <c r="O90" i="14"/>
  <c r="AC59" i="14"/>
  <c r="AC30" i="14"/>
  <c r="AD4" i="14"/>
  <c r="AD88" i="14" s="1"/>
  <c r="B47" i="22"/>
  <c r="C47" i="22"/>
  <c r="Q86" i="14" l="1"/>
  <c r="R84" i="14" s="1"/>
  <c r="P90" i="14"/>
  <c r="AD30" i="14"/>
  <c r="AD59" i="14"/>
  <c r="AE4" i="14"/>
  <c r="AE88" i="14" s="1"/>
  <c r="C48" i="22"/>
  <c r="B48" i="22"/>
  <c r="S15" i="7"/>
  <c r="F100" i="8" s="1"/>
  <c r="Y15" i="7"/>
  <c r="L100" i="8" s="1"/>
  <c r="W15" i="7"/>
  <c r="J100" i="8" s="1"/>
  <c r="AA15" i="7"/>
  <c r="N100" i="8" s="1"/>
  <c r="T15" i="7"/>
  <c r="G100" i="8" s="1"/>
  <c r="X15" i="7"/>
  <c r="K100" i="8" s="1"/>
  <c r="AB15" i="7"/>
  <c r="O100" i="8" s="1"/>
  <c r="V15" i="7"/>
  <c r="I100" i="8" s="1"/>
  <c r="Z15" i="7"/>
  <c r="M100" i="8" s="1"/>
  <c r="R86" i="14" l="1"/>
  <c r="S84" i="14" s="1"/>
  <c r="Q90" i="14"/>
  <c r="AE30" i="14"/>
  <c r="AE59" i="14"/>
  <c r="AF4" i="14"/>
  <c r="AF88" i="14" s="1"/>
  <c r="B49" i="22"/>
  <c r="C49" i="22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G63" i="4"/>
  <c r="AF63" i="4"/>
  <c r="AF68" i="4" s="1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G28" i="4"/>
  <c r="AF28" i="4"/>
  <c r="AE28" i="4"/>
  <c r="AD28" i="4"/>
  <c r="AC28" i="4"/>
  <c r="AB28" i="4"/>
  <c r="AA28" i="4"/>
  <c r="Z28" i="4"/>
  <c r="Y28" i="4"/>
  <c r="X28" i="4"/>
  <c r="W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C30" i="4" s="1"/>
  <c r="B28" i="4"/>
  <c r="O70" i="3"/>
  <c r="L70" i="3"/>
  <c r="K70" i="3"/>
  <c r="I70" i="3"/>
  <c r="H70" i="3"/>
  <c r="G70" i="3"/>
  <c r="P24" i="3"/>
  <c r="P25" i="3" s="1"/>
  <c r="O24" i="3"/>
  <c r="O25" i="3" s="1"/>
  <c r="N24" i="3"/>
  <c r="N25" i="3" s="1"/>
  <c r="M24" i="3"/>
  <c r="M25" i="3" s="1"/>
  <c r="L24" i="3"/>
  <c r="L25" i="3" s="1"/>
  <c r="K25" i="3"/>
  <c r="J24" i="3"/>
  <c r="J25" i="3" s="1"/>
  <c r="I24" i="3"/>
  <c r="I25" i="3" s="1"/>
  <c r="H24" i="3"/>
  <c r="H25" i="3" s="1"/>
  <c r="G25" i="3"/>
  <c r="F24" i="3"/>
  <c r="F25" i="3" s="1"/>
  <c r="S465" i="1" l="1"/>
  <c r="S468" i="1" s="1"/>
  <c r="C104" i="16"/>
  <c r="K31" i="3"/>
  <c r="L7" i="14"/>
  <c r="I7" i="14"/>
  <c r="M7" i="14"/>
  <c r="J7" i="14"/>
  <c r="K7" i="14"/>
  <c r="S86" i="14"/>
  <c r="T84" i="14" s="1"/>
  <c r="R90" i="14"/>
  <c r="Q104" i="16"/>
  <c r="R104" i="16"/>
  <c r="O104" i="16"/>
  <c r="S104" i="16"/>
  <c r="P104" i="16"/>
  <c r="H14" i="32"/>
  <c r="F14" i="32"/>
  <c r="D14" i="32"/>
  <c r="E14" i="32"/>
  <c r="G14" i="32"/>
  <c r="AF30" i="14"/>
  <c r="AF59" i="14"/>
  <c r="AG4" i="14"/>
  <c r="AG88" i="14" s="1"/>
  <c r="E36" i="4"/>
  <c r="E37" i="4"/>
  <c r="I36" i="4"/>
  <c r="I37" i="4"/>
  <c r="M36" i="4"/>
  <c r="M37" i="4"/>
  <c r="Q36" i="4"/>
  <c r="Q37" i="4"/>
  <c r="U40" i="4"/>
  <c r="U36" i="4"/>
  <c r="U37" i="4"/>
  <c r="Y40" i="4"/>
  <c r="Y36" i="4"/>
  <c r="Y37" i="4"/>
  <c r="AC40" i="4"/>
  <c r="AC36" i="4"/>
  <c r="AC37" i="4"/>
  <c r="AG40" i="4"/>
  <c r="AG36" i="4"/>
  <c r="AG37" i="4"/>
  <c r="E54" i="4"/>
  <c r="E50" i="4"/>
  <c r="E51" i="4"/>
  <c r="I51" i="4"/>
  <c r="I50" i="4"/>
  <c r="M50" i="4"/>
  <c r="M51" i="4"/>
  <c r="Q51" i="4"/>
  <c r="Q50" i="4"/>
  <c r="U50" i="4"/>
  <c r="U51" i="4"/>
  <c r="Y54" i="4"/>
  <c r="Y50" i="4"/>
  <c r="Y51" i="4"/>
  <c r="AC54" i="4"/>
  <c r="AC50" i="4"/>
  <c r="AC51" i="4"/>
  <c r="AG54" i="4"/>
  <c r="AG50" i="4"/>
  <c r="AG51" i="4"/>
  <c r="E57" i="4"/>
  <c r="E58" i="4"/>
  <c r="I57" i="4"/>
  <c r="I58" i="4"/>
  <c r="M58" i="4"/>
  <c r="M57" i="4"/>
  <c r="Q58" i="4"/>
  <c r="Q57" i="4"/>
  <c r="U58" i="4"/>
  <c r="U57" i="4"/>
  <c r="Y57" i="4"/>
  <c r="Y58" i="4"/>
  <c r="AC61" i="4"/>
  <c r="AC57" i="4"/>
  <c r="AC58" i="4"/>
  <c r="AG57" i="4"/>
  <c r="AG58" i="4"/>
  <c r="E64" i="4"/>
  <c r="E65" i="4"/>
  <c r="I64" i="4"/>
  <c r="I65" i="4"/>
  <c r="M64" i="4"/>
  <c r="M65" i="4"/>
  <c r="Q65" i="4"/>
  <c r="Q64" i="4"/>
  <c r="U64" i="4"/>
  <c r="U65" i="4"/>
  <c r="Y64" i="4"/>
  <c r="Y65" i="4"/>
  <c r="AC64" i="4"/>
  <c r="AC65" i="4"/>
  <c r="AG64" i="4"/>
  <c r="AG65" i="4"/>
  <c r="D75" i="4"/>
  <c r="D71" i="4"/>
  <c r="D72" i="4"/>
  <c r="H75" i="4"/>
  <c r="H71" i="4"/>
  <c r="H72" i="4"/>
  <c r="L71" i="4"/>
  <c r="L72" i="4"/>
  <c r="P72" i="4"/>
  <c r="P71" i="4"/>
  <c r="T72" i="4"/>
  <c r="T71" i="4"/>
  <c r="X72" i="4"/>
  <c r="X71" i="4"/>
  <c r="AB75" i="4"/>
  <c r="AB71" i="4"/>
  <c r="AB72" i="4"/>
  <c r="AF75" i="4"/>
  <c r="AF71" i="4"/>
  <c r="AF72" i="4"/>
  <c r="D82" i="4"/>
  <c r="D78" i="4"/>
  <c r="D79" i="4"/>
  <c r="H82" i="4"/>
  <c r="H78" i="4"/>
  <c r="H79" i="4"/>
  <c r="L78" i="4"/>
  <c r="L79" i="4"/>
  <c r="P79" i="4"/>
  <c r="P78" i="4"/>
  <c r="T78" i="4"/>
  <c r="T79" i="4"/>
  <c r="X79" i="4"/>
  <c r="X78" i="4"/>
  <c r="AB82" i="4"/>
  <c r="AB78" i="4"/>
  <c r="AB79" i="4"/>
  <c r="AF82" i="4"/>
  <c r="AF78" i="4"/>
  <c r="AF79" i="4"/>
  <c r="D89" i="4"/>
  <c r="D85" i="4"/>
  <c r="D86" i="4"/>
  <c r="H89" i="4"/>
  <c r="H85" i="4"/>
  <c r="H86" i="4"/>
  <c r="L86" i="4"/>
  <c r="L85" i="4"/>
  <c r="P85" i="4"/>
  <c r="P86" i="4"/>
  <c r="T86" i="4"/>
  <c r="T85" i="4"/>
  <c r="X86" i="4"/>
  <c r="X85" i="4"/>
  <c r="AB85" i="4"/>
  <c r="AB86" i="4"/>
  <c r="AF85" i="4"/>
  <c r="AF86" i="4"/>
  <c r="D92" i="4"/>
  <c r="D93" i="4"/>
  <c r="H92" i="4"/>
  <c r="H93" i="4"/>
  <c r="L93" i="4"/>
  <c r="L92" i="4"/>
  <c r="P92" i="4"/>
  <c r="P93" i="4"/>
  <c r="T92" i="4"/>
  <c r="T93" i="4"/>
  <c r="X92" i="4"/>
  <c r="X93" i="4"/>
  <c r="AB92" i="4"/>
  <c r="AB93" i="4"/>
  <c r="AF96" i="4"/>
  <c r="AF92" i="4"/>
  <c r="AF93" i="4"/>
  <c r="F37" i="4"/>
  <c r="F36" i="4"/>
  <c r="J36" i="4"/>
  <c r="J37" i="4"/>
  <c r="N36" i="4"/>
  <c r="N37" i="4"/>
  <c r="R37" i="4"/>
  <c r="R36" i="4"/>
  <c r="V40" i="4"/>
  <c r="V36" i="4"/>
  <c r="V37" i="4"/>
  <c r="Z40" i="4"/>
  <c r="Z36" i="4"/>
  <c r="Z37" i="4"/>
  <c r="AD40" i="4"/>
  <c r="AD36" i="4"/>
  <c r="AD37" i="4"/>
  <c r="F50" i="4"/>
  <c r="F51" i="4"/>
  <c r="J51" i="4"/>
  <c r="J50" i="4"/>
  <c r="N51" i="4"/>
  <c r="N50" i="4"/>
  <c r="R50" i="4"/>
  <c r="R51" i="4"/>
  <c r="V50" i="4"/>
  <c r="V51" i="4"/>
  <c r="Z54" i="4"/>
  <c r="Z50" i="4"/>
  <c r="Z51" i="4"/>
  <c r="AD54" i="4"/>
  <c r="AD50" i="4"/>
  <c r="AD51" i="4"/>
  <c r="F61" i="4"/>
  <c r="F57" i="4"/>
  <c r="F58" i="4"/>
  <c r="J57" i="4"/>
  <c r="J58" i="4"/>
  <c r="N57" i="4"/>
  <c r="N58" i="4"/>
  <c r="R57" i="4"/>
  <c r="R58" i="4"/>
  <c r="V57" i="4"/>
  <c r="V58" i="4"/>
  <c r="Z61" i="4"/>
  <c r="Z57" i="4"/>
  <c r="Z58" i="4"/>
  <c r="AD57" i="4"/>
  <c r="AD58" i="4"/>
  <c r="F68" i="4"/>
  <c r="F64" i="4"/>
  <c r="F65" i="4"/>
  <c r="J65" i="4"/>
  <c r="J64" i="4"/>
  <c r="N64" i="4"/>
  <c r="N65" i="4"/>
  <c r="R64" i="4"/>
  <c r="R65" i="4"/>
  <c r="V65" i="4"/>
  <c r="V64" i="4"/>
  <c r="Z64" i="4"/>
  <c r="Z65" i="4"/>
  <c r="AD64" i="4"/>
  <c r="AD65" i="4"/>
  <c r="E75" i="4"/>
  <c r="E71" i="4"/>
  <c r="E72" i="4"/>
  <c r="I71" i="4"/>
  <c r="I72" i="4"/>
  <c r="M72" i="4"/>
  <c r="M71" i="4"/>
  <c r="Q71" i="4"/>
  <c r="Q72" i="4"/>
  <c r="U72" i="4"/>
  <c r="U71" i="4"/>
  <c r="Y71" i="4"/>
  <c r="Y72" i="4"/>
  <c r="AC75" i="4"/>
  <c r="AC71" i="4"/>
  <c r="AC72" i="4"/>
  <c r="AG75" i="4"/>
  <c r="AG71" i="4"/>
  <c r="AG72" i="4"/>
  <c r="E82" i="4"/>
  <c r="E78" i="4"/>
  <c r="E79" i="4"/>
  <c r="I82" i="4"/>
  <c r="I78" i="4"/>
  <c r="I79" i="4"/>
  <c r="M78" i="4"/>
  <c r="M79" i="4"/>
  <c r="Q78" i="4"/>
  <c r="Q79" i="4"/>
  <c r="U78" i="4"/>
  <c r="U79" i="4"/>
  <c r="Y78" i="4"/>
  <c r="Y79" i="4"/>
  <c r="AC82" i="4"/>
  <c r="AC78" i="4"/>
  <c r="AC79" i="4"/>
  <c r="AG82" i="4"/>
  <c r="AG78" i="4"/>
  <c r="AG79" i="4"/>
  <c r="E89" i="4"/>
  <c r="E85" i="4"/>
  <c r="E86" i="4"/>
  <c r="I89" i="4"/>
  <c r="I85" i="4"/>
  <c r="I86" i="4"/>
  <c r="M86" i="4"/>
  <c r="M85" i="4"/>
  <c r="Q85" i="4"/>
  <c r="Q86" i="4"/>
  <c r="U85" i="4"/>
  <c r="U86" i="4"/>
  <c r="Y86" i="4"/>
  <c r="Y85" i="4"/>
  <c r="AC85" i="4"/>
  <c r="AC86" i="4"/>
  <c r="AG85" i="4"/>
  <c r="AG86" i="4"/>
  <c r="E96" i="4"/>
  <c r="E92" i="4"/>
  <c r="E93" i="4"/>
  <c r="I92" i="4"/>
  <c r="I93" i="4"/>
  <c r="M92" i="4"/>
  <c r="M93" i="4"/>
  <c r="Q93" i="4"/>
  <c r="Q92" i="4"/>
  <c r="U93" i="4"/>
  <c r="U92" i="4"/>
  <c r="Y92" i="4"/>
  <c r="Y93" i="4"/>
  <c r="AC92" i="4"/>
  <c r="AC93" i="4"/>
  <c r="AG96" i="4"/>
  <c r="AG92" i="4"/>
  <c r="AG93" i="4"/>
  <c r="C36" i="4"/>
  <c r="C37" i="4"/>
  <c r="G36" i="4"/>
  <c r="G37" i="4"/>
  <c r="K36" i="4"/>
  <c r="K37" i="4"/>
  <c r="O36" i="4"/>
  <c r="O37" i="4"/>
  <c r="S36" i="4"/>
  <c r="S37" i="4"/>
  <c r="W36" i="4"/>
  <c r="W37" i="4"/>
  <c r="AA40" i="4"/>
  <c r="AA36" i="4"/>
  <c r="AA37" i="4"/>
  <c r="AE40" i="4"/>
  <c r="AE36" i="4"/>
  <c r="AE37" i="4"/>
  <c r="C50" i="4"/>
  <c r="C51" i="4"/>
  <c r="G51" i="4"/>
  <c r="G50" i="4"/>
  <c r="K51" i="4"/>
  <c r="K50" i="4"/>
  <c r="O51" i="4"/>
  <c r="O50" i="4"/>
  <c r="S50" i="4"/>
  <c r="S51" i="4"/>
  <c r="W50" i="4"/>
  <c r="W51" i="4"/>
  <c r="AA54" i="4"/>
  <c r="AA50" i="4"/>
  <c r="AA51" i="4"/>
  <c r="AE54" i="4"/>
  <c r="AE50" i="4"/>
  <c r="AE51" i="4"/>
  <c r="C61" i="4"/>
  <c r="C57" i="4"/>
  <c r="C58" i="4"/>
  <c r="G57" i="4"/>
  <c r="G58" i="4"/>
  <c r="K58" i="4"/>
  <c r="K57" i="4"/>
  <c r="O57" i="4"/>
  <c r="O58" i="4"/>
  <c r="S58" i="4"/>
  <c r="S57" i="4"/>
  <c r="W57" i="4"/>
  <c r="W58" i="4"/>
  <c r="AA61" i="4"/>
  <c r="AA57" i="4"/>
  <c r="AA58" i="4"/>
  <c r="AE61" i="4"/>
  <c r="AE57" i="4"/>
  <c r="AE58" i="4"/>
  <c r="C68" i="4"/>
  <c r="C64" i="4"/>
  <c r="C65" i="4"/>
  <c r="G68" i="4"/>
  <c r="G64" i="4"/>
  <c r="G65" i="4"/>
  <c r="K65" i="4"/>
  <c r="K64" i="4"/>
  <c r="O65" i="4"/>
  <c r="O64" i="4"/>
  <c r="S64" i="4"/>
  <c r="S65" i="4"/>
  <c r="W65" i="4"/>
  <c r="W64" i="4"/>
  <c r="AA64" i="4"/>
  <c r="AA65" i="4"/>
  <c r="AE68" i="4"/>
  <c r="AE64" i="4"/>
  <c r="AE65" i="4"/>
  <c r="F71" i="4"/>
  <c r="F72" i="4"/>
  <c r="J71" i="4"/>
  <c r="J72" i="4"/>
  <c r="N71" i="4"/>
  <c r="N72" i="4"/>
  <c r="R71" i="4"/>
  <c r="R72" i="4"/>
  <c r="V71" i="4"/>
  <c r="V72" i="4"/>
  <c r="Z71" i="4"/>
  <c r="Z72" i="4"/>
  <c r="AD71" i="4"/>
  <c r="AD72" i="4"/>
  <c r="F78" i="4"/>
  <c r="F79" i="4"/>
  <c r="J78" i="4"/>
  <c r="J79" i="4"/>
  <c r="N78" i="4"/>
  <c r="N79" i="4"/>
  <c r="R79" i="4"/>
  <c r="R78" i="4"/>
  <c r="V79" i="4"/>
  <c r="V78" i="4"/>
  <c r="Z78" i="4"/>
  <c r="Z79" i="4"/>
  <c r="AD78" i="4"/>
  <c r="AD79" i="4"/>
  <c r="F85" i="4"/>
  <c r="F86" i="4"/>
  <c r="J85" i="4"/>
  <c r="J86" i="4"/>
  <c r="N85" i="4"/>
  <c r="N86" i="4"/>
  <c r="R85" i="4"/>
  <c r="R86" i="4"/>
  <c r="V85" i="4"/>
  <c r="V86" i="4"/>
  <c r="Z86" i="4"/>
  <c r="Z85" i="4"/>
  <c r="AD85" i="4"/>
  <c r="AD86" i="4"/>
  <c r="F92" i="4"/>
  <c r="F93" i="4"/>
  <c r="J92" i="4"/>
  <c r="J93" i="4"/>
  <c r="N92" i="4"/>
  <c r="N93" i="4"/>
  <c r="R93" i="4"/>
  <c r="R92" i="4"/>
  <c r="V93" i="4"/>
  <c r="V92" i="4"/>
  <c r="Z93" i="4"/>
  <c r="Z92" i="4"/>
  <c r="AD92" i="4"/>
  <c r="AD93" i="4"/>
  <c r="D36" i="4"/>
  <c r="D37" i="4"/>
  <c r="H36" i="4"/>
  <c r="H37" i="4"/>
  <c r="L37" i="4"/>
  <c r="L36" i="4"/>
  <c r="P37" i="4"/>
  <c r="P36" i="4"/>
  <c r="T36" i="4"/>
  <c r="T37" i="4"/>
  <c r="X40" i="4"/>
  <c r="X36" i="4"/>
  <c r="X37" i="4"/>
  <c r="AB40" i="4"/>
  <c r="AB36" i="4"/>
  <c r="AB37" i="4"/>
  <c r="AF40" i="4"/>
  <c r="AF36" i="4"/>
  <c r="AF37" i="4"/>
  <c r="D50" i="4"/>
  <c r="D51" i="4"/>
  <c r="H50" i="4"/>
  <c r="H51" i="4"/>
  <c r="L50" i="4"/>
  <c r="L51" i="4"/>
  <c r="P51" i="4"/>
  <c r="P50" i="4"/>
  <c r="T51" i="4"/>
  <c r="T50" i="4"/>
  <c r="X50" i="4"/>
  <c r="X51" i="4"/>
  <c r="AB50" i="4"/>
  <c r="AB51" i="4"/>
  <c r="AF50" i="4"/>
  <c r="AF51" i="4"/>
  <c r="D61" i="4"/>
  <c r="D57" i="4"/>
  <c r="D58" i="4"/>
  <c r="H58" i="4"/>
  <c r="H57" i="4"/>
  <c r="L58" i="4"/>
  <c r="L57" i="4"/>
  <c r="P57" i="4"/>
  <c r="P58" i="4"/>
  <c r="T57" i="4"/>
  <c r="T58" i="4"/>
  <c r="X57" i="4"/>
  <c r="X58" i="4"/>
  <c r="AB57" i="4"/>
  <c r="AB58" i="4"/>
  <c r="AF57" i="4"/>
  <c r="AF58" i="4"/>
  <c r="D68" i="4"/>
  <c r="D64" i="4"/>
  <c r="D65" i="4"/>
  <c r="H65" i="4"/>
  <c r="H64" i="4"/>
  <c r="L65" i="4"/>
  <c r="L64" i="4"/>
  <c r="P65" i="4"/>
  <c r="P64" i="4"/>
  <c r="T65" i="4"/>
  <c r="T64" i="4"/>
  <c r="X64" i="4"/>
  <c r="X65" i="4"/>
  <c r="AB64" i="4"/>
  <c r="AB65" i="4"/>
  <c r="AF64" i="4"/>
  <c r="AF65" i="4"/>
  <c r="C71" i="4"/>
  <c r="C72" i="4"/>
  <c r="G71" i="4"/>
  <c r="G72" i="4"/>
  <c r="K72" i="4"/>
  <c r="K71" i="4"/>
  <c r="O71" i="4"/>
  <c r="O72" i="4"/>
  <c r="S72" i="4"/>
  <c r="S71" i="4"/>
  <c r="W71" i="4"/>
  <c r="W72" i="4"/>
  <c r="AA71" i="4"/>
  <c r="AA72" i="4"/>
  <c r="AE71" i="4"/>
  <c r="AE72" i="4"/>
  <c r="C78" i="4"/>
  <c r="C79" i="4"/>
  <c r="G78" i="4"/>
  <c r="G79" i="4"/>
  <c r="K79" i="4"/>
  <c r="K78" i="4"/>
  <c r="O79" i="4"/>
  <c r="O78" i="4"/>
  <c r="S79" i="4"/>
  <c r="S78" i="4"/>
  <c r="W79" i="4"/>
  <c r="W78" i="4"/>
  <c r="AA78" i="4"/>
  <c r="AA79" i="4"/>
  <c r="AE78" i="4"/>
  <c r="AE79" i="4"/>
  <c r="C89" i="4"/>
  <c r="C85" i="4"/>
  <c r="C86" i="4"/>
  <c r="G89" i="4"/>
  <c r="G85" i="4"/>
  <c r="G86" i="4"/>
  <c r="K85" i="4"/>
  <c r="K86" i="4"/>
  <c r="O85" i="4"/>
  <c r="O86" i="4"/>
  <c r="S86" i="4"/>
  <c r="S85" i="4"/>
  <c r="W86" i="4"/>
  <c r="W85" i="4"/>
  <c r="AA85" i="4"/>
  <c r="AA86" i="4"/>
  <c r="AE89" i="4"/>
  <c r="AE85" i="4"/>
  <c r="AE86" i="4"/>
  <c r="C92" i="4"/>
  <c r="C93" i="4"/>
  <c r="G96" i="4"/>
  <c r="G92" i="4"/>
  <c r="G93" i="4"/>
  <c r="K96" i="4"/>
  <c r="K92" i="4"/>
  <c r="K93" i="4"/>
  <c r="O93" i="4"/>
  <c r="O92" i="4"/>
  <c r="S93" i="4"/>
  <c r="S92" i="4"/>
  <c r="W93" i="4"/>
  <c r="W92" i="4"/>
  <c r="AA93" i="4"/>
  <c r="AA92" i="4"/>
  <c r="AE96" i="4"/>
  <c r="AE92" i="4"/>
  <c r="AE93" i="4"/>
  <c r="K30" i="4"/>
  <c r="O30" i="4"/>
  <c r="W30" i="4"/>
  <c r="AE30" i="4"/>
  <c r="G30" i="4"/>
  <c r="AA30" i="4"/>
  <c r="B50" i="22"/>
  <c r="C50" i="22"/>
  <c r="D30" i="4"/>
  <c r="H30" i="4"/>
  <c r="L30" i="4"/>
  <c r="P30" i="4"/>
  <c r="X30" i="4"/>
  <c r="AB30" i="4"/>
  <c r="AF30" i="4"/>
  <c r="T30" i="4"/>
  <c r="U29" i="4"/>
  <c r="T29" i="4"/>
  <c r="S30" i="4"/>
  <c r="S29" i="4"/>
  <c r="V29" i="4"/>
  <c r="U30" i="4"/>
  <c r="V30" i="4"/>
  <c r="E30" i="4"/>
  <c r="I30" i="4"/>
  <c r="M30" i="4"/>
  <c r="Q30" i="4"/>
  <c r="Y30" i="4"/>
  <c r="AC30" i="4"/>
  <c r="AG30" i="4"/>
  <c r="F30" i="4"/>
  <c r="J30" i="4"/>
  <c r="N30" i="4"/>
  <c r="R30" i="4"/>
  <c r="Z30" i="4"/>
  <c r="AD30" i="4"/>
  <c r="H43" i="4"/>
  <c r="H44" i="4"/>
  <c r="T43" i="4"/>
  <c r="T44" i="4"/>
  <c r="X43" i="4"/>
  <c r="X44" i="4"/>
  <c r="E43" i="4"/>
  <c r="E44" i="4"/>
  <c r="I43" i="4"/>
  <c r="I44" i="4"/>
  <c r="M44" i="4"/>
  <c r="M43" i="4"/>
  <c r="Q43" i="4"/>
  <c r="Q44" i="4"/>
  <c r="U43" i="4"/>
  <c r="U44" i="4"/>
  <c r="Y43" i="4"/>
  <c r="Y44" i="4"/>
  <c r="AC43" i="4"/>
  <c r="AC44" i="4"/>
  <c r="AG44" i="4"/>
  <c r="AG43" i="4"/>
  <c r="D43" i="4"/>
  <c r="D44" i="4"/>
  <c r="L43" i="4"/>
  <c r="L44" i="4"/>
  <c r="AB43" i="4"/>
  <c r="AB44" i="4"/>
  <c r="F44" i="4"/>
  <c r="F43" i="4"/>
  <c r="J44" i="4"/>
  <c r="J43" i="4"/>
  <c r="N44" i="4"/>
  <c r="N43" i="4"/>
  <c r="R44" i="4"/>
  <c r="R43" i="4"/>
  <c r="V44" i="4"/>
  <c r="V43" i="4"/>
  <c r="Z44" i="4"/>
  <c r="Z43" i="4"/>
  <c r="AD44" i="4"/>
  <c r="AD43" i="4"/>
  <c r="P43" i="4"/>
  <c r="P44" i="4"/>
  <c r="AF43" i="4"/>
  <c r="AF44" i="4"/>
  <c r="C44" i="4"/>
  <c r="C43" i="4"/>
  <c r="G44" i="4"/>
  <c r="G43" i="4"/>
  <c r="K44" i="4"/>
  <c r="K43" i="4"/>
  <c r="O44" i="4"/>
  <c r="O43" i="4"/>
  <c r="S44" i="4"/>
  <c r="S43" i="4"/>
  <c r="W44" i="4"/>
  <c r="W43" i="4"/>
  <c r="AA44" i="4"/>
  <c r="AA43" i="4"/>
  <c r="AE44" i="4"/>
  <c r="AE43" i="4"/>
  <c r="H29" i="4"/>
  <c r="Y29" i="4"/>
  <c r="E29" i="4"/>
  <c r="I29" i="4"/>
  <c r="M29" i="4"/>
  <c r="Q29" i="4"/>
  <c r="Z29" i="4"/>
  <c r="AD29" i="4"/>
  <c r="D29" i="4"/>
  <c r="P29" i="4"/>
  <c r="AG29" i="4"/>
  <c r="F29" i="4"/>
  <c r="J29" i="4"/>
  <c r="N29" i="4"/>
  <c r="R29" i="4"/>
  <c r="W29" i="4"/>
  <c r="AA29" i="4"/>
  <c r="AE29" i="4"/>
  <c r="L29" i="4"/>
  <c r="AC29" i="4"/>
  <c r="C29" i="4"/>
  <c r="G29" i="4"/>
  <c r="K29" i="4"/>
  <c r="O29" i="4"/>
  <c r="X29" i="4"/>
  <c r="AB29" i="4"/>
  <c r="AF29" i="4"/>
  <c r="N20" i="14"/>
  <c r="AC96" i="4"/>
  <c r="E61" i="4"/>
  <c r="AC89" i="4"/>
  <c r="C47" i="4"/>
  <c r="C96" i="4"/>
  <c r="D54" i="4"/>
  <c r="AB89" i="4"/>
  <c r="AG89" i="4"/>
  <c r="D96" i="4"/>
  <c r="I96" i="4"/>
  <c r="AF89" i="4"/>
  <c r="AD61" i="4"/>
  <c r="AA68" i="4"/>
  <c r="H96" i="4"/>
  <c r="AB68" i="4"/>
  <c r="K89" i="4"/>
  <c r="C33" i="4"/>
  <c r="L96" i="4"/>
  <c r="W40" i="4"/>
  <c r="D47" i="4"/>
  <c r="C40" i="4"/>
  <c r="X54" i="4"/>
  <c r="AB54" i="4"/>
  <c r="AF54" i="4"/>
  <c r="C54" i="4"/>
  <c r="W54" i="4"/>
  <c r="D40" i="4"/>
  <c r="E47" i="4"/>
  <c r="F54" i="4"/>
  <c r="Y61" i="4"/>
  <c r="AG61" i="4"/>
  <c r="E68" i="4"/>
  <c r="Y68" i="4"/>
  <c r="AC68" i="4"/>
  <c r="AG68" i="4"/>
  <c r="Z68" i="4"/>
  <c r="AD68" i="4"/>
  <c r="G61" i="4"/>
  <c r="I75" i="4"/>
  <c r="X61" i="4"/>
  <c r="AB61" i="4"/>
  <c r="AF61" i="4"/>
  <c r="H68" i="4"/>
  <c r="F75" i="4"/>
  <c r="Z75" i="4"/>
  <c r="AD75" i="4"/>
  <c r="C75" i="4"/>
  <c r="G75" i="4"/>
  <c r="AA75" i="4"/>
  <c r="AE75" i="4"/>
  <c r="F82" i="4"/>
  <c r="J82" i="4"/>
  <c r="AD82" i="4"/>
  <c r="F89" i="4"/>
  <c r="J89" i="4"/>
  <c r="AD89" i="4"/>
  <c r="F96" i="4"/>
  <c r="J96" i="4"/>
  <c r="AD96" i="4"/>
  <c r="C82" i="4"/>
  <c r="G82" i="4"/>
  <c r="AA82" i="4"/>
  <c r="AE82" i="4"/>
  <c r="F70" i="3"/>
  <c r="M70" i="3"/>
  <c r="J70" i="3"/>
  <c r="N70" i="3"/>
  <c r="E21" i="4" l="1"/>
  <c r="M31" i="3"/>
  <c r="L31" i="3"/>
  <c r="O31" i="3"/>
  <c r="H7" i="14"/>
  <c r="G104" i="16"/>
  <c r="P31" i="3"/>
  <c r="N31" i="3"/>
  <c r="E104" i="16"/>
  <c r="F7" i="14"/>
  <c r="F20" i="14" s="1"/>
  <c r="F104" i="16"/>
  <c r="G7" i="14"/>
  <c r="G20" i="14" s="1"/>
  <c r="G31" i="3"/>
  <c r="D7" i="14"/>
  <c r="D104" i="16"/>
  <c r="E7" i="14"/>
  <c r="E20" i="14" s="1"/>
  <c r="T86" i="14"/>
  <c r="U84" i="14" s="1"/>
  <c r="S90" i="14"/>
  <c r="H31" i="3"/>
  <c r="I31" i="3"/>
  <c r="J31" i="3"/>
  <c r="H73" i="4"/>
  <c r="Y52" i="4"/>
  <c r="E73" i="4"/>
  <c r="H80" i="4"/>
  <c r="E87" i="4"/>
  <c r="E80" i="4"/>
  <c r="Z52" i="4"/>
  <c r="AB80" i="4"/>
  <c r="D80" i="4"/>
  <c r="AG52" i="4"/>
  <c r="I94" i="4"/>
  <c r="I80" i="4"/>
  <c r="AD52" i="4"/>
  <c r="AF80" i="4"/>
  <c r="AC52" i="4"/>
  <c r="E59" i="4"/>
  <c r="I87" i="4"/>
  <c r="Z66" i="4"/>
  <c r="E52" i="4"/>
  <c r="D52" i="4"/>
  <c r="AE66" i="4"/>
  <c r="C66" i="4"/>
  <c r="AG80" i="4"/>
  <c r="AG73" i="4"/>
  <c r="D16" i="32"/>
  <c r="G87" i="4"/>
  <c r="AC80" i="4"/>
  <c r="AC73" i="4"/>
  <c r="AD87" i="4"/>
  <c r="J94" i="4"/>
  <c r="F87" i="4"/>
  <c r="C80" i="4"/>
  <c r="W38" i="4"/>
  <c r="D94" i="4"/>
  <c r="AC87" i="4"/>
  <c r="AF66" i="4"/>
  <c r="X38" i="4"/>
  <c r="AE87" i="4"/>
  <c r="C87" i="4"/>
  <c r="G80" i="4"/>
  <c r="AB52" i="4"/>
  <c r="AG87" i="4"/>
  <c r="AG30" i="14"/>
  <c r="AG59" i="14"/>
  <c r="AH4" i="14"/>
  <c r="AH88" i="14" s="1"/>
  <c r="AA80" i="4"/>
  <c r="G59" i="4"/>
  <c r="AB87" i="4"/>
  <c r="AC94" i="4"/>
  <c r="C73" i="4"/>
  <c r="AD59" i="4"/>
  <c r="K94" i="4"/>
  <c r="D66" i="4"/>
  <c r="AB38" i="4"/>
  <c r="F59" i="4"/>
  <c r="F94" i="4"/>
  <c r="AB66" i="4"/>
  <c r="AE80" i="4"/>
  <c r="AD94" i="4"/>
  <c r="J87" i="4"/>
  <c r="G73" i="4"/>
  <c r="AD66" i="4"/>
  <c r="C38" i="4"/>
  <c r="AB31" i="4"/>
  <c r="AC45" i="4"/>
  <c r="AF31" i="4"/>
  <c r="Y45" i="4"/>
  <c r="K20" i="14"/>
  <c r="I20" i="14"/>
  <c r="L20" i="14"/>
  <c r="M20" i="14"/>
  <c r="J20" i="14"/>
  <c r="F31" i="3"/>
  <c r="H20" i="14"/>
  <c r="T31" i="4"/>
  <c r="B51" i="22"/>
  <c r="C51" i="22"/>
  <c r="D59" i="4"/>
  <c r="AA45" i="4"/>
  <c r="D45" i="4"/>
  <c r="AG45" i="4"/>
  <c r="C45" i="4"/>
  <c r="X31" i="4"/>
  <c r="G54" i="4"/>
  <c r="H54" i="4" s="1"/>
  <c r="I54" i="4" s="1"/>
  <c r="E45" i="4"/>
  <c r="E94" i="4"/>
  <c r="D73" i="4"/>
  <c r="K87" i="4"/>
  <c r="AB73" i="4"/>
  <c r="E40" i="4"/>
  <c r="E38" i="4" s="1"/>
  <c r="AE94" i="4"/>
  <c r="H61" i="4"/>
  <c r="H59" i="4" s="1"/>
  <c r="K82" i="4"/>
  <c r="L82" i="4" s="1"/>
  <c r="L80" i="4" s="1"/>
  <c r="J75" i="4"/>
  <c r="J73" i="4" s="1"/>
  <c r="F66" i="4"/>
  <c r="Z38" i="4"/>
  <c r="C59" i="4"/>
  <c r="AA59" i="4"/>
  <c r="G66" i="4"/>
  <c r="H87" i="4"/>
  <c r="C94" i="4"/>
  <c r="L94" i="4"/>
  <c r="I73" i="4"/>
  <c r="H66" i="4"/>
  <c r="AF52" i="4"/>
  <c r="D38" i="4"/>
  <c r="F52" i="4"/>
  <c r="F47" i="4"/>
  <c r="G47" i="4" s="1"/>
  <c r="AF45" i="4"/>
  <c r="V38" i="4"/>
  <c r="Z45" i="4"/>
  <c r="AG38" i="4"/>
  <c r="Z59" i="4"/>
  <c r="I68" i="4"/>
  <c r="J68" i="4" s="1"/>
  <c r="AC38" i="4"/>
  <c r="D87" i="4"/>
  <c r="AD38" i="4"/>
  <c r="Y38" i="4"/>
  <c r="AF87" i="4"/>
  <c r="AA73" i="4"/>
  <c r="AE59" i="4"/>
  <c r="AG94" i="4"/>
  <c r="AF94" i="4"/>
  <c r="AC59" i="4"/>
  <c r="G20" i="4"/>
  <c r="D33" i="4"/>
  <c r="E33" i="4" s="1"/>
  <c r="AA66" i="4"/>
  <c r="AF38" i="4"/>
  <c r="AB59" i="4"/>
  <c r="AE52" i="4"/>
  <c r="X20" i="4"/>
  <c r="U38" i="4"/>
  <c r="H94" i="4"/>
  <c r="G94" i="4"/>
  <c r="AC21" i="4"/>
  <c r="Y59" i="4"/>
  <c r="AG59" i="4"/>
  <c r="AG21" i="4"/>
  <c r="AF21" i="4"/>
  <c r="AA31" i="4"/>
  <c r="AE73" i="4"/>
  <c r="AD73" i="4"/>
  <c r="F80" i="4"/>
  <c r="AF73" i="4"/>
  <c r="F73" i="4"/>
  <c r="AF59" i="4"/>
  <c r="X59" i="4"/>
  <c r="Y66" i="4"/>
  <c r="D20" i="4"/>
  <c r="AE38" i="4"/>
  <c r="W31" i="4"/>
  <c r="W20" i="4"/>
  <c r="X52" i="4"/>
  <c r="AE45" i="4"/>
  <c r="AE21" i="4"/>
  <c r="AD31" i="4"/>
  <c r="AD20" i="4"/>
  <c r="N20" i="4"/>
  <c r="AB20" i="4"/>
  <c r="AA52" i="4"/>
  <c r="C52" i="4"/>
  <c r="AG31" i="4"/>
  <c r="AG20" i="4"/>
  <c r="Q20" i="4"/>
  <c r="S20" i="4"/>
  <c r="AE20" i="4"/>
  <c r="J80" i="4"/>
  <c r="AC66" i="4"/>
  <c r="AA38" i="4"/>
  <c r="K20" i="4"/>
  <c r="Z31" i="4"/>
  <c r="Z20" i="4"/>
  <c r="J20" i="4"/>
  <c r="L20" i="4"/>
  <c r="G52" i="4"/>
  <c r="AD45" i="4"/>
  <c r="V45" i="4"/>
  <c r="AD21" i="4"/>
  <c r="AC31" i="4"/>
  <c r="AC20" i="4"/>
  <c r="M20" i="4"/>
  <c r="H20" i="4"/>
  <c r="L89" i="4"/>
  <c r="AE31" i="4"/>
  <c r="AD80" i="4"/>
  <c r="Z73" i="4"/>
  <c r="AG66" i="4"/>
  <c r="V31" i="4"/>
  <c r="V20" i="4"/>
  <c r="F20" i="4"/>
  <c r="T20" i="4"/>
  <c r="W52" i="4"/>
  <c r="X45" i="4"/>
  <c r="Y31" i="4"/>
  <c r="Y20" i="4"/>
  <c r="I20" i="4"/>
  <c r="C20" i="4"/>
  <c r="AA20" i="4"/>
  <c r="P20" i="4"/>
  <c r="O20" i="4"/>
  <c r="E66" i="4"/>
  <c r="C21" i="4"/>
  <c r="R20" i="4"/>
  <c r="AF20" i="4"/>
  <c r="U31" i="4"/>
  <c r="U20" i="4"/>
  <c r="E20" i="4"/>
  <c r="M96" i="4"/>
  <c r="C31" i="4"/>
  <c r="AB45" i="4"/>
  <c r="D20" i="14" l="1"/>
  <c r="D22" i="14" s="1"/>
  <c r="D24" i="14" s="1"/>
  <c r="G22" i="14"/>
  <c r="F22" i="14"/>
  <c r="U86" i="14"/>
  <c r="V84" i="14" s="1"/>
  <c r="T90" i="14"/>
  <c r="AF24" i="4"/>
  <c r="AF23" i="4"/>
  <c r="AF25" i="4"/>
  <c r="AG23" i="4"/>
  <c r="AG25" i="4"/>
  <c r="AG24" i="4"/>
  <c r="AD25" i="4"/>
  <c r="AD24" i="4"/>
  <c r="AD23" i="4"/>
  <c r="AE25" i="4"/>
  <c r="AE24" i="4"/>
  <c r="AE23" i="4"/>
  <c r="AC23" i="4"/>
  <c r="AC24" i="4"/>
  <c r="AC25" i="4"/>
  <c r="C23" i="4"/>
  <c r="F13" i="8" s="1"/>
  <c r="C24" i="4"/>
  <c r="F40" i="8" s="1"/>
  <c r="C25" i="4"/>
  <c r="F67" i="8" s="1"/>
  <c r="AH30" i="14"/>
  <c r="AH59" i="14"/>
  <c r="AI4" i="14"/>
  <c r="AI88" i="14" s="1"/>
  <c r="I22" i="14"/>
  <c r="I24" i="14" s="1"/>
  <c r="K35" i="19" s="1"/>
  <c r="O58" i="16" s="1"/>
  <c r="F61" i="3"/>
  <c r="L22" i="14"/>
  <c r="L24" i="14" s="1"/>
  <c r="N35" i="19" s="1"/>
  <c r="R58" i="16" s="1"/>
  <c r="H22" i="14"/>
  <c r="H24" i="14" s="1"/>
  <c r="K22" i="14"/>
  <c r="K24" i="14" s="1"/>
  <c r="M35" i="19" s="1"/>
  <c r="Q58" i="16" s="1"/>
  <c r="E22" i="14"/>
  <c r="E24" i="14" s="1"/>
  <c r="M22" i="14"/>
  <c r="M24" i="14" s="1"/>
  <c r="O35" i="19" s="1"/>
  <c r="S58" i="16" s="1"/>
  <c r="G24" i="14"/>
  <c r="I35" i="19" s="1"/>
  <c r="F58" i="16" s="1"/>
  <c r="J22" i="14"/>
  <c r="J24" i="14" s="1"/>
  <c r="L35" i="19" s="1"/>
  <c r="P58" i="16" s="1"/>
  <c r="N22" i="14"/>
  <c r="N24" i="14" s="1"/>
  <c r="C52" i="22"/>
  <c r="B52" i="22"/>
  <c r="F40" i="4"/>
  <c r="G40" i="4" s="1"/>
  <c r="K75" i="4"/>
  <c r="L75" i="4" s="1"/>
  <c r="I61" i="4"/>
  <c r="J61" i="4" s="1"/>
  <c r="F45" i="4"/>
  <c r="I66" i="4"/>
  <c r="K80" i="4"/>
  <c r="M82" i="4"/>
  <c r="M80" i="4" s="1"/>
  <c r="D21" i="4"/>
  <c r="C19" i="4"/>
  <c r="H52" i="4"/>
  <c r="AE19" i="4"/>
  <c r="AF19" i="4"/>
  <c r="M89" i="4"/>
  <c r="L87" i="4"/>
  <c r="AC19" i="4"/>
  <c r="K68" i="4"/>
  <c r="J66" i="4"/>
  <c r="M94" i="4"/>
  <c r="N96" i="4"/>
  <c r="AG19" i="4"/>
  <c r="G45" i="4"/>
  <c r="H47" i="4"/>
  <c r="F38" i="4"/>
  <c r="I52" i="4"/>
  <c r="J54" i="4"/>
  <c r="AD19" i="4"/>
  <c r="I59" i="4"/>
  <c r="K73" i="4"/>
  <c r="F33" i="4"/>
  <c r="G35" i="19" l="1"/>
  <c r="G14" i="8"/>
  <c r="J35" i="19"/>
  <c r="G58" i="16" s="1"/>
  <c r="D28" i="14"/>
  <c r="D32" i="14" s="1"/>
  <c r="F35" i="19"/>
  <c r="C58" i="16" s="1"/>
  <c r="V86" i="14"/>
  <c r="W84" i="14" s="1"/>
  <c r="U90" i="14"/>
  <c r="F67" i="3"/>
  <c r="E16" i="32"/>
  <c r="F94" i="8"/>
  <c r="C26" i="4" s="1"/>
  <c r="C125" i="16" s="1"/>
  <c r="AI30" i="14"/>
  <c r="AI59" i="14"/>
  <c r="AJ4" i="14"/>
  <c r="AJ88" i="14" s="1"/>
  <c r="F24" i="14"/>
  <c r="H35" i="19" s="1"/>
  <c r="E58" i="16" s="1"/>
  <c r="G61" i="3"/>
  <c r="D36" i="14" s="1"/>
  <c r="D94" i="14" s="1"/>
  <c r="F11" i="8"/>
  <c r="D58" i="16"/>
  <c r="J14" i="8"/>
  <c r="K14" i="8"/>
  <c r="L14" i="8"/>
  <c r="M14" i="8"/>
  <c r="I14" i="8"/>
  <c r="O14" i="8"/>
  <c r="N14" i="8"/>
  <c r="F14" i="8"/>
  <c r="B53" i="22"/>
  <c r="C53" i="22"/>
  <c r="N82" i="4"/>
  <c r="O82" i="4" s="1"/>
  <c r="F16" i="19"/>
  <c r="F55" i="19"/>
  <c r="F94" i="19"/>
  <c r="D25" i="36" s="1"/>
  <c r="F69" i="8"/>
  <c r="D31" i="4"/>
  <c r="M75" i="4"/>
  <c r="L73" i="4"/>
  <c r="O96" i="4"/>
  <c r="N94" i="4"/>
  <c r="H40" i="4"/>
  <c r="G38" i="4"/>
  <c r="G33" i="4"/>
  <c r="N80" i="4"/>
  <c r="J52" i="4"/>
  <c r="K54" i="4"/>
  <c r="M87" i="4"/>
  <c r="N89" i="4"/>
  <c r="E31" i="4"/>
  <c r="J59" i="4"/>
  <c r="K61" i="4"/>
  <c r="I47" i="4"/>
  <c r="H45" i="4"/>
  <c r="L68" i="4"/>
  <c r="K66" i="4"/>
  <c r="F31" i="19" l="1"/>
  <c r="E26" i="14"/>
  <c r="E28" i="14" s="1"/>
  <c r="G31" i="19" s="1"/>
  <c r="F131" i="19"/>
  <c r="W86" i="14"/>
  <c r="X84" i="14" s="1"/>
  <c r="V90" i="14"/>
  <c r="H14" i="8"/>
  <c r="G67" i="3"/>
  <c r="S455" i="1" s="1"/>
  <c r="C109" i="16"/>
  <c r="E23" i="4"/>
  <c r="H13" i="8" s="1"/>
  <c r="E25" i="4"/>
  <c r="H67" i="8" s="1"/>
  <c r="E24" i="4"/>
  <c r="H40" i="8" s="1"/>
  <c r="F16" i="32"/>
  <c r="E19" i="4"/>
  <c r="D19" i="4"/>
  <c r="D24" i="4"/>
  <c r="G40" i="8" s="1"/>
  <c r="G55" i="19" s="1"/>
  <c r="D23" i="4"/>
  <c r="G13" i="8" s="1"/>
  <c r="G16" i="19" s="1"/>
  <c r="D25" i="4"/>
  <c r="G67" i="8" s="1"/>
  <c r="AJ59" i="14"/>
  <c r="AJ30" i="14"/>
  <c r="AK4" i="14"/>
  <c r="AK88" i="14" s="1"/>
  <c r="G15" i="19"/>
  <c r="F38" i="8"/>
  <c r="F92" i="8" s="1"/>
  <c r="G110" i="3" s="1"/>
  <c r="D49" i="14"/>
  <c r="G111" i="3"/>
  <c r="F15" i="19"/>
  <c r="D6" i="36" s="1"/>
  <c r="F15" i="8"/>
  <c r="B54" i="22"/>
  <c r="C54" i="22"/>
  <c r="L54" i="4"/>
  <c r="K52" i="4"/>
  <c r="H33" i="4"/>
  <c r="I45" i="4"/>
  <c r="J47" i="4"/>
  <c r="F21" i="4"/>
  <c r="F31" i="4"/>
  <c r="F19" i="4" s="1"/>
  <c r="O94" i="4"/>
  <c r="P96" i="4"/>
  <c r="K59" i="4"/>
  <c r="L61" i="4"/>
  <c r="O89" i="4"/>
  <c r="N87" i="4"/>
  <c r="O80" i="4"/>
  <c r="P82" i="4"/>
  <c r="L66" i="4"/>
  <c r="M68" i="4"/>
  <c r="H38" i="4"/>
  <c r="I40" i="4"/>
  <c r="M73" i="4"/>
  <c r="N75" i="4"/>
  <c r="E6" i="36" l="1"/>
  <c r="H16" i="19"/>
  <c r="H94" i="8"/>
  <c r="E26" i="4" s="1"/>
  <c r="E125" i="16" s="1"/>
  <c r="G15" i="8"/>
  <c r="X86" i="14"/>
  <c r="Y84" i="14" s="1"/>
  <c r="W90" i="14"/>
  <c r="C124" i="16"/>
  <c r="G69" i="8"/>
  <c r="G94" i="19"/>
  <c r="F24" i="4"/>
  <c r="I40" i="8" s="1"/>
  <c r="F25" i="4"/>
  <c r="I67" i="8" s="1"/>
  <c r="F23" i="4"/>
  <c r="I13" i="8" s="1"/>
  <c r="G94" i="8"/>
  <c r="D26" i="4" s="1"/>
  <c r="D125" i="16" s="1"/>
  <c r="AK59" i="14"/>
  <c r="AK30" i="14"/>
  <c r="AL4" i="14"/>
  <c r="AL88" i="14" s="1"/>
  <c r="F54" i="19"/>
  <c r="H61" i="3"/>
  <c r="E36" i="14" s="1"/>
  <c r="E49" i="14" s="1"/>
  <c r="D104" i="14"/>
  <c r="B55" i="22"/>
  <c r="C55" i="22"/>
  <c r="H55" i="19"/>
  <c r="H94" i="19"/>
  <c r="F25" i="36" s="1"/>
  <c r="H69" i="8"/>
  <c r="I38" i="4"/>
  <c r="J40" i="4"/>
  <c r="P80" i="4"/>
  <c r="Q82" i="4"/>
  <c r="M61" i="4"/>
  <c r="L59" i="4"/>
  <c r="I33" i="4"/>
  <c r="G21" i="4"/>
  <c r="G31" i="4"/>
  <c r="O75" i="4"/>
  <c r="N73" i="4"/>
  <c r="N68" i="4"/>
  <c r="M66" i="4"/>
  <c r="Q96" i="4"/>
  <c r="P94" i="4"/>
  <c r="K47" i="4"/>
  <c r="J45" i="4"/>
  <c r="O87" i="4"/>
  <c r="P89" i="4"/>
  <c r="L52" i="4"/>
  <c r="M54" i="4"/>
  <c r="F130" i="19" l="1"/>
  <c r="D16" i="36"/>
  <c r="G131" i="19"/>
  <c r="E25" i="36"/>
  <c r="E32" i="14"/>
  <c r="E94" i="14"/>
  <c r="H111" i="3" s="1"/>
  <c r="H131" i="19"/>
  <c r="F26" i="14"/>
  <c r="F28" i="14" s="1"/>
  <c r="Y86" i="14"/>
  <c r="Z84" i="14" s="1"/>
  <c r="X90" i="14"/>
  <c r="H67" i="3"/>
  <c r="D109" i="16"/>
  <c r="I16" i="19"/>
  <c r="G16" i="32"/>
  <c r="G25" i="4"/>
  <c r="J67" i="8" s="1"/>
  <c r="G24" i="4"/>
  <c r="J40" i="8" s="1"/>
  <c r="G23" i="4"/>
  <c r="J13" i="8" s="1"/>
  <c r="I94" i="8"/>
  <c r="F26" i="4" s="1"/>
  <c r="F125" i="16" s="1"/>
  <c r="G19" i="4"/>
  <c r="AL30" i="14"/>
  <c r="AL59" i="14"/>
  <c r="AM4" i="14"/>
  <c r="AM88" i="14" s="1"/>
  <c r="H11" i="8"/>
  <c r="I61" i="3"/>
  <c r="F36" i="14" s="1"/>
  <c r="F49" i="14" s="1"/>
  <c r="G38" i="8"/>
  <c r="G92" i="8" s="1"/>
  <c r="E104" i="14"/>
  <c r="C56" i="22"/>
  <c r="B56" i="22"/>
  <c r="I55" i="19"/>
  <c r="I94" i="19"/>
  <c r="G25" i="36" s="1"/>
  <c r="I69" i="8"/>
  <c r="Q89" i="4"/>
  <c r="P87" i="4"/>
  <c r="J33" i="4"/>
  <c r="Q80" i="4"/>
  <c r="R82" i="4"/>
  <c r="Q94" i="4"/>
  <c r="R96" i="4"/>
  <c r="P75" i="4"/>
  <c r="O73" i="4"/>
  <c r="H21" i="4"/>
  <c r="H31" i="4"/>
  <c r="M52" i="4"/>
  <c r="N54" i="4"/>
  <c r="J38" i="4"/>
  <c r="K40" i="4"/>
  <c r="L47" i="4"/>
  <c r="K45" i="4"/>
  <c r="O68" i="4"/>
  <c r="N66" i="4"/>
  <c r="N61" i="4"/>
  <c r="M59" i="4"/>
  <c r="H15" i="8" l="1"/>
  <c r="F32" i="14"/>
  <c r="H31" i="19"/>
  <c r="I131" i="19"/>
  <c r="Z86" i="14"/>
  <c r="AA84" i="14" s="1"/>
  <c r="Y90" i="14"/>
  <c r="G26" i="14"/>
  <c r="G28" i="14" s="1"/>
  <c r="H110" i="3"/>
  <c r="D124" i="16" s="1"/>
  <c r="F94" i="14"/>
  <c r="I111" i="3" s="1"/>
  <c r="I67" i="3"/>
  <c r="E109" i="16"/>
  <c r="J16" i="19"/>
  <c r="J94" i="8"/>
  <c r="G26" i="4" s="1"/>
  <c r="G125" i="16" s="1"/>
  <c r="H24" i="4"/>
  <c r="K40" i="8" s="1"/>
  <c r="H23" i="4"/>
  <c r="K13" i="8" s="1"/>
  <c r="K16" i="19" s="1"/>
  <c r="H25" i="4"/>
  <c r="K67" i="8" s="1"/>
  <c r="I11" i="8"/>
  <c r="I15" i="8" s="1"/>
  <c r="H16" i="32"/>
  <c r="D29" i="32" s="1"/>
  <c r="D31" i="32" s="1"/>
  <c r="H19" i="4"/>
  <c r="AM30" i="14"/>
  <c r="AM59" i="14"/>
  <c r="AN4" i="14"/>
  <c r="AN88" i="14" s="1"/>
  <c r="H15" i="19"/>
  <c r="F6" i="36" s="1"/>
  <c r="J61" i="3"/>
  <c r="G36" i="14" s="1"/>
  <c r="G49" i="14" s="1"/>
  <c r="F104" i="14"/>
  <c r="G54" i="19"/>
  <c r="H38" i="8"/>
  <c r="H92" i="8" s="1"/>
  <c r="B57" i="22"/>
  <c r="C57" i="22"/>
  <c r="J55" i="19"/>
  <c r="J94" i="19"/>
  <c r="H25" i="36" s="1"/>
  <c r="J69" i="8"/>
  <c r="L40" i="4"/>
  <c r="K38" i="4"/>
  <c r="S96" i="4"/>
  <c r="R94" i="4"/>
  <c r="K33" i="4"/>
  <c r="O66" i="4"/>
  <c r="P68" i="4"/>
  <c r="I21" i="4"/>
  <c r="I31" i="4"/>
  <c r="O54" i="4"/>
  <c r="N52" i="4"/>
  <c r="R80" i="4"/>
  <c r="S82" i="4"/>
  <c r="N59" i="4"/>
  <c r="O61" i="4"/>
  <c r="L45" i="4"/>
  <c r="M47" i="4"/>
  <c r="Q75" i="4"/>
  <c r="P73" i="4"/>
  <c r="Q87" i="4"/>
  <c r="R89" i="4"/>
  <c r="G130" i="19" l="1"/>
  <c r="E16" i="36"/>
  <c r="G32" i="14"/>
  <c r="I31" i="19"/>
  <c r="G94" i="14"/>
  <c r="J111" i="3" s="1"/>
  <c r="J131" i="19"/>
  <c r="AA86" i="14"/>
  <c r="AB84" i="14" s="1"/>
  <c r="Z90" i="14"/>
  <c r="H26" i="14"/>
  <c r="H28" i="14" s="1"/>
  <c r="I110" i="3"/>
  <c r="E124" i="16" s="1"/>
  <c r="J67" i="3"/>
  <c r="F109" i="16"/>
  <c r="D33" i="32"/>
  <c r="D35" i="32" s="1"/>
  <c r="I15" i="19"/>
  <c r="G6" i="36" s="1"/>
  <c r="I23" i="4"/>
  <c r="L13" i="8" s="1"/>
  <c r="L16" i="19" s="1"/>
  <c r="I25" i="4"/>
  <c r="L67" i="8" s="1"/>
  <c r="I24" i="4"/>
  <c r="L40" i="8" s="1"/>
  <c r="K94" i="8"/>
  <c r="H26" i="4" s="1"/>
  <c r="O125" i="16" s="1"/>
  <c r="I19" i="4"/>
  <c r="AN30" i="14"/>
  <c r="AN59" i="14"/>
  <c r="AO4" i="14"/>
  <c r="AO88" i="14" s="1"/>
  <c r="H54" i="19"/>
  <c r="I38" i="8"/>
  <c r="I92" i="8" s="1"/>
  <c r="G104" i="14"/>
  <c r="B58" i="22"/>
  <c r="C58" i="22"/>
  <c r="J11" i="8"/>
  <c r="K55" i="19"/>
  <c r="K94" i="19"/>
  <c r="I25" i="36" s="1"/>
  <c r="K69" i="8"/>
  <c r="S89" i="4"/>
  <c r="R87" i="4"/>
  <c r="T82" i="4"/>
  <c r="S80" i="4"/>
  <c r="O59" i="4"/>
  <c r="P61" i="4"/>
  <c r="P66" i="4"/>
  <c r="Q68" i="4"/>
  <c r="Q73" i="4"/>
  <c r="R75" i="4"/>
  <c r="O52" i="4"/>
  <c r="P54" i="4"/>
  <c r="S94" i="4"/>
  <c r="T96" i="4"/>
  <c r="M45" i="4"/>
  <c r="N47" i="4"/>
  <c r="L33" i="4"/>
  <c r="J21" i="4"/>
  <c r="J31" i="4"/>
  <c r="L38" i="4"/>
  <c r="M40" i="4"/>
  <c r="H130" i="19" l="1"/>
  <c r="F16" i="36"/>
  <c r="H32" i="14"/>
  <c r="J31" i="19"/>
  <c r="K131" i="19"/>
  <c r="AB86" i="14"/>
  <c r="AC84" i="14" s="1"/>
  <c r="AA90" i="14"/>
  <c r="I26" i="14"/>
  <c r="I28" i="14" s="1"/>
  <c r="J110" i="3"/>
  <c r="F124" i="16" s="1"/>
  <c r="H22" i="32"/>
  <c r="H25" i="32"/>
  <c r="H23" i="32"/>
  <c r="H29" i="32"/>
  <c r="H27" i="32"/>
  <c r="H28" i="32"/>
  <c r="H30" i="32"/>
  <c r="H24" i="32"/>
  <c r="H26" i="32"/>
  <c r="L94" i="8"/>
  <c r="I26" i="4" s="1"/>
  <c r="P125" i="16" s="1"/>
  <c r="J25" i="4"/>
  <c r="M67" i="8" s="1"/>
  <c r="J24" i="4"/>
  <c r="M40" i="8" s="1"/>
  <c r="J23" i="4"/>
  <c r="M13" i="8" s="1"/>
  <c r="M16" i="19" s="1"/>
  <c r="J19" i="4"/>
  <c r="AO30" i="14"/>
  <c r="AO59" i="14"/>
  <c r="AP4" i="14"/>
  <c r="AP88" i="14" s="1"/>
  <c r="K61" i="3"/>
  <c r="H36" i="14" s="1"/>
  <c r="H49" i="14" s="1"/>
  <c r="H104" i="14" s="1"/>
  <c r="I54" i="19"/>
  <c r="B59" i="22"/>
  <c r="C59" i="22"/>
  <c r="L55" i="19"/>
  <c r="J15" i="8"/>
  <c r="J15" i="19"/>
  <c r="H6" i="36" s="1"/>
  <c r="L94" i="19"/>
  <c r="L69" i="8"/>
  <c r="M38" i="4"/>
  <c r="N40" i="4"/>
  <c r="K21" i="4"/>
  <c r="K31" i="4"/>
  <c r="N45" i="4"/>
  <c r="O47" i="4"/>
  <c r="P52" i="4"/>
  <c r="Q54" i="4"/>
  <c r="Q66" i="4"/>
  <c r="R68" i="4"/>
  <c r="U96" i="4"/>
  <c r="T94" i="4"/>
  <c r="T80" i="4"/>
  <c r="U82" i="4"/>
  <c r="R73" i="4"/>
  <c r="S75" i="4"/>
  <c r="Q61" i="4"/>
  <c r="P59" i="4"/>
  <c r="M33" i="4"/>
  <c r="S87" i="4"/>
  <c r="T89" i="4"/>
  <c r="I130" i="19" l="1"/>
  <c r="G16" i="36"/>
  <c r="I32" i="14"/>
  <c r="K31" i="19"/>
  <c r="H94" i="14"/>
  <c r="K111" i="3" s="1"/>
  <c r="J26" i="14"/>
  <c r="J28" i="14" s="1"/>
  <c r="L131" i="19"/>
  <c r="AC86" i="14"/>
  <c r="AD84" i="14" s="1"/>
  <c r="AB90" i="14"/>
  <c r="K67" i="3"/>
  <c r="G109" i="16"/>
  <c r="K11" i="8"/>
  <c r="K15" i="19" s="1"/>
  <c r="I6" i="36" s="1"/>
  <c r="M94" i="8"/>
  <c r="J26" i="4" s="1"/>
  <c r="Q125" i="16" s="1"/>
  <c r="K25" i="4"/>
  <c r="N67" i="8" s="1"/>
  <c r="K23" i="4"/>
  <c r="N13" i="8" s="1"/>
  <c r="N16" i="19" s="1"/>
  <c r="K24" i="4"/>
  <c r="N40" i="8" s="1"/>
  <c r="K19" i="4"/>
  <c r="AP30" i="14"/>
  <c r="AP59" i="14"/>
  <c r="AQ4" i="14"/>
  <c r="AQ88" i="14" s="1"/>
  <c r="L61" i="3"/>
  <c r="I36" i="14" s="1"/>
  <c r="C60" i="22"/>
  <c r="B60" i="22"/>
  <c r="M55" i="19"/>
  <c r="M94" i="19"/>
  <c r="M69" i="8"/>
  <c r="U89" i="4"/>
  <c r="T87" i="4"/>
  <c r="U80" i="4"/>
  <c r="V82" i="4"/>
  <c r="N38" i="4"/>
  <c r="O40" i="4"/>
  <c r="R61" i="4"/>
  <c r="Q59" i="4"/>
  <c r="N33" i="4"/>
  <c r="S73" i="4"/>
  <c r="T75" i="4"/>
  <c r="Q52" i="4"/>
  <c r="R54" i="4"/>
  <c r="P47" i="4"/>
  <c r="O45" i="4"/>
  <c r="L21" i="4"/>
  <c r="L31" i="4"/>
  <c r="U94" i="4"/>
  <c r="V96" i="4"/>
  <c r="S68" i="4"/>
  <c r="R66" i="4"/>
  <c r="J32" i="14" l="1"/>
  <c r="L31" i="19"/>
  <c r="M131" i="19"/>
  <c r="AD86" i="14"/>
  <c r="AE84" i="14" s="1"/>
  <c r="AC90" i="14"/>
  <c r="K26" i="14"/>
  <c r="K28" i="14" s="1"/>
  <c r="K15" i="8"/>
  <c r="L67" i="3"/>
  <c r="O109" i="16"/>
  <c r="L24" i="4"/>
  <c r="O40" i="8" s="1"/>
  <c r="L25" i="4"/>
  <c r="O67" i="8" s="1"/>
  <c r="L23" i="4"/>
  <c r="O13" i="8" s="1"/>
  <c r="O16" i="19" s="1"/>
  <c r="N94" i="8"/>
  <c r="K26" i="4" s="1"/>
  <c r="R125" i="16" s="1"/>
  <c r="L19" i="4"/>
  <c r="AQ30" i="14"/>
  <c r="AQ59" i="14"/>
  <c r="AR4" i="14"/>
  <c r="AR88" i="14" s="1"/>
  <c r="I49" i="14"/>
  <c r="I94" i="14"/>
  <c r="L111" i="3" s="1"/>
  <c r="J38" i="8"/>
  <c r="J92" i="8" s="1"/>
  <c r="K110" i="3" s="1"/>
  <c r="G124" i="16" s="1"/>
  <c r="B61" i="22"/>
  <c r="C61" i="22"/>
  <c r="N55" i="19"/>
  <c r="L11" i="8"/>
  <c r="N94" i="19"/>
  <c r="N69" i="8"/>
  <c r="T73" i="4"/>
  <c r="U75" i="4"/>
  <c r="V80" i="4"/>
  <c r="W82" i="4"/>
  <c r="W96" i="4"/>
  <c r="V94" i="4"/>
  <c r="P45" i="4"/>
  <c r="Q47" i="4"/>
  <c r="R59" i="4"/>
  <c r="S61" i="4"/>
  <c r="R52" i="4"/>
  <c r="S54" i="4"/>
  <c r="O33" i="4"/>
  <c r="P40" i="4"/>
  <c r="O38" i="4"/>
  <c r="S66" i="4"/>
  <c r="T68" i="4"/>
  <c r="M21" i="4"/>
  <c r="M31" i="4"/>
  <c r="U87" i="4"/>
  <c r="V89" i="4"/>
  <c r="K32" i="14" l="1"/>
  <c r="M31" i="19"/>
  <c r="N131" i="19"/>
  <c r="AE86" i="14"/>
  <c r="AF84" i="14" s="1"/>
  <c r="AD90" i="14"/>
  <c r="L26" i="14"/>
  <c r="L28" i="14" s="1"/>
  <c r="M23" i="4"/>
  <c r="M25" i="4"/>
  <c r="M24" i="4"/>
  <c r="O94" i="8"/>
  <c r="L26" i="4" s="1"/>
  <c r="S125" i="16" s="1"/>
  <c r="M19" i="4"/>
  <c r="AR59" i="14"/>
  <c r="AR30" i="14"/>
  <c r="AS4" i="14"/>
  <c r="AS88" i="14" s="1"/>
  <c r="K38" i="8"/>
  <c r="K92" i="8" s="1"/>
  <c r="L110" i="3" s="1"/>
  <c r="O124" i="16" s="1"/>
  <c r="M61" i="3"/>
  <c r="J36" i="14" s="1"/>
  <c r="J49" i="14" s="1"/>
  <c r="J54" i="19"/>
  <c r="I104" i="14"/>
  <c r="B62" i="22"/>
  <c r="C62" i="22"/>
  <c r="O55" i="19"/>
  <c r="L15" i="8"/>
  <c r="L15" i="19"/>
  <c r="O94" i="19"/>
  <c r="O69" i="8"/>
  <c r="S52" i="4"/>
  <c r="T54" i="4"/>
  <c r="Q45" i="4"/>
  <c r="R47" i="4"/>
  <c r="X82" i="4"/>
  <c r="W80" i="4"/>
  <c r="P38" i="4"/>
  <c r="Q40" i="4"/>
  <c r="W89" i="4"/>
  <c r="V87" i="4"/>
  <c r="T66" i="4"/>
  <c r="U68" i="4"/>
  <c r="N21" i="4"/>
  <c r="N31" i="4"/>
  <c r="T61" i="4"/>
  <c r="S59" i="4"/>
  <c r="U73" i="4"/>
  <c r="V75" i="4"/>
  <c r="P33" i="4"/>
  <c r="W94" i="4"/>
  <c r="X96" i="4"/>
  <c r="J130" i="19" l="1"/>
  <c r="H16" i="36"/>
  <c r="L32" i="14"/>
  <c r="N31" i="19"/>
  <c r="J94" i="14"/>
  <c r="M111" i="3" s="1"/>
  <c r="O131" i="19"/>
  <c r="AF86" i="14"/>
  <c r="AG84" i="14" s="1"/>
  <c r="AE90" i="14"/>
  <c r="M26" i="14"/>
  <c r="M67" i="3"/>
  <c r="P109" i="16"/>
  <c r="N24" i="4"/>
  <c r="N23" i="4"/>
  <c r="N25" i="4"/>
  <c r="N19" i="4"/>
  <c r="AS59" i="14"/>
  <c r="AS30" i="14"/>
  <c r="AT4" i="14"/>
  <c r="AT88" i="14" s="1"/>
  <c r="J104" i="14"/>
  <c r="K54" i="19"/>
  <c r="M11" i="8"/>
  <c r="B63" i="22"/>
  <c r="C63" i="22"/>
  <c r="O21" i="4"/>
  <c r="O31" i="4"/>
  <c r="V68" i="4"/>
  <c r="U66" i="4"/>
  <c r="Q38" i="4"/>
  <c r="R40" i="4"/>
  <c r="S47" i="4"/>
  <c r="R45" i="4"/>
  <c r="Q33" i="4"/>
  <c r="U61" i="4"/>
  <c r="T59" i="4"/>
  <c r="W75" i="4"/>
  <c r="V73" i="4"/>
  <c r="U54" i="4"/>
  <c r="T52" i="4"/>
  <c r="Y96" i="4"/>
  <c r="X94" i="4"/>
  <c r="W87" i="4"/>
  <c r="X89" i="4"/>
  <c r="X80" i="4"/>
  <c r="Y82" i="4"/>
  <c r="K130" i="19" l="1"/>
  <c r="I16" i="36"/>
  <c r="AG86" i="14"/>
  <c r="AH84" i="14" s="1"/>
  <c r="AF90" i="14"/>
  <c r="M28" i="14"/>
  <c r="O25" i="4"/>
  <c r="O24" i="4"/>
  <c r="O23" i="4"/>
  <c r="O19" i="4"/>
  <c r="AT30" i="14"/>
  <c r="AT59" i="14"/>
  <c r="AU4" i="14"/>
  <c r="AU88" i="14" s="1"/>
  <c r="M15" i="19"/>
  <c r="M15" i="8"/>
  <c r="L38" i="8"/>
  <c r="L92" i="8" s="1"/>
  <c r="M110" i="3" s="1"/>
  <c r="P124" i="16" s="1"/>
  <c r="N61" i="3"/>
  <c r="K36" i="14" s="1"/>
  <c r="K94" i="14" s="1"/>
  <c r="N111" i="3" s="1"/>
  <c r="C64" i="22"/>
  <c r="B64" i="22"/>
  <c r="Y80" i="4"/>
  <c r="Z82" i="4"/>
  <c r="Z80" i="4" s="1"/>
  <c r="U52" i="4"/>
  <c r="V54" i="4"/>
  <c r="V52" i="4" s="1"/>
  <c r="Y89" i="4"/>
  <c r="X87" i="4"/>
  <c r="V61" i="4"/>
  <c r="U59" i="4"/>
  <c r="S45" i="4"/>
  <c r="T47" i="4"/>
  <c r="W68" i="4"/>
  <c r="V66" i="4"/>
  <c r="R33" i="4"/>
  <c r="R38" i="4"/>
  <c r="S40" i="4"/>
  <c r="Y94" i="4"/>
  <c r="Z96" i="4"/>
  <c r="W73" i="4"/>
  <c r="X75" i="4"/>
  <c r="P21" i="4"/>
  <c r="P31" i="4"/>
  <c r="N26" i="14" l="1"/>
  <c r="N28" i="14" s="1"/>
  <c r="O26" i="14" s="1"/>
  <c r="O31" i="19"/>
  <c r="K49" i="14"/>
  <c r="K104" i="14" s="1"/>
  <c r="AH86" i="14"/>
  <c r="AI84" i="14" s="1"/>
  <c r="AG90" i="14"/>
  <c r="M32" i="14"/>
  <c r="N67" i="3"/>
  <c r="Q109" i="16"/>
  <c r="P24" i="4"/>
  <c r="P23" i="4"/>
  <c r="P25" i="4"/>
  <c r="P19" i="4"/>
  <c r="AU30" i="14"/>
  <c r="AU59" i="14"/>
  <c r="AV4" i="14"/>
  <c r="AV88" i="14" s="1"/>
  <c r="L54" i="19"/>
  <c r="L130" i="19" s="1"/>
  <c r="B65" i="22"/>
  <c r="C65" i="22"/>
  <c r="N11" i="8"/>
  <c r="X73" i="4"/>
  <c r="Y75" i="4"/>
  <c r="Y73" i="4" s="1"/>
  <c r="W66" i="4"/>
  <c r="X68" i="4"/>
  <c r="X66" i="4" s="1"/>
  <c r="V21" i="4"/>
  <c r="W61" i="4"/>
  <c r="W59" i="4" s="1"/>
  <c r="T45" i="4"/>
  <c r="U47" i="4"/>
  <c r="S38" i="4"/>
  <c r="T40" i="4"/>
  <c r="T38" i="4" s="1"/>
  <c r="R31" i="4"/>
  <c r="S33" i="4"/>
  <c r="AA96" i="4"/>
  <c r="Z94" i="4"/>
  <c r="Q21" i="4"/>
  <c r="Q31" i="4"/>
  <c r="Z89" i="4"/>
  <c r="AI86" i="14" l="1"/>
  <c r="AJ84" i="14" s="1"/>
  <c r="AH90" i="14"/>
  <c r="O28" i="14"/>
  <c r="P26" i="14" s="1"/>
  <c r="N32" i="14"/>
  <c r="Q23" i="4"/>
  <c r="Q24" i="4"/>
  <c r="Q25" i="4"/>
  <c r="X24" i="4"/>
  <c r="X25" i="4"/>
  <c r="X23" i="4"/>
  <c r="T24" i="4"/>
  <c r="T23" i="4"/>
  <c r="T25" i="4"/>
  <c r="R25" i="4"/>
  <c r="R24" i="4"/>
  <c r="R23" i="4"/>
  <c r="Q19" i="4"/>
  <c r="R19" i="4"/>
  <c r="AV30" i="14"/>
  <c r="AV59" i="14"/>
  <c r="AW4" i="14"/>
  <c r="AW88" i="14" s="1"/>
  <c r="M38" i="8"/>
  <c r="M92" i="8" s="1"/>
  <c r="N110" i="3" s="1"/>
  <c r="Q124" i="16" s="1"/>
  <c r="B66" i="22"/>
  <c r="C66" i="22"/>
  <c r="U45" i="4"/>
  <c r="V47" i="4"/>
  <c r="W47" i="4" s="1"/>
  <c r="S31" i="4"/>
  <c r="T33" i="4"/>
  <c r="U33" i="4" s="1"/>
  <c r="V33" i="4" s="1"/>
  <c r="W33" i="4" s="1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N15" i="8"/>
  <c r="N15" i="19"/>
  <c r="O61" i="3"/>
  <c r="L36" i="14" s="1"/>
  <c r="L49" i="14" s="1"/>
  <c r="V59" i="4"/>
  <c r="T19" i="4"/>
  <c r="W21" i="4"/>
  <c r="U21" i="4"/>
  <c r="X21" i="4"/>
  <c r="X19" i="4"/>
  <c r="S21" i="4"/>
  <c r="R21" i="4"/>
  <c r="Z21" i="4"/>
  <c r="AA89" i="4"/>
  <c r="AA87" i="4" s="1"/>
  <c r="AA94" i="4"/>
  <c r="AB96" i="4"/>
  <c r="T21" i="4"/>
  <c r="Y87" i="4"/>
  <c r="Y19" i="4" s="1"/>
  <c r="Y21" i="4"/>
  <c r="L94" i="14" l="1"/>
  <c r="O111" i="3" s="1"/>
  <c r="AJ86" i="14"/>
  <c r="AK84" i="14" s="1"/>
  <c r="AI90" i="14"/>
  <c r="P28" i="14"/>
  <c r="Q26" i="14" s="1"/>
  <c r="O32" i="14"/>
  <c r="O67" i="3"/>
  <c r="R109" i="16"/>
  <c r="Y23" i="4"/>
  <c r="AA25" i="4"/>
  <c r="AA23" i="4"/>
  <c r="AA24" i="4"/>
  <c r="S25" i="4"/>
  <c r="S23" i="4"/>
  <c r="S24" i="4"/>
  <c r="V19" i="4"/>
  <c r="V25" i="4"/>
  <c r="V23" i="4"/>
  <c r="V24" i="4"/>
  <c r="Y25" i="4"/>
  <c r="U23" i="4"/>
  <c r="U24" i="4"/>
  <c r="U25" i="4"/>
  <c r="Y24" i="4"/>
  <c r="U19" i="4"/>
  <c r="S19" i="4"/>
  <c r="AW30" i="14"/>
  <c r="AW59" i="14"/>
  <c r="AX4" i="14"/>
  <c r="AX88" i="14" s="1"/>
  <c r="O11" i="8"/>
  <c r="L104" i="14"/>
  <c r="M54" i="19"/>
  <c r="M130" i="19" s="1"/>
  <c r="B67" i="22"/>
  <c r="C67" i="22"/>
  <c r="W45" i="4"/>
  <c r="X47" i="4"/>
  <c r="Y47" i="4" s="1"/>
  <c r="Z47" i="4" s="1"/>
  <c r="AA47" i="4" s="1"/>
  <c r="AB47" i="4" s="1"/>
  <c r="AC47" i="4" s="1"/>
  <c r="AD47" i="4" s="1"/>
  <c r="AE47" i="4" s="1"/>
  <c r="AF47" i="4" s="1"/>
  <c r="AG47" i="4" s="1"/>
  <c r="Z87" i="4"/>
  <c r="AA21" i="4"/>
  <c r="AB94" i="4"/>
  <c r="AB21" i="4"/>
  <c r="AA19" i="4"/>
  <c r="AK86" i="14" l="1"/>
  <c r="AL84" i="14" s="1"/>
  <c r="AJ90" i="14"/>
  <c r="Q28" i="14"/>
  <c r="R26" i="14" s="1"/>
  <c r="P32" i="14"/>
  <c r="AB19" i="4"/>
  <c r="AB24" i="4"/>
  <c r="AB23" i="4"/>
  <c r="AB25" i="4"/>
  <c r="Z19" i="4"/>
  <c r="Z23" i="4"/>
  <c r="Z24" i="4"/>
  <c r="Z25" i="4"/>
  <c r="W23" i="4"/>
  <c r="W25" i="4"/>
  <c r="W24" i="4"/>
  <c r="W19" i="4"/>
  <c r="AX30" i="14"/>
  <c r="AX59" i="14"/>
  <c r="AY4" i="14"/>
  <c r="AY88" i="14" s="1"/>
  <c r="O15" i="8"/>
  <c r="O15" i="19"/>
  <c r="P61" i="3"/>
  <c r="N38" i="8"/>
  <c r="N92" i="8" s="1"/>
  <c r="O110" i="3" s="1"/>
  <c r="R124" i="16" s="1"/>
  <c r="O38" i="8"/>
  <c r="O92" i="8" s="1"/>
  <c r="C68" i="22"/>
  <c r="B68" i="22"/>
  <c r="S109" i="16" l="1"/>
  <c r="M36" i="14"/>
  <c r="AL86" i="14"/>
  <c r="AM84" i="14" s="1"/>
  <c r="AK90" i="14"/>
  <c r="R28" i="14"/>
  <c r="S26" i="14" s="1"/>
  <c r="Q32" i="14"/>
  <c r="N49" i="14"/>
  <c r="P67" i="3"/>
  <c r="P110" i="3" s="1"/>
  <c r="S124" i="16" s="1"/>
  <c r="AY30" i="14"/>
  <c r="AY59" i="14"/>
  <c r="AZ4" i="14"/>
  <c r="AZ88" i="14" s="1"/>
  <c r="O54" i="19"/>
  <c r="O130" i="19" s="1"/>
  <c r="N54" i="19"/>
  <c r="N130" i="19" s="1"/>
  <c r="B69" i="22"/>
  <c r="C69" i="22"/>
  <c r="M49" i="14" l="1"/>
  <c r="F51" i="14" s="1"/>
  <c r="M94" i="14"/>
  <c r="P111" i="3" s="1"/>
  <c r="AM86" i="14"/>
  <c r="AN84" i="14" s="1"/>
  <c r="AL90" i="14"/>
  <c r="N94" i="14"/>
  <c r="S28" i="14"/>
  <c r="T26" i="14" s="1"/>
  <c r="R32" i="14"/>
  <c r="AZ30" i="14"/>
  <c r="AZ59" i="14"/>
  <c r="BA4" i="14"/>
  <c r="BA88" i="14" s="1"/>
  <c r="N51" i="14"/>
  <c r="N104" i="14"/>
  <c r="L51" i="14"/>
  <c r="B70" i="22"/>
  <c r="C70" i="22"/>
  <c r="K51" i="14" l="1"/>
  <c r="K53" i="14" s="1"/>
  <c r="G51" i="14"/>
  <c r="G53" i="14" s="1"/>
  <c r="I74" i="19" s="1"/>
  <c r="F73" i="16" s="1"/>
  <c r="I51" i="14"/>
  <c r="I53" i="14" s="1"/>
  <c r="M104" i="14"/>
  <c r="D51" i="14"/>
  <c r="M51" i="14"/>
  <c r="M53" i="14" s="1"/>
  <c r="O74" i="19" s="1"/>
  <c r="S73" i="16" s="1"/>
  <c r="E51" i="14"/>
  <c r="E53" i="14" s="1"/>
  <c r="G74" i="19" s="1"/>
  <c r="D73" i="16" s="1"/>
  <c r="H51" i="14"/>
  <c r="H53" i="14" s="1"/>
  <c r="J51" i="14"/>
  <c r="AN86" i="14"/>
  <c r="AO84" i="14" s="1"/>
  <c r="AM90" i="14"/>
  <c r="T28" i="14"/>
  <c r="U26" i="14" s="1"/>
  <c r="S32" i="14"/>
  <c r="BA59" i="14"/>
  <c r="BA30" i="14"/>
  <c r="BB4" i="14"/>
  <c r="BB88" i="14" s="1"/>
  <c r="F53" i="14"/>
  <c r="H74" i="19" s="1"/>
  <c r="F106" i="14"/>
  <c r="L106" i="14"/>
  <c r="L53" i="14"/>
  <c r="N74" i="19" s="1"/>
  <c r="R73" i="16" s="1"/>
  <c r="N53" i="14"/>
  <c r="N108" i="14" s="1"/>
  <c r="N106" i="14"/>
  <c r="B71" i="22"/>
  <c r="C71" i="22"/>
  <c r="E73" i="16" l="1"/>
  <c r="M41" i="8"/>
  <c r="M74" i="19"/>
  <c r="Q73" i="16" s="1"/>
  <c r="K41" i="8"/>
  <c r="K42" i="8" s="1"/>
  <c r="K74" i="19"/>
  <c r="O73" i="16" s="1"/>
  <c r="J41" i="8"/>
  <c r="J95" i="8" s="1"/>
  <c r="J96" i="8" s="1"/>
  <c r="J74" i="19"/>
  <c r="G73" i="16" s="1"/>
  <c r="I108" i="14"/>
  <c r="K148" i="19" s="1"/>
  <c r="O43" i="16" s="1"/>
  <c r="I106" i="14"/>
  <c r="M106" i="14"/>
  <c r="G106" i="14"/>
  <c r="H106" i="14"/>
  <c r="K108" i="14"/>
  <c r="M148" i="19" s="1"/>
  <c r="Q43" i="16" s="1"/>
  <c r="K106" i="14"/>
  <c r="H108" i="14"/>
  <c r="J148" i="19" s="1"/>
  <c r="G43" i="16" s="1"/>
  <c r="K95" i="8"/>
  <c r="K96" i="8" s="1"/>
  <c r="E106" i="14"/>
  <c r="J106" i="14"/>
  <c r="J53" i="14"/>
  <c r="L74" i="19" s="1"/>
  <c r="P73" i="16" s="1"/>
  <c r="D106" i="14"/>
  <c r="D53" i="14"/>
  <c r="F74" i="19" s="1"/>
  <c r="C73" i="16" s="1"/>
  <c r="AO86" i="14"/>
  <c r="AP84" i="14" s="1"/>
  <c r="AN90" i="14"/>
  <c r="U28" i="14"/>
  <c r="V26" i="14" s="1"/>
  <c r="T32" i="14"/>
  <c r="BB30" i="14"/>
  <c r="BB59" i="14"/>
  <c r="I41" i="8"/>
  <c r="G108" i="14"/>
  <c r="I148" i="19" s="1"/>
  <c r="F43" i="16" s="1"/>
  <c r="M42" i="8"/>
  <c r="G41" i="8"/>
  <c r="E108" i="14"/>
  <c r="G148" i="19" s="1"/>
  <c r="D43" i="16" s="1"/>
  <c r="N41" i="8"/>
  <c r="L108" i="14"/>
  <c r="N148" i="19" s="1"/>
  <c r="R43" i="16" s="1"/>
  <c r="O41" i="8"/>
  <c r="M108" i="14"/>
  <c r="O148" i="19" s="1"/>
  <c r="S43" i="16" s="1"/>
  <c r="H41" i="8"/>
  <c r="H95" i="8" s="1"/>
  <c r="F108" i="14"/>
  <c r="H148" i="19" s="1"/>
  <c r="E43" i="16" s="1"/>
  <c r="C72" i="22"/>
  <c r="B72" i="22"/>
  <c r="J42" i="8" l="1"/>
  <c r="M95" i="8"/>
  <c r="M96" i="8" s="1"/>
  <c r="H96" i="8"/>
  <c r="G95" i="8"/>
  <c r="G96" i="8" s="1"/>
  <c r="N95" i="8"/>
  <c r="N96" i="8" s="1"/>
  <c r="I95" i="8"/>
  <c r="I96" i="8" s="1"/>
  <c r="O95" i="8"/>
  <c r="O96" i="8" s="1"/>
  <c r="D57" i="14"/>
  <c r="F70" i="19" s="1"/>
  <c r="F41" i="8"/>
  <c r="D108" i="14"/>
  <c r="F148" i="19" s="1"/>
  <c r="C43" i="16" s="1"/>
  <c r="L41" i="8"/>
  <c r="J108" i="14"/>
  <c r="L148" i="19" s="1"/>
  <c r="P43" i="16" s="1"/>
  <c r="AP86" i="14"/>
  <c r="AQ84" i="14" s="1"/>
  <c r="AO90" i="14"/>
  <c r="V28" i="14"/>
  <c r="W26" i="14" s="1"/>
  <c r="U32" i="14"/>
  <c r="O42" i="8"/>
  <c r="N42" i="8"/>
  <c r="H42" i="8"/>
  <c r="G42" i="8"/>
  <c r="I42" i="8"/>
  <c r="B73" i="22"/>
  <c r="C73" i="22"/>
  <c r="D112" i="14" l="1"/>
  <c r="L95" i="8"/>
  <c r="L96" i="8" s="1"/>
  <c r="L42" i="8"/>
  <c r="F95" i="8"/>
  <c r="F96" i="8" s="1"/>
  <c r="F42" i="8"/>
  <c r="D61" i="14"/>
  <c r="E55" i="14"/>
  <c r="E57" i="14" s="1"/>
  <c r="G70" i="19" s="1"/>
  <c r="AQ86" i="14"/>
  <c r="AR84" i="14" s="1"/>
  <c r="AP90" i="14"/>
  <c r="W28" i="14"/>
  <c r="X26" i="14" s="1"/>
  <c r="V32" i="14"/>
  <c r="B74" i="22"/>
  <c r="C74" i="22"/>
  <c r="E61" i="14" l="1"/>
  <c r="E110" i="14"/>
  <c r="E112" i="14" s="1"/>
  <c r="E113" i="14" s="1"/>
  <c r="D113" i="14"/>
  <c r="F55" i="14"/>
  <c r="F57" i="14" s="1"/>
  <c r="H70" i="19" s="1"/>
  <c r="AR86" i="14"/>
  <c r="AS84" i="14" s="1"/>
  <c r="AQ90" i="14"/>
  <c r="X28" i="14"/>
  <c r="Y26" i="14" s="1"/>
  <c r="W32" i="14"/>
  <c r="B75" i="22"/>
  <c r="C75" i="22"/>
  <c r="F61" i="14" l="1"/>
  <c r="F110" i="14"/>
  <c r="F112" i="14" s="1"/>
  <c r="G55" i="14"/>
  <c r="G57" i="14" s="1"/>
  <c r="I70" i="19" s="1"/>
  <c r="F150" i="19"/>
  <c r="G147" i="19" s="1"/>
  <c r="AS86" i="14"/>
  <c r="AT84" i="14" s="1"/>
  <c r="AR90" i="14"/>
  <c r="Y28" i="14"/>
  <c r="Z26" i="14" s="1"/>
  <c r="X32" i="14"/>
  <c r="C76" i="22"/>
  <c r="B76" i="22"/>
  <c r="G61" i="14" l="1"/>
  <c r="F113" i="14"/>
  <c r="G110" i="14"/>
  <c r="G112" i="14" s="1"/>
  <c r="H55" i="14"/>
  <c r="H57" i="14" s="1"/>
  <c r="J70" i="19" s="1"/>
  <c r="G150" i="19"/>
  <c r="H147" i="19" s="1"/>
  <c r="D117" i="14"/>
  <c r="AT86" i="14"/>
  <c r="AU84" i="14" s="1"/>
  <c r="AS90" i="14"/>
  <c r="Y32" i="14"/>
  <c r="Z28" i="14"/>
  <c r="AA26" i="14" s="1"/>
  <c r="B77" i="22"/>
  <c r="C77" i="22"/>
  <c r="H61" i="14" l="1"/>
  <c r="H110" i="14"/>
  <c r="H112" i="14" s="1"/>
  <c r="G113" i="14"/>
  <c r="I55" i="14"/>
  <c r="I57" i="14" s="1"/>
  <c r="K70" i="19" s="1"/>
  <c r="E117" i="14"/>
  <c r="H150" i="19"/>
  <c r="I147" i="19" s="1"/>
  <c r="AU86" i="14"/>
  <c r="AV84" i="14" s="1"/>
  <c r="AT90" i="14"/>
  <c r="AA28" i="14"/>
  <c r="AB26" i="14" s="1"/>
  <c r="Z32" i="14"/>
  <c r="B78" i="22"/>
  <c r="C78" i="22"/>
  <c r="I61" i="14" l="1"/>
  <c r="J55" i="14"/>
  <c r="J57" i="14" s="1"/>
  <c r="L70" i="19" s="1"/>
  <c r="H113" i="14"/>
  <c r="I110" i="14"/>
  <c r="I112" i="14" s="1"/>
  <c r="F117" i="14"/>
  <c r="I150" i="19"/>
  <c r="J147" i="19" s="1"/>
  <c r="AU90" i="14"/>
  <c r="AV86" i="14"/>
  <c r="AW84" i="14" s="1"/>
  <c r="AB28" i="14"/>
  <c r="AC26" i="14" s="1"/>
  <c r="AA32" i="14"/>
  <c r="B79" i="22"/>
  <c r="C79" i="22"/>
  <c r="J61" i="14" l="1"/>
  <c r="K55" i="14"/>
  <c r="K57" i="14" s="1"/>
  <c r="J110" i="14"/>
  <c r="J112" i="14" s="1"/>
  <c r="I113" i="14"/>
  <c r="J150" i="19"/>
  <c r="K147" i="19" s="1"/>
  <c r="G117" i="14"/>
  <c r="AV90" i="14"/>
  <c r="AW86" i="14"/>
  <c r="AX84" i="14" s="1"/>
  <c r="AC28" i="14"/>
  <c r="AD26" i="14" s="1"/>
  <c r="AB32" i="14"/>
  <c r="C80" i="22"/>
  <c r="B80" i="22"/>
  <c r="L55" i="14" l="1"/>
  <c r="L57" i="14" s="1"/>
  <c r="N70" i="19" s="1"/>
  <c r="M70" i="19"/>
  <c r="K61" i="14"/>
  <c r="K110" i="14"/>
  <c r="K112" i="14" s="1"/>
  <c r="J113" i="14"/>
  <c r="K150" i="19"/>
  <c r="L147" i="19" s="1"/>
  <c r="H117" i="14"/>
  <c r="AW90" i="14"/>
  <c r="AX86" i="14"/>
  <c r="AY84" i="14" s="1"/>
  <c r="AD28" i="14"/>
  <c r="AE26" i="14" s="1"/>
  <c r="AC32" i="14"/>
  <c r="B81" i="22"/>
  <c r="C81" i="22"/>
  <c r="M55" i="14" l="1"/>
  <c r="M57" i="14" s="1"/>
  <c r="O70" i="19" s="1"/>
  <c r="L61" i="14"/>
  <c r="K113" i="14"/>
  <c r="L110" i="14"/>
  <c r="L112" i="14" s="1"/>
  <c r="L150" i="19"/>
  <c r="M147" i="19" s="1"/>
  <c r="I117" i="14"/>
  <c r="N55" i="14"/>
  <c r="N57" i="14" s="1"/>
  <c r="N61" i="14" s="1"/>
  <c r="AX90" i="14"/>
  <c r="AY86" i="14"/>
  <c r="AZ84" i="14" s="1"/>
  <c r="AE28" i="14"/>
  <c r="AF26" i="14" s="1"/>
  <c r="AD32" i="14"/>
  <c r="B82" i="22"/>
  <c r="C82" i="22"/>
  <c r="M61" i="14" l="1"/>
  <c r="M110" i="14"/>
  <c r="M112" i="14" s="1"/>
  <c r="L113" i="14"/>
  <c r="M150" i="19"/>
  <c r="N147" i="19" s="1"/>
  <c r="J117" i="14"/>
  <c r="AY90" i="14"/>
  <c r="O55" i="14"/>
  <c r="O57" i="14" s="1"/>
  <c r="AZ86" i="14"/>
  <c r="BA84" i="14" s="1"/>
  <c r="AE32" i="14"/>
  <c r="AF28" i="14"/>
  <c r="AG26" i="14" s="1"/>
  <c r="B83" i="22"/>
  <c r="C83" i="22"/>
  <c r="M113" i="14" l="1"/>
  <c r="N110" i="14"/>
  <c r="N112" i="14" s="1"/>
  <c r="N150" i="19"/>
  <c r="O147" i="19" s="1"/>
  <c r="K117" i="14"/>
  <c r="O61" i="14"/>
  <c r="P55" i="14"/>
  <c r="P57" i="14" s="1"/>
  <c r="P61" i="14" s="1"/>
  <c r="BA86" i="14"/>
  <c r="BB84" i="14" s="1"/>
  <c r="AZ90" i="14"/>
  <c r="AG28" i="14"/>
  <c r="AH26" i="14" s="1"/>
  <c r="AF32" i="14"/>
  <c r="C84" i="22"/>
  <c r="B84" i="22"/>
  <c r="N113" i="14" l="1"/>
  <c r="O110" i="14"/>
  <c r="O112" i="14" s="1"/>
  <c r="O150" i="19"/>
  <c r="L117" i="14"/>
  <c r="BB86" i="14"/>
  <c r="BB90" i="14" s="1"/>
  <c r="BA90" i="14"/>
  <c r="Q55" i="14"/>
  <c r="AH28" i="14"/>
  <c r="AI26" i="14" s="1"/>
  <c r="AG32" i="14"/>
  <c r="B85" i="22"/>
  <c r="C85" i="22"/>
  <c r="O113" i="14" l="1"/>
  <c r="P110" i="14"/>
  <c r="P112" i="14" s="1"/>
  <c r="M117" i="14"/>
  <c r="Q57" i="14"/>
  <c r="R55" i="14" s="1"/>
  <c r="AI28" i="14"/>
  <c r="AJ26" i="14" s="1"/>
  <c r="AH32" i="14"/>
  <c r="B86" i="22"/>
  <c r="C86" i="22"/>
  <c r="Q110" i="14" l="1"/>
  <c r="Q112" i="14" s="1"/>
  <c r="P113" i="14"/>
  <c r="R57" i="14"/>
  <c r="S55" i="14" s="1"/>
  <c r="Q61" i="14"/>
  <c r="AJ28" i="14"/>
  <c r="AK26" i="14" s="1"/>
  <c r="AI32" i="14"/>
  <c r="B87" i="22"/>
  <c r="C87" i="22"/>
  <c r="Q113" i="14" l="1"/>
  <c r="R110" i="14"/>
  <c r="R112" i="14" s="1"/>
  <c r="S57" i="14"/>
  <c r="T55" i="14" s="1"/>
  <c r="R61" i="14"/>
  <c r="AK28" i="14"/>
  <c r="AL26" i="14" s="1"/>
  <c r="AJ32" i="14"/>
  <c r="C88" i="22"/>
  <c r="B88" i="22"/>
  <c r="S110" i="14" l="1"/>
  <c r="S112" i="14" s="1"/>
  <c r="R113" i="14"/>
  <c r="T57" i="14"/>
  <c r="U55" i="14" s="1"/>
  <c r="S61" i="14"/>
  <c r="AL28" i="14"/>
  <c r="AM26" i="14" s="1"/>
  <c r="AK32" i="14"/>
  <c r="B89" i="22"/>
  <c r="C89" i="22"/>
  <c r="T110" i="14" l="1"/>
  <c r="T112" i="14" s="1"/>
  <c r="S113" i="14"/>
  <c r="U57" i="14"/>
  <c r="V55" i="14" s="1"/>
  <c r="T61" i="14"/>
  <c r="AM28" i="14"/>
  <c r="AN26" i="14" s="1"/>
  <c r="AL32" i="14"/>
  <c r="B90" i="22"/>
  <c r="C90" i="22"/>
  <c r="U110" i="14" l="1"/>
  <c r="U112" i="14" s="1"/>
  <c r="T113" i="14"/>
  <c r="V57" i="14"/>
  <c r="W55" i="14" s="1"/>
  <c r="U61" i="14"/>
  <c r="AN28" i="14"/>
  <c r="AO26" i="14" s="1"/>
  <c r="AM32" i="14"/>
  <c r="B91" i="22"/>
  <c r="C91" i="22"/>
  <c r="V110" i="14" l="1"/>
  <c r="V112" i="14" s="1"/>
  <c r="U113" i="14"/>
  <c r="W57" i="14"/>
  <c r="X55" i="14" s="1"/>
  <c r="V61" i="14"/>
  <c r="AO28" i="14"/>
  <c r="AP26" i="14" s="1"/>
  <c r="AN32" i="14"/>
  <c r="C92" i="22"/>
  <c r="B92" i="22"/>
  <c r="W110" i="14" l="1"/>
  <c r="W112" i="14" s="1"/>
  <c r="V113" i="14"/>
  <c r="X57" i="14"/>
  <c r="Y55" i="14" s="1"/>
  <c r="W61" i="14"/>
  <c r="AP28" i="14"/>
  <c r="AQ26" i="14" s="1"/>
  <c r="AO32" i="14"/>
  <c r="B93" i="22"/>
  <c r="C93" i="22"/>
  <c r="X110" i="14" l="1"/>
  <c r="X112" i="14" s="1"/>
  <c r="W113" i="14"/>
  <c r="Y57" i="14"/>
  <c r="Z55" i="14" s="1"/>
  <c r="X61" i="14"/>
  <c r="AQ28" i="14"/>
  <c r="AR26" i="14" s="1"/>
  <c r="AP32" i="14"/>
  <c r="B94" i="22"/>
  <c r="C94" i="22"/>
  <c r="Y110" i="14" l="1"/>
  <c r="Y112" i="14" s="1"/>
  <c r="X113" i="14"/>
  <c r="Z57" i="14"/>
  <c r="AA55" i="14" s="1"/>
  <c r="Y61" i="14"/>
  <c r="AR28" i="14"/>
  <c r="AS26" i="14" s="1"/>
  <c r="AQ32" i="14"/>
  <c r="B95" i="22"/>
  <c r="C95" i="22"/>
  <c r="Z110" i="14" l="1"/>
  <c r="Z112" i="14" s="1"/>
  <c r="Y113" i="14"/>
  <c r="AA57" i="14"/>
  <c r="AB55" i="14" s="1"/>
  <c r="Z61" i="14"/>
  <c r="AS28" i="14"/>
  <c r="AT26" i="14" s="1"/>
  <c r="AR32" i="14"/>
  <c r="C96" i="22"/>
  <c r="B96" i="22"/>
  <c r="AA110" i="14" l="1"/>
  <c r="AA112" i="14" s="1"/>
  <c r="Z113" i="14"/>
  <c r="AB57" i="14"/>
  <c r="AC55" i="14" s="1"/>
  <c r="AA61" i="14"/>
  <c r="AT28" i="14"/>
  <c r="AU26" i="14" s="1"/>
  <c r="AS32" i="14"/>
  <c r="B97" i="22"/>
  <c r="C97" i="22"/>
  <c r="AB110" i="14" l="1"/>
  <c r="AB112" i="14" s="1"/>
  <c r="AA113" i="14"/>
  <c r="AC57" i="14"/>
  <c r="AD55" i="14" s="1"/>
  <c r="AB61" i="14"/>
  <c r="AU28" i="14"/>
  <c r="AV26" i="14" s="1"/>
  <c r="AT32" i="14"/>
  <c r="B98" i="22"/>
  <c r="C98" i="22"/>
  <c r="AB113" i="14" l="1"/>
  <c r="AC110" i="14"/>
  <c r="AC112" i="14" s="1"/>
  <c r="AD57" i="14"/>
  <c r="AE55" i="14" s="1"/>
  <c r="AC61" i="14"/>
  <c r="AU32" i="14"/>
  <c r="AV28" i="14"/>
  <c r="AW26" i="14" s="1"/>
  <c r="B99" i="22"/>
  <c r="C99" i="22"/>
  <c r="AD110" i="14" l="1"/>
  <c r="AD112" i="14" s="1"/>
  <c r="AC113" i="14"/>
  <c r="AE57" i="14"/>
  <c r="AF55" i="14" s="1"/>
  <c r="AD61" i="14"/>
  <c r="AW28" i="14"/>
  <c r="AX26" i="14" s="1"/>
  <c r="AV32" i="14"/>
  <c r="C100" i="22"/>
  <c r="B100" i="22"/>
  <c r="AD113" i="14" l="1"/>
  <c r="AE110" i="14"/>
  <c r="AE112" i="14" s="1"/>
  <c r="AF57" i="14"/>
  <c r="AG55" i="14" s="1"/>
  <c r="AE61" i="14"/>
  <c r="AW32" i="14"/>
  <c r="AX28" i="14"/>
  <c r="AY26" i="14" s="1"/>
  <c r="B101" i="22"/>
  <c r="C101" i="22"/>
  <c r="AF110" i="14" l="1"/>
  <c r="AF112" i="14" s="1"/>
  <c r="AE113" i="14"/>
  <c r="AG57" i="14"/>
  <c r="AH55" i="14" s="1"/>
  <c r="AF61" i="14"/>
  <c r="AY28" i="14"/>
  <c r="AZ26" i="14" s="1"/>
  <c r="AX32" i="14"/>
  <c r="B102" i="22"/>
  <c r="C102" i="22"/>
  <c r="AG110" i="14" l="1"/>
  <c r="AG112" i="14" s="1"/>
  <c r="AF113" i="14"/>
  <c r="AH57" i="14"/>
  <c r="AI55" i="14" s="1"/>
  <c r="AG61" i="14"/>
  <c r="AZ28" i="14"/>
  <c r="BA26" i="14" s="1"/>
  <c r="AY32" i="14"/>
  <c r="B103" i="22"/>
  <c r="C103" i="22"/>
  <c r="AH110" i="14" l="1"/>
  <c r="AH112" i="14" s="1"/>
  <c r="AG113" i="14"/>
  <c r="AI57" i="14"/>
  <c r="AJ55" i="14" s="1"/>
  <c r="AH61" i="14"/>
  <c r="AZ32" i="14"/>
  <c r="BA28" i="14"/>
  <c r="BB26" i="14" s="1"/>
  <c r="C104" i="22"/>
  <c r="B104" i="22"/>
  <c r="AI110" i="14" l="1"/>
  <c r="AI112" i="14" s="1"/>
  <c r="AH113" i="14"/>
  <c r="AJ57" i="14"/>
  <c r="AK55" i="14" s="1"/>
  <c r="AI61" i="14"/>
  <c r="BA32" i="14"/>
  <c r="BB28" i="14"/>
  <c r="BB32" i="14" s="1"/>
  <c r="B105" i="22"/>
  <c r="C105" i="22"/>
  <c r="AJ110" i="14" l="1"/>
  <c r="AJ112" i="14" s="1"/>
  <c r="AI113" i="14"/>
  <c r="AK57" i="14"/>
  <c r="AL55" i="14" s="1"/>
  <c r="AJ61" i="14"/>
  <c r="B106" i="22"/>
  <c r="C106" i="22"/>
  <c r="AJ113" i="14" l="1"/>
  <c r="AK110" i="14"/>
  <c r="AK112" i="14" s="1"/>
  <c r="AL57" i="14"/>
  <c r="AM55" i="14" s="1"/>
  <c r="AK61" i="14"/>
  <c r="B107" i="22"/>
  <c r="C107" i="22"/>
  <c r="AL110" i="14" l="1"/>
  <c r="AL112" i="14" s="1"/>
  <c r="AK113" i="14"/>
  <c r="AM57" i="14"/>
  <c r="AN55" i="14" s="1"/>
  <c r="AL61" i="14"/>
  <c r="C108" i="22"/>
  <c r="B108" i="22"/>
  <c r="AM110" i="14" l="1"/>
  <c r="AM112" i="14" s="1"/>
  <c r="AL113" i="14"/>
  <c r="AN57" i="14"/>
  <c r="AO55" i="14" s="1"/>
  <c r="AM61" i="14"/>
  <c r="B109" i="22"/>
  <c r="C109" i="22"/>
  <c r="AN110" i="14" l="1"/>
  <c r="AN112" i="14" s="1"/>
  <c r="AM113" i="14"/>
  <c r="AO57" i="14"/>
  <c r="AP55" i="14" s="1"/>
  <c r="AN61" i="14"/>
  <c r="B110" i="22"/>
  <c r="C110" i="22"/>
  <c r="AO110" i="14" l="1"/>
  <c r="AO112" i="14" s="1"/>
  <c r="AN113" i="14"/>
  <c r="AP57" i="14"/>
  <c r="AQ55" i="14" s="1"/>
  <c r="AO61" i="14"/>
  <c r="B111" i="22"/>
  <c r="C111" i="22"/>
  <c r="AP110" i="14" l="1"/>
  <c r="AP112" i="14" s="1"/>
  <c r="AO113" i="14"/>
  <c r="AQ57" i="14"/>
  <c r="AR55" i="14" s="1"/>
  <c r="AP61" i="14"/>
  <c r="C112" i="22"/>
  <c r="B112" i="22"/>
  <c r="AQ110" i="14" l="1"/>
  <c r="AQ112" i="14" s="1"/>
  <c r="AP113" i="14"/>
  <c r="AR57" i="14"/>
  <c r="AS55" i="14" s="1"/>
  <c r="AQ61" i="14"/>
  <c r="B113" i="22"/>
  <c r="C113" i="22"/>
  <c r="AR110" i="14" l="1"/>
  <c r="AR112" i="14" s="1"/>
  <c r="AQ113" i="14"/>
  <c r="AS57" i="14"/>
  <c r="AT55" i="14" s="1"/>
  <c r="AR61" i="14"/>
  <c r="B114" i="22"/>
  <c r="C114" i="22"/>
  <c r="AS110" i="14" l="1"/>
  <c r="AS112" i="14" s="1"/>
  <c r="AR113" i="14"/>
  <c r="AT57" i="14"/>
  <c r="AU55" i="14" s="1"/>
  <c r="AS61" i="14"/>
  <c r="B115" i="22"/>
  <c r="C115" i="22"/>
  <c r="AT110" i="14" l="1"/>
  <c r="AT112" i="14" s="1"/>
  <c r="AS113" i="14"/>
  <c r="AU57" i="14"/>
  <c r="AV55" i="14" s="1"/>
  <c r="AT61" i="14"/>
  <c r="C116" i="22"/>
  <c r="B116" i="22"/>
  <c r="AU110" i="14" l="1"/>
  <c r="AU112" i="14" s="1"/>
  <c r="AT113" i="14"/>
  <c r="AV57" i="14"/>
  <c r="AW55" i="14" s="1"/>
  <c r="AU61" i="14"/>
  <c r="B117" i="22"/>
  <c r="C117" i="22"/>
  <c r="AV110" i="14" l="1"/>
  <c r="AV112" i="14" s="1"/>
  <c r="AU113" i="14"/>
  <c r="AW57" i="14"/>
  <c r="AX55" i="14" s="1"/>
  <c r="AV61" i="14"/>
  <c r="B118" i="22"/>
  <c r="C118" i="22"/>
  <c r="AW110" i="14" l="1"/>
  <c r="AW112" i="14" s="1"/>
  <c r="AV113" i="14"/>
  <c r="AX57" i="14"/>
  <c r="AY55" i="14" s="1"/>
  <c r="AW61" i="14"/>
  <c r="B119" i="22"/>
  <c r="C119" i="22"/>
  <c r="AX110" i="14" l="1"/>
  <c r="AX112" i="14" s="1"/>
  <c r="AW113" i="14"/>
  <c r="AX61" i="14"/>
  <c r="AY57" i="14"/>
  <c r="AZ55" i="14" s="1"/>
  <c r="C120" i="22"/>
  <c r="B120" i="22"/>
  <c r="AY110" i="14" l="1"/>
  <c r="AY112" i="14" s="1"/>
  <c r="AX113" i="14"/>
  <c r="AY61" i="14"/>
  <c r="AZ57" i="14"/>
  <c r="BA55" i="14" s="1"/>
  <c r="B121" i="22"/>
  <c r="C121" i="22"/>
  <c r="AZ110" i="14" l="1"/>
  <c r="AZ112" i="14" s="1"/>
  <c r="AY113" i="14"/>
  <c r="BA57" i="14"/>
  <c r="BB55" i="14" s="1"/>
  <c r="AZ61" i="14"/>
  <c r="B122" i="22"/>
  <c r="C122" i="22"/>
  <c r="BA110" i="14" l="1"/>
  <c r="BA112" i="14" s="1"/>
  <c r="AZ113" i="14"/>
  <c r="BA61" i="14"/>
  <c r="BB57" i="14"/>
  <c r="BB61" i="14" s="1"/>
  <c r="B123" i="22"/>
  <c r="C123" i="22"/>
  <c r="BB110" i="14" l="1"/>
  <c r="BB112" i="14" s="1"/>
  <c r="BB113" i="14" s="1"/>
  <c r="BA113" i="14"/>
  <c r="C124" i="22"/>
  <c r="B124" i="22"/>
  <c r="B125" i="22" l="1"/>
  <c r="C125" i="22"/>
  <c r="B126" i="22" l="1"/>
  <c r="C126" i="22"/>
  <c r="B127" i="22" l="1"/>
  <c r="C127" i="22"/>
  <c r="C128" i="22" l="1"/>
  <c r="B128" i="22"/>
  <c r="B129" i="22" l="1"/>
  <c r="C129" i="22"/>
  <c r="B130" i="22" l="1"/>
  <c r="C130" i="22"/>
  <c r="B131" i="22" l="1"/>
  <c r="C131" i="22"/>
  <c r="C132" i="22" l="1"/>
  <c r="B132" i="22"/>
  <c r="B133" i="22" l="1"/>
  <c r="C133" i="22"/>
  <c r="B134" i="22" l="1"/>
  <c r="C134" i="22"/>
  <c r="B135" i="22" l="1"/>
  <c r="C135" i="22"/>
  <c r="C136" i="22" l="1"/>
  <c r="B136" i="22"/>
  <c r="B137" i="22" l="1"/>
  <c r="C137" i="22"/>
  <c r="B138" i="22" l="1"/>
  <c r="C138" i="22"/>
  <c r="B139" i="22" l="1"/>
  <c r="C139" i="22"/>
  <c r="C140" i="22" l="1"/>
  <c r="B140" i="22"/>
  <c r="B141" i="22" l="1"/>
  <c r="C141" i="22"/>
  <c r="B142" i="22" l="1"/>
  <c r="C142" i="22"/>
  <c r="B143" i="22" l="1"/>
  <c r="C143" i="22"/>
  <c r="C144" i="22" l="1"/>
  <c r="B144" i="22"/>
  <c r="B145" i="22" l="1"/>
  <c r="C145" i="22"/>
  <c r="B146" i="22" l="1"/>
  <c r="C146" i="22"/>
  <c r="B147" i="22" l="1"/>
  <c r="C147" i="22"/>
  <c r="C148" i="22" l="1"/>
  <c r="B148" i="22"/>
  <c r="B149" i="22" l="1"/>
  <c r="C149" i="22"/>
  <c r="B150" i="22" l="1"/>
  <c r="C150" i="22"/>
  <c r="B151" i="22" l="1"/>
  <c r="C151" i="22"/>
  <c r="C152" i="22" l="1"/>
  <c r="B152" i="22"/>
  <c r="B153" i="22" l="1"/>
  <c r="C153" i="22"/>
  <c r="B154" i="22" l="1"/>
  <c r="C154" i="22"/>
  <c r="B155" i="22" l="1"/>
  <c r="C155" i="22"/>
  <c r="C156" i="22" l="1"/>
  <c r="B156" i="22"/>
  <c r="B157" i="22" l="1"/>
  <c r="C157" i="22"/>
  <c r="B158" i="22" l="1"/>
  <c r="C158" i="22"/>
  <c r="B159" i="22" l="1"/>
  <c r="C159" i="22"/>
  <c r="C160" i="22" l="1"/>
  <c r="B160" i="22"/>
  <c r="B161" i="22" l="1"/>
  <c r="C161" i="22"/>
  <c r="B162" i="22" l="1"/>
  <c r="C162" i="22"/>
  <c r="B163" i="22" l="1"/>
  <c r="C163" i="22"/>
  <c r="C164" i="22" l="1"/>
  <c r="B164" i="22"/>
  <c r="B165" i="22" l="1"/>
  <c r="C165" i="22"/>
  <c r="B166" i="22" l="1"/>
  <c r="C166" i="22"/>
  <c r="C167" i="22" l="1"/>
  <c r="B167" i="22"/>
  <c r="C168" i="22" l="1"/>
  <c r="B168" i="22"/>
  <c r="C169" i="22" l="1"/>
  <c r="B169" i="22"/>
  <c r="C170" i="22" l="1"/>
  <c r="B170" i="22"/>
  <c r="C171" i="22" l="1"/>
  <c r="B171" i="22"/>
  <c r="C172" i="22" l="1"/>
  <c r="B172" i="22"/>
  <c r="C173" i="22" l="1"/>
  <c r="B173" i="22"/>
  <c r="C174" i="22" l="1"/>
  <c r="B174" i="22"/>
  <c r="C175" i="22" l="1"/>
  <c r="B175" i="22"/>
  <c r="C176" i="22" l="1"/>
  <c r="B176" i="22"/>
  <c r="C177" i="22" l="1"/>
  <c r="B177" i="22"/>
  <c r="C178" i="22" l="1"/>
  <c r="B178" i="22"/>
  <c r="C179" i="22" l="1"/>
  <c r="B179" i="22"/>
  <c r="C180" i="22" l="1"/>
  <c r="B180" i="22"/>
  <c r="C181" i="22" l="1"/>
  <c r="B181" i="22"/>
  <c r="C182" i="22" l="1"/>
  <c r="B182" i="22"/>
  <c r="C183" i="22" l="1"/>
  <c r="B183" i="22"/>
  <c r="C184" i="22" l="1"/>
  <c r="B184" i="22"/>
  <c r="C185" i="22" l="1"/>
  <c r="B185" i="22"/>
  <c r="C186" i="22" l="1"/>
  <c r="B186" i="22"/>
  <c r="C187" i="22" l="1"/>
  <c r="B187" i="22"/>
  <c r="C188" i="22" l="1"/>
  <c r="B188" i="22"/>
  <c r="C189" i="22" l="1"/>
  <c r="B189" i="22"/>
  <c r="C190" i="22" l="1"/>
  <c r="B190" i="22"/>
  <c r="C191" i="22" l="1"/>
  <c r="B191" i="22"/>
  <c r="C192" i="22" l="1"/>
  <c r="B192" i="22"/>
  <c r="C193" i="22" l="1"/>
  <c r="B193" i="22"/>
  <c r="C194" i="22" l="1"/>
  <c r="B194" i="22"/>
  <c r="C195" i="22" l="1"/>
  <c r="B195" i="22"/>
  <c r="C196" i="22" l="1"/>
  <c r="B196" i="22"/>
  <c r="C197" i="22" l="1"/>
  <c r="B197" i="22"/>
  <c r="C198" i="22" l="1"/>
  <c r="B198" i="22"/>
  <c r="C199" i="22" l="1"/>
  <c r="B199" i="22"/>
  <c r="C200" i="22" l="1"/>
  <c r="B200" i="22"/>
  <c r="C201" i="22" l="1"/>
  <c r="B201" i="22"/>
  <c r="C202" i="22" l="1"/>
  <c r="B202" i="22"/>
  <c r="C203" i="22" l="1"/>
  <c r="B203" i="22"/>
  <c r="C204" i="22" l="1"/>
  <c r="B204" i="22"/>
  <c r="C205" i="22" l="1"/>
  <c r="B205" i="22"/>
  <c r="C206" i="22" l="1"/>
  <c r="B206" i="22"/>
  <c r="C207" i="22" l="1"/>
  <c r="B207" i="22"/>
  <c r="C208" i="22" l="1"/>
  <c r="B208" i="22"/>
  <c r="C209" i="22" l="1"/>
  <c r="B209" i="22"/>
  <c r="C210" i="22" l="1"/>
  <c r="B210" i="22"/>
  <c r="C211" i="22" l="1"/>
  <c r="B211" i="22"/>
  <c r="C212" i="22" l="1"/>
  <c r="B212" i="22"/>
  <c r="C213" i="22" l="1"/>
  <c r="B213" i="22"/>
  <c r="C214" i="22" l="1"/>
  <c r="B214" i="22"/>
  <c r="C215" i="22" l="1"/>
  <c r="B215" i="22"/>
  <c r="C216" i="22" l="1"/>
  <c r="B216" i="22"/>
  <c r="C217" i="22" l="1"/>
  <c r="B217" i="22"/>
  <c r="C218" i="22" l="1"/>
  <c r="B218" i="22"/>
  <c r="C219" i="22" l="1"/>
  <c r="B219" i="22"/>
  <c r="C220" i="22" l="1"/>
  <c r="B220" i="22"/>
  <c r="C221" i="22" l="1"/>
  <c r="B221" i="22"/>
  <c r="C222" i="22" l="1"/>
  <c r="B222" i="22"/>
  <c r="C223" i="22" l="1"/>
  <c r="B223" i="22"/>
  <c r="C224" i="22" l="1"/>
  <c r="B224" i="22"/>
  <c r="C225" i="22" l="1"/>
  <c r="B225" i="22"/>
  <c r="C226" i="22" l="1"/>
  <c r="B226" i="22"/>
  <c r="C227" i="22" l="1"/>
  <c r="B227" i="22"/>
  <c r="C228" i="22" l="1"/>
  <c r="B228" i="22"/>
  <c r="C229" i="22" l="1"/>
  <c r="B229" i="22"/>
  <c r="C230" i="22" l="1"/>
  <c r="B230" i="22"/>
  <c r="C231" i="22" l="1"/>
  <c r="B231" i="22"/>
  <c r="C232" i="22" l="1"/>
  <c r="B232" i="22"/>
  <c r="C233" i="22" l="1"/>
  <c r="B233" i="22"/>
  <c r="C234" i="22" l="1"/>
  <c r="B234" i="22"/>
  <c r="C235" i="22" l="1"/>
  <c r="B235" i="22"/>
  <c r="C236" i="22" l="1"/>
  <c r="B236" i="22"/>
  <c r="C237" i="22" l="1"/>
  <c r="B237" i="22"/>
  <c r="C238" i="22" l="1"/>
  <c r="B238" i="22"/>
  <c r="C239" i="22" l="1"/>
  <c r="B239" i="22"/>
  <c r="C240" i="22" l="1"/>
  <c r="B240" i="22"/>
  <c r="C241" i="22" l="1"/>
  <c r="B241" i="22"/>
  <c r="C242" i="22" l="1"/>
  <c r="B242" i="22"/>
  <c r="C243" i="22" l="1"/>
  <c r="B243" i="22"/>
  <c r="C244" i="22" l="1"/>
  <c r="B244" i="22"/>
  <c r="C245" i="22" l="1"/>
  <c r="B245" i="22"/>
  <c r="C246" i="22" l="1"/>
  <c r="B246" i="22"/>
  <c r="C247" i="22" l="1"/>
  <c r="B247" i="22"/>
  <c r="C248" i="22" l="1"/>
  <c r="B248" i="22"/>
  <c r="C249" i="22" l="1"/>
  <c r="B249" i="22"/>
  <c r="C250" i="22" l="1"/>
  <c r="B250" i="22"/>
  <c r="C251" i="22" l="1"/>
  <c r="B251" i="22"/>
  <c r="C252" i="22" l="1"/>
  <c r="B252" i="22"/>
  <c r="C253" i="22" l="1"/>
  <c r="B253" i="22"/>
  <c r="C254" i="22" l="1"/>
  <c r="B254" i="22"/>
  <c r="C255" i="22" l="1"/>
  <c r="B255" i="22"/>
  <c r="C256" i="22" l="1"/>
  <c r="B256" i="22"/>
  <c r="C257" i="22" l="1"/>
  <c r="B257" i="22"/>
  <c r="C258" i="22" l="1"/>
  <c r="B258" i="22"/>
  <c r="C259" i="22" l="1"/>
  <c r="B259" i="22"/>
  <c r="C260" i="22" l="1"/>
  <c r="B260" i="22"/>
  <c r="C261" i="22" l="1"/>
  <c r="B261" i="22"/>
  <c r="C262" i="22" l="1"/>
  <c r="B262" i="22"/>
  <c r="C263" i="22" l="1"/>
  <c r="B263" i="22"/>
  <c r="C264" i="22" l="1"/>
  <c r="B264" i="22"/>
  <c r="C265" i="22" l="1"/>
  <c r="B265" i="22"/>
  <c r="C266" i="22" l="1"/>
  <c r="B266" i="22"/>
  <c r="C267" i="22" l="1"/>
  <c r="B267" i="22"/>
  <c r="C268" i="22" l="1"/>
  <c r="B268" i="22"/>
  <c r="C269" i="22" l="1"/>
  <c r="B269" i="22"/>
  <c r="C270" i="22" l="1"/>
  <c r="B270" i="22"/>
  <c r="C271" i="22" l="1"/>
  <c r="B271" i="22"/>
  <c r="C272" i="22" l="1"/>
  <c r="B272" i="22"/>
  <c r="C273" i="22" l="1"/>
  <c r="B273" i="22"/>
  <c r="C274" i="22" l="1"/>
  <c r="B274" i="22"/>
  <c r="C275" i="22" l="1"/>
  <c r="B275" i="22"/>
  <c r="C276" i="22" l="1"/>
  <c r="B276" i="22"/>
  <c r="C277" i="22" l="1"/>
  <c r="B277" i="22"/>
  <c r="C278" i="22" l="1"/>
  <c r="B278" i="22"/>
  <c r="C279" i="22" l="1"/>
  <c r="B279" i="22"/>
  <c r="C280" i="22" l="1"/>
  <c r="B280" i="22"/>
  <c r="C281" i="22" l="1"/>
  <c r="B281" i="22"/>
  <c r="C282" i="22" l="1"/>
  <c r="B282" i="22"/>
  <c r="C283" i="22" l="1"/>
  <c r="B283" i="22"/>
  <c r="C284" i="22" l="1"/>
  <c r="B284" i="22"/>
  <c r="C285" i="22" l="1"/>
  <c r="B285" i="22"/>
  <c r="C286" i="22" l="1"/>
  <c r="B286" i="22"/>
  <c r="C287" i="22" l="1"/>
  <c r="B287" i="22"/>
  <c r="C288" i="22" l="1"/>
  <c r="B288" i="22"/>
  <c r="C289" i="22" l="1"/>
  <c r="B289" i="22"/>
  <c r="C290" i="22" l="1"/>
  <c r="B290" i="22"/>
  <c r="C291" i="22" l="1"/>
  <c r="B291" i="22"/>
  <c r="C292" i="22" l="1"/>
  <c r="B292" i="22"/>
  <c r="C293" i="22" l="1"/>
  <c r="B293" i="22"/>
  <c r="C294" i="22" l="1"/>
  <c r="B294" i="22"/>
  <c r="C295" i="22" l="1"/>
  <c r="B295" i="22"/>
  <c r="C296" i="22" l="1"/>
  <c r="B296" i="22"/>
  <c r="C297" i="22" l="1"/>
  <c r="B297" i="22"/>
  <c r="C298" i="22" l="1"/>
  <c r="B298" i="22"/>
  <c r="C299" i="22" l="1"/>
  <c r="B299" i="22"/>
  <c r="C300" i="22" l="1"/>
  <c r="B300" i="22"/>
  <c r="C301" i="22" l="1"/>
  <c r="B301" i="22"/>
  <c r="C302" i="22" l="1"/>
  <c r="B302" i="22"/>
  <c r="C303" i="22" l="1"/>
  <c r="B303" i="22"/>
  <c r="C304" i="22" l="1"/>
  <c r="B304" i="22"/>
  <c r="C305" i="22" l="1"/>
  <c r="B305" i="22"/>
  <c r="C306" i="22" l="1"/>
  <c r="B306" i="22"/>
  <c r="C307" i="22" l="1"/>
  <c r="B307" i="22"/>
  <c r="C308" i="22" l="1"/>
  <c r="B308" i="22"/>
  <c r="C309" i="22" l="1"/>
  <c r="B309" i="22"/>
  <c r="C310" i="22" l="1"/>
  <c r="B310" i="22"/>
  <c r="C311" i="22" l="1"/>
  <c r="B311" i="22"/>
  <c r="C312" i="22" l="1"/>
  <c r="B312" i="22"/>
  <c r="C313" i="22" l="1"/>
  <c r="B313" i="22"/>
  <c r="C314" i="22" l="1"/>
  <c r="B314" i="22"/>
  <c r="C315" i="22" l="1"/>
  <c r="B315" i="22"/>
  <c r="C316" i="22" l="1"/>
  <c r="B316" i="22"/>
  <c r="C317" i="22" l="1"/>
  <c r="B317" i="22"/>
  <c r="C318" i="22" l="1"/>
  <c r="B318" i="22"/>
  <c r="C319" i="22" l="1"/>
  <c r="B319" i="22"/>
  <c r="C320" i="22" l="1"/>
  <c r="B320" i="22"/>
  <c r="C321" i="22" l="1"/>
  <c r="B321" i="22"/>
  <c r="C322" i="22" l="1"/>
  <c r="B322" i="22"/>
  <c r="C323" i="22" l="1"/>
  <c r="B323" i="22"/>
  <c r="C324" i="22" l="1"/>
  <c r="B324" i="22"/>
  <c r="C325" i="22" l="1"/>
  <c r="B325" i="22"/>
  <c r="C326" i="22" l="1"/>
  <c r="B326" i="22"/>
  <c r="C327" i="22" l="1"/>
  <c r="B327" i="22"/>
  <c r="C328" i="22" l="1"/>
  <c r="B328" i="22"/>
  <c r="C329" i="22" l="1"/>
  <c r="B329" i="22"/>
  <c r="C330" i="22" l="1"/>
  <c r="B330" i="22"/>
  <c r="C331" i="22" l="1"/>
  <c r="B331" i="22"/>
  <c r="C332" i="22" l="1"/>
  <c r="B332" i="22"/>
  <c r="C333" i="22" l="1"/>
  <c r="B333" i="22"/>
  <c r="C334" i="22" l="1"/>
  <c r="B334" i="22"/>
  <c r="C335" i="22" l="1"/>
  <c r="B335" i="22"/>
  <c r="C336" i="22" l="1"/>
  <c r="B336" i="22"/>
  <c r="C337" i="22" l="1"/>
  <c r="B337" i="22"/>
  <c r="C338" i="22" l="1"/>
  <c r="B338" i="22"/>
  <c r="C339" i="22" l="1"/>
  <c r="B339" i="22"/>
  <c r="C340" i="22" l="1"/>
  <c r="B340" i="22"/>
  <c r="C341" i="22" l="1"/>
  <c r="B341" i="22"/>
  <c r="C342" i="22" l="1"/>
  <c r="B342" i="22"/>
  <c r="C343" i="22" l="1"/>
  <c r="B343" i="22"/>
  <c r="C344" i="22" l="1"/>
  <c r="B344" i="22"/>
  <c r="C345" i="22" l="1"/>
  <c r="B345" i="22"/>
  <c r="C346" i="22" l="1"/>
  <c r="B346" i="22"/>
  <c r="C347" i="22" l="1"/>
  <c r="B347" i="22"/>
  <c r="C348" i="22" l="1"/>
  <c r="B348" i="22"/>
  <c r="C349" i="22" l="1"/>
  <c r="B349" i="22"/>
  <c r="C350" i="22" l="1"/>
  <c r="B350" i="22"/>
  <c r="C351" i="22" l="1"/>
  <c r="B351" i="22"/>
  <c r="C352" i="22" l="1"/>
  <c r="B352" i="22"/>
  <c r="C353" i="22" l="1"/>
  <c r="B353" i="22"/>
  <c r="C354" i="22" l="1"/>
  <c r="B354" i="22"/>
  <c r="C355" i="22" l="1"/>
  <c r="B355" i="22"/>
  <c r="C356" i="22" l="1"/>
  <c r="B356" i="22"/>
  <c r="C357" i="22" l="1"/>
  <c r="B357" i="22"/>
  <c r="C358" i="22" l="1"/>
  <c r="B358" i="22"/>
  <c r="C359" i="22" l="1"/>
  <c r="B359" i="22"/>
  <c r="C360" i="22" l="1"/>
  <c r="B360" i="22"/>
  <c r="C361" i="22" l="1"/>
  <c r="B361" i="22"/>
  <c r="C362" i="22" l="1"/>
  <c r="B362" i="22"/>
  <c r="C363" i="22" l="1"/>
  <c r="B363" i="22"/>
  <c r="C364" i="22" l="1"/>
  <c r="B364" i="22"/>
  <c r="C365" i="22" l="1"/>
  <c r="B365" i="22"/>
  <c r="C366" i="22" l="1"/>
  <c r="B366" i="22"/>
  <c r="C367" i="22" l="1"/>
  <c r="B367" i="22"/>
  <c r="C368" i="22" l="1"/>
  <c r="B368" i="22"/>
  <c r="C369" i="22" l="1"/>
  <c r="B369" i="22"/>
  <c r="C370" i="22" l="1"/>
  <c r="B370" i="22"/>
  <c r="C371" i="22" l="1"/>
  <c r="B371" i="22"/>
  <c r="C372" i="22" l="1"/>
  <c r="B372" i="22"/>
  <c r="C373" i="22" l="1"/>
  <c r="B373" i="22"/>
  <c r="C374" i="22" l="1"/>
  <c r="B374" i="22"/>
  <c r="C375" i="22" l="1"/>
  <c r="B375" i="22"/>
  <c r="C376" i="22" l="1"/>
  <c r="B376" i="22"/>
  <c r="C377" i="22" l="1"/>
  <c r="B377" i="22"/>
  <c r="C378" i="22" l="1"/>
  <c r="B378" i="22"/>
  <c r="C379" i="22" l="1"/>
  <c r="B379" i="22"/>
  <c r="C380" i="22" l="1"/>
  <c r="B380" i="22"/>
  <c r="C381" i="22" l="1"/>
  <c r="B381" i="22"/>
  <c r="C382" i="22" l="1"/>
  <c r="B382" i="22"/>
  <c r="C383" i="22" l="1"/>
  <c r="B383" i="22"/>
  <c r="C384" i="22" l="1"/>
  <c r="B384" i="22"/>
  <c r="C385" i="22" l="1"/>
  <c r="B385" i="22"/>
  <c r="C386" i="22" l="1"/>
  <c r="B386" i="22"/>
  <c r="C387" i="22" l="1"/>
  <c r="B387" i="22"/>
  <c r="C388" i="22" l="1"/>
  <c r="B388" i="22"/>
  <c r="C389" i="22" l="1"/>
  <c r="B389" i="22"/>
  <c r="C390" i="22" l="1"/>
  <c r="B390" i="22"/>
  <c r="C391" i="22" l="1"/>
  <c r="B391" i="22"/>
  <c r="C392" i="22" l="1"/>
  <c r="B392" i="22"/>
  <c r="C393" i="22" l="1"/>
  <c r="B393" i="22"/>
  <c r="C394" i="22" l="1"/>
  <c r="B394" i="22"/>
  <c r="C395" i="22" l="1"/>
  <c r="B395" i="22"/>
  <c r="C396" i="22" l="1"/>
  <c r="B396" i="22"/>
  <c r="C397" i="22" l="1"/>
  <c r="B397" i="22"/>
  <c r="C398" i="22" l="1"/>
  <c r="B398" i="22"/>
  <c r="C399" i="22" l="1"/>
  <c r="B399" i="22"/>
  <c r="C400" i="22" l="1"/>
  <c r="B400" i="22"/>
  <c r="C401" i="22" l="1"/>
  <c r="B401" i="22"/>
  <c r="C402" i="22" l="1"/>
  <c r="B402" i="22"/>
  <c r="C403" i="22" l="1"/>
  <c r="B403" i="22"/>
  <c r="C404" i="22" l="1"/>
  <c r="B404" i="22"/>
  <c r="C405" i="22" l="1"/>
  <c r="B405" i="22"/>
  <c r="C406" i="22" l="1"/>
  <c r="B406" i="22"/>
  <c r="C407" i="22" l="1"/>
  <c r="B407" i="22"/>
  <c r="C408" i="22" l="1"/>
  <c r="B408" i="22"/>
  <c r="C409" i="22" l="1"/>
  <c r="B409" i="22"/>
  <c r="C410" i="22" l="1"/>
  <c r="B410" i="22"/>
  <c r="C411" i="22" l="1"/>
  <c r="B411" i="22"/>
  <c r="C412" i="22" l="1"/>
  <c r="B412" i="22"/>
  <c r="C413" i="22" l="1"/>
  <c r="B413" i="22"/>
  <c r="C414" i="22" l="1"/>
  <c r="B414" i="22"/>
  <c r="C415" i="22" l="1"/>
  <c r="B415" i="22"/>
  <c r="C416" i="22" l="1"/>
  <c r="B416" i="22"/>
  <c r="C417" i="22" l="1"/>
  <c r="B417" i="22"/>
  <c r="C418" i="22" l="1"/>
  <c r="B418" i="22"/>
  <c r="C419" i="22" l="1"/>
  <c r="B419" i="22"/>
  <c r="C420" i="22" l="1"/>
  <c r="B420" i="22"/>
  <c r="C421" i="22" l="1"/>
  <c r="B421" i="22"/>
  <c r="C422" i="22" l="1"/>
  <c r="B422" i="22"/>
  <c r="C423" i="22" l="1"/>
  <c r="B423" i="22"/>
  <c r="C424" i="22" l="1"/>
  <c r="B424" i="22"/>
  <c r="C425" i="22" l="1"/>
  <c r="B425" i="22"/>
  <c r="C426" i="22" l="1"/>
  <c r="B426" i="22"/>
  <c r="C427" i="22" l="1"/>
  <c r="B427" i="22"/>
  <c r="C428" i="22" l="1"/>
  <c r="B428" i="22"/>
  <c r="C429" i="22" l="1"/>
  <c r="B429" i="22"/>
  <c r="C430" i="22" l="1"/>
  <c r="B430" i="22"/>
  <c r="C431" i="22" l="1"/>
  <c r="B431" i="22"/>
  <c r="C432" i="22" l="1"/>
  <c r="B432" i="22"/>
  <c r="C433" i="22" l="1"/>
  <c r="B433" i="22"/>
  <c r="C434" i="22" l="1"/>
  <c r="B434" i="22"/>
  <c r="C435" i="22" l="1"/>
  <c r="B435" i="22"/>
  <c r="C436" i="22" l="1"/>
  <c r="B436" i="22"/>
  <c r="C437" i="22" l="1"/>
  <c r="B437" i="22"/>
  <c r="C438" i="22" l="1"/>
  <c r="B438" i="22"/>
  <c r="C439" i="22" l="1"/>
  <c r="B439" i="22"/>
  <c r="C440" i="22" l="1"/>
  <c r="B440" i="22"/>
  <c r="C441" i="22" l="1"/>
  <c r="B441" i="22"/>
  <c r="C442" i="22" l="1"/>
  <c r="B442" i="22"/>
  <c r="C443" i="22" l="1"/>
  <c r="B443" i="22"/>
  <c r="C444" i="22" l="1"/>
  <c r="B444" i="22"/>
  <c r="C445" i="22" l="1"/>
  <c r="B445" i="22"/>
  <c r="C446" i="22" l="1"/>
  <c r="B446" i="22"/>
  <c r="C447" i="22" l="1"/>
  <c r="B447" i="22"/>
  <c r="C448" i="22" l="1"/>
  <c r="B448" i="22"/>
  <c r="C449" i="22" l="1"/>
  <c r="B449" i="22"/>
  <c r="C450" i="22" l="1"/>
  <c r="B450" i="22"/>
  <c r="C451" i="22" l="1"/>
  <c r="B451" i="22"/>
  <c r="C452" i="22" l="1"/>
  <c r="B452" i="22"/>
  <c r="C453" i="22" l="1"/>
  <c r="B453" i="22"/>
  <c r="C454" i="22" l="1"/>
  <c r="B454" i="22"/>
  <c r="C455" i="22" l="1"/>
  <c r="B455" i="22"/>
  <c r="C456" i="22" l="1"/>
  <c r="B456" i="22"/>
  <c r="C457" i="22" l="1"/>
  <c r="B457" i="22"/>
  <c r="C458" i="22" l="1"/>
  <c r="B458" i="22"/>
  <c r="C459" i="22" l="1"/>
  <c r="B459" i="22"/>
  <c r="C460" i="22" l="1"/>
  <c r="B460" i="22"/>
  <c r="C461" i="22" l="1"/>
  <c r="B461" i="22"/>
  <c r="C462" i="22" l="1"/>
  <c r="B462" i="22"/>
  <c r="C463" i="22" l="1"/>
  <c r="B463" i="22"/>
  <c r="C464" i="22" l="1"/>
  <c r="B464" i="22"/>
  <c r="C465" i="22" l="1"/>
  <c r="B465" i="22"/>
  <c r="C466" i="22" l="1"/>
  <c r="B466" i="22"/>
  <c r="C467" i="22" l="1"/>
  <c r="B467" i="22"/>
  <c r="C468" i="22" l="1"/>
  <c r="B468" i="22"/>
  <c r="C469" i="22" l="1"/>
  <c r="B469" i="22"/>
  <c r="C470" i="22" l="1"/>
  <c r="B470" i="22"/>
  <c r="C471" i="22" l="1"/>
  <c r="B471" i="22"/>
  <c r="C472" i="22" l="1"/>
  <c r="B472" i="22"/>
  <c r="C473" i="22" l="1"/>
  <c r="B473" i="22"/>
  <c r="C474" i="22" l="1"/>
  <c r="B474" i="22"/>
  <c r="C475" i="22" l="1"/>
  <c r="B475" i="22"/>
  <c r="C476" i="22" l="1"/>
  <c r="B476" i="22"/>
  <c r="C477" i="22" l="1"/>
  <c r="B477" i="22"/>
  <c r="C478" i="22" l="1"/>
  <c r="B478" i="22"/>
  <c r="C479" i="22" l="1"/>
  <c r="B479" i="22"/>
  <c r="C480" i="22" l="1"/>
  <c r="B480" i="22"/>
  <c r="C481" i="22" l="1"/>
  <c r="B481" i="22"/>
  <c r="C482" i="22" l="1"/>
  <c r="B482" i="22"/>
  <c r="C483" i="22" l="1"/>
  <c r="B483" i="22"/>
  <c r="C484" i="22" l="1"/>
  <c r="B484" i="22"/>
  <c r="C485" i="22" l="1"/>
  <c r="B485" i="22"/>
  <c r="C486" i="22" l="1"/>
  <c r="B486" i="22"/>
  <c r="C487" i="22" l="1"/>
  <c r="B487" i="22"/>
  <c r="C488" i="22" l="1"/>
  <c r="B488" i="22"/>
  <c r="C489" i="22" l="1"/>
  <c r="B489" i="22"/>
  <c r="C490" i="22" l="1"/>
  <c r="B490" i="22"/>
  <c r="C491" i="22" l="1"/>
  <c r="B491" i="22"/>
  <c r="C492" i="22" l="1"/>
  <c r="B492" i="22"/>
  <c r="C493" i="22" l="1"/>
  <c r="B493" i="22"/>
  <c r="C494" i="22" l="1"/>
  <c r="B494" i="22"/>
  <c r="C495" i="22" l="1"/>
  <c r="B495" i="22"/>
  <c r="C496" i="22" l="1"/>
  <c r="B496" i="22"/>
  <c r="C497" i="22" l="1"/>
  <c r="B497" i="22"/>
  <c r="C498" i="22" l="1"/>
  <c r="B498" i="22"/>
  <c r="C499" i="22" l="1"/>
  <c r="B499" i="22"/>
  <c r="C500" i="22" l="1"/>
  <c r="B500" i="22"/>
  <c r="C501" i="22" l="1"/>
  <c r="B501" i="22"/>
  <c r="C502" i="22" l="1"/>
  <c r="B502" i="22"/>
  <c r="C503" i="22" l="1"/>
  <c r="B503" i="22"/>
  <c r="C504" i="22" l="1"/>
  <c r="B504" i="22"/>
  <c r="C505" i="22" l="1"/>
  <c r="B505" i="22"/>
  <c r="C506" i="22" l="1"/>
  <c r="B506" i="22"/>
  <c r="C507" i="22" l="1"/>
  <c r="B507" i="22"/>
  <c r="C508" i="22" l="1"/>
  <c r="B508" i="22"/>
  <c r="C509" i="22" l="1"/>
  <c r="B509" i="22"/>
  <c r="C510" i="22" l="1"/>
  <c r="B510" i="22"/>
  <c r="C511" i="22" l="1"/>
  <c r="B511" i="22"/>
  <c r="C512" i="22" l="1"/>
  <c r="B512" i="22"/>
  <c r="C513" i="22" l="1"/>
  <c r="B513" i="22"/>
  <c r="C514" i="22" l="1"/>
  <c r="B514" i="22"/>
  <c r="C515" i="22" l="1"/>
  <c r="B515" i="22"/>
  <c r="C516" i="22" l="1"/>
  <c r="B516" i="22"/>
  <c r="C517" i="22" l="1"/>
  <c r="B517" i="22"/>
  <c r="C518" i="22" l="1"/>
  <c r="B518" i="22"/>
  <c r="C519" i="22" l="1"/>
  <c r="B519" i="22"/>
  <c r="C520" i="22" l="1"/>
  <c r="B520" i="22"/>
  <c r="C521" i="22" l="1"/>
  <c r="B521" i="22"/>
  <c r="C522" i="22" l="1"/>
  <c r="B522" i="22"/>
  <c r="C523" i="22" l="1"/>
  <c r="B523" i="22"/>
  <c r="C524" i="22" l="1"/>
  <c r="B524" i="22"/>
  <c r="C525" i="22" l="1"/>
  <c r="B525" i="22"/>
  <c r="C526" i="22" l="1"/>
  <c r="B526" i="22"/>
  <c r="C527" i="22" l="1"/>
  <c r="B527" i="22"/>
  <c r="C528" i="22" l="1"/>
  <c r="B528" i="22"/>
  <c r="C529" i="22" l="1"/>
  <c r="B529" i="22"/>
  <c r="C530" i="22" l="1"/>
  <c r="B530" i="22"/>
  <c r="C531" i="22" l="1"/>
  <c r="B531" i="22"/>
  <c r="C532" i="22" l="1"/>
  <c r="B532" i="22"/>
  <c r="C533" i="22" l="1"/>
  <c r="B533" i="22"/>
  <c r="C534" i="22" l="1"/>
  <c r="B534" i="22"/>
  <c r="C535" i="22" l="1"/>
  <c r="B535" i="22"/>
  <c r="C536" i="22" l="1"/>
  <c r="B536" i="22"/>
  <c r="C537" i="22" l="1"/>
  <c r="B537" i="22"/>
  <c r="C538" i="22" l="1"/>
  <c r="B538" i="22"/>
  <c r="C539" i="22" l="1"/>
  <c r="B539" i="22"/>
  <c r="C540" i="22" l="1"/>
  <c r="B540" i="22"/>
  <c r="C541" i="22" l="1"/>
  <c r="B541" i="22"/>
  <c r="C542" i="22" l="1"/>
  <c r="B542" i="22"/>
  <c r="C543" i="22" l="1"/>
  <c r="B543" i="22"/>
  <c r="C544" i="22" l="1"/>
  <c r="B544" i="22"/>
  <c r="C545" i="22" l="1"/>
  <c r="B545" i="22"/>
  <c r="C546" i="22" l="1"/>
  <c r="B546" i="22"/>
  <c r="C547" i="22" l="1"/>
  <c r="B547" i="22"/>
  <c r="C548" i="22" l="1"/>
  <c r="B548" i="22"/>
  <c r="C549" i="22" l="1"/>
  <c r="B549" i="22"/>
  <c r="C550" i="22" l="1"/>
  <c r="B550" i="22"/>
  <c r="C551" i="22" l="1"/>
  <c r="B551" i="22"/>
  <c r="C552" i="22" l="1"/>
  <c r="B552" i="22"/>
  <c r="C553" i="22" l="1"/>
  <c r="B553" i="22"/>
  <c r="C554" i="22" l="1"/>
  <c r="B554" i="22"/>
  <c r="C555" i="22" l="1"/>
  <c r="B555" i="22"/>
  <c r="C556" i="22" l="1"/>
  <c r="B556" i="22"/>
  <c r="C557" i="22" l="1"/>
  <c r="B557" i="22"/>
  <c r="C558" i="22" l="1"/>
  <c r="B558" i="22"/>
  <c r="C559" i="22" l="1"/>
  <c r="B559" i="22"/>
  <c r="C560" i="22" l="1"/>
  <c r="B560" i="22"/>
  <c r="C561" i="22" l="1"/>
  <c r="B561" i="22"/>
  <c r="C562" i="22" l="1"/>
  <c r="B562" i="22"/>
  <c r="C563" i="22" l="1"/>
  <c r="B563" i="22"/>
  <c r="C564" i="22" l="1"/>
  <c r="B564" i="22"/>
  <c r="C565" i="22" l="1"/>
  <c r="B565" i="22"/>
  <c r="C566" i="22" l="1"/>
  <c r="B566" i="22"/>
  <c r="C567" i="22" l="1"/>
  <c r="B567" i="22"/>
  <c r="C568" i="22" l="1"/>
  <c r="B568" i="22"/>
  <c r="C569" i="22" l="1"/>
  <c r="B569" i="22"/>
  <c r="C570" i="22" l="1"/>
  <c r="B570" i="22"/>
  <c r="C571" i="22" l="1"/>
  <c r="B571" i="22"/>
  <c r="C572" i="22" l="1"/>
  <c r="B572" i="22"/>
  <c r="C573" i="22" l="1"/>
  <c r="B573" i="22"/>
  <c r="C574" i="22" l="1"/>
  <c r="B574" i="22"/>
  <c r="C575" i="22" l="1"/>
  <c r="B575" i="22"/>
  <c r="C576" i="22" l="1"/>
  <c r="B576" i="22"/>
  <c r="C577" i="22" l="1"/>
  <c r="B577" i="22"/>
  <c r="C578" i="22" l="1"/>
  <c r="B578" i="22"/>
  <c r="C579" i="22" l="1"/>
  <c r="B579" i="22"/>
  <c r="C580" i="22" l="1"/>
  <c r="B580" i="22"/>
  <c r="C581" i="22" l="1"/>
  <c r="B581" i="22"/>
  <c r="C582" i="22" l="1"/>
  <c r="B582" i="22"/>
  <c r="C583" i="22" l="1"/>
  <c r="B583" i="22"/>
  <c r="C584" i="22" l="1"/>
  <c r="B584" i="22"/>
  <c r="C585" i="22" l="1"/>
  <c r="B585" i="22"/>
  <c r="C586" i="22" l="1"/>
  <c r="B586" i="22"/>
  <c r="C587" i="22" l="1"/>
  <c r="B587" i="22"/>
  <c r="C588" i="22" l="1"/>
  <c r="B588" i="22"/>
  <c r="C589" i="22" l="1"/>
  <c r="B589" i="22"/>
  <c r="C590" i="22" l="1"/>
  <c r="B590" i="22"/>
  <c r="C591" i="22" l="1"/>
  <c r="B591" i="22"/>
  <c r="C592" i="22" l="1"/>
  <c r="B592" i="22"/>
  <c r="C593" i="22" l="1"/>
  <c r="B593" i="22"/>
  <c r="C594" i="22" l="1"/>
  <c r="B594" i="22"/>
  <c r="C595" i="22" l="1"/>
  <c r="B595" i="22"/>
  <c r="C596" i="22" l="1"/>
  <c r="B596" i="22"/>
  <c r="C597" i="22" l="1"/>
  <c r="B597" i="22"/>
  <c r="C598" i="22" l="1"/>
  <c r="B598" i="22"/>
  <c r="C599" i="22" l="1"/>
  <c r="B599" i="22"/>
  <c r="C600" i="22" l="1"/>
  <c r="B600" i="22"/>
  <c r="C601" i="22" l="1"/>
  <c r="B601" i="22"/>
  <c r="C602" i="22" l="1"/>
  <c r="B602" i="22"/>
  <c r="C603" i="22" l="1"/>
  <c r="B603" i="22"/>
  <c r="C604" i="22" l="1"/>
  <c r="B604" i="22"/>
  <c r="C605" i="22" l="1"/>
  <c r="B605" i="22"/>
  <c r="C606" i="22" l="1"/>
  <c r="B606" i="22"/>
  <c r="C607" i="22" l="1"/>
  <c r="B607" i="22"/>
  <c r="C608" i="22" l="1"/>
  <c r="B608" i="22"/>
  <c r="C609" i="22" l="1"/>
  <c r="B609" i="22"/>
  <c r="C610" i="22" l="1"/>
  <c r="B610" i="22"/>
  <c r="C611" i="22" l="1"/>
  <c r="B611" i="22"/>
  <c r="C612" i="22" l="1"/>
  <c r="B612" i="22"/>
  <c r="C613" i="22" l="1"/>
  <c r="B613" i="22"/>
  <c r="C614" i="22" l="1"/>
  <c r="B614" i="22"/>
  <c r="C615" i="22" l="1"/>
  <c r="B615" i="22"/>
  <c r="C616" i="22" l="1"/>
  <c r="B616" i="22"/>
  <c r="C617" i="22" l="1"/>
  <c r="B617" i="22"/>
  <c r="C618" i="22" l="1"/>
  <c r="B618" i="22"/>
  <c r="C619" i="22" l="1"/>
  <c r="B619" i="22"/>
  <c r="C620" i="22" l="1"/>
  <c r="B620" i="22"/>
  <c r="C621" i="22" l="1"/>
  <c r="B621" i="22"/>
  <c r="C622" i="22" l="1"/>
  <c r="B622" i="22"/>
  <c r="C623" i="22" l="1"/>
  <c r="B623" i="22"/>
  <c r="C624" i="22" l="1"/>
  <c r="B624" i="22"/>
  <c r="C625" i="22" l="1"/>
  <c r="B625" i="22"/>
  <c r="C626" i="22" l="1"/>
  <c r="B626" i="22"/>
  <c r="C627" i="22" l="1"/>
  <c r="B627" i="22"/>
  <c r="C628" i="22" l="1"/>
  <c r="B628" i="22"/>
  <c r="C629" i="22" l="1"/>
  <c r="B629" i="22"/>
  <c r="C630" i="22" l="1"/>
  <c r="B630" i="22"/>
  <c r="C631" i="22" l="1"/>
  <c r="B631" i="22"/>
  <c r="C632" i="22" l="1"/>
  <c r="B632" i="22"/>
  <c r="C633" i="22" l="1"/>
  <c r="B633" i="22"/>
  <c r="C634" i="22" l="1"/>
  <c r="B634" i="22"/>
  <c r="C635" i="22" l="1"/>
  <c r="B635" i="22"/>
  <c r="C636" i="22" l="1"/>
  <c r="B636" i="22"/>
  <c r="C637" i="22" l="1"/>
  <c r="B637" i="22"/>
  <c r="C638" i="22" l="1"/>
  <c r="B638" i="22"/>
  <c r="C639" i="22" l="1"/>
  <c r="B639" i="22"/>
  <c r="C640" i="22" l="1"/>
  <c r="B640" i="22"/>
  <c r="C641" i="22" l="1"/>
  <c r="B641" i="22"/>
  <c r="C642" i="22" l="1"/>
  <c r="B642" i="22"/>
  <c r="C643" i="22" l="1"/>
  <c r="B643" i="22"/>
  <c r="C644" i="22" l="1"/>
  <c r="B644" i="22"/>
  <c r="C645" i="22" l="1"/>
  <c r="B645" i="22"/>
  <c r="C646" i="22" l="1"/>
  <c r="B646" i="22"/>
  <c r="C647" i="22" l="1"/>
  <c r="B647" i="22"/>
  <c r="C648" i="22" l="1"/>
  <c r="B648" i="22"/>
  <c r="C649" i="22" l="1"/>
  <c r="B649" i="22"/>
  <c r="C650" i="22" l="1"/>
  <c r="B650" i="22"/>
  <c r="C651" i="22" l="1"/>
  <c r="B651" i="22"/>
  <c r="C652" i="22" l="1"/>
  <c r="B652" i="22"/>
  <c r="C653" i="22" l="1"/>
  <c r="B653" i="22"/>
  <c r="C654" i="22" l="1"/>
  <c r="B654" i="22"/>
  <c r="C655" i="22" l="1"/>
  <c r="B655" i="22"/>
  <c r="C656" i="22" l="1"/>
  <c r="B656" i="22"/>
  <c r="C657" i="22" l="1"/>
  <c r="B657" i="22"/>
  <c r="C658" i="22" l="1"/>
  <c r="B658" i="22"/>
  <c r="C659" i="22" l="1"/>
  <c r="B659" i="22"/>
  <c r="C660" i="22" l="1"/>
  <c r="B660" i="22"/>
  <c r="C661" i="22" l="1"/>
  <c r="B661" i="22"/>
  <c r="C662" i="22" l="1"/>
  <c r="B662" i="22"/>
  <c r="C663" i="22" l="1"/>
  <c r="B663" i="22"/>
  <c r="C664" i="22" l="1"/>
  <c r="B664" i="22"/>
  <c r="C665" i="22" l="1"/>
  <c r="B665" i="22"/>
  <c r="C666" i="22" l="1"/>
  <c r="B666" i="22"/>
  <c r="C667" i="22" l="1"/>
  <c r="B667" i="22"/>
  <c r="C668" i="22" l="1"/>
  <c r="B668" i="22"/>
  <c r="C669" i="22" l="1"/>
  <c r="B669" i="22"/>
  <c r="C670" i="22" l="1"/>
  <c r="B670" i="22"/>
  <c r="C671" i="22" l="1"/>
  <c r="B671" i="22"/>
  <c r="C672" i="22" l="1"/>
  <c r="B672" i="22"/>
  <c r="C673" i="22" l="1"/>
  <c r="B673" i="22"/>
  <c r="C674" i="22" l="1"/>
  <c r="B674" i="22"/>
  <c r="C675" i="22" l="1"/>
  <c r="B675" i="22"/>
  <c r="C676" i="22" l="1"/>
  <c r="B676" i="22"/>
  <c r="C677" i="22" l="1"/>
  <c r="B677" i="22"/>
  <c r="C678" i="22" l="1"/>
  <c r="B678" i="22"/>
  <c r="C679" i="22" l="1"/>
  <c r="B679" i="22"/>
  <c r="C680" i="22" l="1"/>
  <c r="B680" i="22"/>
  <c r="C681" i="22" l="1"/>
  <c r="B681" i="22"/>
  <c r="C682" i="22" l="1"/>
  <c r="B682" i="22"/>
  <c r="C683" i="22" l="1"/>
  <c r="B683" i="22"/>
  <c r="C684" i="22" l="1"/>
  <c r="B684" i="22"/>
  <c r="C685" i="22" l="1"/>
  <c r="B685" i="22"/>
  <c r="C686" i="22" l="1"/>
  <c r="B686" i="22"/>
  <c r="C687" i="22" l="1"/>
  <c r="B687" i="22"/>
  <c r="C688" i="22" l="1"/>
  <c r="B688" i="22"/>
  <c r="C689" i="22" l="1"/>
  <c r="B689" i="22"/>
  <c r="C690" i="22" l="1"/>
  <c r="B690" i="22"/>
  <c r="C691" i="22" l="1"/>
  <c r="B691" i="22"/>
  <c r="C692" i="22" l="1"/>
  <c r="B692" i="22"/>
  <c r="C693" i="22" l="1"/>
  <c r="B693" i="22"/>
  <c r="C694" i="22" l="1"/>
  <c r="B694" i="22"/>
  <c r="C695" i="22" l="1"/>
  <c r="B695" i="22"/>
  <c r="C696" i="22" l="1"/>
  <c r="B696" i="22"/>
  <c r="C697" i="22" l="1"/>
  <c r="B697" i="22"/>
  <c r="C698" i="22" l="1"/>
  <c r="B698" i="22"/>
  <c r="C699" i="22" l="1"/>
  <c r="B699" i="22"/>
  <c r="C700" i="22" l="1"/>
  <c r="B700" i="22"/>
  <c r="C701" i="22" l="1"/>
  <c r="B701" i="22"/>
  <c r="C702" i="22" l="1"/>
  <c r="B702" i="22"/>
  <c r="C703" i="22" l="1"/>
  <c r="B703" i="22"/>
  <c r="C704" i="22" l="1"/>
  <c r="B704" i="22"/>
  <c r="C705" i="22" l="1"/>
  <c r="B705" i="22"/>
  <c r="C706" i="22" l="1"/>
  <c r="B706" i="22"/>
  <c r="C707" i="22" l="1"/>
  <c r="B707" i="22"/>
  <c r="C708" i="22" l="1"/>
  <c r="B708" i="22"/>
  <c r="C709" i="22" l="1"/>
  <c r="B709" i="22"/>
  <c r="C710" i="22" l="1"/>
  <c r="B710" i="22"/>
  <c r="C711" i="22" l="1"/>
  <c r="B711" i="22"/>
  <c r="C712" i="22" l="1"/>
  <c r="B712" i="22"/>
  <c r="C713" i="22" l="1"/>
  <c r="B713" i="22"/>
  <c r="C714" i="22" l="1"/>
  <c r="B714" i="22"/>
  <c r="C715" i="22" l="1"/>
  <c r="B715" i="22"/>
  <c r="C716" i="22" l="1"/>
  <c r="B716" i="22"/>
  <c r="C717" i="22" l="1"/>
  <c r="B717" i="22"/>
  <c r="C718" i="22" l="1"/>
  <c r="B718" i="22"/>
  <c r="C719" i="22" l="1"/>
  <c r="B719" i="22"/>
  <c r="C720" i="22" l="1"/>
  <c r="B720" i="22"/>
  <c r="C721" i="22" l="1"/>
  <c r="B721" i="22"/>
  <c r="C722" i="22" l="1"/>
  <c r="B722" i="22"/>
  <c r="C723" i="22" l="1"/>
  <c r="B723" i="22"/>
  <c r="C724" i="22" l="1"/>
  <c r="B724" i="22"/>
  <c r="C725" i="22" l="1"/>
  <c r="B725" i="22"/>
  <c r="C726" i="22" l="1"/>
  <c r="B726" i="22"/>
  <c r="C727" i="22" l="1"/>
  <c r="B727" i="22"/>
  <c r="C728" i="22" l="1"/>
  <c r="B728" i="22"/>
  <c r="C729" i="22" l="1"/>
  <c r="B729" i="22"/>
  <c r="C730" i="22" l="1"/>
  <c r="B730" i="22"/>
  <c r="C731" i="22" l="1"/>
  <c r="B731" i="22"/>
  <c r="C732" i="22" l="1"/>
  <c r="B732" i="22"/>
  <c r="C733" i="22" l="1"/>
  <c r="B733" i="22"/>
  <c r="C734" i="22" l="1"/>
  <c r="B734" i="22"/>
  <c r="C735" i="22" l="1"/>
  <c r="B735" i="22"/>
  <c r="C736" i="22" l="1"/>
  <c r="B736" i="22"/>
  <c r="C737" i="22" l="1"/>
  <c r="B737" i="22"/>
  <c r="C738" i="22" l="1"/>
  <c r="B738" i="22"/>
  <c r="C739" i="22" l="1"/>
  <c r="B739" i="22"/>
  <c r="C740" i="22" l="1"/>
  <c r="B740" i="22"/>
  <c r="C741" i="22" l="1"/>
  <c r="B741" i="22"/>
  <c r="C742" i="22" l="1"/>
  <c r="B742" i="22"/>
  <c r="C743" i="22" l="1"/>
  <c r="B743" i="22"/>
  <c r="C744" i="22" l="1"/>
  <c r="B744" i="22"/>
  <c r="C745" i="22" l="1"/>
  <c r="B745" i="22"/>
  <c r="C746" i="22" l="1"/>
  <c r="B746" i="22"/>
  <c r="C747" i="22" l="1"/>
  <c r="B747" i="22"/>
  <c r="C748" i="22" l="1"/>
  <c r="B748" i="22"/>
  <c r="C749" i="22" l="1"/>
  <c r="B749" i="22"/>
  <c r="C750" i="22" l="1"/>
  <c r="B750" i="22"/>
  <c r="C751" i="22" l="1"/>
  <c r="B751" i="22"/>
  <c r="C752" i="22" l="1"/>
  <c r="B752" i="22"/>
  <c r="C753" i="22" l="1"/>
  <c r="B753" i="22"/>
  <c r="C754" i="22" l="1"/>
  <c r="B754" i="22"/>
  <c r="C755" i="22" l="1"/>
  <c r="B755" i="22"/>
  <c r="C756" i="22" l="1"/>
  <c r="B756" i="22"/>
  <c r="C757" i="22" l="1"/>
  <c r="B757" i="22"/>
  <c r="C758" i="22" l="1"/>
  <c r="B758" i="22"/>
  <c r="C759" i="22" l="1"/>
  <c r="B759" i="22"/>
  <c r="C760" i="22" l="1"/>
  <c r="B760" i="22"/>
  <c r="C761" i="22" l="1"/>
  <c r="B761" i="22"/>
  <c r="C762" i="22" l="1"/>
  <c r="B762" i="22"/>
  <c r="C763" i="22" l="1"/>
  <c r="B763" i="22"/>
  <c r="C764" i="22" l="1"/>
  <c r="B764" i="22"/>
  <c r="C765" i="22" l="1"/>
  <c r="B765" i="22"/>
  <c r="C766" i="22" l="1"/>
  <c r="B766" i="22"/>
  <c r="C767" i="22" l="1"/>
  <c r="B767" i="22"/>
  <c r="C768" i="22" l="1"/>
  <c r="B768" i="22"/>
  <c r="C769" i="22" l="1"/>
  <c r="B769" i="22"/>
  <c r="C770" i="22" l="1"/>
  <c r="B770" i="22"/>
  <c r="C771" i="22" l="1"/>
  <c r="B771" i="22"/>
  <c r="C772" i="22" l="1"/>
  <c r="B772" i="22"/>
  <c r="C773" i="22" l="1"/>
  <c r="B773" i="22"/>
  <c r="C774" i="22" l="1"/>
  <c r="B774" i="22"/>
  <c r="C775" i="22" l="1"/>
  <c r="B775" i="22"/>
  <c r="C776" i="22" l="1"/>
  <c r="B776" i="22"/>
  <c r="C777" i="22" l="1"/>
  <c r="B777" i="22"/>
  <c r="C778" i="22" l="1"/>
  <c r="B778" i="22"/>
  <c r="C779" i="22" l="1"/>
  <c r="B779" i="22"/>
  <c r="C780" i="22" l="1"/>
  <c r="B780" i="22"/>
  <c r="C781" i="22" l="1"/>
  <c r="B781" i="22"/>
  <c r="C782" i="22" l="1"/>
  <c r="B782" i="22"/>
  <c r="C783" i="22" l="1"/>
  <c r="B783" i="22"/>
  <c r="C784" i="22" l="1"/>
  <c r="B784" i="22"/>
  <c r="C785" i="22" l="1"/>
  <c r="B785" i="22"/>
  <c r="C786" i="22" l="1"/>
  <c r="B786" i="22"/>
  <c r="C787" i="22" l="1"/>
  <c r="B787" i="22"/>
  <c r="C788" i="22" l="1"/>
  <c r="B788" i="22"/>
  <c r="C789" i="22" l="1"/>
  <c r="B789" i="22"/>
  <c r="C790" i="22" l="1"/>
  <c r="B790" i="22"/>
  <c r="C791" i="22" l="1"/>
  <c r="B791" i="22"/>
  <c r="C792" i="22" l="1"/>
  <c r="B792" i="22"/>
  <c r="C793" i="22" l="1"/>
  <c r="B793" i="22"/>
  <c r="C794" i="22" l="1"/>
  <c r="B794" i="22"/>
  <c r="C795" i="22" l="1"/>
  <c r="B795" i="22"/>
  <c r="C796" i="22" l="1"/>
  <c r="B796" i="22"/>
  <c r="C797" i="22" l="1"/>
  <c r="B797" i="22"/>
  <c r="C798" i="22" l="1"/>
  <c r="B798" i="22"/>
  <c r="C799" i="22" l="1"/>
  <c r="B799" i="22"/>
  <c r="C800" i="22" l="1"/>
  <c r="B800" i="22"/>
  <c r="C801" i="22" l="1"/>
  <c r="B801" i="22"/>
  <c r="C802" i="22" l="1"/>
  <c r="B802" i="22"/>
  <c r="C803" i="22" l="1"/>
  <c r="B803" i="22"/>
  <c r="C804" i="22" l="1"/>
  <c r="B804" i="22"/>
  <c r="C805" i="22" l="1"/>
  <c r="B805" i="22"/>
  <c r="C806" i="22" l="1"/>
  <c r="B806" i="22"/>
  <c r="C807" i="22" l="1"/>
  <c r="B807" i="22"/>
  <c r="C808" i="22" l="1"/>
  <c r="B808" i="22"/>
  <c r="C809" i="22" l="1"/>
  <c r="B809" i="22"/>
  <c r="C810" i="22" l="1"/>
  <c r="B810" i="22"/>
  <c r="C811" i="22" l="1"/>
  <c r="B811" i="22"/>
  <c r="C812" i="22" l="1"/>
  <c r="B812" i="22"/>
  <c r="C813" i="22" l="1"/>
  <c r="B813" i="22"/>
  <c r="C814" i="22" l="1"/>
  <c r="B814" i="22"/>
  <c r="C815" i="22" l="1"/>
  <c r="B815" i="22"/>
  <c r="C816" i="22" l="1"/>
  <c r="B816" i="22"/>
  <c r="C817" i="22" l="1"/>
  <c r="B817" i="22"/>
  <c r="C818" i="22" l="1"/>
  <c r="B818" i="22"/>
  <c r="C819" i="22" l="1"/>
  <c r="B819" i="22"/>
  <c r="C820" i="22" l="1"/>
  <c r="B820" i="22"/>
  <c r="C821" i="22" l="1"/>
  <c r="B821" i="22"/>
  <c r="C822" i="22" l="1"/>
  <c r="B822" i="22"/>
  <c r="C823" i="22" l="1"/>
  <c r="B823" i="22"/>
  <c r="C824" i="22" l="1"/>
  <c r="B824" i="22"/>
  <c r="C825" i="22" l="1"/>
  <c r="B825" i="22"/>
  <c r="C826" i="22" l="1"/>
  <c r="B826" i="22"/>
  <c r="C827" i="22" l="1"/>
  <c r="B827" i="22"/>
  <c r="C828" i="22" l="1"/>
  <c r="B828" i="22"/>
  <c r="C829" i="22" l="1"/>
  <c r="B829" i="22"/>
  <c r="C830" i="22" l="1"/>
  <c r="B830" i="22"/>
  <c r="C831" i="22" l="1"/>
  <c r="B831" i="22"/>
  <c r="C832" i="22" l="1"/>
  <c r="B832" i="22"/>
  <c r="C833" i="22" l="1"/>
  <c r="B833" i="22"/>
  <c r="C834" i="22" l="1"/>
  <c r="B834" i="22"/>
  <c r="C835" i="22" l="1"/>
  <c r="B835" i="22"/>
  <c r="C836" i="22" l="1"/>
  <c r="B836" i="22"/>
  <c r="C837" i="22" l="1"/>
  <c r="B837" i="22"/>
  <c r="C838" i="22" l="1"/>
  <c r="B838" i="22"/>
  <c r="C839" i="22" l="1"/>
  <c r="B839" i="22"/>
  <c r="C840" i="22" l="1"/>
  <c r="B840" i="22"/>
  <c r="C841" i="22" l="1"/>
  <c r="B841" i="22"/>
  <c r="C842" i="22" l="1"/>
  <c r="B842" i="22"/>
  <c r="C843" i="22" l="1"/>
  <c r="B843" i="22"/>
  <c r="C844" i="22" l="1"/>
  <c r="B844" i="22"/>
  <c r="C845" i="22" l="1"/>
  <c r="B845" i="22"/>
  <c r="C846" i="22" l="1"/>
  <c r="B846" i="22"/>
  <c r="C847" i="22" l="1"/>
  <c r="B847" i="22"/>
  <c r="C848" i="22" l="1"/>
  <c r="B848" i="22"/>
  <c r="C849" i="22" l="1"/>
  <c r="B849" i="22"/>
  <c r="C850" i="22" l="1"/>
  <c r="B850" i="22"/>
  <c r="C851" i="22" l="1"/>
  <c r="B851" i="22"/>
  <c r="C852" i="22" l="1"/>
  <c r="B852" i="22"/>
  <c r="C853" i="22" l="1"/>
  <c r="B853" i="22"/>
  <c r="C854" i="22" l="1"/>
  <c r="B854" i="22"/>
  <c r="C855" i="22" l="1"/>
  <c r="B855" i="22"/>
  <c r="C856" i="22" l="1"/>
  <c r="B856" i="22"/>
  <c r="C857" i="22" l="1"/>
  <c r="B857" i="22"/>
  <c r="C858" i="22" l="1"/>
  <c r="B858" i="22"/>
  <c r="C859" i="22" l="1"/>
  <c r="B859" i="22"/>
  <c r="C860" i="22" l="1"/>
  <c r="B860" i="22"/>
  <c r="C861" i="22" l="1"/>
  <c r="B861" i="22"/>
  <c r="C862" i="22" l="1"/>
  <c r="B862" i="22"/>
  <c r="C863" i="22" l="1"/>
  <c r="B863" i="22"/>
  <c r="C864" i="22" l="1"/>
  <c r="B864" i="22"/>
  <c r="C865" i="22" l="1"/>
  <c r="B865" i="22"/>
  <c r="C866" i="22" l="1"/>
  <c r="B866" i="22"/>
  <c r="C867" i="22" l="1"/>
  <c r="B867" i="22"/>
  <c r="C868" i="22" l="1"/>
  <c r="B868" i="22"/>
  <c r="C869" i="22" l="1"/>
  <c r="B869" i="22"/>
  <c r="C870" i="22" l="1"/>
  <c r="B870" i="22"/>
  <c r="C871" i="22" l="1"/>
  <c r="B871" i="22"/>
  <c r="C872" i="22" l="1"/>
  <c r="B872" i="22"/>
  <c r="C873" i="22" l="1"/>
  <c r="B873" i="22"/>
  <c r="C874" i="22" l="1"/>
  <c r="B874" i="22"/>
  <c r="C875" i="22" l="1"/>
  <c r="B875" i="22"/>
  <c r="C876" i="22" l="1"/>
  <c r="B876" i="22"/>
  <c r="C877" i="22" l="1"/>
  <c r="B877" i="22"/>
  <c r="C878" i="22" l="1"/>
  <c r="B878" i="22"/>
  <c r="C879" i="22" l="1"/>
  <c r="B879" i="22"/>
  <c r="C880" i="22" l="1"/>
  <c r="B880" i="22"/>
  <c r="C881" i="22" l="1"/>
  <c r="B881" i="22"/>
  <c r="C882" i="22" l="1"/>
  <c r="B882" i="22"/>
  <c r="C883" i="22" l="1"/>
  <c r="B883" i="22"/>
  <c r="C884" i="22" l="1"/>
  <c r="B884" i="22"/>
  <c r="C885" i="22" l="1"/>
  <c r="B885" i="22"/>
  <c r="C886" i="22" l="1"/>
  <c r="B886" i="22"/>
  <c r="C887" i="22" l="1"/>
  <c r="B887" i="22"/>
  <c r="C888" i="22" l="1"/>
  <c r="B888" i="22"/>
  <c r="C889" i="22" l="1"/>
  <c r="B889" i="22"/>
  <c r="C890" i="22" l="1"/>
  <c r="B890" i="22"/>
  <c r="C891" i="22" l="1"/>
  <c r="B891" i="22"/>
  <c r="C892" i="22" l="1"/>
  <c r="B892" i="22"/>
  <c r="C893" i="22" l="1"/>
  <c r="B893" i="22"/>
  <c r="C894" i="22" l="1"/>
  <c r="B894" i="22"/>
  <c r="C895" i="22" l="1"/>
  <c r="B895" i="22"/>
  <c r="C896" i="22" l="1"/>
  <c r="B896" i="22"/>
  <c r="C897" i="22" l="1"/>
  <c r="B897" i="22"/>
  <c r="C898" i="22" l="1"/>
  <c r="B898" i="22"/>
  <c r="C899" i="22" l="1"/>
  <c r="B899" i="22"/>
  <c r="C900" i="22" l="1"/>
  <c r="B900" i="22"/>
  <c r="C901" i="22" l="1"/>
  <c r="B901" i="22"/>
  <c r="C902" i="22" l="1"/>
  <c r="B902" i="22"/>
  <c r="C903" i="22" l="1"/>
  <c r="B903" i="22"/>
  <c r="C904" i="22" l="1"/>
  <c r="B904" i="22"/>
  <c r="C905" i="22" l="1"/>
  <c r="B905" i="22"/>
  <c r="C906" i="22" l="1"/>
  <c r="B906" i="22"/>
  <c r="C907" i="22" l="1"/>
  <c r="B907" i="22"/>
  <c r="C908" i="22" l="1"/>
  <c r="B908" i="22"/>
  <c r="C909" i="22" l="1"/>
  <c r="B909" i="22"/>
  <c r="C910" i="22" l="1"/>
  <c r="B910" i="22"/>
  <c r="C911" i="22" l="1"/>
  <c r="B911" i="22"/>
  <c r="C912" i="22" l="1"/>
  <c r="B912" i="22"/>
  <c r="C913" i="22" l="1"/>
  <c r="B913" i="22"/>
  <c r="C914" i="22" l="1"/>
  <c r="B914" i="22"/>
  <c r="C915" i="22" l="1"/>
  <c r="B915" i="22"/>
  <c r="C916" i="22" l="1"/>
  <c r="B916" i="22"/>
  <c r="C917" i="22" l="1"/>
  <c r="B917" i="22"/>
  <c r="C918" i="22" l="1"/>
  <c r="B918" i="22"/>
  <c r="C919" i="22" l="1"/>
  <c r="B919" i="22"/>
  <c r="C920" i="22" l="1"/>
  <c r="B920" i="22"/>
  <c r="C921" i="22" l="1"/>
  <c r="B921" i="22"/>
  <c r="C922" i="22" l="1"/>
  <c r="B922" i="22"/>
  <c r="C923" i="22" l="1"/>
  <c r="B923" i="22"/>
  <c r="C924" i="22" l="1"/>
  <c r="B924" i="22"/>
  <c r="C925" i="22" l="1"/>
  <c r="B925" i="22"/>
  <c r="C926" i="22" l="1"/>
  <c r="B926" i="22"/>
  <c r="C927" i="22" l="1"/>
  <c r="B927" i="22"/>
  <c r="C928" i="22" l="1"/>
  <c r="B928" i="22"/>
  <c r="C929" i="22" l="1"/>
  <c r="B929" i="22"/>
  <c r="C930" i="22" l="1"/>
  <c r="B930" i="22"/>
  <c r="C931" i="22" l="1"/>
  <c r="B931" i="22"/>
  <c r="C932" i="22" l="1"/>
  <c r="B932" i="22"/>
  <c r="C933" i="22" l="1"/>
  <c r="B933" i="22"/>
  <c r="C934" i="22" l="1"/>
  <c r="B934" i="22"/>
  <c r="C935" i="22" l="1"/>
  <c r="B935" i="22"/>
  <c r="C936" i="22" l="1"/>
  <c r="B936" i="22"/>
  <c r="C937" i="22" l="1"/>
  <c r="B937" i="22"/>
  <c r="C938" i="22" l="1"/>
  <c r="B938" i="22"/>
  <c r="C939" i="22" l="1"/>
  <c r="B939" i="22"/>
  <c r="C940" i="22" l="1"/>
  <c r="B940" i="22"/>
  <c r="C941" i="22" l="1"/>
  <c r="B941" i="22"/>
  <c r="C942" i="22" l="1"/>
  <c r="B942" i="22"/>
  <c r="C943" i="22" l="1"/>
  <c r="B943" i="22"/>
  <c r="C944" i="22" l="1"/>
  <c r="B944" i="22"/>
  <c r="C945" i="22" l="1"/>
  <c r="B945" i="22"/>
  <c r="C946" i="22" l="1"/>
  <c r="B946" i="22"/>
  <c r="C947" i="22" l="1"/>
  <c r="B947" i="22"/>
  <c r="C948" i="22" l="1"/>
  <c r="B948" i="22"/>
  <c r="C949" i="22" l="1"/>
  <c r="B949" i="22"/>
  <c r="C950" i="22" l="1"/>
  <c r="B950" i="22"/>
  <c r="C951" i="22" l="1"/>
  <c r="B951" i="22"/>
  <c r="C952" i="22" l="1"/>
  <c r="B952" i="22"/>
  <c r="C953" i="22" l="1"/>
  <c r="B953" i="22"/>
  <c r="C954" i="22" l="1"/>
  <c r="B954" i="22"/>
  <c r="C955" i="22" l="1"/>
  <c r="B955" i="22"/>
  <c r="C956" i="22" l="1"/>
  <c r="B956" i="22"/>
  <c r="C957" i="22" l="1"/>
  <c r="B957" i="22"/>
  <c r="C958" i="22" l="1"/>
  <c r="B958" i="22"/>
  <c r="C959" i="22" l="1"/>
  <c r="B959" i="22"/>
  <c r="C960" i="22" l="1"/>
  <c r="B960" i="22"/>
  <c r="C961" i="22" l="1"/>
  <c r="B961" i="22"/>
  <c r="C962" i="22" l="1"/>
  <c r="B962" i="22"/>
  <c r="C963" i="22" l="1"/>
  <c r="B963" i="22"/>
  <c r="C964" i="22" l="1"/>
  <c r="B964" i="22"/>
  <c r="C965" i="22" l="1"/>
  <c r="B965" i="22"/>
  <c r="C966" i="22" l="1"/>
  <c r="B966" i="22"/>
  <c r="C967" i="22" l="1"/>
  <c r="B967" i="22"/>
  <c r="C968" i="22" l="1"/>
  <c r="B968" i="22"/>
  <c r="C969" i="22" l="1"/>
  <c r="B969" i="22"/>
  <c r="C970" i="22" l="1"/>
  <c r="B970" i="22"/>
  <c r="C971" i="22" l="1"/>
  <c r="B971" i="22"/>
  <c r="C972" i="22" l="1"/>
  <c r="B972" i="22"/>
  <c r="C973" i="22" l="1"/>
  <c r="B973" i="22"/>
  <c r="C974" i="22" l="1"/>
  <c r="B974" i="22"/>
  <c r="C975" i="22" l="1"/>
  <c r="B975" i="22"/>
  <c r="C976" i="22" l="1"/>
  <c r="B976" i="22"/>
  <c r="C977" i="22" l="1"/>
  <c r="B977" i="22"/>
  <c r="C978" i="22" l="1"/>
  <c r="B978" i="22"/>
  <c r="C979" i="22" l="1"/>
  <c r="B979" i="22"/>
  <c r="C980" i="22" l="1"/>
  <c r="B980" i="22"/>
  <c r="C981" i="22" l="1"/>
  <c r="B981" i="22"/>
  <c r="C982" i="22" l="1"/>
  <c r="B982" i="22"/>
  <c r="C983" i="22" l="1"/>
  <c r="B983" i="22"/>
  <c r="C984" i="22" l="1"/>
  <c r="B984" i="22"/>
  <c r="C985" i="22" l="1"/>
  <c r="B985" i="22"/>
  <c r="C986" i="22" l="1"/>
  <c r="B986" i="22"/>
  <c r="C987" i="22" l="1"/>
  <c r="B987" i="22"/>
  <c r="C988" i="22" l="1"/>
  <c r="B988" i="22"/>
  <c r="C989" i="22" l="1"/>
  <c r="B989" i="22"/>
  <c r="C990" i="22" l="1"/>
  <c r="B990" i="22"/>
  <c r="C991" i="22" l="1"/>
  <c r="B991" i="22"/>
  <c r="C992" i="22" l="1"/>
  <c r="B992" i="22"/>
  <c r="C993" i="22" l="1"/>
  <c r="B993" i="22"/>
  <c r="C994" i="22" l="1"/>
  <c r="B994" i="22"/>
  <c r="C995" i="22" l="1"/>
  <c r="B995" i="22"/>
  <c r="C996" i="22" l="1"/>
  <c r="B996" i="22"/>
  <c r="C997" i="22" l="1"/>
  <c r="B997" i="22"/>
  <c r="C998" i="22" l="1"/>
  <c r="B998" i="22"/>
  <c r="C999" i="22" l="1"/>
  <c r="B999" i="22"/>
  <c r="C1000" i="22" l="1"/>
  <c r="B1000" i="22"/>
  <c r="C1001" i="22" l="1"/>
  <c r="B1001" i="22"/>
  <c r="C1002" i="22" l="1"/>
  <c r="B1002" i="22"/>
  <c r="C1003" i="22" l="1"/>
  <c r="B1003" i="22"/>
  <c r="C1004" i="22" l="1"/>
  <c r="B1004" i="22"/>
  <c r="C1005" i="22" l="1"/>
  <c r="B1005" i="22"/>
  <c r="C1006" i="22" l="1"/>
  <c r="B1006" i="22"/>
  <c r="C1007" i="22" l="1"/>
  <c r="B1007" i="22"/>
  <c r="C1008" i="22" l="1"/>
  <c r="B1008" i="22"/>
  <c r="C1009" i="22" l="1"/>
  <c r="B1009" i="22"/>
  <c r="C1010" i="22" l="1"/>
  <c r="B1010" i="22"/>
  <c r="C1011" i="22" l="1"/>
  <c r="B1011" i="22"/>
  <c r="C1012" i="22" l="1"/>
  <c r="B1012" i="22"/>
  <c r="C1013" i="22" l="1"/>
  <c r="B1013" i="22"/>
  <c r="C1014" i="22" l="1"/>
  <c r="B1014" i="22"/>
  <c r="C1015" i="22" l="1"/>
  <c r="B1015" i="22"/>
  <c r="C1016" i="22" l="1"/>
  <c r="B1016" i="22"/>
  <c r="C1017" i="22" l="1"/>
  <c r="B1017" i="22"/>
  <c r="C1018" i="22" l="1"/>
  <c r="B1018" i="22"/>
  <c r="C1019" i="22" l="1"/>
  <c r="B1019" i="22"/>
  <c r="C1020" i="22" l="1"/>
  <c r="B1020" i="22"/>
  <c r="C1021" i="22" l="1"/>
  <c r="B1021" i="22"/>
  <c r="C1022" i="22" l="1"/>
  <c r="B1022" i="22"/>
  <c r="C1023" i="22" l="1"/>
  <c r="B1023" i="22"/>
  <c r="C1024" i="22" l="1"/>
  <c r="B1024" i="22"/>
  <c r="C1025" i="22" l="1"/>
  <c r="B1025" i="22"/>
  <c r="C1026" i="22" l="1"/>
  <c r="B1026" i="22"/>
  <c r="C1027" i="22" l="1"/>
  <c r="B1027" i="22"/>
  <c r="C1028" i="22" l="1"/>
  <c r="B1028" i="22"/>
  <c r="C1029" i="22" l="1"/>
  <c r="B1029" i="22"/>
  <c r="C1030" i="22" l="1"/>
  <c r="B1030" i="22"/>
  <c r="C1031" i="22" l="1"/>
  <c r="B1031" i="22"/>
  <c r="C1032" i="22" l="1"/>
  <c r="B1032" i="22"/>
  <c r="C1033" i="22" l="1"/>
  <c r="B1033" i="22"/>
  <c r="C1034" i="22" l="1"/>
  <c r="B1034" i="22"/>
  <c r="C1035" i="22" l="1"/>
  <c r="B1035" i="22"/>
  <c r="C1036" i="22" l="1"/>
  <c r="B1036" i="22"/>
  <c r="C1037" i="22" l="1"/>
  <c r="B1037" i="22"/>
  <c r="C1038" i="22" l="1"/>
  <c r="B1038" i="22"/>
  <c r="C1039" i="22" l="1"/>
  <c r="B1039" i="22"/>
  <c r="C1040" i="22" l="1"/>
  <c r="B1040" i="22"/>
  <c r="C1041" i="22" l="1"/>
  <c r="B1041" i="22"/>
  <c r="C1042" i="22" l="1"/>
  <c r="B1042" i="22"/>
  <c r="C1043" i="22" l="1"/>
  <c r="B1043" i="22"/>
  <c r="C1044" i="22" l="1"/>
  <c r="B1044" i="22"/>
  <c r="C1045" i="22" l="1"/>
  <c r="B1045" i="22"/>
  <c r="C1046" i="22" l="1"/>
  <c r="B1046" i="22"/>
  <c r="C1047" i="22" l="1"/>
  <c r="B1047" i="22"/>
  <c r="C1048" i="22" l="1"/>
  <c r="B1048" i="22"/>
  <c r="C1049" i="22" l="1"/>
  <c r="B1049" i="22"/>
  <c r="C1050" i="22" l="1"/>
  <c r="B1050" i="22"/>
  <c r="C1051" i="22" l="1"/>
  <c r="B1051" i="22"/>
  <c r="C1052" i="22" l="1"/>
  <c r="B1052" i="22"/>
  <c r="C1053" i="22" l="1"/>
  <c r="B1053" i="22"/>
  <c r="C1054" i="22" l="1"/>
  <c r="B1054" i="22"/>
  <c r="C1055" i="22" l="1"/>
  <c r="B1055" i="22"/>
  <c r="C1056" i="22" l="1"/>
  <c r="B1056" i="22"/>
  <c r="C1057" i="22" l="1"/>
  <c r="B1057" i="22"/>
  <c r="C1058" i="22" l="1"/>
  <c r="B1058" i="22"/>
  <c r="C1059" i="22" l="1"/>
  <c r="B1059" i="22"/>
  <c r="C1060" i="22" l="1"/>
  <c r="B1060" i="22"/>
  <c r="C1061" i="22" l="1"/>
  <c r="B1061" i="22"/>
  <c r="C1062" i="22" l="1"/>
  <c r="B1062" i="22"/>
  <c r="C1063" i="22" l="1"/>
  <c r="B1063" i="22"/>
  <c r="C1064" i="22" l="1"/>
  <c r="B1064" i="22"/>
  <c r="C1065" i="22" l="1"/>
  <c r="B1065" i="22"/>
  <c r="C1066" i="22" l="1"/>
  <c r="B1066" i="22"/>
  <c r="C1067" i="22" l="1"/>
  <c r="B1067" i="22"/>
  <c r="B1068" i="22" l="1"/>
  <c r="C1068" i="22"/>
  <c r="C1069" i="22" l="1"/>
  <c r="B1069" i="22"/>
  <c r="B1070" i="22" l="1"/>
  <c r="C1070" i="22"/>
  <c r="C1071" i="22" l="1"/>
  <c r="B1071" i="22"/>
  <c r="B1072" i="22" l="1"/>
  <c r="C1072" i="22"/>
  <c r="C1073" i="22" l="1"/>
  <c r="B1073" i="22"/>
  <c r="B1074" i="22" l="1"/>
  <c r="C1074" i="22"/>
  <c r="C1075" i="22" l="1"/>
  <c r="B1075" i="22"/>
  <c r="B1076" i="22" l="1"/>
  <c r="C1076" i="22"/>
  <c r="C1077" i="22" l="1"/>
  <c r="B1077" i="22"/>
  <c r="B1078" i="22" l="1"/>
  <c r="C1078" i="22"/>
  <c r="C1079" i="22" l="1"/>
  <c r="B1079" i="22"/>
  <c r="B1080" i="22" l="1"/>
  <c r="C1080" i="22"/>
  <c r="C1081" i="22" l="1"/>
  <c r="B1081" i="22"/>
  <c r="B1082" i="22" l="1"/>
  <c r="C1082" i="22"/>
  <c r="C1083" i="22" l="1"/>
  <c r="B1083" i="22"/>
  <c r="B1084" i="22" l="1"/>
  <c r="C1084" i="22"/>
  <c r="C1085" i="22" l="1"/>
  <c r="B1085" i="22"/>
  <c r="B1086" i="22" l="1"/>
  <c r="C1086" i="22"/>
  <c r="C1087" i="22" l="1"/>
  <c r="B1087" i="22"/>
  <c r="B1088" i="22" l="1"/>
  <c r="C1088" i="22"/>
  <c r="C1089" i="22" l="1"/>
  <c r="B1089" i="22"/>
  <c r="B1090" i="22" l="1"/>
  <c r="C1090" i="22"/>
  <c r="C1091" i="22" l="1"/>
  <c r="B1091" i="22"/>
  <c r="B1092" i="22" l="1"/>
  <c r="C1092" i="22"/>
  <c r="C1093" i="22" l="1"/>
  <c r="B1093" i="22"/>
  <c r="B1094" i="22" l="1"/>
  <c r="C1094" i="22"/>
  <c r="C1095" i="22" l="1"/>
  <c r="B1095" i="22"/>
  <c r="B1096" i="22" l="1"/>
  <c r="C1096" i="22"/>
  <c r="C1097" i="22" l="1"/>
  <c r="B1097" i="22"/>
  <c r="B1098" i="22" l="1"/>
  <c r="C1098" i="22"/>
  <c r="C1099" i="22" l="1"/>
  <c r="B1099" i="22"/>
  <c r="B1100" i="22" l="1"/>
  <c r="C1100" i="22"/>
  <c r="C1101" i="22" l="1"/>
  <c r="B1101" i="22"/>
  <c r="B1102" i="22" l="1"/>
  <c r="C1102" i="22"/>
  <c r="C1103" i="22" l="1"/>
  <c r="B1103" i="22"/>
  <c r="B1104" i="22" l="1"/>
  <c r="C1104" i="22"/>
  <c r="C1105" i="22" l="1"/>
  <c r="B1105" i="22"/>
  <c r="B1106" i="22" l="1"/>
  <c r="C1106" i="22"/>
  <c r="C1107" i="22" l="1"/>
  <c r="B1107" i="22"/>
  <c r="B1108" i="22" l="1"/>
  <c r="C1108" i="22"/>
  <c r="C1109" i="22" l="1"/>
  <c r="B1109" i="22"/>
  <c r="B1110" i="22" l="1"/>
  <c r="C1110" i="22"/>
  <c r="C1111" i="22" l="1"/>
  <c r="B1111" i="22"/>
  <c r="B1112" i="22" l="1"/>
  <c r="C1112" i="22"/>
  <c r="C1113" i="22" l="1"/>
  <c r="B1113" i="22"/>
  <c r="B1114" i="22" l="1"/>
  <c r="C1114" i="22"/>
  <c r="C1115" i="22" l="1"/>
  <c r="B1115" i="22"/>
  <c r="B1116" i="22" l="1"/>
  <c r="C1116" i="22"/>
  <c r="C1117" i="22" l="1"/>
  <c r="B1117" i="22"/>
  <c r="B1118" i="22" l="1"/>
  <c r="C1118" i="22"/>
  <c r="C1119" i="22" l="1"/>
  <c r="B1119" i="22"/>
  <c r="B1120" i="22" l="1"/>
  <c r="C1120" i="22"/>
  <c r="C1121" i="22" l="1"/>
  <c r="B1121" i="22"/>
  <c r="B1122" i="22" l="1"/>
  <c r="C1122" i="22"/>
  <c r="C1123" i="22" l="1"/>
  <c r="B1123" i="22"/>
  <c r="B1124" i="22" l="1"/>
  <c r="C1124" i="22"/>
  <c r="C1125" i="22" l="1"/>
  <c r="B1125" i="22"/>
  <c r="B1126" i="22" l="1"/>
  <c r="C1126" i="22"/>
  <c r="C1127" i="22" l="1"/>
  <c r="B1127" i="22"/>
  <c r="B1128" i="22" l="1"/>
  <c r="C1128" i="22"/>
  <c r="C1129" i="22" l="1"/>
  <c r="B1129" i="22"/>
  <c r="B1130" i="22" l="1"/>
  <c r="C1130" i="22"/>
  <c r="C1131" i="22" l="1"/>
  <c r="B1131" i="22"/>
  <c r="B1132" i="22" l="1"/>
  <c r="C1132" i="22"/>
  <c r="C1133" i="22" l="1"/>
  <c r="B1133" i="22"/>
  <c r="B1134" i="22" l="1"/>
  <c r="C1134" i="22"/>
  <c r="C1135" i="22" l="1"/>
  <c r="B1135" i="22"/>
  <c r="B1136" i="22" l="1"/>
  <c r="C1136" i="22"/>
  <c r="C1137" i="22" l="1"/>
  <c r="B1137" i="22"/>
  <c r="B1138" i="22" l="1"/>
  <c r="C1138" i="22"/>
  <c r="C1139" i="22" l="1"/>
  <c r="B1139" i="22"/>
  <c r="B1140" i="22" l="1"/>
  <c r="C1140" i="22"/>
  <c r="C1141" i="22" l="1"/>
  <c r="B1141" i="22"/>
  <c r="B1142" i="22" l="1"/>
  <c r="C1142" i="22"/>
  <c r="C1143" i="22" l="1"/>
  <c r="B1143" i="22"/>
  <c r="B1144" i="22" l="1"/>
  <c r="C1144" i="22"/>
  <c r="C1145" i="22" l="1"/>
  <c r="B1145" i="22"/>
  <c r="B1146" i="22" l="1"/>
  <c r="C1146" i="22"/>
  <c r="C1147" i="22" l="1"/>
  <c r="B1147" i="22"/>
  <c r="B1148" i="22" l="1"/>
  <c r="C1148" i="22"/>
  <c r="C1149" i="22" l="1"/>
  <c r="B1149" i="22"/>
  <c r="B1150" i="22" l="1"/>
  <c r="C1150" i="22"/>
  <c r="C1151" i="22" l="1"/>
  <c r="B1151" i="22"/>
  <c r="B1152" i="22" l="1"/>
  <c r="C1152" i="22"/>
  <c r="C1153" i="22" l="1"/>
  <c r="B1153" i="22"/>
  <c r="B1154" i="22" l="1"/>
  <c r="C1154" i="22"/>
  <c r="C1155" i="22" l="1"/>
  <c r="B1155" i="22"/>
  <c r="B1156" i="22" l="1"/>
  <c r="C1156" i="22"/>
  <c r="C1157" i="22" l="1"/>
  <c r="B1157" i="22"/>
  <c r="B1158" i="22" l="1"/>
  <c r="C1158" i="22"/>
  <c r="C1159" i="22" l="1"/>
  <c r="B1159" i="22"/>
  <c r="B1160" i="22" l="1"/>
  <c r="C1160" i="22"/>
  <c r="C1161" i="22" l="1"/>
  <c r="B1161" i="22"/>
  <c r="B1162" i="22" l="1"/>
  <c r="C1162" i="22"/>
  <c r="C1163" i="22" l="1"/>
  <c r="B1163" i="22"/>
  <c r="B1164" i="22" l="1"/>
  <c r="C1164" i="22"/>
  <c r="C1165" i="22" l="1"/>
  <c r="B1165" i="22"/>
  <c r="B1166" i="22" l="1"/>
  <c r="C1166" i="22"/>
  <c r="C1167" i="22" l="1"/>
  <c r="B1167" i="22"/>
  <c r="B1168" i="22" l="1"/>
  <c r="C1168" i="22"/>
  <c r="C1169" i="22" l="1"/>
  <c r="B1169" i="22"/>
  <c r="B1170" i="22" l="1"/>
  <c r="C1170" i="22"/>
  <c r="C1171" i="22" l="1"/>
  <c r="B1171" i="22"/>
  <c r="B1172" i="22" l="1"/>
  <c r="C1172" i="22"/>
  <c r="C1173" i="22" l="1"/>
  <c r="B1173" i="22"/>
  <c r="B1174" i="22" l="1"/>
  <c r="C1174" i="22"/>
  <c r="C1175" i="22" l="1"/>
  <c r="B1175" i="22"/>
  <c r="B1176" i="22" l="1"/>
  <c r="C1176" i="22"/>
  <c r="C1177" i="22" l="1"/>
  <c r="B1177" i="22"/>
  <c r="B1178" i="22" l="1"/>
  <c r="C1178" i="22"/>
  <c r="C1179" i="22" l="1"/>
  <c r="B1179" i="22"/>
  <c r="B1180" i="22" l="1"/>
  <c r="C1180" i="22"/>
  <c r="C1181" i="22" l="1"/>
  <c r="B1181" i="22"/>
  <c r="B1182" i="22" l="1"/>
  <c r="C1182" i="22"/>
  <c r="C1183" i="22" l="1"/>
  <c r="B1183" i="22"/>
  <c r="B1184" i="22" l="1"/>
  <c r="C1184" i="22"/>
  <c r="C1185" i="22" l="1"/>
  <c r="B1185" i="22"/>
  <c r="B1186" i="22" l="1"/>
  <c r="C1186" i="22"/>
  <c r="C1187" i="22" l="1"/>
  <c r="B1187" i="22"/>
  <c r="B1188" i="22" l="1"/>
  <c r="C1188" i="22"/>
  <c r="C1189" i="22" l="1"/>
  <c r="B1189" i="22"/>
  <c r="B1190" i="22" l="1"/>
  <c r="C1190" i="22"/>
  <c r="C1191" i="22" l="1"/>
  <c r="B1191" i="22"/>
  <c r="B1192" i="22" l="1"/>
  <c r="C1192" i="22"/>
  <c r="C1193" i="22" l="1"/>
  <c r="B1193" i="22"/>
  <c r="B1194" i="22" l="1"/>
  <c r="C1194" i="22"/>
  <c r="C1195" i="22" l="1"/>
  <c r="B1195" i="22"/>
  <c r="B1196" i="22" l="1"/>
  <c r="C1196" i="22"/>
  <c r="C1197" i="22" l="1"/>
  <c r="B1197" i="22"/>
  <c r="B1198" i="22" l="1"/>
  <c r="C1198" i="22"/>
  <c r="C1199" i="22" l="1"/>
  <c r="B1199" i="22"/>
  <c r="B1200" i="22" l="1"/>
  <c r="C1200" i="22"/>
  <c r="C1201" i="22" l="1"/>
  <c r="B1201" i="22"/>
  <c r="B1202" i="22" l="1"/>
  <c r="C1202" i="22"/>
  <c r="C1203" i="22" l="1"/>
  <c r="B1203" i="22"/>
  <c r="B1204" i="22" l="1"/>
  <c r="C1204" i="22"/>
  <c r="C1205" i="22" l="1"/>
  <c r="B1205" i="22"/>
  <c r="B1206" i="22" l="1"/>
  <c r="C1206" i="22"/>
  <c r="C1207" i="22" l="1"/>
  <c r="B1207" i="22"/>
  <c r="B1208" i="22" l="1"/>
  <c r="C1208" i="22"/>
  <c r="C1209" i="22" l="1"/>
  <c r="B1209" i="22"/>
  <c r="B1210" i="22" l="1"/>
  <c r="C1210" i="22"/>
  <c r="C1211" i="22" l="1"/>
  <c r="B1211" i="22"/>
  <c r="B1212" i="22" l="1"/>
  <c r="C1212" i="22"/>
  <c r="C1213" i="22" l="1"/>
  <c r="B1213" i="22"/>
  <c r="B1214" i="22" l="1"/>
  <c r="C1214" i="22"/>
  <c r="C1215" i="22" l="1"/>
  <c r="B1215" i="22"/>
  <c r="B1216" i="22" l="1"/>
  <c r="C1216" i="22"/>
  <c r="C1217" i="22" l="1"/>
  <c r="B1217" i="22"/>
  <c r="B1218" i="22" l="1"/>
  <c r="C1218" i="22"/>
  <c r="C1219" i="22" l="1"/>
  <c r="B1219" i="22"/>
  <c r="C1220" i="22" l="1"/>
  <c r="B1220" i="22"/>
  <c r="C1221" i="22" l="1"/>
  <c r="B1221" i="22"/>
  <c r="C1222" i="22" l="1"/>
  <c r="B1222" i="22"/>
  <c r="C1223" i="22" l="1"/>
  <c r="B1223" i="22"/>
  <c r="C1224" i="22" l="1"/>
  <c r="B1224" i="22"/>
  <c r="C1225" i="22" l="1"/>
  <c r="B1225" i="22"/>
  <c r="C1226" i="22" l="1"/>
  <c r="B1226" i="22"/>
  <c r="C1227" i="22" l="1"/>
  <c r="B1227" i="22"/>
  <c r="C1228" i="22" l="1"/>
  <c r="B1228" i="22"/>
  <c r="C1229" i="22" l="1"/>
  <c r="B1229" i="22"/>
  <c r="C1230" i="22" l="1"/>
  <c r="B1230" i="22"/>
  <c r="C1231" i="22" l="1"/>
  <c r="B1231" i="22"/>
  <c r="C1232" i="22" l="1"/>
  <c r="B1232" i="22"/>
  <c r="C1233" i="22" l="1"/>
  <c r="B1233" i="22"/>
  <c r="C1234" i="22" l="1"/>
  <c r="B1234" i="22"/>
  <c r="C1235" i="22" l="1"/>
  <c r="B1235" i="22"/>
  <c r="C1236" i="22" l="1"/>
  <c r="B1236" i="22"/>
  <c r="C1237" i="22" l="1"/>
  <c r="B1237" i="22"/>
  <c r="C1238" i="22" l="1"/>
  <c r="B1238" i="22"/>
  <c r="C1239" i="22" l="1"/>
  <c r="B1239" i="22"/>
  <c r="C1240" i="22" l="1"/>
  <c r="B1240" i="22"/>
  <c r="C1241" i="22" l="1"/>
  <c r="B1241" i="22"/>
  <c r="C1242" i="22" l="1"/>
  <c r="B1242" i="22"/>
  <c r="C1243" i="22" l="1"/>
  <c r="B1243" i="22"/>
  <c r="C1244" i="22" l="1"/>
  <c r="B1244" i="22"/>
  <c r="C1245" i="22" l="1"/>
  <c r="B1245" i="22"/>
  <c r="C1246" i="22" l="1"/>
  <c r="B1246" i="22"/>
  <c r="C1247" i="22" l="1"/>
  <c r="B1247" i="22"/>
  <c r="C1248" i="22" l="1"/>
  <c r="B1248" i="22"/>
  <c r="C1249" i="22" l="1"/>
  <c r="B1249" i="22"/>
  <c r="C1250" i="22" l="1"/>
  <c r="B1250" i="22"/>
  <c r="C1251" i="22" l="1"/>
  <c r="B1251" i="22"/>
  <c r="C1252" i="22" l="1"/>
  <c r="B1252" i="22"/>
  <c r="C1253" i="22" l="1"/>
  <c r="B1253" i="22"/>
  <c r="C1254" i="22" l="1"/>
  <c r="B1254" i="22"/>
  <c r="C1255" i="22" l="1"/>
  <c r="B1255" i="22"/>
  <c r="C1256" i="22" l="1"/>
  <c r="B1256" i="22"/>
  <c r="C1257" i="22" l="1"/>
  <c r="B1257" i="22"/>
  <c r="C1258" i="22" l="1"/>
  <c r="B1258" i="22"/>
  <c r="C1259" i="22" l="1"/>
  <c r="B1259" i="22"/>
  <c r="C1260" i="22" l="1"/>
  <c r="B1260" i="22"/>
  <c r="C1261" i="22" l="1"/>
  <c r="B1261" i="22"/>
  <c r="C1262" i="22" l="1"/>
  <c r="B1262" i="22"/>
  <c r="C1263" i="22" l="1"/>
  <c r="B1263" i="22"/>
  <c r="C1264" i="22" l="1"/>
  <c r="B1264" i="22"/>
  <c r="C1265" i="22" l="1"/>
  <c r="B1265" i="22"/>
  <c r="C1266" i="22" l="1"/>
  <c r="B1266" i="22"/>
  <c r="C1267" i="22" l="1"/>
  <c r="B1267" i="22"/>
  <c r="C1268" i="22" l="1"/>
  <c r="B1268" i="22"/>
  <c r="C1269" i="22" l="1"/>
  <c r="B1269" i="22"/>
  <c r="C1270" i="22" l="1"/>
  <c r="B1270" i="22"/>
  <c r="C1271" i="22" l="1"/>
  <c r="B1271" i="22"/>
  <c r="C1272" i="22" l="1"/>
  <c r="B1272" i="22"/>
  <c r="C1273" i="22" l="1"/>
  <c r="B1273" i="22"/>
  <c r="C1274" i="22" l="1"/>
  <c r="B1274" i="22"/>
  <c r="C1275" i="22" l="1"/>
  <c r="B1275" i="22"/>
  <c r="C1276" i="22" l="1"/>
  <c r="B1276" i="22"/>
  <c r="C1277" i="22" l="1"/>
  <c r="B1277" i="22"/>
  <c r="C1278" i="22" l="1"/>
  <c r="B1278" i="22"/>
  <c r="C1279" i="22" l="1"/>
  <c r="B1279" i="22"/>
  <c r="C1280" i="22" l="1"/>
  <c r="B1280" i="22"/>
  <c r="C1281" i="22" l="1"/>
  <c r="B1281" i="22"/>
  <c r="C1282" i="22" l="1"/>
  <c r="B1282" i="22"/>
  <c r="C1283" i="22" l="1"/>
  <c r="B1283" i="22"/>
  <c r="C1284" i="22" l="1"/>
  <c r="B1284" i="22"/>
  <c r="C1285" i="22" l="1"/>
  <c r="B1285" i="22"/>
  <c r="C1286" i="22" l="1"/>
  <c r="B1286" i="22"/>
  <c r="C1287" i="22" l="1"/>
  <c r="B1287" i="22"/>
  <c r="C1288" i="22" l="1"/>
  <c r="B1288" i="22"/>
  <c r="C1289" i="22" l="1"/>
  <c r="B1289" i="22"/>
  <c r="C1290" i="22" l="1"/>
  <c r="B1290" i="22"/>
  <c r="C1291" i="22" l="1"/>
  <c r="B1291" i="22"/>
  <c r="C1292" i="22" l="1"/>
  <c r="B1292" i="22"/>
  <c r="C1293" i="22" l="1"/>
  <c r="B1293" i="22"/>
  <c r="C1294" i="22" l="1"/>
  <c r="B1294" i="22"/>
  <c r="C1295" i="22" l="1"/>
  <c r="B1295" i="22"/>
  <c r="B1296" i="22" l="1"/>
  <c r="C1296" i="22"/>
  <c r="C1297" i="22" l="1"/>
  <c r="B1297" i="22"/>
  <c r="C1298" i="22" l="1"/>
  <c r="B1298" i="22"/>
  <c r="C1299" i="22" l="1"/>
  <c r="B1299" i="22"/>
  <c r="C1300" i="22" l="1"/>
  <c r="B1300" i="22"/>
  <c r="C1301" i="22" l="1"/>
  <c r="B1301" i="22"/>
  <c r="C1302" i="22" l="1"/>
  <c r="B1302" i="22"/>
  <c r="C1303" i="22" l="1"/>
  <c r="B1303" i="22"/>
  <c r="B1304" i="22" l="1"/>
  <c r="C1304" i="22"/>
  <c r="C1305" i="22" l="1"/>
  <c r="B1305" i="22"/>
  <c r="C1306" i="22" l="1"/>
  <c r="B1306" i="22"/>
  <c r="C1307" i="22" l="1"/>
  <c r="B1307" i="22"/>
  <c r="C1308" i="22" l="1"/>
  <c r="B1308" i="22"/>
  <c r="C1309" i="22" l="1"/>
  <c r="B1309" i="22"/>
  <c r="C1310" i="22" l="1"/>
  <c r="B1310" i="22"/>
  <c r="C1311" i="22" l="1"/>
  <c r="B1311" i="22"/>
  <c r="B1312" i="22" l="1"/>
  <c r="C1312" i="22"/>
  <c r="C1313" i="22" l="1"/>
  <c r="B1313" i="22"/>
  <c r="C1314" i="22" l="1"/>
  <c r="B1314" i="22"/>
  <c r="C1315" i="22" l="1"/>
  <c r="B1315" i="22"/>
  <c r="B1316" i="22" l="1"/>
  <c r="C1316" i="22"/>
  <c r="C1317" i="22" l="1"/>
  <c r="B1317" i="22"/>
  <c r="C1318" i="22" l="1"/>
  <c r="B1318" i="22"/>
  <c r="C1319" i="22" l="1"/>
  <c r="B1319" i="22"/>
  <c r="B1320" i="22" l="1"/>
  <c r="C1320" i="22"/>
  <c r="C1321" i="22" l="1"/>
  <c r="B1321" i="22"/>
  <c r="C1322" i="22" l="1"/>
  <c r="B1322" i="22"/>
  <c r="C1323" i="22" l="1"/>
  <c r="B1323" i="22"/>
  <c r="B1324" i="22" l="1"/>
  <c r="C1324" i="22"/>
  <c r="C1325" i="22" l="1"/>
  <c r="B1325" i="22"/>
  <c r="C1326" i="22" l="1"/>
  <c r="B1326" i="22"/>
  <c r="C1327" i="22" l="1"/>
  <c r="B1327" i="22"/>
  <c r="B1328" i="22" l="1"/>
  <c r="C1328" i="22"/>
  <c r="C1329" i="22" l="1"/>
  <c r="B1329" i="22"/>
  <c r="C1330" i="22" l="1"/>
  <c r="B1330" i="22"/>
  <c r="C1331" i="22" l="1"/>
  <c r="B1331" i="22"/>
  <c r="B1332" i="22" l="1"/>
  <c r="C1332" i="22"/>
  <c r="C1333" i="22" l="1"/>
  <c r="B1333" i="22"/>
  <c r="C1334" i="22" l="1"/>
  <c r="B1334" i="22"/>
  <c r="C1335" i="22" l="1"/>
  <c r="B1335" i="22"/>
  <c r="B1336" i="22" l="1"/>
  <c r="C1336" i="22"/>
  <c r="C1337" i="22" l="1"/>
  <c r="B1337" i="22"/>
  <c r="C1338" i="22" l="1"/>
  <c r="B1338" i="22"/>
  <c r="C1339" i="22" l="1"/>
  <c r="B1339" i="22"/>
  <c r="B1340" i="22" l="1"/>
  <c r="C1340" i="22"/>
  <c r="C1341" i="22" l="1"/>
  <c r="B1341" i="22"/>
  <c r="C1342" i="22" l="1"/>
  <c r="B1342" i="22"/>
  <c r="C1343" i="22" l="1"/>
  <c r="B1343" i="22"/>
  <c r="B1344" i="22" l="1"/>
  <c r="C1344" i="22"/>
  <c r="C1345" i="22" l="1"/>
  <c r="B1345" i="22"/>
  <c r="C1346" i="22" l="1"/>
  <c r="B1346" i="22"/>
  <c r="C1347" i="22" l="1"/>
  <c r="B1347" i="22"/>
  <c r="B1348" i="22" l="1"/>
  <c r="C1348" i="22"/>
  <c r="C1349" i="22" l="1"/>
  <c r="B1349" i="22"/>
  <c r="C1350" i="22" l="1"/>
  <c r="B1350" i="22"/>
  <c r="C1351" i="22" l="1"/>
  <c r="B1351" i="22"/>
  <c r="B1352" i="22" l="1"/>
  <c r="C1352" i="22"/>
  <c r="C1353" i="22" l="1"/>
  <c r="B1353" i="22"/>
  <c r="C1354" i="22" l="1"/>
  <c r="B1354" i="22"/>
  <c r="C1355" i="22" l="1"/>
  <c r="B1355" i="22"/>
  <c r="B1356" i="22" l="1"/>
  <c r="C1356" i="22"/>
  <c r="C1357" i="22" l="1"/>
  <c r="B1357" i="22"/>
  <c r="C1358" i="22" l="1"/>
  <c r="B1358" i="22"/>
  <c r="C1359" i="22" l="1"/>
  <c r="B1359" i="22"/>
  <c r="B1360" i="22" l="1"/>
  <c r="C1360" i="22"/>
  <c r="C1361" i="22" l="1"/>
  <c r="B1361" i="22"/>
  <c r="C1362" i="22" l="1"/>
  <c r="B1362" i="22"/>
  <c r="C1363" i="22" l="1"/>
  <c r="B1363" i="22"/>
  <c r="B1364" i="22" l="1"/>
  <c r="C1364" i="22"/>
  <c r="C1365" i="22" l="1"/>
  <c r="B1365" i="22"/>
  <c r="C1366" i="22" l="1"/>
  <c r="B1366" i="22"/>
  <c r="C1367" i="22" l="1"/>
  <c r="B1367" i="22"/>
  <c r="B1368" i="22" l="1"/>
  <c r="C1368" i="22"/>
  <c r="C1369" i="22" l="1"/>
  <c r="B1369" i="22"/>
  <c r="C1370" i="22" l="1"/>
  <c r="B1370" i="22"/>
  <c r="C1371" i="22" l="1"/>
  <c r="B1371" i="22"/>
  <c r="B1372" i="22" l="1"/>
  <c r="C1372" i="22"/>
  <c r="C1373" i="22" l="1"/>
  <c r="B1373" i="22"/>
  <c r="C1374" i="22" l="1"/>
  <c r="B1374" i="22"/>
  <c r="C1375" i="22" l="1"/>
  <c r="B1375" i="22"/>
  <c r="C1376" i="22" l="1"/>
  <c r="B1376" i="22"/>
  <c r="C1377" i="22" l="1"/>
  <c r="B1377" i="22"/>
  <c r="C1378" i="22" l="1"/>
  <c r="B1378" i="22"/>
  <c r="C1379" i="22" l="1"/>
  <c r="B1379" i="22"/>
  <c r="C1380" i="22" l="1"/>
  <c r="B1380" i="22"/>
  <c r="C1381" i="22" l="1"/>
  <c r="B1381" i="22"/>
  <c r="C1382" i="22" l="1"/>
  <c r="B1382" i="22"/>
  <c r="C1383" i="22" l="1"/>
  <c r="B1383" i="22"/>
  <c r="C1384" i="22" l="1"/>
  <c r="B1384" i="22"/>
  <c r="C1385" i="22" l="1"/>
  <c r="B1385" i="22"/>
  <c r="C1386" i="22" l="1"/>
  <c r="B1386" i="22"/>
  <c r="C1387" i="22" l="1"/>
  <c r="B1387" i="22"/>
  <c r="C1388" i="22" l="1"/>
  <c r="B1388" i="22"/>
  <c r="C1389" i="22" l="1"/>
  <c r="B1389" i="22"/>
  <c r="C1390" i="22" l="1"/>
  <c r="B1390" i="22"/>
  <c r="C1391" i="22" l="1"/>
  <c r="B1391" i="22"/>
  <c r="C1392" i="22" l="1"/>
  <c r="B1392" i="22"/>
  <c r="C1393" i="22" l="1"/>
  <c r="B1393" i="22"/>
  <c r="C1394" i="22" l="1"/>
  <c r="B1394" i="22"/>
  <c r="C1395" i="22" l="1"/>
  <c r="B1395" i="22"/>
  <c r="C1396" i="22" l="1"/>
  <c r="B1396" i="22"/>
  <c r="C1397" i="22" l="1"/>
  <c r="B1397" i="22"/>
  <c r="C1398" i="22" l="1"/>
  <c r="B1398" i="22"/>
  <c r="C1399" i="22" l="1"/>
  <c r="B1399" i="22"/>
  <c r="C1400" i="22" l="1"/>
  <c r="B1400" i="22"/>
  <c r="C1401" i="22" l="1"/>
  <c r="B1401" i="22"/>
  <c r="C1402" i="22" l="1"/>
  <c r="B1402" i="22"/>
  <c r="C1403" i="22" l="1"/>
  <c r="B1403" i="22"/>
  <c r="C1404" i="22" l="1"/>
  <c r="B1404" i="22"/>
  <c r="C1405" i="22" l="1"/>
  <c r="B1405" i="22"/>
  <c r="C1406" i="22" l="1"/>
  <c r="B1406" i="22"/>
  <c r="C1407" i="22" l="1"/>
  <c r="B1407" i="22"/>
  <c r="C1408" i="22" l="1"/>
  <c r="B1408" i="22"/>
  <c r="C1409" i="22" l="1"/>
  <c r="B1409" i="22"/>
  <c r="C1410" i="22" l="1"/>
  <c r="B1410" i="22"/>
  <c r="C1411" i="22" l="1"/>
  <c r="B1411" i="22"/>
  <c r="C1412" i="22" l="1"/>
  <c r="B1412" i="22"/>
  <c r="C1413" i="22" l="1"/>
  <c r="B1413" i="22"/>
  <c r="C1414" i="22" l="1"/>
  <c r="B1414" i="22"/>
  <c r="C1415" i="22" l="1"/>
  <c r="B1415" i="22"/>
  <c r="C1416" i="22" l="1"/>
  <c r="B1416" i="22"/>
  <c r="C1417" i="22" l="1"/>
  <c r="B1417" i="22"/>
  <c r="C1418" i="22" l="1"/>
  <c r="B1418" i="22"/>
  <c r="C1419" i="22" l="1"/>
  <c r="B1419" i="22"/>
  <c r="C1420" i="22" l="1"/>
  <c r="B1420" i="22"/>
  <c r="C1421" i="22" l="1"/>
  <c r="B1421" i="22"/>
  <c r="C1422" i="22" l="1"/>
  <c r="B1422" i="22"/>
  <c r="C1423" i="22" l="1"/>
  <c r="B1423" i="22"/>
  <c r="C1424" i="22" l="1"/>
  <c r="B1424" i="22"/>
  <c r="C1425" i="22" l="1"/>
  <c r="B1425" i="22"/>
  <c r="C1426" i="22" l="1"/>
  <c r="B1426" i="22"/>
  <c r="C1427" i="22" l="1"/>
  <c r="B1427" i="22"/>
  <c r="C1428" i="22" l="1"/>
  <c r="B1428" i="22"/>
  <c r="C1429" i="22" l="1"/>
  <c r="B1429" i="22"/>
  <c r="C1430" i="22" l="1"/>
  <c r="B1430" i="22"/>
  <c r="C1431" i="22" l="1"/>
  <c r="B1431" i="22"/>
  <c r="C1432" i="22" l="1"/>
  <c r="B1432" i="22"/>
  <c r="C1433" i="22" l="1"/>
  <c r="B1433" i="22"/>
  <c r="C1434" i="22" l="1"/>
  <c r="B1434" i="22"/>
  <c r="C1435" i="22" l="1"/>
  <c r="B1435" i="22"/>
  <c r="C1436" i="22" l="1"/>
  <c r="B1436" i="22"/>
  <c r="C1437" i="22" l="1"/>
  <c r="B1437" i="22"/>
  <c r="C1438" i="22" l="1"/>
  <c r="B1438" i="22"/>
  <c r="C1439" i="22" l="1"/>
  <c r="B1439" i="22"/>
  <c r="C1440" i="22" l="1"/>
  <c r="B1440" i="22"/>
  <c r="C1441" i="22" l="1"/>
  <c r="B1441" i="22"/>
  <c r="C1442" i="22" l="1"/>
  <c r="B1442" i="22"/>
  <c r="C1443" i="22" l="1"/>
  <c r="B1443" i="22"/>
  <c r="C1444" i="22" l="1"/>
  <c r="B1444" i="22"/>
  <c r="C1445" i="22" l="1"/>
  <c r="B1445" i="22"/>
  <c r="C1446" i="22" l="1"/>
  <c r="B1446" i="22"/>
  <c r="C1447" i="22" l="1"/>
  <c r="B1447" i="22"/>
  <c r="C1448" i="22" l="1"/>
  <c r="B1448" i="22"/>
  <c r="C1449" i="22" l="1"/>
  <c r="B1449" i="22"/>
  <c r="C1450" i="22" l="1"/>
  <c r="B1450" i="22"/>
  <c r="C1451" i="22" l="1"/>
  <c r="B1451" i="22"/>
  <c r="C1452" i="22" l="1"/>
  <c r="B1452" i="22"/>
  <c r="C1453" i="22" l="1"/>
  <c r="B1453" i="22"/>
  <c r="C1454" i="22" l="1"/>
  <c r="B1454" i="22"/>
  <c r="C1455" i="22" l="1"/>
  <c r="B1455" i="22"/>
  <c r="C1456" i="22" l="1"/>
  <c r="B1456" i="22"/>
  <c r="C1457" i="22" l="1"/>
  <c r="B1457" i="22"/>
  <c r="C1458" i="22" l="1"/>
  <c r="B1458" i="22"/>
  <c r="C1459" i="22" l="1"/>
  <c r="B1459" i="22"/>
  <c r="C1460" i="22" l="1"/>
  <c r="B1460" i="22"/>
  <c r="C1461" i="22" l="1"/>
  <c r="B1461" i="22"/>
  <c r="C1462" i="22" l="1"/>
  <c r="B1462" i="22"/>
  <c r="C1463" i="22" l="1"/>
  <c r="B1463" i="22"/>
  <c r="C1464" i="22" l="1"/>
  <c r="B1464" i="22"/>
  <c r="C1465" i="22" l="1"/>
  <c r="B1465" i="22"/>
  <c r="C1466" i="22" l="1"/>
  <c r="B1466" i="22"/>
  <c r="C1467" i="22" l="1"/>
  <c r="B1467" i="22"/>
  <c r="C1468" i="22" l="1"/>
  <c r="B1468" i="22"/>
  <c r="C1469" i="22" l="1"/>
  <c r="B1469" i="22"/>
  <c r="C1470" i="22" l="1"/>
  <c r="B1470" i="22"/>
  <c r="C1471" i="22" l="1"/>
  <c r="B1471" i="22"/>
  <c r="C1472" i="22" l="1"/>
  <c r="B1472" i="22"/>
  <c r="C1473" i="22" l="1"/>
  <c r="B1473" i="22"/>
  <c r="C1474" i="22" l="1"/>
  <c r="B1474" i="22"/>
  <c r="C1475" i="22" l="1"/>
  <c r="B1475" i="22"/>
  <c r="C1476" i="22" l="1"/>
  <c r="B1476" i="22"/>
  <c r="C1477" i="22" l="1"/>
  <c r="B1477" i="22"/>
  <c r="C1478" i="22" l="1"/>
  <c r="B1478" i="22"/>
  <c r="C1479" i="22" l="1"/>
  <c r="B1479" i="22"/>
  <c r="C1480" i="22" l="1"/>
  <c r="B1480" i="22"/>
  <c r="C1481" i="22" l="1"/>
  <c r="B1481" i="22"/>
  <c r="C1482" i="22" l="1"/>
  <c r="B1482" i="22"/>
  <c r="C1483" i="22" l="1"/>
  <c r="B1483" i="22"/>
  <c r="C1484" i="22" l="1"/>
  <c r="B1484" i="22"/>
  <c r="C1485" i="22" l="1"/>
  <c r="B1485" i="22"/>
  <c r="C1486" i="22" l="1"/>
  <c r="B1486" i="22"/>
  <c r="C1487" i="22" l="1"/>
  <c r="B1487" i="22"/>
  <c r="C1488" i="22" l="1"/>
  <c r="B1488" i="22"/>
  <c r="C1489" i="22" l="1"/>
  <c r="B1489" i="22"/>
  <c r="C1490" i="22" l="1"/>
  <c r="B1490" i="22"/>
  <c r="C1491" i="22" l="1"/>
  <c r="B1491" i="22"/>
  <c r="C1492" i="22" l="1"/>
  <c r="B1492" i="22"/>
  <c r="C1493" i="22" l="1"/>
  <c r="B1493" i="22"/>
  <c r="C1494" i="22" l="1"/>
  <c r="B1494" i="22"/>
  <c r="C1495" i="22" l="1"/>
  <c r="B1495" i="22"/>
  <c r="C1496" i="22" l="1"/>
  <c r="B1496" i="22"/>
  <c r="C1497" i="22" l="1"/>
  <c r="B1497" i="22"/>
  <c r="C1498" i="22" l="1"/>
  <c r="B1498" i="22"/>
  <c r="C1499" i="22" l="1"/>
  <c r="B1499" i="22"/>
  <c r="C1500" i="22" l="1"/>
  <c r="B1500" i="22"/>
  <c r="C1501" i="22" l="1"/>
  <c r="B1501" i="22"/>
  <c r="C1502" i="22" l="1"/>
  <c r="B1502" i="22"/>
  <c r="C1503" i="22" l="1"/>
  <c r="B1503" i="22"/>
  <c r="C1504" i="22" l="1"/>
  <c r="B1504" i="22"/>
  <c r="C1505" i="22" l="1"/>
  <c r="B1505" i="22"/>
  <c r="C1506" i="22" l="1"/>
  <c r="B1506" i="22"/>
  <c r="C1507" i="22" l="1"/>
  <c r="B1507" i="22"/>
  <c r="C1508" i="22" l="1"/>
  <c r="B1508" i="22"/>
  <c r="C1509" i="22" l="1"/>
  <c r="B1509" i="22"/>
  <c r="C1510" i="22" l="1"/>
  <c r="B1510" i="22"/>
  <c r="C1511" i="22" l="1"/>
  <c r="B1511" i="22"/>
  <c r="C1512" i="22" l="1"/>
  <c r="B1512" i="22"/>
  <c r="C1513" i="22" l="1"/>
  <c r="B1513" i="22"/>
  <c r="C1514" i="22" l="1"/>
  <c r="B1514" i="22"/>
  <c r="C1515" i="22" l="1"/>
  <c r="B1515" i="22"/>
  <c r="C1516" i="22" l="1"/>
  <c r="B1516" i="22"/>
  <c r="C1517" i="22" l="1"/>
  <c r="B1517" i="22"/>
  <c r="C1518" i="22" l="1"/>
  <c r="B1518" i="22"/>
  <c r="C1519" i="22" l="1"/>
  <c r="B1519" i="22"/>
  <c r="C1520" i="22" l="1"/>
  <c r="B1520" i="22"/>
  <c r="C1521" i="22" l="1"/>
  <c r="B1521" i="22"/>
  <c r="C1522" i="22" l="1"/>
  <c r="B1522" i="22"/>
  <c r="B1523" i="22" l="1"/>
  <c r="C1523" i="22"/>
  <c r="B1524" i="22" l="1"/>
  <c r="C1524" i="22"/>
  <c r="B1525" i="22" l="1"/>
  <c r="C1525" i="22"/>
  <c r="C1526" i="22" l="1"/>
  <c r="B1526" i="22"/>
  <c r="B1527" i="22" l="1"/>
  <c r="C1527" i="22"/>
  <c r="C1528" i="22" l="1"/>
  <c r="B1528" i="22"/>
  <c r="B1529" i="22" l="1"/>
  <c r="C1529" i="22"/>
  <c r="C1530" i="22" l="1"/>
  <c r="B1530" i="22"/>
  <c r="B1531" i="22" l="1"/>
  <c r="C1531" i="22"/>
  <c r="B1532" i="22" l="1"/>
  <c r="C1532" i="22"/>
  <c r="B1533" i="22" l="1"/>
  <c r="C1533" i="22"/>
  <c r="C1534" i="22" l="1"/>
  <c r="B1534" i="22"/>
  <c r="B1535" i="22" l="1"/>
  <c r="C1535" i="22"/>
  <c r="C1536" i="22" l="1"/>
  <c r="B1536" i="22"/>
  <c r="B1537" i="22" l="1"/>
  <c r="C1537" i="22"/>
  <c r="C1538" i="22" l="1"/>
  <c r="B1538" i="22"/>
  <c r="B1539" i="22" l="1"/>
  <c r="C1539" i="22"/>
  <c r="B1540" i="22" l="1"/>
  <c r="C1540" i="22"/>
  <c r="B1541" i="22" l="1"/>
  <c r="C1541" i="22"/>
  <c r="C1542" i="22" l="1"/>
  <c r="B1542" i="22"/>
  <c r="B1543" i="22" l="1"/>
  <c r="C1543" i="22"/>
  <c r="C1544" i="22" l="1"/>
  <c r="B1544" i="22"/>
  <c r="B1545" i="22" l="1"/>
  <c r="C1545" i="22"/>
  <c r="C1546" i="22" l="1"/>
  <c r="B1546" i="22"/>
  <c r="B1547" i="22" l="1"/>
  <c r="C1547" i="22"/>
  <c r="B1548" i="22" l="1"/>
  <c r="C1548" i="22"/>
  <c r="B1549" i="22" l="1"/>
  <c r="C1549" i="22"/>
  <c r="C1550" i="22" l="1"/>
  <c r="B1550" i="22"/>
  <c r="B1551" i="22" l="1"/>
  <c r="C1551" i="22"/>
  <c r="C1552" i="22" l="1"/>
  <c r="B1552" i="22"/>
  <c r="B1553" i="22" l="1"/>
  <c r="C1553" i="22"/>
  <c r="C1554" i="22" l="1"/>
  <c r="B1554" i="22"/>
  <c r="B1555" i="22" l="1"/>
  <c r="C1555" i="22"/>
  <c r="B1556" i="22" l="1"/>
  <c r="C1556" i="22"/>
  <c r="B1557" i="22" l="1"/>
  <c r="C1557" i="22"/>
  <c r="C1558" i="22" l="1"/>
  <c r="B1558" i="22"/>
  <c r="B1559" i="22" l="1"/>
  <c r="C1559" i="22"/>
  <c r="C1560" i="22" l="1"/>
  <c r="B1560" i="22"/>
  <c r="B1561" i="22" l="1"/>
  <c r="C1561" i="22"/>
  <c r="C1562" i="22" l="1"/>
  <c r="B1562" i="22"/>
  <c r="B1563" i="22" l="1"/>
  <c r="C1563" i="22"/>
  <c r="B1564" i="22" l="1"/>
  <c r="C1564" i="22"/>
  <c r="B1565" i="22" l="1"/>
  <c r="C1565" i="22"/>
  <c r="C1566" i="22" l="1"/>
  <c r="B1566" i="22"/>
  <c r="B1567" i="22" l="1"/>
  <c r="C1567" i="22"/>
  <c r="C1568" i="22" l="1"/>
  <c r="B1568" i="22"/>
  <c r="B1569" i="22" l="1"/>
  <c r="C1569" i="22"/>
  <c r="C1570" i="22" l="1"/>
  <c r="B1570" i="22"/>
  <c r="B1571" i="22" l="1"/>
  <c r="C1571" i="22"/>
  <c r="B1572" i="22" l="1"/>
  <c r="C1572" i="22"/>
  <c r="B1573" i="22" l="1"/>
  <c r="C1573" i="22"/>
  <c r="C1574" i="22" l="1"/>
  <c r="B1574" i="22"/>
  <c r="B1575" i="22" l="1"/>
  <c r="C1575" i="22"/>
  <c r="C1576" i="22" l="1"/>
  <c r="B1576" i="22"/>
  <c r="B1577" i="22" l="1"/>
  <c r="C1577" i="22"/>
  <c r="C1578" i="22" l="1"/>
  <c r="B1578" i="22"/>
  <c r="B1579" i="22" l="1"/>
  <c r="C1579" i="22"/>
  <c r="B1580" i="22" l="1"/>
  <c r="C1580" i="22"/>
  <c r="B1581" i="22" l="1"/>
  <c r="C1581" i="22"/>
  <c r="C1582" i="22" l="1"/>
  <c r="B1582" i="22"/>
  <c r="B1583" i="22" l="1"/>
  <c r="C1583" i="22"/>
  <c r="C1584" i="22" l="1"/>
  <c r="B1584" i="22"/>
  <c r="B1585" i="22" l="1"/>
  <c r="C1585" i="22"/>
  <c r="C1586" i="22" l="1"/>
  <c r="B1586" i="22"/>
  <c r="B1587" i="22" l="1"/>
  <c r="C1587" i="22"/>
  <c r="B1588" i="22" l="1"/>
  <c r="C1588" i="22"/>
  <c r="B1589" i="22" l="1"/>
  <c r="C1589" i="22"/>
  <c r="C1590" i="22" l="1"/>
  <c r="B1590" i="22"/>
  <c r="B1591" i="22" l="1"/>
  <c r="C1591" i="22"/>
  <c r="C1592" i="22" l="1"/>
  <c r="B1592" i="22"/>
  <c r="B1593" i="22" l="1"/>
  <c r="C1593" i="22"/>
  <c r="C1594" i="22" l="1"/>
  <c r="B1594" i="22"/>
  <c r="B1595" i="22" l="1"/>
  <c r="C1595" i="22"/>
  <c r="B1596" i="22" l="1"/>
  <c r="C1596" i="22"/>
  <c r="B1597" i="22" l="1"/>
  <c r="C1597" i="22"/>
  <c r="C1598" i="22" l="1"/>
  <c r="B1598" i="22"/>
  <c r="B1599" i="22" l="1"/>
  <c r="C1599" i="22"/>
  <c r="C1600" i="22" l="1"/>
  <c r="B1600" i="22"/>
  <c r="B1601" i="22" l="1"/>
  <c r="C1601" i="22"/>
  <c r="C1602" i="22" l="1"/>
  <c r="B1602" i="22"/>
  <c r="B1603" i="22" l="1"/>
  <c r="C1603" i="22"/>
  <c r="B1604" i="22" l="1"/>
  <c r="C1604" i="22"/>
  <c r="B1605" i="22" l="1"/>
  <c r="C1605" i="22"/>
  <c r="C1606" i="22" l="1"/>
  <c r="B1606" i="22"/>
  <c r="B1607" i="22" l="1"/>
  <c r="C1607" i="22"/>
  <c r="C1608" i="22" l="1"/>
  <c r="B1608" i="22"/>
  <c r="B1609" i="22" l="1"/>
  <c r="C1609" i="22"/>
  <c r="C1610" i="22" l="1"/>
  <c r="B1610" i="22"/>
  <c r="B1611" i="22" l="1"/>
  <c r="C1611" i="22"/>
  <c r="C1612" i="22" l="1"/>
  <c r="B1612" i="22"/>
  <c r="B1613" i="22" l="1"/>
  <c r="C1613" i="22"/>
  <c r="C1614" i="22" l="1"/>
  <c r="B1614" i="22"/>
  <c r="B1615" i="22" l="1"/>
  <c r="C1615" i="22"/>
  <c r="C1616" i="22" l="1"/>
  <c r="B1616" i="22"/>
  <c r="B1617" i="22" l="1"/>
  <c r="C1617" i="22"/>
  <c r="C1618" i="22" l="1"/>
  <c r="B1618" i="22"/>
  <c r="B1619" i="22" l="1"/>
  <c r="C1619" i="22"/>
  <c r="C1620" i="22" l="1"/>
  <c r="B1620" i="22"/>
  <c r="B1621" i="22" l="1"/>
  <c r="C1621" i="22"/>
  <c r="C1622" i="22" l="1"/>
  <c r="B1622" i="22"/>
  <c r="B1623" i="22" l="1"/>
  <c r="C1623" i="22"/>
  <c r="C1624" i="22" l="1"/>
  <c r="B1624" i="22"/>
  <c r="B1625" i="22" l="1"/>
  <c r="C1625" i="22"/>
  <c r="C1626" i="22" l="1"/>
  <c r="B1626" i="22"/>
  <c r="B1627" i="22" l="1"/>
  <c r="C1627" i="22"/>
  <c r="C1628" i="22" l="1"/>
  <c r="B1628" i="22"/>
  <c r="B1629" i="22" l="1"/>
  <c r="C1629" i="22"/>
  <c r="C1630" i="22" l="1"/>
  <c r="B1630" i="22"/>
  <c r="B1631" i="22" l="1"/>
  <c r="C1631" i="22"/>
  <c r="C1632" i="22" l="1"/>
  <c r="B1632" i="22"/>
  <c r="B1633" i="22" l="1"/>
  <c r="C1633" i="22"/>
  <c r="C1634" i="22" l="1"/>
  <c r="B1634" i="22"/>
  <c r="B1635" i="22" l="1"/>
  <c r="C1635" i="22"/>
  <c r="C1636" i="22" l="1"/>
  <c r="B1636" i="22"/>
  <c r="B1637" i="22" l="1"/>
  <c r="C1637" i="22"/>
  <c r="C1638" i="22" l="1"/>
  <c r="B1638" i="22"/>
  <c r="B1639" i="22" l="1"/>
  <c r="C1639" i="22"/>
  <c r="C1640" i="22" l="1"/>
  <c r="B1640" i="22"/>
  <c r="B1641" i="22" l="1"/>
  <c r="C1641" i="22"/>
  <c r="C1642" i="22" l="1"/>
  <c r="B1642" i="22"/>
  <c r="B1643" i="22" l="1"/>
  <c r="C1643" i="22"/>
  <c r="C1644" i="22" l="1"/>
  <c r="B1644" i="22"/>
  <c r="B1645" i="22" l="1"/>
  <c r="C1645" i="22"/>
  <c r="C1646" i="22" l="1"/>
  <c r="B1646" i="22"/>
  <c r="B1647" i="22" l="1"/>
  <c r="C1647" i="22"/>
  <c r="C1648" i="22" l="1"/>
  <c r="B1648" i="22"/>
  <c r="B1649" i="22" l="1"/>
  <c r="C1649" i="22"/>
  <c r="C1650" i="22" l="1"/>
  <c r="B1650" i="22"/>
  <c r="B1651" i="22" l="1"/>
  <c r="C1651" i="22"/>
  <c r="C1652" i="22" l="1"/>
  <c r="B1652" i="22"/>
  <c r="B1653" i="22" l="1"/>
  <c r="C1653" i="22"/>
  <c r="C1654" i="22" l="1"/>
  <c r="B1654" i="22"/>
  <c r="B1655" i="22" l="1"/>
  <c r="C1655" i="22"/>
  <c r="C1656" i="22" l="1"/>
  <c r="B1656" i="22"/>
  <c r="B1657" i="22" l="1"/>
  <c r="C1657" i="22"/>
  <c r="C1658" i="22" l="1"/>
  <c r="B1658" i="22"/>
  <c r="B1659" i="22" l="1"/>
  <c r="C1659" i="22"/>
  <c r="C1660" i="22" l="1"/>
  <c r="B1660" i="22"/>
  <c r="B1661" i="22" l="1"/>
  <c r="C1661" i="22"/>
  <c r="C1662" i="22" l="1"/>
  <c r="B1662" i="22"/>
  <c r="B1663" i="22" l="1"/>
  <c r="C1663" i="22"/>
  <c r="C1664" i="22" l="1"/>
  <c r="B1664" i="22"/>
  <c r="B1665" i="22" l="1"/>
  <c r="C1665" i="22"/>
  <c r="C1666" i="22" l="1"/>
  <c r="B1666" i="22"/>
  <c r="B1667" i="22" l="1"/>
  <c r="C1667" i="22"/>
  <c r="C1668" i="22" l="1"/>
  <c r="B1668" i="22"/>
  <c r="B1669" i="22" l="1"/>
  <c r="C1669" i="22"/>
  <c r="C1670" i="22" l="1"/>
  <c r="B1670" i="22"/>
  <c r="B1671" i="22" l="1"/>
  <c r="C1671" i="22"/>
  <c r="C1672" i="22" l="1"/>
  <c r="B1672" i="22"/>
  <c r="B1673" i="22" l="1"/>
  <c r="C1673" i="22"/>
  <c r="C1674" i="22" l="1"/>
  <c r="B1674" i="22"/>
  <c r="B1675" i="22" l="1"/>
  <c r="C1675" i="22"/>
  <c r="C1676" i="22" l="1"/>
  <c r="B1676" i="22"/>
  <c r="B1677" i="22" l="1"/>
  <c r="C1677" i="22"/>
  <c r="C1678" i="22" l="1"/>
  <c r="B1678" i="22"/>
  <c r="B1679" i="22" l="1"/>
  <c r="C1679" i="22"/>
  <c r="C1680" i="22" l="1"/>
  <c r="B1680" i="22"/>
  <c r="B1681" i="22" l="1"/>
  <c r="C1681" i="22"/>
  <c r="C1682" i="22" l="1"/>
  <c r="B1682" i="22"/>
  <c r="B1683" i="22" l="1"/>
  <c r="C1683" i="22"/>
  <c r="C1684" i="22" l="1"/>
  <c r="B1684" i="22"/>
  <c r="B1685" i="22" l="1"/>
  <c r="C1685" i="22"/>
  <c r="C1686" i="22" l="1"/>
  <c r="B1686" i="22"/>
  <c r="B1687" i="22" l="1"/>
  <c r="C1687" i="22"/>
  <c r="C1688" i="22" l="1"/>
  <c r="B1688" i="22"/>
  <c r="B1689" i="22" l="1"/>
  <c r="C1689" i="22"/>
  <c r="C1690" i="22" l="1"/>
  <c r="B1690" i="22"/>
  <c r="B1691" i="22" l="1"/>
  <c r="C1691" i="22"/>
  <c r="C1692" i="22" l="1"/>
  <c r="B1692" i="22"/>
  <c r="B1693" i="22" l="1"/>
  <c r="C1693" i="22"/>
  <c r="C1694" i="22" l="1"/>
  <c r="B1694" i="22"/>
  <c r="B1695" i="22" l="1"/>
  <c r="C1695" i="22"/>
  <c r="C1696" i="22" l="1"/>
  <c r="B1696" i="22"/>
  <c r="B1697" i="22" l="1"/>
  <c r="C1697" i="22"/>
  <c r="C1698" i="22" l="1"/>
  <c r="B1698" i="22"/>
  <c r="B1699" i="22" l="1"/>
  <c r="C1699" i="22"/>
  <c r="C1700" i="22" l="1"/>
  <c r="B1700" i="22"/>
  <c r="B1701" i="22" l="1"/>
  <c r="C1701" i="22"/>
  <c r="C1702" i="22" l="1"/>
  <c r="B1702" i="22"/>
  <c r="B1703" i="22" l="1"/>
  <c r="C1703" i="22"/>
  <c r="C1704" i="22" l="1"/>
  <c r="B1704" i="22"/>
  <c r="B1705" i="22" l="1"/>
  <c r="C1705" i="22"/>
  <c r="C1706" i="22" l="1"/>
  <c r="B1706" i="22"/>
  <c r="B1707" i="22" l="1"/>
  <c r="C1707" i="22"/>
  <c r="C1708" i="22" l="1"/>
  <c r="B1708" i="22"/>
  <c r="B1709" i="22" l="1"/>
  <c r="C1709" i="22"/>
  <c r="C1710" i="22" l="1"/>
  <c r="B1710" i="22"/>
  <c r="B1711" i="22" l="1"/>
  <c r="C1711" i="22"/>
  <c r="C1712" i="22" l="1"/>
  <c r="B1712" i="22"/>
  <c r="B1713" i="22" l="1"/>
  <c r="C1713" i="22"/>
  <c r="C1714" i="22" l="1"/>
  <c r="B1714" i="22"/>
  <c r="B1715" i="22" l="1"/>
  <c r="C1715" i="22"/>
  <c r="C1716" i="22" l="1"/>
  <c r="B1716" i="22"/>
  <c r="B1717" i="22" l="1"/>
  <c r="C1717" i="22"/>
  <c r="C1718" i="22" l="1"/>
  <c r="B1718" i="22"/>
  <c r="B1719" i="22" l="1"/>
  <c r="C1719" i="22"/>
  <c r="C1720" i="22" l="1"/>
  <c r="B1720" i="22"/>
  <c r="B1721" i="22" l="1"/>
  <c r="C1721" i="22"/>
  <c r="C1722" i="22" l="1"/>
  <c r="B1722" i="22"/>
  <c r="B1723" i="22" l="1"/>
  <c r="C1723" i="22"/>
  <c r="C1724" i="22" l="1"/>
  <c r="B1724" i="22"/>
  <c r="B1725" i="22" l="1"/>
  <c r="C1725" i="22"/>
  <c r="C1726" i="22" l="1"/>
  <c r="B1726" i="22"/>
  <c r="B1727" i="22" l="1"/>
  <c r="C1727" i="22"/>
  <c r="C1728" i="22" l="1"/>
  <c r="B1728" i="22"/>
  <c r="B1729" i="22" l="1"/>
  <c r="C1729" i="22"/>
  <c r="C1730" i="22" l="1"/>
  <c r="B1730" i="22"/>
  <c r="B1731" i="22" l="1"/>
  <c r="C1731" i="22"/>
  <c r="C1732" i="22" l="1"/>
  <c r="B1732" i="22"/>
  <c r="B1733" i="22" l="1"/>
  <c r="C1733" i="22"/>
  <c r="C1734" i="22" l="1"/>
  <c r="B1734" i="22"/>
  <c r="B1735" i="22" l="1"/>
  <c r="C1735" i="22"/>
  <c r="C1736" i="22" l="1"/>
  <c r="B1736" i="22"/>
  <c r="B1737" i="22" l="1"/>
  <c r="C1737" i="22"/>
  <c r="C1738" i="22" l="1"/>
  <c r="B1738" i="22"/>
  <c r="B1739" i="22" l="1"/>
  <c r="C1739" i="22"/>
  <c r="C1740" i="22" l="1"/>
  <c r="B1740" i="22"/>
  <c r="B1741" i="22" l="1"/>
  <c r="C1741" i="22"/>
  <c r="C1742" i="22" l="1"/>
  <c r="B1742" i="22"/>
  <c r="B1743" i="22" l="1"/>
  <c r="C1743" i="22"/>
  <c r="C1744" i="22" l="1"/>
  <c r="B1744" i="22"/>
  <c r="B1745" i="22" l="1"/>
  <c r="C1745" i="22"/>
  <c r="C1746" i="22" l="1"/>
  <c r="B1746" i="22"/>
  <c r="B1747" i="22" l="1"/>
  <c r="C1747" i="22"/>
  <c r="C1748" i="22" l="1"/>
  <c r="B1748" i="22"/>
  <c r="B1749" i="22" l="1"/>
  <c r="C1749" i="22"/>
  <c r="C1750" i="22" l="1"/>
  <c r="B1750" i="22"/>
  <c r="B1751" i="22" l="1"/>
  <c r="C1751" i="22"/>
  <c r="C1752" i="22" l="1"/>
  <c r="B1752" i="22"/>
  <c r="B1753" i="22" l="1"/>
  <c r="C1753" i="22"/>
  <c r="C1754" i="22" l="1"/>
  <c r="B1754" i="22"/>
  <c r="B1755" i="22" l="1"/>
  <c r="C1755" i="22"/>
  <c r="C1756" i="22" l="1"/>
  <c r="B1756" i="22"/>
  <c r="B1757" i="22" l="1"/>
  <c r="C1757" i="22"/>
  <c r="C1758" i="22" l="1"/>
  <c r="B1758" i="22"/>
  <c r="B1759" i="22" l="1"/>
  <c r="C1759" i="22"/>
  <c r="C1760" i="22" l="1"/>
  <c r="B1760" i="22"/>
  <c r="B1761" i="22" l="1"/>
  <c r="C1761" i="22"/>
  <c r="C1762" i="22" l="1"/>
  <c r="B1762" i="22"/>
  <c r="B1763" i="22" l="1"/>
  <c r="C1763" i="22"/>
  <c r="C1764" i="22" l="1"/>
  <c r="B1764" i="22"/>
  <c r="B1765" i="22" l="1"/>
  <c r="C1765" i="22"/>
  <c r="C1766" i="22" l="1"/>
  <c r="B1766" i="22"/>
  <c r="B1767" i="22" l="1"/>
  <c r="C1767" i="22"/>
  <c r="C1768" i="22" l="1"/>
  <c r="B1768" i="22"/>
  <c r="B1769" i="22" l="1"/>
  <c r="C1769" i="22"/>
  <c r="C1770" i="22" l="1"/>
  <c r="B1770" i="22"/>
  <c r="B1771" i="22" l="1"/>
  <c r="C1771" i="22"/>
  <c r="C1772" i="22" l="1"/>
  <c r="B1772" i="22"/>
  <c r="B1773" i="22" l="1"/>
  <c r="C1773" i="22"/>
  <c r="C1774" i="22" l="1"/>
  <c r="B1774" i="22"/>
  <c r="B1775" i="22" l="1"/>
  <c r="C1775" i="22"/>
  <c r="C1776" i="22" l="1"/>
  <c r="B1776" i="22"/>
  <c r="B1777" i="22" l="1"/>
  <c r="C1777" i="22"/>
  <c r="B1778" i="22" l="1"/>
  <c r="C1778" i="22"/>
  <c r="B1779" i="22" l="1"/>
  <c r="C1779" i="22"/>
  <c r="C1780" i="22" l="1"/>
  <c r="B1780" i="22"/>
  <c r="B1781" i="22" l="1"/>
  <c r="C1781" i="22"/>
  <c r="C1782" i="22" l="1"/>
  <c r="B1782" i="22"/>
  <c r="B1783" i="22" l="1"/>
  <c r="C1783" i="22"/>
  <c r="C1784" i="22" l="1"/>
  <c r="B1784" i="22"/>
  <c r="B1785" i="22" l="1"/>
  <c r="C1785" i="22"/>
  <c r="B1786" i="22" l="1"/>
  <c r="C1786" i="22"/>
  <c r="B1787" i="22" l="1"/>
  <c r="C1787" i="22"/>
  <c r="C1788" i="22" l="1"/>
  <c r="B1788" i="22"/>
  <c r="B1789" i="22" l="1"/>
  <c r="C1789" i="22"/>
  <c r="C1790" i="22" l="1"/>
  <c r="B1790" i="22"/>
  <c r="B1791" i="22" l="1"/>
  <c r="C1791" i="22"/>
  <c r="C1792" i="22" l="1"/>
  <c r="B1792" i="22"/>
  <c r="B1793" i="22" l="1"/>
  <c r="C1793" i="22"/>
  <c r="B1794" i="22" l="1"/>
  <c r="C1794" i="22"/>
  <c r="B1795" i="22" l="1"/>
  <c r="C1795" i="22"/>
  <c r="C1796" i="22" l="1"/>
  <c r="B1796" i="22"/>
  <c r="B1797" i="22" l="1"/>
  <c r="C1797" i="22"/>
  <c r="C1798" i="22" l="1"/>
  <c r="B1798" i="22"/>
  <c r="B1799" i="22" l="1"/>
  <c r="C1799" i="22"/>
  <c r="C1800" i="22" l="1"/>
  <c r="B1800" i="22"/>
  <c r="B1801" i="22" l="1"/>
  <c r="C1801" i="22"/>
  <c r="B1802" i="22" l="1"/>
  <c r="C1802" i="22"/>
  <c r="B1803" i="22" l="1"/>
  <c r="C1803" i="22"/>
  <c r="C1804" i="22" l="1"/>
  <c r="B1804" i="22"/>
  <c r="B1805" i="22" l="1"/>
  <c r="C1805" i="22"/>
  <c r="C1806" i="22" l="1"/>
  <c r="B1806" i="22"/>
  <c r="B1807" i="22" l="1"/>
  <c r="C1807" i="22"/>
  <c r="C1808" i="22" l="1"/>
  <c r="B1808" i="22"/>
  <c r="B1809" i="22" l="1"/>
  <c r="C1809" i="22"/>
  <c r="B1810" i="22" l="1"/>
  <c r="C1810" i="22"/>
  <c r="B1811" i="22" l="1"/>
  <c r="C1811" i="22"/>
  <c r="C1812" i="22" l="1"/>
  <c r="B1812" i="22"/>
  <c r="B1813" i="22" l="1"/>
  <c r="C1813" i="22"/>
  <c r="C1814" i="22" l="1"/>
  <c r="B1814" i="22"/>
  <c r="B1815" i="22" l="1"/>
  <c r="C1815" i="22"/>
  <c r="C1816" i="22" l="1"/>
  <c r="B1816" i="22"/>
  <c r="B1817" i="22" l="1"/>
  <c r="C1817" i="22"/>
  <c r="B1818" i="22" l="1"/>
  <c r="C1818" i="22"/>
  <c r="B1819" i="22" l="1"/>
  <c r="C1819" i="22"/>
  <c r="C1820" i="22" l="1"/>
  <c r="B1820" i="22"/>
  <c r="B1821" i="22" l="1"/>
  <c r="C1821" i="22"/>
  <c r="C1822" i="22" l="1"/>
  <c r="B1822" i="22"/>
  <c r="B1823" i="22" l="1"/>
  <c r="C1823" i="22"/>
  <c r="C1824" i="22" l="1"/>
  <c r="B1824" i="22"/>
  <c r="B1825" i="22" l="1"/>
  <c r="C1825" i="22"/>
  <c r="B1826" i="22" l="1"/>
  <c r="C1826" i="22"/>
  <c r="B1827" i="22" l="1"/>
  <c r="C1827" i="22"/>
  <c r="C1828" i="22" l="1"/>
  <c r="B1828" i="22"/>
  <c r="B1829" i="22" l="1"/>
  <c r="C1829" i="22"/>
  <c r="C1830" i="22" l="1"/>
  <c r="B1830" i="22"/>
  <c r="B1831" i="22" l="1"/>
  <c r="C1831" i="22"/>
  <c r="B1832" i="22" l="1"/>
  <c r="C1832" i="22"/>
  <c r="B1833" i="22" l="1"/>
  <c r="C1833" i="22"/>
  <c r="B1834" i="22" l="1"/>
  <c r="C1834" i="22"/>
  <c r="B1835" i="22" l="1"/>
  <c r="C1835" i="22"/>
  <c r="B1836" i="22" l="1"/>
  <c r="C1836" i="22"/>
  <c r="B1837" i="22" l="1"/>
  <c r="C1837" i="22"/>
  <c r="B1838" i="22" l="1"/>
  <c r="C1838" i="22"/>
  <c r="B1839" i="22" l="1"/>
  <c r="C1839" i="22"/>
  <c r="C1840" i="22" l="1"/>
  <c r="B1840" i="22"/>
  <c r="B1841" i="22" l="1"/>
  <c r="C1841" i="22"/>
  <c r="C1842" i="22" l="1"/>
  <c r="B1842" i="22"/>
  <c r="B1843" i="22" l="1"/>
  <c r="C1843" i="22"/>
  <c r="C1844" i="22" l="1"/>
  <c r="B1844" i="22"/>
  <c r="B1845" i="22" l="1"/>
  <c r="C1845" i="22"/>
  <c r="C1846" i="22" l="1"/>
  <c r="B1846" i="22"/>
  <c r="B1847" i="22" l="1"/>
  <c r="C1847" i="22"/>
  <c r="C1848" i="22" l="1"/>
  <c r="B1848" i="22"/>
  <c r="B1849" i="22" l="1"/>
  <c r="C1849" i="22"/>
  <c r="C1850" i="22" l="1"/>
  <c r="B1850" i="22"/>
  <c r="B1851" i="22" l="1"/>
  <c r="C1851" i="22"/>
  <c r="C1852" i="22" l="1"/>
  <c r="B1852" i="22"/>
  <c r="B1853" i="22" l="1"/>
  <c r="C1853" i="22"/>
  <c r="C1854" i="22" l="1"/>
  <c r="B1854" i="22"/>
  <c r="B1855" i="22" l="1"/>
  <c r="C1855" i="22"/>
  <c r="C1856" i="22" l="1"/>
  <c r="B1856" i="22"/>
  <c r="B1857" i="22" l="1"/>
  <c r="C1857" i="22"/>
  <c r="C1858" i="22" l="1"/>
  <c r="B1858" i="22"/>
  <c r="B1859" i="22" l="1"/>
  <c r="C1859" i="22"/>
  <c r="C1860" i="22" l="1"/>
  <c r="B1860" i="22"/>
  <c r="B1861" i="22" l="1"/>
  <c r="C1861" i="22"/>
  <c r="C1862" i="22" l="1"/>
  <c r="B1862" i="22"/>
  <c r="B1863" i="22" l="1"/>
  <c r="C1863" i="22"/>
  <c r="C1864" i="22" l="1"/>
  <c r="B1864" i="22"/>
  <c r="B1865" i="22" l="1"/>
  <c r="C1865" i="22"/>
  <c r="C1866" i="22" l="1"/>
  <c r="B1866" i="22"/>
  <c r="B1867" i="22" l="1"/>
  <c r="C1867" i="22"/>
  <c r="C1868" i="22" l="1"/>
  <c r="B1868" i="22"/>
  <c r="B1869" i="22" l="1"/>
  <c r="C1869" i="22"/>
  <c r="C1870" i="22" l="1"/>
  <c r="B1870" i="22"/>
  <c r="B1871" i="22" l="1"/>
  <c r="C1871" i="22"/>
  <c r="C1872" i="22" l="1"/>
  <c r="B1872" i="22"/>
  <c r="B1873" i="22" l="1"/>
  <c r="C1873" i="22"/>
  <c r="C1874" i="22" l="1"/>
  <c r="B1874" i="22"/>
  <c r="B1875" i="22" l="1"/>
  <c r="C1875" i="22"/>
  <c r="C1876" i="22" l="1"/>
  <c r="B1876" i="22"/>
  <c r="B1877" i="22" l="1"/>
  <c r="C1877" i="22"/>
  <c r="C1878" i="22" l="1"/>
  <c r="B1878" i="22"/>
  <c r="B1879" i="22" l="1"/>
  <c r="C1879" i="22"/>
  <c r="C1880" i="22" l="1"/>
  <c r="B1880" i="22"/>
  <c r="B1881" i="22" l="1"/>
  <c r="C1881" i="22"/>
  <c r="C1882" i="22" l="1"/>
  <c r="B1882" i="22"/>
  <c r="B1883" i="22" l="1"/>
  <c r="C1883" i="22"/>
  <c r="C1884" i="22" l="1"/>
  <c r="B1884" i="22"/>
  <c r="B1885" i="22" l="1"/>
  <c r="C1885" i="22"/>
  <c r="C1886" i="22" l="1"/>
  <c r="B1886" i="22"/>
  <c r="B1887" i="22" l="1"/>
  <c r="C1887" i="22"/>
  <c r="C1888" i="22" l="1"/>
  <c r="B1888" i="22"/>
  <c r="B1889" i="22" l="1"/>
  <c r="C1889" i="22"/>
  <c r="C1890" i="22" l="1"/>
  <c r="B1890" i="22"/>
  <c r="B1891" i="22" l="1"/>
  <c r="C1891" i="22"/>
  <c r="C1892" i="22" l="1"/>
  <c r="B1892" i="22"/>
  <c r="B1893" i="22" l="1"/>
  <c r="C1893" i="22"/>
  <c r="C1894" i="22" l="1"/>
  <c r="B1894" i="22"/>
  <c r="B1895" i="22" l="1"/>
  <c r="C1895" i="22"/>
  <c r="C1896" i="22" l="1"/>
  <c r="B1896" i="22"/>
  <c r="B1897" i="22" l="1"/>
  <c r="C1897" i="22"/>
  <c r="C1898" i="22" l="1"/>
  <c r="B1898" i="22"/>
  <c r="B1899" i="22" l="1"/>
  <c r="C1899" i="22"/>
  <c r="C1900" i="22" l="1"/>
  <c r="B1900" i="22"/>
  <c r="B1901" i="22" l="1"/>
  <c r="C1901" i="22"/>
  <c r="C1902" i="22" l="1"/>
  <c r="B1902" i="22"/>
  <c r="B1903" i="22" l="1"/>
  <c r="C1903" i="22"/>
  <c r="C1904" i="22" l="1"/>
  <c r="B1904" i="22"/>
  <c r="B1905" i="22" l="1"/>
  <c r="C1905" i="22"/>
  <c r="C1906" i="22" l="1"/>
  <c r="B1906" i="22"/>
  <c r="B1907" i="22" l="1"/>
  <c r="C1907" i="22"/>
  <c r="C1908" i="22" l="1"/>
  <c r="B1908" i="22"/>
  <c r="B1909" i="22" l="1"/>
  <c r="C1909" i="22"/>
  <c r="C1910" i="22" l="1"/>
  <c r="B1910" i="22"/>
  <c r="B1911" i="22" l="1"/>
  <c r="C1911" i="22"/>
  <c r="C1912" i="22" l="1"/>
  <c r="B1912" i="22"/>
  <c r="B1913" i="22" l="1"/>
  <c r="C1913" i="22"/>
  <c r="C1914" i="22" l="1"/>
  <c r="B1914" i="22"/>
  <c r="B1915" i="22" l="1"/>
  <c r="C1915" i="22"/>
  <c r="C1916" i="22" l="1"/>
  <c r="B1916" i="22"/>
  <c r="B1917" i="22" l="1"/>
  <c r="C1917" i="22"/>
  <c r="C1918" i="22" l="1"/>
  <c r="B1918" i="22"/>
  <c r="B1919" i="22" l="1"/>
  <c r="C1919" i="22"/>
  <c r="C1920" i="22" l="1"/>
  <c r="B1920" i="22"/>
  <c r="B1921" i="22" l="1"/>
  <c r="C1921" i="22"/>
  <c r="C1922" i="22" l="1"/>
  <c r="B1922" i="22"/>
  <c r="B1923" i="22" l="1"/>
  <c r="C1923" i="22"/>
  <c r="B1924" i="22" l="1"/>
  <c r="C1924" i="22"/>
  <c r="B1925" i="22" l="1"/>
  <c r="C1925" i="22"/>
  <c r="C1926" i="22" l="1"/>
  <c r="B1926" i="22"/>
  <c r="B1927" i="22" l="1"/>
  <c r="C1927" i="22"/>
  <c r="C1928" i="22" l="1"/>
  <c r="B1928" i="22"/>
  <c r="B1929" i="22" l="1"/>
  <c r="C1929" i="22"/>
  <c r="C1930" i="22" l="1"/>
  <c r="B1930" i="22"/>
  <c r="B1931" i="22" l="1"/>
  <c r="C1931" i="22"/>
  <c r="B1932" i="22" l="1"/>
  <c r="C1932" i="22"/>
  <c r="B1933" i="22" l="1"/>
  <c r="C1933" i="22"/>
  <c r="C1934" i="22" l="1"/>
  <c r="B1934" i="22"/>
  <c r="B1935" i="22" l="1"/>
  <c r="C1935" i="22"/>
  <c r="C1936" i="22" l="1"/>
  <c r="B1936" i="22"/>
  <c r="B1937" i="22" l="1"/>
  <c r="C1937" i="22"/>
  <c r="C1938" i="22" l="1"/>
  <c r="B1938" i="22"/>
  <c r="B1939" i="22" l="1"/>
  <c r="C1939" i="22"/>
  <c r="B1940" i="22" l="1"/>
  <c r="C1940" i="22"/>
  <c r="B1941" i="22" l="1"/>
  <c r="C1941" i="22"/>
  <c r="C1942" i="22" l="1"/>
  <c r="B1942" i="22"/>
  <c r="B1943" i="22" l="1"/>
  <c r="C1943" i="22"/>
  <c r="C1944" i="22" l="1"/>
  <c r="B1944" i="22"/>
  <c r="B1945" i="22" l="1"/>
  <c r="C1945" i="22"/>
  <c r="C1946" i="22" l="1"/>
  <c r="B1946" i="22"/>
  <c r="B1947" i="22" l="1"/>
  <c r="C1947" i="22"/>
  <c r="B1948" i="22" l="1"/>
  <c r="C1948" i="22"/>
  <c r="B1949" i="22" l="1"/>
  <c r="C1949" i="22"/>
  <c r="C1950" i="22" l="1"/>
  <c r="B1950" i="22"/>
  <c r="B1951" i="22" l="1"/>
  <c r="C1951" i="22"/>
  <c r="C1952" i="22" l="1"/>
  <c r="B1952" i="22"/>
  <c r="B1953" i="22" l="1"/>
  <c r="C1953" i="22"/>
  <c r="C1954" i="22" l="1"/>
  <c r="B1954" i="22"/>
  <c r="B1955" i="22" l="1"/>
  <c r="C1955" i="22"/>
  <c r="B1956" i="22" l="1"/>
  <c r="C1956" i="22"/>
  <c r="B1957" i="22" l="1"/>
  <c r="C1957" i="22"/>
  <c r="C1958" i="22" l="1"/>
  <c r="B1958" i="22"/>
  <c r="B1959" i="22" l="1"/>
  <c r="C1959" i="22"/>
  <c r="C1960" i="22" l="1"/>
  <c r="B1960" i="22"/>
  <c r="B1961" i="22" l="1"/>
  <c r="C1961" i="22"/>
  <c r="C1962" i="22" l="1"/>
  <c r="B1962" i="22"/>
  <c r="B1963" i="22" l="1"/>
  <c r="C1963" i="22"/>
  <c r="B1964" i="22" l="1"/>
  <c r="C1964" i="22"/>
  <c r="B1965" i="22" l="1"/>
  <c r="C1965" i="22"/>
  <c r="C1966" i="22" l="1"/>
  <c r="B1966" i="22"/>
  <c r="B1967" i="22" l="1"/>
  <c r="C1967" i="22"/>
  <c r="C1968" i="22" l="1"/>
  <c r="B1968" i="22"/>
  <c r="B1969" i="22" l="1"/>
  <c r="C1969" i="22"/>
  <c r="C1970" i="22" l="1"/>
  <c r="B1970" i="22"/>
  <c r="B1971" i="22" l="1"/>
  <c r="C1971" i="22"/>
  <c r="C1972" i="22" l="1"/>
  <c r="B1972" i="22"/>
  <c r="B1973" i="22" l="1"/>
  <c r="C1973" i="22"/>
  <c r="C1974" i="22" l="1"/>
  <c r="B1974" i="22"/>
  <c r="B1975" i="22" l="1"/>
  <c r="C1975" i="22"/>
  <c r="C1976" i="22" l="1"/>
  <c r="B1976" i="22"/>
  <c r="B1977" i="22" l="1"/>
  <c r="C1977" i="22"/>
  <c r="C1978" i="22" l="1"/>
  <c r="B1978" i="22"/>
  <c r="B1979" i="22" l="1"/>
  <c r="C1979" i="22"/>
  <c r="C1980" i="22" l="1"/>
  <c r="B1980" i="22"/>
  <c r="B1981" i="22" l="1"/>
  <c r="C1981" i="22"/>
  <c r="C1982" i="22" l="1"/>
  <c r="B1982" i="22"/>
  <c r="B1983" i="22" l="1"/>
  <c r="C1983" i="22"/>
  <c r="C1984" i="22" l="1"/>
  <c r="B1984" i="22"/>
  <c r="B1985" i="22" l="1"/>
  <c r="C1985" i="22"/>
  <c r="C1986" i="22" l="1"/>
  <c r="B1986" i="22"/>
  <c r="B1987" i="22" l="1"/>
  <c r="C1987" i="22"/>
  <c r="C1988" i="22" l="1"/>
  <c r="B1988" i="22"/>
  <c r="B1989" i="22" l="1"/>
  <c r="C1989" i="22"/>
  <c r="C1990" i="22" l="1"/>
  <c r="B1990" i="22"/>
  <c r="B1991" i="22" l="1"/>
  <c r="C1991" i="22"/>
  <c r="C1992" i="22" l="1"/>
  <c r="B1992" i="22"/>
  <c r="B1993" i="22" l="1"/>
  <c r="C1993" i="22"/>
  <c r="C1994" i="22" l="1"/>
  <c r="B1994" i="22"/>
  <c r="B1995" i="22" l="1"/>
  <c r="C1995" i="22"/>
  <c r="C1996" i="22" l="1"/>
  <c r="B1996" i="22"/>
  <c r="B1997" i="22" l="1"/>
  <c r="C1997" i="22"/>
  <c r="C1998" i="22" l="1"/>
  <c r="B1998" i="22"/>
  <c r="B1999" i="22" l="1"/>
  <c r="C1999" i="22"/>
  <c r="C2000" i="22" l="1"/>
  <c r="B2000" i="22"/>
  <c r="B2001" i="22" l="1"/>
  <c r="C2001" i="22"/>
  <c r="C2002" i="22" l="1"/>
  <c r="B2002" i="22"/>
  <c r="B2003" i="22" l="1"/>
  <c r="C2003" i="22"/>
  <c r="C2004" i="22" l="1"/>
  <c r="B2004" i="22"/>
  <c r="B2005" i="22" l="1"/>
  <c r="C2005" i="22"/>
  <c r="C2006" i="22" l="1"/>
  <c r="B2006" i="22"/>
  <c r="B2007" i="22" l="1"/>
  <c r="C2007" i="22"/>
  <c r="C2008" i="22" l="1"/>
  <c r="B2008" i="22"/>
  <c r="B2009" i="22" l="1"/>
  <c r="C2009" i="22"/>
  <c r="C2010" i="22" l="1"/>
  <c r="B2010" i="22"/>
  <c r="B2011" i="22" l="1"/>
  <c r="C2011" i="22"/>
  <c r="C2012" i="22" l="1"/>
  <c r="B2012" i="22"/>
  <c r="B2013" i="22" l="1"/>
  <c r="C2013" i="22"/>
  <c r="C2014" i="22" l="1"/>
  <c r="B2014" i="22"/>
  <c r="B2015" i="22" l="1"/>
  <c r="C2015" i="22"/>
  <c r="C2016" i="22" l="1"/>
  <c r="B2016" i="22"/>
  <c r="B2017" i="22" l="1"/>
  <c r="C2017" i="22"/>
  <c r="C2018" i="22" l="1"/>
  <c r="B2018" i="22"/>
  <c r="B2019" i="22" l="1"/>
  <c r="C2019" i="22"/>
  <c r="C2020" i="22" l="1"/>
  <c r="B2020" i="22"/>
  <c r="B2021" i="22" l="1"/>
  <c r="C2021" i="22"/>
  <c r="C2022" i="22" l="1"/>
  <c r="B2022" i="22"/>
  <c r="B2023" i="22" l="1"/>
  <c r="C2023" i="22"/>
  <c r="C2024" i="22" l="1"/>
  <c r="B2024" i="22"/>
  <c r="B2025" i="22" l="1"/>
  <c r="C2025" i="22"/>
  <c r="C2026" i="22" l="1"/>
  <c r="B2026" i="22"/>
  <c r="B2027" i="22" l="1"/>
  <c r="C2027" i="22"/>
  <c r="C2028" i="22" l="1"/>
  <c r="B2028" i="22"/>
  <c r="B2029" i="22" l="1"/>
  <c r="C2029" i="22"/>
  <c r="C2030" i="22" l="1"/>
  <c r="B2030" i="22"/>
  <c r="B2031" i="22" l="1"/>
  <c r="C2031" i="22"/>
  <c r="C2032" i="22" l="1"/>
  <c r="B2032" i="22"/>
  <c r="B2033" i="22" l="1"/>
  <c r="C2033" i="22"/>
  <c r="C2034" i="22" l="1"/>
  <c r="B2034" i="22"/>
  <c r="B2035" i="22" l="1"/>
  <c r="C2035" i="22"/>
  <c r="C2036" i="22" l="1"/>
  <c r="B2036" i="22"/>
  <c r="B2037" i="22" l="1"/>
  <c r="C2037" i="22"/>
  <c r="C2038" i="22" l="1"/>
  <c r="B2038" i="22"/>
  <c r="B2039" i="22" l="1"/>
  <c r="C2039" i="22"/>
  <c r="C2040" i="22" l="1"/>
  <c r="B2040" i="22"/>
  <c r="B2041" i="22" l="1"/>
  <c r="C2041" i="22"/>
  <c r="C2042" i="22" l="1"/>
  <c r="B2042" i="22"/>
  <c r="B2043" i="22" l="1"/>
  <c r="C2043" i="22"/>
  <c r="C2044" i="22" l="1"/>
  <c r="B2044" i="22"/>
  <c r="B2045" i="22" l="1"/>
  <c r="C2045" i="22"/>
  <c r="C2046" i="22" l="1"/>
  <c r="B2046" i="22"/>
  <c r="B2047" i="22" l="1"/>
  <c r="C2047" i="22"/>
  <c r="C2048" i="22" l="1"/>
  <c r="B2048" i="22"/>
  <c r="B2049" i="22" l="1"/>
  <c r="C2049" i="22"/>
  <c r="C2050" i="22" l="1"/>
  <c r="B2050" i="22"/>
  <c r="B2051" i="22" l="1"/>
  <c r="C2051" i="22"/>
  <c r="C2052" i="22" l="1"/>
  <c r="B2052" i="22"/>
  <c r="B2053" i="22" l="1"/>
  <c r="C2053" i="22"/>
  <c r="C2054" i="22" l="1"/>
  <c r="B2054" i="22"/>
  <c r="B2055" i="22" l="1"/>
  <c r="C2055" i="22"/>
  <c r="C2056" i="22" l="1"/>
  <c r="B2056" i="22"/>
  <c r="B2057" i="22" l="1"/>
  <c r="C2057" i="22"/>
  <c r="C2058" i="22" l="1"/>
  <c r="B2058" i="22"/>
  <c r="B2059" i="22" l="1"/>
  <c r="C2059" i="22"/>
  <c r="C2060" i="22" l="1"/>
  <c r="B2060" i="22"/>
  <c r="B2061" i="22" l="1"/>
  <c r="C2061" i="22"/>
  <c r="C2062" i="22" l="1"/>
  <c r="B2062" i="22"/>
  <c r="B2063" i="22" l="1"/>
  <c r="C2063" i="22"/>
  <c r="C2064" i="22" l="1"/>
  <c r="B2064" i="22"/>
  <c r="B2065" i="22" l="1"/>
  <c r="C2065" i="22"/>
  <c r="C2066" i="22" l="1"/>
  <c r="B2066" i="22"/>
  <c r="B2067" i="22" l="1"/>
  <c r="C2067" i="22"/>
  <c r="C2068" i="22" l="1"/>
  <c r="B2068" i="22"/>
  <c r="B2069" i="22" l="1"/>
  <c r="C2069" i="22"/>
  <c r="C2070" i="22" l="1"/>
  <c r="B2070" i="22"/>
  <c r="B2071" i="22" l="1"/>
  <c r="C2071" i="22"/>
  <c r="C2072" i="22" l="1"/>
  <c r="B2072" i="22"/>
  <c r="B2073" i="22" l="1"/>
  <c r="C2073" i="22"/>
  <c r="C2074" i="22" l="1"/>
  <c r="B2074" i="22"/>
  <c r="B2075" i="22" l="1"/>
  <c r="C2075" i="22"/>
  <c r="C2076" i="22" l="1"/>
  <c r="B2076" i="22"/>
  <c r="B2077" i="22" l="1"/>
  <c r="C2077" i="22"/>
  <c r="C2078" i="22" l="1"/>
  <c r="B2078" i="22"/>
  <c r="B2079" i="22" l="1"/>
  <c r="C2079" i="22"/>
  <c r="C2080" i="22" l="1"/>
  <c r="B2080" i="22"/>
  <c r="B2081" i="22" l="1"/>
  <c r="C2081" i="22"/>
  <c r="C2082" i="22" l="1"/>
  <c r="B2082" i="22"/>
  <c r="C2083" i="22" l="1"/>
  <c r="B2083" i="22"/>
  <c r="C2084" i="22" l="1"/>
  <c r="B2084" i="22"/>
  <c r="C2085" i="22" l="1"/>
  <c r="B2085" i="22"/>
  <c r="C2086" i="22" l="1"/>
  <c r="B2086" i="22"/>
  <c r="C2087" i="22" l="1"/>
  <c r="B2087" i="22"/>
  <c r="C2088" i="22" l="1"/>
  <c r="B2088" i="22"/>
  <c r="B2089" i="22" l="1"/>
  <c r="C2089" i="22"/>
  <c r="C2090" i="22" l="1"/>
  <c r="B2090" i="22"/>
  <c r="C2091" i="22" l="1"/>
  <c r="B2091" i="22"/>
  <c r="C2092" i="22" l="1"/>
  <c r="B2092" i="22"/>
  <c r="C2093" i="22" l="1"/>
  <c r="B2093" i="22"/>
  <c r="C2094" i="22" l="1"/>
  <c r="B2094" i="22"/>
  <c r="C2095" i="22" l="1"/>
  <c r="B2095" i="22"/>
  <c r="C2096" i="22" l="1"/>
  <c r="B2096" i="22"/>
  <c r="B2097" i="22" l="1"/>
  <c r="C2097" i="22"/>
  <c r="C2098" i="22" l="1"/>
  <c r="B2098" i="22"/>
  <c r="C2099" i="22" l="1"/>
  <c r="B2099" i="22"/>
  <c r="C2100" i="22" l="1"/>
  <c r="B2100" i="22"/>
  <c r="C2101" i="22" l="1"/>
  <c r="B2101" i="22"/>
  <c r="C2102" i="22" l="1"/>
  <c r="B2102" i="22"/>
  <c r="C2103" i="22" l="1"/>
  <c r="B2103" i="22"/>
  <c r="C2104" i="22" l="1"/>
  <c r="B2104" i="22"/>
  <c r="B2105" i="22" l="1"/>
  <c r="C2105" i="22"/>
  <c r="C2106" i="22" l="1"/>
  <c r="B2106" i="22"/>
  <c r="C2107" i="22" l="1"/>
  <c r="B2107" i="22"/>
  <c r="C2108" i="22" l="1"/>
  <c r="B2108" i="22"/>
  <c r="C2109" i="22" l="1"/>
  <c r="B2109" i="22"/>
  <c r="C2110" i="22" l="1"/>
  <c r="B2110" i="22"/>
  <c r="C2111" i="22" l="1"/>
  <c r="B2111" i="22"/>
  <c r="C2112" i="22" l="1"/>
  <c r="B2112" i="22"/>
  <c r="B2113" i="22" l="1"/>
  <c r="C2113" i="22"/>
  <c r="C2114" i="22" l="1"/>
  <c r="B2114" i="22"/>
  <c r="C2115" i="22" l="1"/>
  <c r="B2115" i="22"/>
  <c r="C2116" i="22" l="1"/>
  <c r="B2116" i="22"/>
  <c r="C2117" i="22" l="1"/>
  <c r="B2117" i="22"/>
  <c r="C2118" i="22" l="1"/>
  <c r="B2118" i="22"/>
  <c r="C2119" i="22" l="1"/>
  <c r="B2119" i="22"/>
  <c r="C2120" i="22" l="1"/>
  <c r="B2120" i="22"/>
  <c r="C2121" i="22" l="1"/>
  <c r="B2121" i="22"/>
  <c r="C2122" i="22" l="1"/>
  <c r="B2122" i="22"/>
  <c r="C2123" i="22" l="1"/>
  <c r="B2123" i="22"/>
  <c r="C2124" i="22" l="1"/>
  <c r="B2124" i="22"/>
  <c r="C2125" i="22" l="1"/>
  <c r="B2125" i="22"/>
  <c r="C2126" i="22" l="1"/>
  <c r="B2126" i="22"/>
  <c r="C2127" i="22" l="1"/>
  <c r="B2127" i="22"/>
  <c r="C2128" i="22" l="1"/>
  <c r="B2128" i="22"/>
  <c r="C2129" i="22" l="1"/>
  <c r="B2129" i="22"/>
  <c r="C2130" i="22" l="1"/>
  <c r="B2130" i="22"/>
  <c r="C2131" i="22" l="1"/>
  <c r="B2131" i="22"/>
  <c r="C2132" i="22" l="1"/>
  <c r="B2132" i="22"/>
  <c r="C2133" i="22" l="1"/>
  <c r="B2133" i="22"/>
  <c r="C2134" i="22" l="1"/>
  <c r="B2134" i="22"/>
  <c r="C2135" i="22" l="1"/>
  <c r="B2135" i="22"/>
  <c r="C2136" i="22" l="1"/>
  <c r="B2136" i="22"/>
  <c r="C2137" i="22" l="1"/>
  <c r="B2137" i="22"/>
  <c r="C2138" i="22" l="1"/>
  <c r="B2138" i="22"/>
  <c r="C2139" i="22" l="1"/>
  <c r="B2139" i="22"/>
  <c r="C2140" i="22" l="1"/>
  <c r="B2140" i="22"/>
  <c r="C2141" i="22" l="1"/>
  <c r="B2141" i="22"/>
  <c r="C2142" i="22" l="1"/>
  <c r="B2142" i="22"/>
  <c r="C2143" i="22" l="1"/>
  <c r="B2143" i="22"/>
  <c r="C2144" i="22" l="1"/>
  <c r="B2144" i="22"/>
  <c r="C2145" i="22" l="1"/>
  <c r="B2145" i="22"/>
  <c r="C2146" i="22" l="1"/>
  <c r="B2146" i="22"/>
  <c r="C2147" i="22" l="1"/>
  <c r="B2147" i="22"/>
  <c r="C2148" i="22" l="1"/>
  <c r="B2148" i="22"/>
  <c r="C2149" i="22" l="1"/>
  <c r="B2149" i="22"/>
  <c r="C2150" i="22" l="1"/>
  <c r="B2150" i="22"/>
  <c r="C2151" i="22" l="1"/>
  <c r="B2151" i="22"/>
  <c r="C2152" i="22" l="1"/>
  <c r="B2152" i="22"/>
  <c r="C2153" i="22" l="1"/>
  <c r="B2153" i="22"/>
  <c r="C2154" i="22" l="1"/>
  <c r="B2154" i="22"/>
  <c r="C2155" i="22" l="1"/>
  <c r="B2155" i="22"/>
  <c r="C2156" i="22" l="1"/>
  <c r="B2156" i="22"/>
  <c r="C2157" i="22" l="1"/>
  <c r="B2157" i="22"/>
  <c r="C2158" i="22" l="1"/>
  <c r="B2158" i="22"/>
  <c r="C2159" i="22" l="1"/>
  <c r="B2159" i="22"/>
  <c r="C2160" i="22" l="1"/>
  <c r="B2160" i="22"/>
  <c r="C2161" i="22" l="1"/>
  <c r="B2161" i="22"/>
  <c r="C2162" i="22" l="1"/>
  <c r="B2162" i="22"/>
  <c r="C2163" i="22" l="1"/>
  <c r="B2163" i="22"/>
  <c r="C2164" i="22" l="1"/>
  <c r="B2164" i="22"/>
  <c r="C2165" i="22" l="1"/>
  <c r="B2165" i="22"/>
  <c r="C2166" i="22" l="1"/>
  <c r="B2166" i="22"/>
  <c r="C2167" i="22" l="1"/>
  <c r="B2167" i="22"/>
  <c r="C2168" i="22" l="1"/>
  <c r="B2168" i="22"/>
  <c r="C2169" i="22" l="1"/>
  <c r="B2169" i="22"/>
  <c r="C2170" i="22" l="1"/>
  <c r="B2170" i="22"/>
  <c r="C2171" i="22" l="1"/>
  <c r="B2171" i="22"/>
  <c r="C2172" i="22" l="1"/>
  <c r="B2172" i="22"/>
  <c r="C2173" i="22" l="1"/>
  <c r="B2173" i="22"/>
  <c r="C2174" i="22" l="1"/>
  <c r="B2174" i="22"/>
  <c r="C2175" i="22" l="1"/>
  <c r="B2175" i="22"/>
  <c r="C2176" i="22" l="1"/>
  <c r="B2176" i="22"/>
  <c r="C2177" i="22" l="1"/>
  <c r="B2177" i="22"/>
  <c r="C2178" i="22" l="1"/>
  <c r="B2178" i="22"/>
  <c r="C2179" i="22" l="1"/>
  <c r="B2179" i="22"/>
  <c r="C2180" i="22" l="1"/>
  <c r="B2180" i="22"/>
  <c r="C2181" i="22" l="1"/>
  <c r="B2181" i="22"/>
  <c r="C2182" i="22" l="1"/>
  <c r="B2182" i="22"/>
  <c r="C2183" i="22" l="1"/>
  <c r="B2183" i="22"/>
  <c r="C2184" i="22" l="1"/>
  <c r="B2184" i="22"/>
  <c r="C2185" i="22" l="1"/>
  <c r="B2185" i="22"/>
  <c r="C2186" i="22" l="1"/>
  <c r="B2186" i="22"/>
  <c r="C2187" i="22" l="1"/>
  <c r="B2187" i="22"/>
  <c r="C2188" i="22" l="1"/>
  <c r="B2188" i="22"/>
  <c r="C2189" i="22" l="1"/>
  <c r="B2189" i="22"/>
  <c r="C2190" i="22" l="1"/>
  <c r="B2190" i="22"/>
  <c r="C2191" i="22" l="1"/>
  <c r="B2191" i="22"/>
  <c r="C2192" i="22" l="1"/>
  <c r="B2192" i="22"/>
  <c r="C2193" i="22" l="1"/>
  <c r="B2193" i="22"/>
  <c r="C2194" i="22" l="1"/>
  <c r="B2194" i="22"/>
  <c r="C2195" i="22" l="1"/>
  <c r="B2195" i="22"/>
  <c r="C2196" i="22" l="1"/>
  <c r="B2196" i="22"/>
  <c r="C2197" i="22" l="1"/>
  <c r="B2197" i="22"/>
  <c r="C2198" i="22" l="1"/>
  <c r="B2198" i="22"/>
  <c r="C2199" i="22" l="1"/>
  <c r="B2199" i="22"/>
  <c r="C2200" i="22" l="1"/>
  <c r="B2200" i="22"/>
  <c r="C2201" i="22" l="1"/>
  <c r="B2201" i="22"/>
  <c r="C2202" i="22" l="1"/>
  <c r="B2202" i="22"/>
  <c r="C2203" i="22" l="1"/>
  <c r="B2203" i="22"/>
  <c r="C2204" i="22" l="1"/>
  <c r="B2204" i="22"/>
  <c r="C2205" i="22" l="1"/>
  <c r="B2205" i="22"/>
  <c r="C2206" i="22" l="1"/>
  <c r="B2206" i="22"/>
  <c r="C2207" i="22" l="1"/>
  <c r="B2207" i="22"/>
  <c r="C2208" i="22" l="1"/>
  <c r="B2208" i="22"/>
  <c r="C2209" i="22" l="1"/>
  <c r="B2209" i="22"/>
  <c r="C2210" i="22" l="1"/>
  <c r="B2210" i="22"/>
  <c r="C2211" i="22" l="1"/>
  <c r="B2211" i="22"/>
  <c r="C2212" i="22" l="1"/>
  <c r="B2212" i="22"/>
  <c r="C2213" i="22" l="1"/>
  <c r="B2213" i="22"/>
  <c r="C2214" i="22" l="1"/>
  <c r="B2214" i="22"/>
  <c r="C2215" i="22" l="1"/>
  <c r="B2215" i="22"/>
  <c r="C2216" i="22" l="1"/>
  <c r="B2216" i="22"/>
  <c r="C2217" i="22" l="1"/>
  <c r="B2217" i="22"/>
  <c r="C2218" i="22" l="1"/>
  <c r="B2218" i="22"/>
  <c r="C2219" i="22" l="1"/>
  <c r="B2219" i="22"/>
  <c r="C2220" i="22" l="1"/>
  <c r="B2220" i="22"/>
  <c r="C2221" i="22" l="1"/>
  <c r="B2221" i="22"/>
  <c r="C2222" i="22" l="1"/>
  <c r="B2222" i="22"/>
  <c r="C2223" i="22" l="1"/>
  <c r="B2223" i="22"/>
  <c r="C2224" i="22" l="1"/>
  <c r="B2224" i="22"/>
  <c r="C2225" i="22" l="1"/>
  <c r="B2225" i="22"/>
  <c r="C2226" i="22" l="1"/>
  <c r="B2226" i="22"/>
  <c r="C2227" i="22" l="1"/>
  <c r="B2227" i="22"/>
  <c r="C2228" i="22" l="1"/>
  <c r="B2228" i="22"/>
  <c r="C2229" i="22" l="1"/>
  <c r="B2229" i="22"/>
  <c r="C2230" i="22" l="1"/>
  <c r="B2230" i="22"/>
  <c r="C2231" i="22" l="1"/>
  <c r="B2231" i="22"/>
  <c r="C2232" i="22" l="1"/>
  <c r="B2232" i="22"/>
  <c r="C2233" i="22" l="1"/>
  <c r="B2233" i="22"/>
  <c r="C2234" i="22" l="1"/>
  <c r="B2234" i="22"/>
  <c r="C2235" i="22" l="1"/>
  <c r="B2235" i="22"/>
  <c r="C2236" i="22" l="1"/>
  <c r="B2236" i="22"/>
  <c r="C2237" i="22" l="1"/>
  <c r="B2237" i="22"/>
  <c r="C2238" i="22" l="1"/>
  <c r="B2238" i="22"/>
  <c r="C2239" i="22" l="1"/>
  <c r="B2239" i="22"/>
  <c r="C2240" i="22" l="1"/>
  <c r="B2240" i="22"/>
  <c r="C2241" i="22" l="1"/>
  <c r="B2241" i="22"/>
  <c r="C2242" i="22" l="1"/>
  <c r="B2242" i="22"/>
  <c r="C2243" i="22" l="1"/>
  <c r="B2243" i="22"/>
  <c r="C2244" i="22" l="1"/>
  <c r="B2244" i="22"/>
  <c r="V2809" i="28" l="1"/>
  <c r="V2811" i="28"/>
  <c r="U2809" i="28"/>
  <c r="U2811" i="28"/>
  <c r="C2245" i="22"/>
  <c r="B2245" i="22"/>
  <c r="D32" i="27" l="1"/>
  <c r="D34" i="27" s="1"/>
  <c r="D44" i="27" s="1"/>
  <c r="F39" i="24"/>
  <c r="F64" i="24"/>
  <c r="D21" i="27"/>
  <c r="F37" i="24"/>
  <c r="F62" i="24"/>
  <c r="V2810" i="28"/>
  <c r="V2812" i="28" s="1"/>
  <c r="V2813" i="28" s="1"/>
  <c r="C32" i="27"/>
  <c r="C34" i="27" s="1"/>
  <c r="C44" i="27" s="1"/>
  <c r="F31" i="24"/>
  <c r="F56" i="24"/>
  <c r="C21" i="27"/>
  <c r="F29" i="24"/>
  <c r="F54" i="24"/>
  <c r="G2806" i="28"/>
  <c r="M2803" i="28" s="1"/>
  <c r="U2810" i="28"/>
  <c r="U2812" i="28" s="1"/>
  <c r="U2813" i="28" s="1"/>
  <c r="K2806" i="28"/>
  <c r="C2246" i="22"/>
  <c r="B2246" i="22"/>
  <c r="M2802" i="28" l="1"/>
  <c r="F2806" i="28"/>
  <c r="G58" i="18"/>
  <c r="D26" i="27"/>
  <c r="D28" i="27" s="1"/>
  <c r="D43" i="27" s="1"/>
  <c r="F63" i="24"/>
  <c r="F65" i="24" s="1"/>
  <c r="F68" i="24" s="1"/>
  <c r="F38" i="24"/>
  <c r="F40" i="24" s="1"/>
  <c r="F43" i="24" s="1"/>
  <c r="D23" i="27"/>
  <c r="D42" i="27" s="1"/>
  <c r="G65" i="18"/>
  <c r="G86" i="18"/>
  <c r="G78" i="18"/>
  <c r="M2804" i="28"/>
  <c r="M2805" i="28" s="1"/>
  <c r="C26" i="27"/>
  <c r="C28" i="27" s="1"/>
  <c r="C43" i="27" s="1"/>
  <c r="F30" i="24"/>
  <c r="F32" i="24" s="1"/>
  <c r="F42" i="24" s="1"/>
  <c r="F55" i="24"/>
  <c r="F57" i="24" s="1"/>
  <c r="F67" i="24" s="1"/>
  <c r="C23" i="27"/>
  <c r="C42" i="27" s="1"/>
  <c r="K2814" i="28"/>
  <c r="J2806" i="28"/>
  <c r="P2802" i="28"/>
  <c r="P2804" i="28"/>
  <c r="P2803" i="28"/>
  <c r="G2814" i="28"/>
  <c r="C2247" i="22"/>
  <c r="B2247" i="22"/>
  <c r="H2809" i="28" l="1"/>
  <c r="H2810" i="28"/>
  <c r="H2811" i="28"/>
  <c r="H2812" i="28"/>
  <c r="G90" i="18"/>
  <c r="G9" i="18"/>
  <c r="H9" i="18" s="1"/>
  <c r="I9" i="18" s="1"/>
  <c r="G70" i="18"/>
  <c r="E20" i="26"/>
  <c r="G8" i="18"/>
  <c r="H8" i="18" s="1"/>
  <c r="I8" i="18" s="1"/>
  <c r="D20" i="25"/>
  <c r="E15" i="26"/>
  <c r="D15" i="25"/>
  <c r="D46" i="27"/>
  <c r="C46" i="27"/>
  <c r="F21" i="27"/>
  <c r="I21" i="27" s="1"/>
  <c r="I23" i="27" s="1"/>
  <c r="I42" i="27" s="1"/>
  <c r="I46" i="27" s="1"/>
  <c r="F71" i="24"/>
  <c r="E25" i="8" s="1"/>
  <c r="F46" i="24"/>
  <c r="D21" i="25"/>
  <c r="D22" i="25" s="1"/>
  <c r="E52" i="8" s="1"/>
  <c r="E54" i="8" s="1"/>
  <c r="E56" i="8" s="1"/>
  <c r="E16" i="26"/>
  <c r="D16" i="25"/>
  <c r="E21" i="26"/>
  <c r="G21" i="27"/>
  <c r="F74" i="18"/>
  <c r="F77" i="18"/>
  <c r="F75" i="18"/>
  <c r="F76" i="18"/>
  <c r="F85" i="18"/>
  <c r="F82" i="18"/>
  <c r="F83" i="18"/>
  <c r="F84" i="18"/>
  <c r="J2814" i="28"/>
  <c r="P2812" i="28"/>
  <c r="P2809" i="28"/>
  <c r="P2810" i="28"/>
  <c r="F2814" i="28"/>
  <c r="M2812" i="28"/>
  <c r="M2809" i="28"/>
  <c r="M2810" i="28"/>
  <c r="M2811" i="28"/>
  <c r="P2805" i="28"/>
  <c r="P2811" i="28"/>
  <c r="C2248" i="22"/>
  <c r="B2248" i="22"/>
  <c r="I62" i="18" l="1"/>
  <c r="I82" i="18"/>
  <c r="I98" i="18" s="1"/>
  <c r="J9" i="18"/>
  <c r="K9" i="18" s="1"/>
  <c r="L9" i="18" s="1"/>
  <c r="M9" i="18" s="1"/>
  <c r="N9" i="18" s="1"/>
  <c r="O9" i="18" s="1"/>
  <c r="P9" i="18" s="1"/>
  <c r="Q9" i="18" s="1"/>
  <c r="I75" i="18"/>
  <c r="I11" i="18"/>
  <c r="I76" i="18"/>
  <c r="I56" i="18"/>
  <c r="H30" i="24" s="1"/>
  <c r="I74" i="18"/>
  <c r="I55" i="18"/>
  <c r="H29" i="24" s="1"/>
  <c r="J8" i="18"/>
  <c r="K8" i="18" s="1"/>
  <c r="E27" i="8"/>
  <c r="E29" i="8" s="1"/>
  <c r="E22" i="26"/>
  <c r="E79" i="8" s="1"/>
  <c r="E81" i="8" s="1"/>
  <c r="H85" i="18"/>
  <c r="H83" i="18"/>
  <c r="H99" i="18" s="1"/>
  <c r="H62" i="18"/>
  <c r="G62" i="24" s="1"/>
  <c r="H63" i="18"/>
  <c r="G63" i="24" s="1"/>
  <c r="H84" i="18"/>
  <c r="H100" i="18" s="1"/>
  <c r="G14" i="18"/>
  <c r="G17" i="18"/>
  <c r="G11" i="18"/>
  <c r="H82" i="18"/>
  <c r="H98" i="18" s="1"/>
  <c r="H64" i="18"/>
  <c r="G64" i="24" s="1"/>
  <c r="F74" i="24"/>
  <c r="I64" i="18"/>
  <c r="I85" i="18"/>
  <c r="I63" i="18"/>
  <c r="H38" i="24" s="1"/>
  <c r="I83" i="18"/>
  <c r="I99" i="18" s="1"/>
  <c r="I84" i="18"/>
  <c r="I100" i="18" s="1"/>
  <c r="E17" i="26"/>
  <c r="C48" i="27"/>
  <c r="C50" i="27" s="1"/>
  <c r="D17" i="25"/>
  <c r="F23" i="27"/>
  <c r="F42" i="27" s="1"/>
  <c r="F46" i="27" s="1"/>
  <c r="E8" i="19"/>
  <c r="E47" i="19"/>
  <c r="E49" i="19" s="1"/>
  <c r="J21" i="27"/>
  <c r="J23" i="27" s="1"/>
  <c r="J42" i="27" s="1"/>
  <c r="G23" i="27"/>
  <c r="G42" i="27" s="1"/>
  <c r="M2813" i="28"/>
  <c r="P2813" i="28"/>
  <c r="C2249" i="22"/>
  <c r="B2249" i="22"/>
  <c r="E86" i="19" l="1"/>
  <c r="L8" i="18"/>
  <c r="K55" i="18"/>
  <c r="E83" i="8"/>
  <c r="E106" i="8"/>
  <c r="E108" i="8" s="1"/>
  <c r="E88" i="19"/>
  <c r="E123" i="19"/>
  <c r="E125" i="19" s="1"/>
  <c r="F39" i="26"/>
  <c r="AA1" i="34" s="1"/>
  <c r="I101" i="18"/>
  <c r="H101" i="18"/>
  <c r="H86" i="18"/>
  <c r="H15" i="18"/>
  <c r="G37" i="24"/>
  <c r="H77" i="18"/>
  <c r="H96" i="18" s="1"/>
  <c r="H74" i="18"/>
  <c r="H93" i="18" s="1"/>
  <c r="H55" i="18"/>
  <c r="H11" i="18"/>
  <c r="H12" i="18" s="1"/>
  <c r="H75" i="18"/>
  <c r="H94" i="18" s="1"/>
  <c r="H76" i="18"/>
  <c r="H95" i="18" s="1"/>
  <c r="G38" i="24"/>
  <c r="H56" i="18"/>
  <c r="G55" i="24" s="1"/>
  <c r="H57" i="18"/>
  <c r="G56" i="24" s="1"/>
  <c r="I94" i="18"/>
  <c r="H65" i="18"/>
  <c r="H66" i="18" s="1"/>
  <c r="G39" i="24"/>
  <c r="H63" i="24"/>
  <c r="G65" i="24"/>
  <c r="G68" i="24" s="1"/>
  <c r="I65" i="18"/>
  <c r="H62" i="24"/>
  <c r="H37" i="24"/>
  <c r="J85" i="18"/>
  <c r="J63" i="18"/>
  <c r="I63" i="24" s="1"/>
  <c r="J84" i="18"/>
  <c r="J100" i="18" s="1"/>
  <c r="J62" i="18"/>
  <c r="I37" i="24" s="1"/>
  <c r="J82" i="18"/>
  <c r="J98" i="18" s="1"/>
  <c r="J64" i="18"/>
  <c r="J83" i="18"/>
  <c r="J99" i="18" s="1"/>
  <c r="I86" i="18"/>
  <c r="H64" i="24"/>
  <c r="H39" i="24"/>
  <c r="E10" i="19"/>
  <c r="C51" i="27"/>
  <c r="G46" i="27"/>
  <c r="F48" i="27" s="1"/>
  <c r="J46" i="27"/>
  <c r="I48" i="27" s="1"/>
  <c r="C2250" i="22"/>
  <c r="B2250" i="22"/>
  <c r="F16" i="25" l="1"/>
  <c r="F21" i="25"/>
  <c r="F16" i="26"/>
  <c r="G54" i="24"/>
  <c r="G57" i="24" s="1"/>
  <c r="G67" i="24" s="1"/>
  <c r="G71" i="24" s="1"/>
  <c r="G29" i="24"/>
  <c r="M8" i="18"/>
  <c r="N8" i="18" s="1"/>
  <c r="O8" i="18" s="1"/>
  <c r="P8" i="18" s="1"/>
  <c r="Q8" i="18" s="1"/>
  <c r="L74" i="18"/>
  <c r="E2279" i="22"/>
  <c r="F2279" i="22" s="1"/>
  <c r="I2279" i="22"/>
  <c r="J2279" i="22" s="1"/>
  <c r="I2276" i="22"/>
  <c r="E2276" i="22"/>
  <c r="I2273" i="22"/>
  <c r="J2273" i="22" s="1"/>
  <c r="E2271" i="22"/>
  <c r="I2271" i="22"/>
  <c r="E2273" i="22"/>
  <c r="F2273" i="22" s="1"/>
  <c r="AA10" i="34"/>
  <c r="AC10" i="34" s="1"/>
  <c r="AA6" i="34"/>
  <c r="AC6" i="34" s="1"/>
  <c r="AA9" i="34"/>
  <c r="AC9" i="34" s="1"/>
  <c r="AA5" i="34"/>
  <c r="AC5" i="34" s="1"/>
  <c r="AA8" i="34"/>
  <c r="AC8" i="34" s="1"/>
  <c r="AA4" i="34"/>
  <c r="AC4" i="34" s="1"/>
  <c r="AA11" i="34"/>
  <c r="AC11" i="34" s="1"/>
  <c r="AA7" i="34"/>
  <c r="AC7" i="34" s="1"/>
  <c r="J101" i="18"/>
  <c r="G40" i="24"/>
  <c r="G43" i="24" s="1"/>
  <c r="I57" i="18"/>
  <c r="I12" i="18"/>
  <c r="H103" i="18"/>
  <c r="G31" i="24"/>
  <c r="E16" i="25"/>
  <c r="H58" i="18"/>
  <c r="G30" i="24"/>
  <c r="I95" i="18"/>
  <c r="I93" i="18"/>
  <c r="I15" i="18"/>
  <c r="H78" i="18"/>
  <c r="I77" i="18"/>
  <c r="I96" i="18" s="1"/>
  <c r="F21" i="26"/>
  <c r="E21" i="25"/>
  <c r="H40" i="24"/>
  <c r="H43" i="24" s="1"/>
  <c r="I66" i="18"/>
  <c r="G21" i="26"/>
  <c r="G16" i="26"/>
  <c r="I38" i="24"/>
  <c r="H65" i="24"/>
  <c r="H68" i="24" s="1"/>
  <c r="I62" i="24"/>
  <c r="J65" i="18"/>
  <c r="J86" i="18"/>
  <c r="I64" i="24"/>
  <c r="I39" i="24"/>
  <c r="K84" i="18"/>
  <c r="K100" i="18" s="1"/>
  <c r="K62" i="18"/>
  <c r="K63" i="18"/>
  <c r="J38" i="24" s="1"/>
  <c r="K82" i="18"/>
  <c r="K98" i="18" s="1"/>
  <c r="K83" i="18"/>
  <c r="K99" i="18" s="1"/>
  <c r="K85" i="18"/>
  <c r="K64" i="18"/>
  <c r="J39" i="24" s="1"/>
  <c r="I51" i="27"/>
  <c r="I50" i="27"/>
  <c r="F50" i="27"/>
  <c r="F51" i="27"/>
  <c r="K2258" i="22"/>
  <c r="F64" i="18" s="1"/>
  <c r="K2266" i="22"/>
  <c r="K2263" i="22"/>
  <c r="K2256" i="22"/>
  <c r="F62" i="18" s="1"/>
  <c r="G2266" i="22"/>
  <c r="G2258" i="22"/>
  <c r="F57" i="18" s="1"/>
  <c r="G2256" i="22"/>
  <c r="F55" i="18" s="1"/>
  <c r="G2263" i="22"/>
  <c r="H56" i="24" l="1"/>
  <c r="H31" i="24"/>
  <c r="H16" i="26"/>
  <c r="H21" i="26"/>
  <c r="G21" i="25"/>
  <c r="E20" i="25"/>
  <c r="E22" i="25" s="1"/>
  <c r="E15" i="25"/>
  <c r="E17" i="25" s="1"/>
  <c r="F25" i="8"/>
  <c r="F2276" i="22"/>
  <c r="E2277" i="22"/>
  <c r="J2271" i="22"/>
  <c r="I2272" i="22"/>
  <c r="J2272" i="22" s="1"/>
  <c r="J2276" i="22"/>
  <c r="I2277" i="22"/>
  <c r="E2272" i="22"/>
  <c r="F2272" i="22" s="1"/>
  <c r="F2271" i="22"/>
  <c r="H90" i="18"/>
  <c r="H91" i="18" s="1"/>
  <c r="K101" i="18"/>
  <c r="J74" i="18"/>
  <c r="J93" i="18" s="1"/>
  <c r="F15" i="26"/>
  <c r="F17" i="26" s="1"/>
  <c r="G32" i="24"/>
  <c r="G42" i="24" s="1"/>
  <c r="G46" i="24" s="1"/>
  <c r="G47" i="24" s="1"/>
  <c r="K11" i="18"/>
  <c r="J76" i="18"/>
  <c r="J95" i="18" s="1"/>
  <c r="J75" i="18"/>
  <c r="J94" i="18" s="1"/>
  <c r="J11" i="18"/>
  <c r="J12" i="18" s="1"/>
  <c r="J56" i="18"/>
  <c r="J77" i="18"/>
  <c r="J96" i="18" s="1"/>
  <c r="H54" i="24"/>
  <c r="J57" i="18"/>
  <c r="I31" i="24" s="1"/>
  <c r="J55" i="18"/>
  <c r="I29" i="24" s="1"/>
  <c r="I58" i="18"/>
  <c r="F20" i="26"/>
  <c r="F22" i="26" s="1"/>
  <c r="H55" i="24"/>
  <c r="H70" i="18"/>
  <c r="J15" i="18"/>
  <c r="H59" i="18"/>
  <c r="F369" i="1" s="1"/>
  <c r="I103" i="18"/>
  <c r="I78" i="18"/>
  <c r="I90" i="18" s="1"/>
  <c r="G72" i="24"/>
  <c r="K15" i="18"/>
  <c r="J63" i="24"/>
  <c r="I40" i="24"/>
  <c r="I43" i="24" s="1"/>
  <c r="I65" i="24"/>
  <c r="I68" i="24" s="1"/>
  <c r="G74" i="24"/>
  <c r="F8" i="19"/>
  <c r="K56" i="18"/>
  <c r="J30" i="24" s="1"/>
  <c r="J66" i="18"/>
  <c r="G16" i="25"/>
  <c r="K86" i="18"/>
  <c r="J37" i="24"/>
  <c r="J62" i="24"/>
  <c r="K65" i="18"/>
  <c r="J64" i="24"/>
  <c r="L83" i="18"/>
  <c r="L99" i="18" s="1"/>
  <c r="L62" i="18"/>
  <c r="L85" i="18"/>
  <c r="L82" i="18"/>
  <c r="L98" i="18" s="1"/>
  <c r="L84" i="18"/>
  <c r="L100" i="18" s="1"/>
  <c r="L63" i="18"/>
  <c r="K38" i="24" s="1"/>
  <c r="L64" i="18"/>
  <c r="T2256" i="22"/>
  <c r="S2256" i="22"/>
  <c r="S2258" i="22"/>
  <c r="T2258" i="22"/>
  <c r="G2264" i="22"/>
  <c r="K2257" i="22"/>
  <c r="F63" i="18" s="1"/>
  <c r="G2257" i="22"/>
  <c r="F56" i="18" s="1"/>
  <c r="K2264" i="22"/>
  <c r="I70" i="18" l="1"/>
  <c r="D40" i="16" s="1"/>
  <c r="G15" i="26"/>
  <c r="F15" i="25"/>
  <c r="F17" i="25" s="1"/>
  <c r="F20" i="25"/>
  <c r="F22" i="25" s="1"/>
  <c r="F23" i="25" s="1"/>
  <c r="I16" i="26"/>
  <c r="H16" i="25"/>
  <c r="I21" i="26"/>
  <c r="H21" i="25"/>
  <c r="I55" i="24"/>
  <c r="I30" i="24"/>
  <c r="I32" i="24" s="1"/>
  <c r="I42" i="24" s="1"/>
  <c r="I46" i="24" s="1"/>
  <c r="F10" i="19"/>
  <c r="D8" i="36" s="1"/>
  <c r="C55" i="16"/>
  <c r="H71" i="18"/>
  <c r="C40" i="16"/>
  <c r="I91" i="18"/>
  <c r="F38" i="26"/>
  <c r="F52" i="8"/>
  <c r="J2277" i="22"/>
  <c r="I2278" i="22"/>
  <c r="J2278" i="22" s="1"/>
  <c r="F2277" i="22"/>
  <c r="G2277" i="22" s="1"/>
  <c r="E2278" i="22"/>
  <c r="F2278" i="22" s="1"/>
  <c r="G95" i="24"/>
  <c r="F23" i="26"/>
  <c r="F79" i="8"/>
  <c r="L101" i="18"/>
  <c r="I54" i="24"/>
  <c r="H32" i="24"/>
  <c r="I56" i="24"/>
  <c r="K57" i="18"/>
  <c r="J56" i="24" s="1"/>
  <c r="K75" i="18"/>
  <c r="K94" i="18" s="1"/>
  <c r="K76" i="18"/>
  <c r="K95" i="18" s="1"/>
  <c r="K74" i="18"/>
  <c r="K93" i="18" s="1"/>
  <c r="K77" i="18"/>
  <c r="K96" i="18" s="1"/>
  <c r="H57" i="24"/>
  <c r="H67" i="24" s="1"/>
  <c r="H71" i="24" s="1"/>
  <c r="J103" i="18"/>
  <c r="G17" i="26"/>
  <c r="F86" i="19"/>
  <c r="C85" i="16" s="1"/>
  <c r="J78" i="18"/>
  <c r="J58" i="18"/>
  <c r="I59" i="18"/>
  <c r="G369" i="1" s="1"/>
  <c r="T369" i="1" s="1"/>
  <c r="T147" i="1" s="1"/>
  <c r="T166" i="1" s="1"/>
  <c r="T234" i="1" s="1"/>
  <c r="T235" i="1" s="1"/>
  <c r="G20" i="26"/>
  <c r="G22" i="26" s="1"/>
  <c r="G79" i="8" s="1"/>
  <c r="K12" i="18"/>
  <c r="I71" i="18"/>
  <c r="E23" i="25"/>
  <c r="F47" i="19"/>
  <c r="K63" i="24"/>
  <c r="J65" i="24"/>
  <c r="J68" i="24" s="1"/>
  <c r="L65" i="18"/>
  <c r="J40" i="24"/>
  <c r="J43" i="24" s="1"/>
  <c r="G79" i="24"/>
  <c r="F43" i="36" s="1"/>
  <c r="L86" i="18"/>
  <c r="M82" i="18"/>
  <c r="M98" i="18" s="1"/>
  <c r="M64" i="18"/>
  <c r="M83" i="18"/>
  <c r="M99" i="18" s="1"/>
  <c r="M84" i="18"/>
  <c r="M100" i="18" s="1"/>
  <c r="M62" i="18"/>
  <c r="M85" i="18"/>
  <c r="M63" i="18"/>
  <c r="L63" i="24" s="1"/>
  <c r="K66" i="18"/>
  <c r="J29" i="24"/>
  <c r="J54" i="24"/>
  <c r="K39" i="24"/>
  <c r="K64" i="24"/>
  <c r="J55" i="24"/>
  <c r="K62" i="24"/>
  <c r="K37" i="24"/>
  <c r="T2257" i="22"/>
  <c r="T2259" i="22" s="1"/>
  <c r="T2260" i="22" s="1"/>
  <c r="E31" i="24"/>
  <c r="E56" i="24"/>
  <c r="C32" i="23"/>
  <c r="C34" i="23" s="1"/>
  <c r="C44" i="23" s="1"/>
  <c r="E64" i="24"/>
  <c r="D32" i="23"/>
  <c r="D34" i="23" s="1"/>
  <c r="D44" i="23" s="1"/>
  <c r="E39" i="24"/>
  <c r="E54" i="24"/>
  <c r="E29" i="24"/>
  <c r="C21" i="23"/>
  <c r="C23" i="23" s="1"/>
  <c r="C42" i="23" s="1"/>
  <c r="S2257" i="22"/>
  <c r="S2259" i="22" s="1"/>
  <c r="S2260" i="22" s="1"/>
  <c r="E37" i="24"/>
  <c r="E62" i="24"/>
  <c r="F65" i="18"/>
  <c r="D21" i="23"/>
  <c r="D23" i="23" s="1"/>
  <c r="D42" i="23" s="1"/>
  <c r="K2260" i="22"/>
  <c r="N2257" i="22" s="1"/>
  <c r="K2265" i="22"/>
  <c r="G2265" i="22"/>
  <c r="G2260" i="22"/>
  <c r="F29" i="37" l="1"/>
  <c r="B4" i="39"/>
  <c r="F166" i="37"/>
  <c r="F575" i="37" s="1"/>
  <c r="E678" i="37" s="1"/>
  <c r="F678" i="37" s="1"/>
  <c r="F167" i="37"/>
  <c r="F576" i="37" s="1"/>
  <c r="E679" i="37" s="1"/>
  <c r="F164" i="37"/>
  <c r="F573" i="37" s="1"/>
  <c r="E676" i="37" s="1"/>
  <c r="F676" i="37" s="1"/>
  <c r="F165" i="37"/>
  <c r="F574" i="37" s="1"/>
  <c r="E677" i="37" s="1"/>
  <c r="F677" i="37" s="1"/>
  <c r="F168" i="37"/>
  <c r="F577" i="37" s="1"/>
  <c r="E680" i="37" s="1"/>
  <c r="F680" i="37" s="1"/>
  <c r="F170" i="37"/>
  <c r="F579" i="37" s="1"/>
  <c r="E682" i="37" s="1"/>
  <c r="F682" i="37" s="1"/>
  <c r="F169" i="37"/>
  <c r="F578" i="37" s="1"/>
  <c r="E681" i="37" s="1"/>
  <c r="F681" i="37" s="1"/>
  <c r="F45" i="26"/>
  <c r="F42" i="26"/>
  <c r="F43" i="26"/>
  <c r="F41" i="26"/>
  <c r="F47" i="26"/>
  <c r="F44" i="26"/>
  <c r="F46" i="26"/>
  <c r="G15" i="25"/>
  <c r="G17" i="25" s="1"/>
  <c r="H15" i="26"/>
  <c r="H17" i="26" s="1"/>
  <c r="H20" i="26"/>
  <c r="H22" i="26" s="1"/>
  <c r="H38" i="26" s="1"/>
  <c r="G20" i="25"/>
  <c r="G22" i="25" s="1"/>
  <c r="H42" i="24"/>
  <c r="H46" i="24" s="1"/>
  <c r="H47" i="24" s="1"/>
  <c r="J70" i="18"/>
  <c r="J71" i="18" s="1"/>
  <c r="J90" i="18"/>
  <c r="J91" i="18" s="1"/>
  <c r="F49" i="19"/>
  <c r="D18" i="36" s="1"/>
  <c r="C70" i="16"/>
  <c r="F88" i="19"/>
  <c r="D27" i="36" s="1"/>
  <c r="F123" i="19"/>
  <c r="F106" i="8"/>
  <c r="G38" i="26"/>
  <c r="G52" i="8"/>
  <c r="I57" i="24"/>
  <c r="I67" i="24" s="1"/>
  <c r="I71" i="24" s="1"/>
  <c r="H72" i="24"/>
  <c r="G25" i="8"/>
  <c r="M101" i="18"/>
  <c r="K78" i="18"/>
  <c r="K58" i="18"/>
  <c r="K103" i="18"/>
  <c r="L15" i="18"/>
  <c r="L56" i="18"/>
  <c r="K55" i="24" s="1"/>
  <c r="J31" i="24"/>
  <c r="J32" i="24" s="1"/>
  <c r="J42" i="24" s="1"/>
  <c r="J46" i="24" s="1"/>
  <c r="J47" i="24" s="1"/>
  <c r="L93" i="18"/>
  <c r="L11" i="18"/>
  <c r="L12" i="18" s="1"/>
  <c r="L77" i="18"/>
  <c r="L96" i="18" s="1"/>
  <c r="L75" i="18"/>
  <c r="L94" i="18" s="1"/>
  <c r="L55" i="18"/>
  <c r="L57" i="18"/>
  <c r="K31" i="24" s="1"/>
  <c r="L76" i="18"/>
  <c r="L95" i="18" s="1"/>
  <c r="G86" i="19"/>
  <c r="D85" i="16" s="1"/>
  <c r="G8" i="19"/>
  <c r="D55" i="16" s="1"/>
  <c r="H74" i="24"/>
  <c r="G23" i="26"/>
  <c r="T255" i="1"/>
  <c r="T274" i="1" s="1"/>
  <c r="T347" i="1" s="1"/>
  <c r="T388" i="1"/>
  <c r="T389" i="1" s="1"/>
  <c r="J59" i="18"/>
  <c r="H369" i="1" s="1"/>
  <c r="U369" i="1" s="1"/>
  <c r="U388" i="1" s="1"/>
  <c r="G47" i="19"/>
  <c r="D70" i="16" s="1"/>
  <c r="T24" i="1"/>
  <c r="T43" i="1" s="1"/>
  <c r="T126" i="1" s="1"/>
  <c r="T127" i="1" s="1"/>
  <c r="J21" i="26"/>
  <c r="F9" i="18"/>
  <c r="M11" i="18"/>
  <c r="I21" i="25"/>
  <c r="L66" i="18"/>
  <c r="L38" i="24"/>
  <c r="J16" i="26"/>
  <c r="I16" i="25"/>
  <c r="K40" i="24"/>
  <c r="K43" i="24" s="1"/>
  <c r="M65" i="18"/>
  <c r="K65" i="24"/>
  <c r="K68" i="24" s="1"/>
  <c r="M86" i="18"/>
  <c r="F27" i="31"/>
  <c r="G104" i="24"/>
  <c r="F35" i="31"/>
  <c r="F29" i="31"/>
  <c r="G89" i="24"/>
  <c r="G80" i="24"/>
  <c r="F44" i="36" s="1"/>
  <c r="G87" i="24"/>
  <c r="G97" i="24"/>
  <c r="G88" i="24"/>
  <c r="G86" i="24"/>
  <c r="G81" i="24"/>
  <c r="F45" i="36" s="1"/>
  <c r="L62" i="24"/>
  <c r="L37" i="24"/>
  <c r="N85" i="18"/>
  <c r="N63" i="18"/>
  <c r="M38" i="24" s="1"/>
  <c r="N64" i="18"/>
  <c r="N83" i="18"/>
  <c r="N99" i="18" s="1"/>
  <c r="N82" i="18"/>
  <c r="N98" i="18" s="1"/>
  <c r="N84" i="18"/>
  <c r="N100" i="18" s="1"/>
  <c r="N62" i="18"/>
  <c r="M74" i="18"/>
  <c r="M75" i="18"/>
  <c r="M94" i="18" s="1"/>
  <c r="M55" i="18"/>
  <c r="M76" i="18"/>
  <c r="M95" i="18" s="1"/>
  <c r="M56" i="18"/>
  <c r="M77" i="18"/>
  <c r="M96" i="18" s="1"/>
  <c r="M57" i="18"/>
  <c r="J57" i="24"/>
  <c r="J67" i="24" s="1"/>
  <c r="J71" i="24" s="1"/>
  <c r="L64" i="24"/>
  <c r="L39" i="24"/>
  <c r="E30" i="24"/>
  <c r="E32" i="24" s="1"/>
  <c r="E42" i="24" s="1"/>
  <c r="C26" i="23"/>
  <c r="C28" i="23" s="1"/>
  <c r="C43" i="23" s="1"/>
  <c r="C46" i="23" s="1"/>
  <c r="E55" i="24"/>
  <c r="E57" i="24" s="1"/>
  <c r="E67" i="24" s="1"/>
  <c r="F58" i="18"/>
  <c r="F8" i="18" s="1"/>
  <c r="G66" i="18"/>
  <c r="C16" i="25"/>
  <c r="D21" i="26"/>
  <c r="G21" i="23"/>
  <c r="D16" i="26"/>
  <c r="C21" i="25"/>
  <c r="E63" i="24"/>
  <c r="E65" i="24" s="1"/>
  <c r="E68" i="24" s="1"/>
  <c r="D26" i="23"/>
  <c r="D28" i="23" s="1"/>
  <c r="D43" i="23" s="1"/>
  <c r="D46" i="23" s="1"/>
  <c r="E38" i="24"/>
  <c r="E40" i="24" s="1"/>
  <c r="E43" i="24" s="1"/>
  <c r="F2260" i="22"/>
  <c r="M2256" i="22"/>
  <c r="M2258" i="22"/>
  <c r="M2257" i="22"/>
  <c r="J2260" i="22"/>
  <c r="N2256" i="22"/>
  <c r="N2258" i="22"/>
  <c r="K2268" i="22"/>
  <c r="N2265" i="22" s="1"/>
  <c r="G2268" i="22"/>
  <c r="I25" i="8" l="1"/>
  <c r="H25" i="8"/>
  <c r="S676" i="37"/>
  <c r="F679" i="37"/>
  <c r="F38" i="37"/>
  <c r="B12" i="39"/>
  <c r="F37" i="37"/>
  <c r="B11" i="39"/>
  <c r="F30" i="37"/>
  <c r="F173" i="37" s="1"/>
  <c r="F582" i="37" s="1"/>
  <c r="E685" i="37" s="1"/>
  <c r="F685" i="37" s="1"/>
  <c r="B5" i="39"/>
  <c r="F31" i="37"/>
  <c r="B6" i="39"/>
  <c r="F39" i="37"/>
  <c r="B13" i="39"/>
  <c r="F40" i="37"/>
  <c r="B14" i="39"/>
  <c r="E40" i="16"/>
  <c r="F174" i="37"/>
  <c r="F583" i="37" s="1"/>
  <c r="E686" i="37" s="1"/>
  <c r="F172" i="37"/>
  <c r="F581" i="37" s="1"/>
  <c r="E684" i="37" s="1"/>
  <c r="F684" i="37" s="1"/>
  <c r="K70" i="18"/>
  <c r="K71" i="18" s="1"/>
  <c r="H15" i="25"/>
  <c r="I20" i="26"/>
  <c r="I22" i="26" s="1"/>
  <c r="I79" i="8" s="1"/>
  <c r="H20" i="25"/>
  <c r="H22" i="25" s="1"/>
  <c r="I47" i="24"/>
  <c r="K90" i="18"/>
  <c r="K91" i="18" s="1"/>
  <c r="N2259" i="22"/>
  <c r="G49" i="19"/>
  <c r="E18" i="36" s="1"/>
  <c r="G10" i="19"/>
  <c r="E8" i="36" s="1"/>
  <c r="F125" i="19"/>
  <c r="C140" i="16"/>
  <c r="G88" i="19"/>
  <c r="E27" i="36" s="1"/>
  <c r="G123" i="19"/>
  <c r="G106" i="8"/>
  <c r="G114" i="8" s="1"/>
  <c r="H79" i="8"/>
  <c r="H17" i="25"/>
  <c r="K59" i="18"/>
  <c r="I369" i="1" s="1"/>
  <c r="V369" i="1" s="1"/>
  <c r="V24" i="1" s="1"/>
  <c r="V43" i="1" s="1"/>
  <c r="V126" i="1" s="1"/>
  <c r="I15" i="26"/>
  <c r="I17" i="26" s="1"/>
  <c r="L58" i="18"/>
  <c r="G23" i="25"/>
  <c r="H52" i="8"/>
  <c r="H8" i="19"/>
  <c r="E55" i="16" s="1"/>
  <c r="I72" i="24"/>
  <c r="I74" i="24"/>
  <c r="I78" i="24" s="1"/>
  <c r="D3" i="39" s="1"/>
  <c r="L103" i="18"/>
  <c r="H79" i="24"/>
  <c r="C4" i="39" s="1"/>
  <c r="H85" i="24"/>
  <c r="H78" i="24"/>
  <c r="C3" i="39" s="1"/>
  <c r="N101" i="18"/>
  <c r="K30" i="24"/>
  <c r="M15" i="18"/>
  <c r="K29" i="24"/>
  <c r="K54" i="24"/>
  <c r="L78" i="18"/>
  <c r="K56" i="24"/>
  <c r="M12" i="18"/>
  <c r="T446" i="1"/>
  <c r="H47" i="19"/>
  <c r="E70" i="16" s="1"/>
  <c r="U389" i="1"/>
  <c r="U24" i="1"/>
  <c r="H23" i="26"/>
  <c r="H86" i="19"/>
  <c r="E85" i="16" s="1"/>
  <c r="U147" i="1"/>
  <c r="U255" i="1"/>
  <c r="T439" i="1"/>
  <c r="F70" i="18"/>
  <c r="G71" i="18" s="1"/>
  <c r="J21" i="25"/>
  <c r="J72" i="24"/>
  <c r="F14" i="18"/>
  <c r="F17" i="18"/>
  <c r="F11" i="18"/>
  <c r="N11" i="18"/>
  <c r="N12" i="18" s="1"/>
  <c r="N15" i="18"/>
  <c r="M66" i="18"/>
  <c r="J16" i="25"/>
  <c r="K21" i="26"/>
  <c r="K16" i="26"/>
  <c r="F37" i="31"/>
  <c r="F39" i="31"/>
  <c r="F40" i="31"/>
  <c r="F38" i="31"/>
  <c r="L40" i="24"/>
  <c r="L43" i="24" s="1"/>
  <c r="G115" i="24"/>
  <c r="G98" i="24"/>
  <c r="F30" i="31"/>
  <c r="F69" i="31" s="1"/>
  <c r="G99" i="24"/>
  <c r="F31" i="31"/>
  <c r="L65" i="24"/>
  <c r="L68" i="24" s="1"/>
  <c r="M58" i="18"/>
  <c r="M70" i="18" s="1"/>
  <c r="O40" i="16" s="1"/>
  <c r="L29" i="24"/>
  <c r="L54" i="24"/>
  <c r="I8" i="19"/>
  <c r="F55" i="16" s="1"/>
  <c r="J74" i="24"/>
  <c r="L55" i="24"/>
  <c r="L30" i="24"/>
  <c r="N77" i="18"/>
  <c r="N96" i="18" s="1"/>
  <c r="N74" i="18"/>
  <c r="N55" i="18"/>
  <c r="N75" i="18"/>
  <c r="N94" i="18" s="1"/>
  <c r="N56" i="18"/>
  <c r="N76" i="18"/>
  <c r="N95" i="18" s="1"/>
  <c r="N57" i="18"/>
  <c r="O84" i="18"/>
  <c r="O100" i="18" s="1"/>
  <c r="O62" i="18"/>
  <c r="O85" i="18"/>
  <c r="O63" i="18"/>
  <c r="N38" i="24" s="1"/>
  <c r="O82" i="18"/>
  <c r="O98" i="18" s="1"/>
  <c r="O64" i="18"/>
  <c r="O83" i="18"/>
  <c r="O99" i="18" s="1"/>
  <c r="L31" i="24"/>
  <c r="L56" i="24"/>
  <c r="N86" i="18"/>
  <c r="M63" i="24"/>
  <c r="M93" i="18"/>
  <c r="M103" i="18" s="1"/>
  <c r="M78" i="18"/>
  <c r="M90" i="18" s="1"/>
  <c r="M62" i="24"/>
  <c r="N65" i="18"/>
  <c r="M37" i="24"/>
  <c r="M64" i="24"/>
  <c r="M39" i="24"/>
  <c r="E46" i="24"/>
  <c r="E71" i="24"/>
  <c r="E74" i="24" s="1"/>
  <c r="G23" i="23"/>
  <c r="G42" i="23" s="1"/>
  <c r="G46" i="23" s="1"/>
  <c r="J21" i="23"/>
  <c r="J23" i="23" s="1"/>
  <c r="J42" i="23" s="1"/>
  <c r="J46" i="23" s="1"/>
  <c r="C20" i="25"/>
  <c r="C22" i="25" s="1"/>
  <c r="D23" i="25" s="1"/>
  <c r="C15" i="25"/>
  <c r="C17" i="25" s="1"/>
  <c r="F21" i="23"/>
  <c r="D20" i="26"/>
  <c r="D22" i="26" s="1"/>
  <c r="E23" i="26" s="1"/>
  <c r="D15" i="26"/>
  <c r="D17" i="26" s="1"/>
  <c r="G59" i="18"/>
  <c r="C48" i="23"/>
  <c r="M2259" i="22"/>
  <c r="F2268" i="22"/>
  <c r="M2263" i="22"/>
  <c r="M2266" i="22"/>
  <c r="M2264" i="22"/>
  <c r="J2268" i="22"/>
  <c r="N2266" i="22"/>
  <c r="N2263" i="22"/>
  <c r="N2264" i="22"/>
  <c r="M2265" i="22"/>
  <c r="F171" i="37" l="1"/>
  <c r="F580" i="37" s="1"/>
  <c r="E683" i="37" s="1"/>
  <c r="F686" i="37"/>
  <c r="M71" i="36"/>
  <c r="F175" i="37"/>
  <c r="F584" i="37" s="1"/>
  <c r="E687" i="37" s="1"/>
  <c r="F180" i="37"/>
  <c r="F589" i="37" s="1"/>
  <c r="E692" i="37" s="1"/>
  <c r="F692" i="37" s="1"/>
  <c r="F185" i="37"/>
  <c r="F594" i="37" s="1"/>
  <c r="E697" i="37" s="1"/>
  <c r="F697" i="37" s="1"/>
  <c r="F182" i="37"/>
  <c r="F591" i="37" s="1"/>
  <c r="E694" i="37" s="1"/>
  <c r="F694" i="37" s="1"/>
  <c r="F181" i="37"/>
  <c r="F590" i="37" s="1"/>
  <c r="E693" i="37" s="1"/>
  <c r="F178" i="37"/>
  <c r="F587" i="37" s="1"/>
  <c r="E690" i="37" s="1"/>
  <c r="F690" i="37" s="1"/>
  <c r="F184" i="37"/>
  <c r="F593" i="37" s="1"/>
  <c r="E696" i="37" s="1"/>
  <c r="F696" i="37" s="1"/>
  <c r="F176" i="37"/>
  <c r="F585" i="37" s="1"/>
  <c r="E688" i="37" s="1"/>
  <c r="F177" i="37"/>
  <c r="F586" i="37" s="1"/>
  <c r="E689" i="37" s="1"/>
  <c r="F689" i="37" s="1"/>
  <c r="F179" i="37"/>
  <c r="F588" i="37" s="1"/>
  <c r="E691" i="37" s="1"/>
  <c r="F691" i="37" s="1"/>
  <c r="F183" i="37"/>
  <c r="F592" i="37" s="1"/>
  <c r="E695" i="37" s="1"/>
  <c r="G35" i="37"/>
  <c r="C10" i="39"/>
  <c r="F40" i="16"/>
  <c r="H95" i="24"/>
  <c r="G27" i="37"/>
  <c r="I95" i="24"/>
  <c r="H27" i="37"/>
  <c r="H80" i="24"/>
  <c r="G29" i="37"/>
  <c r="F71" i="31"/>
  <c r="F70" i="31"/>
  <c r="C97" i="16" s="1"/>
  <c r="C100" i="16" s="1"/>
  <c r="C101" i="16" s="1"/>
  <c r="C102" i="16" s="1"/>
  <c r="F99" i="31"/>
  <c r="L70" i="18"/>
  <c r="G40" i="16" s="1"/>
  <c r="I15" i="25"/>
  <c r="I17" i="25" s="1"/>
  <c r="I20" i="25"/>
  <c r="I22" i="25" s="1"/>
  <c r="U166" i="1"/>
  <c r="U234" i="1" s="1"/>
  <c r="U235" i="1" s="1"/>
  <c r="H106" i="8"/>
  <c r="H114" i="8" s="1"/>
  <c r="U274" i="1"/>
  <c r="U347" i="1" s="1"/>
  <c r="U43" i="1"/>
  <c r="L90" i="18"/>
  <c r="L91" i="18" s="1"/>
  <c r="H49" i="19"/>
  <c r="F18" i="36" s="1"/>
  <c r="H10" i="19"/>
  <c r="F8" i="36" s="1"/>
  <c r="G125" i="19"/>
  <c r="D140" i="16"/>
  <c r="L71" i="18"/>
  <c r="H88" i="19"/>
  <c r="F27" i="36" s="1"/>
  <c r="H123" i="19"/>
  <c r="I38" i="26"/>
  <c r="I86" i="19"/>
  <c r="F85" i="16" s="1"/>
  <c r="I23" i="26"/>
  <c r="J15" i="26"/>
  <c r="J17" i="26" s="1"/>
  <c r="L59" i="18"/>
  <c r="J369" i="1" s="1"/>
  <c r="W369" i="1" s="1"/>
  <c r="W147" i="1" s="1"/>
  <c r="W166" i="1" s="1"/>
  <c r="W234" i="1" s="1"/>
  <c r="J20" i="26"/>
  <c r="J22" i="26" s="1"/>
  <c r="H82" i="24"/>
  <c r="C7" i="39" s="1"/>
  <c r="G29" i="31"/>
  <c r="H86" i="24"/>
  <c r="C11" i="39" s="1"/>
  <c r="H81" i="24"/>
  <c r="C6" i="39" s="1"/>
  <c r="I47" i="19"/>
  <c r="F70" i="16" s="1"/>
  <c r="I52" i="8"/>
  <c r="I79" i="24"/>
  <c r="D4" i="39" s="1"/>
  <c r="H97" i="24"/>
  <c r="H88" i="24"/>
  <c r="C13" i="39" s="1"/>
  <c r="I85" i="24"/>
  <c r="D10" i="39" s="1"/>
  <c r="H87" i="24"/>
  <c r="C12" i="39" s="1"/>
  <c r="H89" i="24"/>
  <c r="C14" i="39" s="1"/>
  <c r="H104" i="24"/>
  <c r="G35" i="31"/>
  <c r="J78" i="24"/>
  <c r="E3" i="39" s="1"/>
  <c r="J85" i="24"/>
  <c r="M91" i="18"/>
  <c r="O101" i="18"/>
  <c r="H23" i="25"/>
  <c r="K32" i="24"/>
  <c r="K42" i="24" s="1"/>
  <c r="K46" i="24" s="1"/>
  <c r="K47" i="24" s="1"/>
  <c r="K57" i="24"/>
  <c r="K67" i="24" s="1"/>
  <c r="K71" i="24" s="1"/>
  <c r="G27" i="31"/>
  <c r="V147" i="1"/>
  <c r="V166" i="1" s="1"/>
  <c r="V234" i="1" s="1"/>
  <c r="V235" i="1" s="1"/>
  <c r="U446" i="1"/>
  <c r="V388" i="1"/>
  <c r="V446" i="1" s="1"/>
  <c r="V255" i="1"/>
  <c r="V274" i="1" s="1"/>
  <c r="V347" i="1" s="1"/>
  <c r="F12" i="18"/>
  <c r="G12" i="18"/>
  <c r="P3" i="34"/>
  <c r="P4" i="34" s="1"/>
  <c r="G18" i="18"/>
  <c r="F18" i="18"/>
  <c r="H17" i="18"/>
  <c r="I17" i="18" s="1"/>
  <c r="F15" i="18"/>
  <c r="G15" i="18"/>
  <c r="O15" i="18"/>
  <c r="O11" i="18"/>
  <c r="O12" i="18" s="1"/>
  <c r="O65" i="18"/>
  <c r="M21" i="26" s="1"/>
  <c r="M40" i="24"/>
  <c r="M43" i="24" s="1"/>
  <c r="M65" i="24"/>
  <c r="M68" i="24" s="1"/>
  <c r="M30" i="24"/>
  <c r="M55" i="24"/>
  <c r="H27" i="31"/>
  <c r="J79" i="24"/>
  <c r="O86" i="18"/>
  <c r="P83" i="18"/>
  <c r="P99" i="18" s="1"/>
  <c r="P84" i="18"/>
  <c r="P100" i="18" s="1"/>
  <c r="P63" i="18"/>
  <c r="O63" i="24" s="1"/>
  <c r="P64" i="18"/>
  <c r="P62" i="18"/>
  <c r="P85" i="18"/>
  <c r="P82" i="18"/>
  <c r="P98" i="18" s="1"/>
  <c r="I10" i="19"/>
  <c r="G8" i="36" s="1"/>
  <c r="N63" i="24"/>
  <c r="M31" i="24"/>
  <c r="M56" i="24"/>
  <c r="M29" i="24"/>
  <c r="M54" i="24"/>
  <c r="N58" i="18"/>
  <c r="N70" i="18" s="1"/>
  <c r="L32" i="24"/>
  <c r="L42" i="24" s="1"/>
  <c r="L46" i="24" s="1"/>
  <c r="O76" i="18"/>
  <c r="O95" i="18" s="1"/>
  <c r="O74" i="18"/>
  <c r="O75" i="18"/>
  <c r="O94" i="18" s="1"/>
  <c r="O77" i="18"/>
  <c r="O96" i="18" s="1"/>
  <c r="O57" i="18"/>
  <c r="O55" i="18"/>
  <c r="O56" i="18"/>
  <c r="L16" i="26"/>
  <c r="K16" i="25"/>
  <c r="L21" i="26"/>
  <c r="N66" i="18"/>
  <c r="K21" i="25"/>
  <c r="N39" i="24"/>
  <c r="N64" i="24"/>
  <c r="N37" i="24"/>
  <c r="N62" i="24"/>
  <c r="N93" i="18"/>
  <c r="N103" i="18" s="1"/>
  <c r="N78" i="18"/>
  <c r="L57" i="24"/>
  <c r="L67" i="24" s="1"/>
  <c r="L71" i="24" s="1"/>
  <c r="K20" i="26"/>
  <c r="K22" i="26" s="1"/>
  <c r="J15" i="25"/>
  <c r="J17" i="25" s="1"/>
  <c r="K15" i="26"/>
  <c r="K17" i="26" s="1"/>
  <c r="M59" i="18"/>
  <c r="K369" i="1" s="1"/>
  <c r="J20" i="25"/>
  <c r="J22" i="25" s="1"/>
  <c r="N2267" i="22"/>
  <c r="C51" i="23"/>
  <c r="C50" i="23"/>
  <c r="I21" i="23"/>
  <c r="I23" i="23" s="1"/>
  <c r="I42" i="23" s="1"/>
  <c r="F23" i="23"/>
  <c r="F42" i="23" s="1"/>
  <c r="M2267" i="22"/>
  <c r="K25" i="8" l="1"/>
  <c r="L71" i="36"/>
  <c r="S678" i="37"/>
  <c r="F687" i="37"/>
  <c r="F688" i="37"/>
  <c r="K71" i="36"/>
  <c r="F695" i="37"/>
  <c r="F693" i="37"/>
  <c r="F683" i="37"/>
  <c r="S677" i="37"/>
  <c r="I29" i="37"/>
  <c r="E4" i="39"/>
  <c r="G30" i="37"/>
  <c r="G171" i="37" s="1"/>
  <c r="G580" i="37" s="1"/>
  <c r="C5" i="39"/>
  <c r="H115" i="24"/>
  <c r="I35" i="37"/>
  <c r="E10" i="39"/>
  <c r="M71" i="18"/>
  <c r="D101" i="16"/>
  <c r="D102" i="16" s="1"/>
  <c r="G30" i="31"/>
  <c r="G69" i="31" s="1"/>
  <c r="G99" i="31" s="1"/>
  <c r="H98" i="24"/>
  <c r="H107" i="24"/>
  <c r="G38" i="37"/>
  <c r="I80" i="24"/>
  <c r="H29" i="37"/>
  <c r="H166" i="37" s="1"/>
  <c r="H575" i="37" s="1"/>
  <c r="G37" i="31"/>
  <c r="G37" i="37"/>
  <c r="H35" i="31"/>
  <c r="H35" i="37"/>
  <c r="G164" i="37"/>
  <c r="G573" i="37" s="1"/>
  <c r="G165" i="37"/>
  <c r="G574" i="37" s="1"/>
  <c r="G166" i="37"/>
  <c r="G575" i="37" s="1"/>
  <c r="G167" i="37"/>
  <c r="G576" i="37" s="1"/>
  <c r="G169" i="37"/>
  <c r="G578" i="37" s="1"/>
  <c r="G168" i="37"/>
  <c r="G577" i="37" s="1"/>
  <c r="G170" i="37"/>
  <c r="G579" i="37" s="1"/>
  <c r="G40" i="31"/>
  <c r="G40" i="37"/>
  <c r="H99" i="24"/>
  <c r="G31" i="37"/>
  <c r="J95" i="24"/>
  <c r="I27" i="37"/>
  <c r="G39" i="31"/>
  <c r="G39" i="37"/>
  <c r="H100" i="24"/>
  <c r="G32" i="37"/>
  <c r="E61" i="36"/>
  <c r="F61" i="36" s="1"/>
  <c r="U439" i="1"/>
  <c r="U444" i="1" s="1"/>
  <c r="U126" i="1"/>
  <c r="N90" i="18"/>
  <c r="N91" i="18" s="1"/>
  <c r="I49" i="19"/>
  <c r="G18" i="36" s="1"/>
  <c r="H125" i="19"/>
  <c r="E140" i="16"/>
  <c r="N71" i="18"/>
  <c r="P40" i="16"/>
  <c r="I88" i="19"/>
  <c r="G27" i="36" s="1"/>
  <c r="I123" i="19"/>
  <c r="K38" i="26"/>
  <c r="J38" i="26"/>
  <c r="J52" i="8"/>
  <c r="K52" i="8"/>
  <c r="I106" i="8"/>
  <c r="I114" i="8" s="1"/>
  <c r="L21" i="25"/>
  <c r="K79" i="8"/>
  <c r="J79" i="8"/>
  <c r="J86" i="19"/>
  <c r="G85" i="16" s="1"/>
  <c r="G32" i="31"/>
  <c r="J47" i="19"/>
  <c r="G70" i="16" s="1"/>
  <c r="J23" i="26"/>
  <c r="I23" i="25"/>
  <c r="I88" i="24"/>
  <c r="D13" i="39" s="1"/>
  <c r="I89" i="24"/>
  <c r="D14" i="39" s="1"/>
  <c r="I97" i="24"/>
  <c r="H106" i="24"/>
  <c r="H29" i="31"/>
  <c r="I86" i="24"/>
  <c r="D11" i="39" s="1"/>
  <c r="I82" i="24"/>
  <c r="D7" i="39" s="1"/>
  <c r="I81" i="24"/>
  <c r="D6" i="39" s="1"/>
  <c r="H109" i="24"/>
  <c r="G31" i="31"/>
  <c r="I87" i="24"/>
  <c r="D12" i="39" s="1"/>
  <c r="G38" i="31"/>
  <c r="I104" i="24"/>
  <c r="I115" i="24" s="1"/>
  <c r="H108" i="24"/>
  <c r="J25" i="8"/>
  <c r="L47" i="24"/>
  <c r="J8" i="19"/>
  <c r="G55" i="16" s="1"/>
  <c r="P101" i="18"/>
  <c r="K72" i="24"/>
  <c r="K74" i="24"/>
  <c r="W235" i="1"/>
  <c r="V389" i="1"/>
  <c r="W255" i="1"/>
  <c r="W274" i="1" s="1"/>
  <c r="W347" i="1" s="1"/>
  <c r="X369" i="1"/>
  <c r="X388" i="1" s="1"/>
  <c r="W24" i="1"/>
  <c r="W43" i="1" s="1"/>
  <c r="W126" i="1" s="1"/>
  <c r="W127" i="1" s="1"/>
  <c r="V439" i="1"/>
  <c r="W388" i="1"/>
  <c r="W389" i="1" s="1"/>
  <c r="L16" i="25"/>
  <c r="O66" i="18"/>
  <c r="M16" i="26"/>
  <c r="J23" i="25"/>
  <c r="K23" i="26"/>
  <c r="L72" i="24"/>
  <c r="J17" i="18"/>
  <c r="I18" i="18"/>
  <c r="H18" i="18"/>
  <c r="P11" i="18"/>
  <c r="P12" i="18" s="1"/>
  <c r="P15" i="18"/>
  <c r="N40" i="24"/>
  <c r="N43" i="24" s="1"/>
  <c r="O38" i="24"/>
  <c r="M57" i="24"/>
  <c r="M67" i="24" s="1"/>
  <c r="M71" i="24" s="1"/>
  <c r="P86" i="18"/>
  <c r="K47" i="19"/>
  <c r="O70" i="16" s="1"/>
  <c r="K86" i="19"/>
  <c r="O85" i="16" s="1"/>
  <c r="N56" i="24"/>
  <c r="N31" i="24"/>
  <c r="P74" i="18"/>
  <c r="P57" i="18"/>
  <c r="P77" i="18"/>
  <c r="P96" i="18" s="1"/>
  <c r="P55" i="18"/>
  <c r="P75" i="18"/>
  <c r="P94" i="18" s="1"/>
  <c r="P76" i="18"/>
  <c r="P95" i="18" s="1"/>
  <c r="P56" i="18"/>
  <c r="N59" i="18"/>
  <c r="L369" i="1" s="1"/>
  <c r="K15" i="25"/>
  <c r="K17" i="25" s="1"/>
  <c r="L15" i="26"/>
  <c r="L17" i="26" s="1"/>
  <c r="K20" i="25"/>
  <c r="K22" i="25" s="1"/>
  <c r="L20" i="26"/>
  <c r="L22" i="26" s="1"/>
  <c r="O62" i="24"/>
  <c r="O37" i="24"/>
  <c r="P65" i="18"/>
  <c r="I27" i="31"/>
  <c r="N65" i="24"/>
  <c r="N68" i="24" s="1"/>
  <c r="O64" i="24"/>
  <c r="O39" i="24"/>
  <c r="Q82" i="18"/>
  <c r="Q98" i="18" s="1"/>
  <c r="Q64" i="18"/>
  <c r="Q62" i="18"/>
  <c r="Q85" i="18"/>
  <c r="Q63" i="18"/>
  <c r="P63" i="24" s="1"/>
  <c r="Q83" i="18"/>
  <c r="Q99" i="18" s="1"/>
  <c r="Q84" i="18"/>
  <c r="Q100" i="18" s="1"/>
  <c r="M32" i="24"/>
  <c r="M42" i="24" s="1"/>
  <c r="M46" i="24" s="1"/>
  <c r="M47" i="24" s="1"/>
  <c r="K8" i="19"/>
  <c r="O55" i="16" s="1"/>
  <c r="L74" i="24"/>
  <c r="N30" i="24"/>
  <c r="N55" i="24"/>
  <c r="I29" i="31"/>
  <c r="J81" i="24"/>
  <c r="J97" i="24"/>
  <c r="J82" i="24"/>
  <c r="J86" i="24"/>
  <c r="J80" i="24"/>
  <c r="J89" i="24"/>
  <c r="J88" i="24"/>
  <c r="J87" i="24"/>
  <c r="N54" i="24"/>
  <c r="N29" i="24"/>
  <c r="O58" i="18"/>
  <c r="O70" i="18" s="1"/>
  <c r="O93" i="18"/>
  <c r="O103" i="18" s="1"/>
  <c r="O78" i="18"/>
  <c r="I35" i="31"/>
  <c r="J104" i="24"/>
  <c r="I46" i="23"/>
  <c r="I48" i="23" s="1"/>
  <c r="F46" i="23"/>
  <c r="F48" i="23" s="1"/>
  <c r="L25" i="8" l="1"/>
  <c r="G175" i="37"/>
  <c r="G584" i="37" s="1"/>
  <c r="G172" i="37"/>
  <c r="G581" i="37" s="1"/>
  <c r="G173" i="37"/>
  <c r="G582" i="37" s="1"/>
  <c r="G174" i="37"/>
  <c r="G583" i="37" s="1"/>
  <c r="I30" i="37"/>
  <c r="I262" i="37" s="1"/>
  <c r="I671" i="37" s="1"/>
  <c r="E5" i="39"/>
  <c r="I31" i="37"/>
  <c r="E6" i="39"/>
  <c r="I38" i="37"/>
  <c r="E12" i="39"/>
  <c r="I37" i="37"/>
  <c r="E11" i="39"/>
  <c r="I39" i="37"/>
  <c r="E13" i="39"/>
  <c r="I32" i="37"/>
  <c r="E7" i="39"/>
  <c r="H30" i="37"/>
  <c r="H175" i="37" s="1"/>
  <c r="H584" i="37" s="1"/>
  <c r="D5" i="39"/>
  <c r="I40" i="37"/>
  <c r="E14" i="39"/>
  <c r="H30" i="31"/>
  <c r="H69" i="31" s="1"/>
  <c r="H99" i="31" s="1"/>
  <c r="G70" i="31"/>
  <c r="G100" i="31" s="1"/>
  <c r="I98" i="24"/>
  <c r="H101" i="24"/>
  <c r="H112" i="24" s="1"/>
  <c r="G263" i="37"/>
  <c r="G672" i="37" s="1"/>
  <c r="H39" i="31"/>
  <c r="H39" i="37"/>
  <c r="G221" i="37"/>
  <c r="G630" i="37" s="1"/>
  <c r="G176" i="37"/>
  <c r="G585" i="37" s="1"/>
  <c r="G184" i="37"/>
  <c r="G593" i="37" s="1"/>
  <c r="G257" i="37"/>
  <c r="G666" i="37" s="1"/>
  <c r="G224" i="37"/>
  <c r="G633" i="37" s="1"/>
  <c r="G180" i="37"/>
  <c r="G589" i="37" s="1"/>
  <c r="G223" i="37"/>
  <c r="G632" i="37" s="1"/>
  <c r="G204" i="37"/>
  <c r="G613" i="37" s="1"/>
  <c r="G256" i="37"/>
  <c r="G665" i="37" s="1"/>
  <c r="G198" i="37"/>
  <c r="G607" i="37" s="1"/>
  <c r="G202" i="37"/>
  <c r="G611" i="37" s="1"/>
  <c r="G182" i="37"/>
  <c r="G591" i="37" s="1"/>
  <c r="G220" i="37"/>
  <c r="G629" i="37" s="1"/>
  <c r="G238" i="37"/>
  <c r="G647" i="37" s="1"/>
  <c r="G189" i="37"/>
  <c r="G598" i="37" s="1"/>
  <c r="G181" i="37"/>
  <c r="G590" i="37" s="1"/>
  <c r="G218" i="37"/>
  <c r="G627" i="37" s="1"/>
  <c r="G219" i="37"/>
  <c r="G628" i="37" s="1"/>
  <c r="G194" i="37"/>
  <c r="G603" i="37" s="1"/>
  <c r="G255" i="37"/>
  <c r="G664" i="37" s="1"/>
  <c r="G229" i="37"/>
  <c r="G638" i="37" s="1"/>
  <c r="G200" i="37"/>
  <c r="G609" i="37" s="1"/>
  <c r="G193" i="37"/>
  <c r="G602" i="37" s="1"/>
  <c r="I107" i="24"/>
  <c r="H38" i="37"/>
  <c r="I100" i="24"/>
  <c r="H32" i="37"/>
  <c r="I166" i="37"/>
  <c r="I575" i="37" s="1"/>
  <c r="I167" i="37"/>
  <c r="I576" i="37" s="1"/>
  <c r="I164" i="37"/>
  <c r="I573" i="37" s="1"/>
  <c r="I165" i="37"/>
  <c r="I574" i="37" s="1"/>
  <c r="I168" i="37"/>
  <c r="I577" i="37" s="1"/>
  <c r="I169" i="37"/>
  <c r="I578" i="37" s="1"/>
  <c r="I170" i="37"/>
  <c r="I579" i="37" s="1"/>
  <c r="H171" i="37"/>
  <c r="H580" i="37" s="1"/>
  <c r="H167" i="37"/>
  <c r="H576" i="37" s="1"/>
  <c r="G203" i="37"/>
  <c r="G612" i="37" s="1"/>
  <c r="G232" i="37"/>
  <c r="G641" i="37" s="1"/>
  <c r="G261" i="37"/>
  <c r="G670" i="37" s="1"/>
  <c r="G186" i="37"/>
  <c r="G595" i="37" s="1"/>
  <c r="G228" i="37"/>
  <c r="G637" i="37" s="1"/>
  <c r="G247" i="37"/>
  <c r="G656" i="37" s="1"/>
  <c r="G205" i="37"/>
  <c r="G614" i="37" s="1"/>
  <c r="G231" i="37"/>
  <c r="G640" i="37" s="1"/>
  <c r="G259" i="37"/>
  <c r="G668" i="37" s="1"/>
  <c r="G212" i="37"/>
  <c r="G621" i="37" s="1"/>
  <c r="G217" i="37"/>
  <c r="G626" i="37" s="1"/>
  <c r="G222" i="37"/>
  <c r="G631" i="37" s="1"/>
  <c r="G197" i="37"/>
  <c r="G606" i="37" s="1"/>
  <c r="G239" i="37"/>
  <c r="G648" i="37" s="1"/>
  <c r="G183" i="37"/>
  <c r="G592" i="37" s="1"/>
  <c r="G241" i="37"/>
  <c r="G650" i="37" s="1"/>
  <c r="G201" i="37"/>
  <c r="G610" i="37" s="1"/>
  <c r="G243" i="37"/>
  <c r="G652" i="37" s="1"/>
  <c r="G236" i="37"/>
  <c r="G645" i="37" s="1"/>
  <c r="G192" i="37"/>
  <c r="G601" i="37" s="1"/>
  <c r="G233" i="37"/>
  <c r="G642" i="37" s="1"/>
  <c r="G252" i="37"/>
  <c r="G661" i="37" s="1"/>
  <c r="G188" i="37"/>
  <c r="G597" i="37" s="1"/>
  <c r="G253" i="37"/>
  <c r="G662" i="37" s="1"/>
  <c r="G213" i="37"/>
  <c r="G622" i="37" s="1"/>
  <c r="G187" i="37"/>
  <c r="G596" i="37" s="1"/>
  <c r="G207" i="37"/>
  <c r="G616" i="37" s="1"/>
  <c r="G250" i="37"/>
  <c r="G659" i="37" s="1"/>
  <c r="G260" i="37"/>
  <c r="G669" i="37" s="1"/>
  <c r="G249" i="37"/>
  <c r="G658" i="37" s="1"/>
  <c r="G179" i="37"/>
  <c r="G588" i="37" s="1"/>
  <c r="G199" i="37"/>
  <c r="G608" i="37" s="1"/>
  <c r="I99" i="24"/>
  <c r="H31" i="37"/>
  <c r="H174" i="37"/>
  <c r="H583" i="37" s="1"/>
  <c r="H173" i="37"/>
  <c r="H582" i="37" s="1"/>
  <c r="H164" i="37"/>
  <c r="H573" i="37" s="1"/>
  <c r="G214" i="37"/>
  <c r="G623" i="37" s="1"/>
  <c r="G208" i="37"/>
  <c r="G617" i="37" s="1"/>
  <c r="G177" i="37"/>
  <c r="G586" i="37" s="1"/>
  <c r="G185" i="37"/>
  <c r="G594" i="37" s="1"/>
  <c r="G240" i="37"/>
  <c r="G649" i="37" s="1"/>
  <c r="G211" i="37"/>
  <c r="G620" i="37" s="1"/>
  <c r="G234" i="37"/>
  <c r="G643" i="37" s="1"/>
  <c r="G245" i="37"/>
  <c r="G654" i="37" s="1"/>
  <c r="G244" i="37"/>
  <c r="G653" i="37" s="1"/>
  <c r="G190" i="37"/>
  <c r="G599" i="37" s="1"/>
  <c r="I106" i="24"/>
  <c r="H37" i="37"/>
  <c r="H40" i="31"/>
  <c r="H40" i="37"/>
  <c r="H169" i="37"/>
  <c r="H578" i="37" s="1"/>
  <c r="H170" i="37"/>
  <c r="H579" i="37" s="1"/>
  <c r="H172" i="37"/>
  <c r="H581" i="37" s="1"/>
  <c r="H168" i="37"/>
  <c r="H577" i="37" s="1"/>
  <c r="H165" i="37"/>
  <c r="H574" i="37" s="1"/>
  <c r="G230" i="37"/>
  <c r="G639" i="37" s="1"/>
  <c r="G227" i="37"/>
  <c r="G636" i="37" s="1"/>
  <c r="G216" i="37"/>
  <c r="G625" i="37" s="1"/>
  <c r="G237" i="37"/>
  <c r="G646" i="37" s="1"/>
  <c r="G235" i="37"/>
  <c r="G644" i="37" s="1"/>
  <c r="G254" i="37"/>
  <c r="G663" i="37" s="1"/>
  <c r="G195" i="37"/>
  <c r="G604" i="37" s="1"/>
  <c r="G196" i="37"/>
  <c r="G605" i="37" s="1"/>
  <c r="G210" i="37"/>
  <c r="G619" i="37" s="1"/>
  <c r="G225" i="37"/>
  <c r="G634" i="37" s="1"/>
  <c r="G262" i="37"/>
  <c r="G671" i="37" s="1"/>
  <c r="G178" i="37"/>
  <c r="G587" i="37" s="1"/>
  <c r="G191" i="37"/>
  <c r="G600" i="37" s="1"/>
  <c r="G251" i="37"/>
  <c r="G660" i="37" s="1"/>
  <c r="G226" i="37"/>
  <c r="G635" i="37" s="1"/>
  <c r="G215" i="37"/>
  <c r="G624" i="37" s="1"/>
  <c r="G242" i="37"/>
  <c r="G651" i="37" s="1"/>
  <c r="G248" i="37"/>
  <c r="G657" i="37" s="1"/>
  <c r="G258" i="37"/>
  <c r="G667" i="37" s="1"/>
  <c r="G209" i="37"/>
  <c r="G618" i="37" s="1"/>
  <c r="G206" i="37"/>
  <c r="G615" i="37" s="1"/>
  <c r="G246" i="37"/>
  <c r="G655" i="37" s="1"/>
  <c r="G71" i="31"/>
  <c r="G101" i="31" s="1"/>
  <c r="G73" i="31"/>
  <c r="G103" i="31" s="1"/>
  <c r="G72" i="31"/>
  <c r="G102" i="31" s="1"/>
  <c r="U127" i="1"/>
  <c r="U435" i="1"/>
  <c r="U434" i="1"/>
  <c r="V127" i="1"/>
  <c r="O90" i="18"/>
  <c r="O91" i="18" s="1"/>
  <c r="K49" i="19"/>
  <c r="I18" i="36" s="1"/>
  <c r="J49" i="19"/>
  <c r="H18" i="36" s="1"/>
  <c r="J10" i="19"/>
  <c r="H8" i="36" s="1"/>
  <c r="I125" i="19"/>
  <c r="F140" i="16"/>
  <c r="O71" i="18"/>
  <c r="Q40" i="16"/>
  <c r="K88" i="19"/>
  <c r="I27" i="36" s="1"/>
  <c r="K123" i="19"/>
  <c r="J88" i="19"/>
  <c r="H27" i="36" s="1"/>
  <c r="J123" i="19"/>
  <c r="L38" i="26"/>
  <c r="L52" i="8"/>
  <c r="L79" i="8"/>
  <c r="I109" i="24"/>
  <c r="I108" i="24"/>
  <c r="H37" i="31"/>
  <c r="H38" i="31"/>
  <c r="H32" i="31"/>
  <c r="H110" i="24"/>
  <c r="H113" i="24" s="1"/>
  <c r="H116" i="24" s="1"/>
  <c r="H118" i="24" s="1"/>
  <c r="H31" i="31"/>
  <c r="J106" i="8"/>
  <c r="J114" i="8" s="1"/>
  <c r="K79" i="24"/>
  <c r="K78" i="24"/>
  <c r="F3" i="39" s="1"/>
  <c r="K85" i="24"/>
  <c r="F10" i="39" s="1"/>
  <c r="L85" i="24"/>
  <c r="K35" i="37" s="1"/>
  <c r="L78" i="24"/>
  <c r="Q101" i="18"/>
  <c r="X147" i="1"/>
  <c r="X166" i="1" s="1"/>
  <c r="X234" i="1" s="1"/>
  <c r="X235" i="1" s="1"/>
  <c r="X255" i="1"/>
  <c r="X274" i="1" s="1"/>
  <c r="X347" i="1" s="1"/>
  <c r="X24" i="1"/>
  <c r="X43" i="1" s="1"/>
  <c r="X126" i="1" s="1"/>
  <c r="X127" i="1" s="1"/>
  <c r="Y369" i="1"/>
  <c r="Y24" i="1" s="1"/>
  <c r="Y43" i="1" s="1"/>
  <c r="Y126" i="1" s="1"/>
  <c r="W439" i="1"/>
  <c r="W446" i="1"/>
  <c r="X446" i="1"/>
  <c r="X389" i="1"/>
  <c r="L23" i="26"/>
  <c r="K23" i="25"/>
  <c r="M72" i="24"/>
  <c r="J18" i="18"/>
  <c r="K17" i="18"/>
  <c r="Q15" i="18"/>
  <c r="Q11" i="18"/>
  <c r="Q12" i="18" s="1"/>
  <c r="L8" i="19"/>
  <c r="P55" i="16" s="1"/>
  <c r="M74" i="24"/>
  <c r="K106" i="8"/>
  <c r="N57" i="24"/>
  <c r="N67" i="24" s="1"/>
  <c r="N71" i="24" s="1"/>
  <c r="O40" i="24"/>
  <c r="O43" i="24" s="1"/>
  <c r="Q86" i="18"/>
  <c r="P38" i="24"/>
  <c r="O65" i="24"/>
  <c r="O68" i="24" s="1"/>
  <c r="J100" i="24"/>
  <c r="I32" i="31"/>
  <c r="P37" i="24"/>
  <c r="Q65" i="18"/>
  <c r="P62" i="24"/>
  <c r="J115" i="24"/>
  <c r="L47" i="19"/>
  <c r="P70" i="16" s="1"/>
  <c r="O30" i="24"/>
  <c r="O55" i="24"/>
  <c r="I39" i="31"/>
  <c r="J108" i="24"/>
  <c r="M20" i="26"/>
  <c r="M22" i="26" s="1"/>
  <c r="O59" i="18"/>
  <c r="M369" i="1" s="1"/>
  <c r="L20" i="25"/>
  <c r="L22" i="25" s="1"/>
  <c r="M15" i="26"/>
  <c r="M17" i="26" s="1"/>
  <c r="L15" i="25"/>
  <c r="L17" i="25" s="1"/>
  <c r="I40" i="31"/>
  <c r="J109" i="24"/>
  <c r="P64" i="24"/>
  <c r="P39" i="24"/>
  <c r="Q74" i="18"/>
  <c r="Q55" i="18"/>
  <c r="Q75" i="18"/>
  <c r="Q94" i="18" s="1"/>
  <c r="Q56" i="18"/>
  <c r="Q76" i="18"/>
  <c r="Q95" i="18" s="1"/>
  <c r="Q57" i="18"/>
  <c r="Q77" i="18"/>
  <c r="Q96" i="18" s="1"/>
  <c r="L79" i="24"/>
  <c r="K29" i="37" s="1"/>
  <c r="N21" i="26"/>
  <c r="P66" i="18"/>
  <c r="N16" i="26"/>
  <c r="M16" i="25"/>
  <c r="M21" i="25"/>
  <c r="O56" i="24"/>
  <c r="O31" i="24"/>
  <c r="J98" i="24"/>
  <c r="I30" i="31"/>
  <c r="I31" i="31"/>
  <c r="J99" i="24"/>
  <c r="I38" i="31"/>
  <c r="J107" i="24"/>
  <c r="I37" i="31"/>
  <c r="J106" i="24"/>
  <c r="N32" i="24"/>
  <c r="N42" i="24" s="1"/>
  <c r="N46" i="24" s="1"/>
  <c r="K10" i="19"/>
  <c r="I8" i="36" s="1"/>
  <c r="L86" i="19"/>
  <c r="P85" i="16" s="1"/>
  <c r="O29" i="24"/>
  <c r="O54" i="24"/>
  <c r="P58" i="18"/>
  <c r="P70" i="18" s="1"/>
  <c r="P93" i="18"/>
  <c r="P103" i="18" s="1"/>
  <c r="P78" i="18"/>
  <c r="F51" i="23"/>
  <c r="F50" i="23"/>
  <c r="I50" i="23"/>
  <c r="I51" i="23"/>
  <c r="H70" i="31" l="1"/>
  <c r="H100" i="31" s="1"/>
  <c r="M25" i="8"/>
  <c r="I195" i="37"/>
  <c r="I604" i="37" s="1"/>
  <c r="I235" i="37"/>
  <c r="I644" i="37" s="1"/>
  <c r="I215" i="37"/>
  <c r="I624" i="37" s="1"/>
  <c r="I251" i="37"/>
  <c r="I660" i="37" s="1"/>
  <c r="I261" i="37"/>
  <c r="I670" i="37" s="1"/>
  <c r="I246" i="37"/>
  <c r="I655" i="37" s="1"/>
  <c r="I225" i="37"/>
  <c r="I634" i="37" s="1"/>
  <c r="I219" i="37"/>
  <c r="I628" i="37" s="1"/>
  <c r="I200" i="37"/>
  <c r="I609" i="37" s="1"/>
  <c r="I185" i="37"/>
  <c r="I594" i="37" s="1"/>
  <c r="I220" i="37"/>
  <c r="I629" i="37" s="1"/>
  <c r="I255" i="37"/>
  <c r="I664" i="37" s="1"/>
  <c r="I227" i="37"/>
  <c r="I636" i="37" s="1"/>
  <c r="I194" i="37"/>
  <c r="I603" i="37" s="1"/>
  <c r="I230" i="37"/>
  <c r="I639" i="37" s="1"/>
  <c r="I238" i="37"/>
  <c r="I647" i="37" s="1"/>
  <c r="I201" i="37"/>
  <c r="I610" i="37" s="1"/>
  <c r="I189" i="37"/>
  <c r="I598" i="37" s="1"/>
  <c r="I216" i="37"/>
  <c r="I625" i="37" s="1"/>
  <c r="I188" i="37"/>
  <c r="I597" i="37" s="1"/>
  <c r="I240" i="37"/>
  <c r="I649" i="37" s="1"/>
  <c r="I253" i="37"/>
  <c r="I662" i="37" s="1"/>
  <c r="I223" i="37"/>
  <c r="I632" i="37" s="1"/>
  <c r="I244" i="37"/>
  <c r="I653" i="37" s="1"/>
  <c r="H246" i="37"/>
  <c r="H655" i="37" s="1"/>
  <c r="I192" i="37"/>
  <c r="I601" i="37" s="1"/>
  <c r="I175" i="37"/>
  <c r="I584" i="37" s="1"/>
  <c r="I243" i="37"/>
  <c r="I652" i="37" s="1"/>
  <c r="I247" i="37"/>
  <c r="I656" i="37" s="1"/>
  <c r="I257" i="37"/>
  <c r="I666" i="37" s="1"/>
  <c r="I213" i="37"/>
  <c r="I622" i="37" s="1"/>
  <c r="I182" i="37"/>
  <c r="I591" i="37" s="1"/>
  <c r="I172" i="37"/>
  <c r="I581" i="37" s="1"/>
  <c r="I260" i="37"/>
  <c r="I669" i="37" s="1"/>
  <c r="I258" i="37"/>
  <c r="I667" i="37" s="1"/>
  <c r="I205" i="37"/>
  <c r="I614" i="37" s="1"/>
  <c r="I254" i="37"/>
  <c r="I663" i="37" s="1"/>
  <c r="I211" i="37"/>
  <c r="I620" i="37" s="1"/>
  <c r="I221" i="37"/>
  <c r="I630" i="37" s="1"/>
  <c r="I171" i="37"/>
  <c r="I580" i="37" s="1"/>
  <c r="I186" i="37"/>
  <c r="I595" i="37" s="1"/>
  <c r="I236" i="37"/>
  <c r="I645" i="37" s="1"/>
  <c r="I174" i="37"/>
  <c r="I583" i="37" s="1"/>
  <c r="I228" i="37"/>
  <c r="I637" i="37" s="1"/>
  <c r="I173" i="37"/>
  <c r="I582" i="37" s="1"/>
  <c r="I217" i="37"/>
  <c r="I626" i="37" s="1"/>
  <c r="I249" i="37"/>
  <c r="I658" i="37" s="1"/>
  <c r="I263" i="37"/>
  <c r="I672" i="37" s="1"/>
  <c r="J29" i="37"/>
  <c r="F4" i="39"/>
  <c r="I229" i="37"/>
  <c r="I638" i="37" s="1"/>
  <c r="I241" i="37"/>
  <c r="I650" i="37" s="1"/>
  <c r="I208" i="37"/>
  <c r="I617" i="37" s="1"/>
  <c r="I183" i="37"/>
  <c r="I592" i="37" s="1"/>
  <c r="I224" i="37"/>
  <c r="I633" i="37" s="1"/>
  <c r="I187" i="37"/>
  <c r="I596" i="37" s="1"/>
  <c r="I203" i="37"/>
  <c r="I612" i="37" s="1"/>
  <c r="I176" i="37"/>
  <c r="I585" i="37" s="1"/>
  <c r="I239" i="37"/>
  <c r="I648" i="37" s="1"/>
  <c r="I222" i="37"/>
  <c r="I631" i="37" s="1"/>
  <c r="I214" i="37"/>
  <c r="I623" i="37" s="1"/>
  <c r="I204" i="37"/>
  <c r="I613" i="37" s="1"/>
  <c r="I232" i="37"/>
  <c r="I641" i="37" s="1"/>
  <c r="I184" i="37"/>
  <c r="I593" i="37" s="1"/>
  <c r="I226" i="37"/>
  <c r="I635" i="37" s="1"/>
  <c r="I210" i="37"/>
  <c r="I619" i="37" s="1"/>
  <c r="I197" i="37"/>
  <c r="I606" i="37" s="1"/>
  <c r="I218" i="37"/>
  <c r="I627" i="37" s="1"/>
  <c r="I199" i="37"/>
  <c r="I608" i="37" s="1"/>
  <c r="I179" i="37"/>
  <c r="I588" i="37" s="1"/>
  <c r="I177" i="37"/>
  <c r="I586" i="37" s="1"/>
  <c r="I231" i="37"/>
  <c r="I640" i="37" s="1"/>
  <c r="I101" i="24"/>
  <c r="I112" i="24" s="1"/>
  <c r="I202" i="37"/>
  <c r="I611" i="37" s="1"/>
  <c r="I242" i="37"/>
  <c r="I651" i="37" s="1"/>
  <c r="I245" i="37"/>
  <c r="I654" i="37" s="1"/>
  <c r="I209" i="37"/>
  <c r="I618" i="37" s="1"/>
  <c r="I233" i="37"/>
  <c r="I642" i="37" s="1"/>
  <c r="I252" i="37"/>
  <c r="I661" i="37" s="1"/>
  <c r="I198" i="37"/>
  <c r="I607" i="37" s="1"/>
  <c r="I248" i="37"/>
  <c r="I657" i="37" s="1"/>
  <c r="I234" i="37"/>
  <c r="I643" i="37" s="1"/>
  <c r="I256" i="37"/>
  <c r="I665" i="37" s="1"/>
  <c r="I180" i="37"/>
  <c r="I589" i="37" s="1"/>
  <c r="I193" i="37"/>
  <c r="I602" i="37" s="1"/>
  <c r="I206" i="37"/>
  <c r="I615" i="37" s="1"/>
  <c r="I259" i="37"/>
  <c r="I668" i="37" s="1"/>
  <c r="I196" i="37"/>
  <c r="I605" i="37" s="1"/>
  <c r="I178" i="37"/>
  <c r="I587" i="37" s="1"/>
  <c r="I190" i="37"/>
  <c r="I599" i="37" s="1"/>
  <c r="I207" i="37"/>
  <c r="I616" i="37" s="1"/>
  <c r="I212" i="37"/>
  <c r="I621" i="37" s="1"/>
  <c r="I237" i="37"/>
  <c r="I646" i="37" s="1"/>
  <c r="I250" i="37"/>
  <c r="I659" i="37" s="1"/>
  <c r="I191" i="37"/>
  <c r="I600" i="37" s="1"/>
  <c r="I181" i="37"/>
  <c r="I590" i="37" s="1"/>
  <c r="H212" i="37"/>
  <c r="H621" i="37" s="1"/>
  <c r="H241" i="37"/>
  <c r="H650" i="37" s="1"/>
  <c r="H232" i="37"/>
  <c r="H641" i="37" s="1"/>
  <c r="K114" i="8"/>
  <c r="H231" i="37"/>
  <c r="H640" i="37" s="1"/>
  <c r="H195" i="37"/>
  <c r="H604" i="37" s="1"/>
  <c r="H192" i="37"/>
  <c r="H601" i="37" s="1"/>
  <c r="H205" i="37"/>
  <c r="H614" i="37" s="1"/>
  <c r="H222" i="37"/>
  <c r="H631" i="37" s="1"/>
  <c r="H214" i="37"/>
  <c r="H623" i="37" s="1"/>
  <c r="H236" i="37"/>
  <c r="H645" i="37" s="1"/>
  <c r="H243" i="37"/>
  <c r="H652" i="37" s="1"/>
  <c r="H207" i="37"/>
  <c r="H616" i="37" s="1"/>
  <c r="H186" i="37"/>
  <c r="H595" i="37" s="1"/>
  <c r="H228" i="37"/>
  <c r="H637" i="37" s="1"/>
  <c r="H240" i="37"/>
  <c r="H649" i="37" s="1"/>
  <c r="H220" i="37"/>
  <c r="H629" i="37" s="1"/>
  <c r="H254" i="37"/>
  <c r="H663" i="37" s="1"/>
  <c r="H245" i="37"/>
  <c r="H654" i="37" s="1"/>
  <c r="H190" i="37"/>
  <c r="H599" i="37" s="1"/>
  <c r="H179" i="37"/>
  <c r="H588" i="37" s="1"/>
  <c r="H180" i="37"/>
  <c r="H589" i="37" s="1"/>
  <c r="H260" i="37"/>
  <c r="H669" i="37" s="1"/>
  <c r="H178" i="37"/>
  <c r="H587" i="37" s="1"/>
  <c r="H176" i="37"/>
  <c r="H585" i="37" s="1"/>
  <c r="H247" i="37"/>
  <c r="H656" i="37" s="1"/>
  <c r="H193" i="37"/>
  <c r="H602" i="37" s="1"/>
  <c r="H210" i="37"/>
  <c r="H619" i="37" s="1"/>
  <c r="H208" i="37"/>
  <c r="H617" i="37" s="1"/>
  <c r="H199" i="37"/>
  <c r="H608" i="37" s="1"/>
  <c r="H224" i="37"/>
  <c r="H633" i="37" s="1"/>
  <c r="H202" i="37"/>
  <c r="H611" i="37" s="1"/>
  <c r="H223" i="37"/>
  <c r="H632" i="37" s="1"/>
  <c r="H204" i="37"/>
  <c r="H613" i="37" s="1"/>
  <c r="H185" i="37"/>
  <c r="H594" i="37" s="1"/>
  <c r="H217" i="37"/>
  <c r="H626" i="37" s="1"/>
  <c r="H206" i="37"/>
  <c r="H615" i="37" s="1"/>
  <c r="H218" i="37"/>
  <c r="H627" i="37" s="1"/>
  <c r="H239" i="37"/>
  <c r="H648" i="37" s="1"/>
  <c r="H216" i="37"/>
  <c r="H625" i="37" s="1"/>
  <c r="H261" i="37"/>
  <c r="H670" i="37" s="1"/>
  <c r="H203" i="37"/>
  <c r="H612" i="37" s="1"/>
  <c r="H242" i="37"/>
  <c r="H651" i="37" s="1"/>
  <c r="H183" i="37"/>
  <c r="H592" i="37" s="1"/>
  <c r="H233" i="37"/>
  <c r="H642" i="37" s="1"/>
  <c r="H262" i="37"/>
  <c r="H671" i="37" s="1"/>
  <c r="K104" i="24"/>
  <c r="J35" i="37"/>
  <c r="H198" i="37"/>
  <c r="H607" i="37" s="1"/>
  <c r="H211" i="37"/>
  <c r="H620" i="37" s="1"/>
  <c r="H196" i="37"/>
  <c r="H605" i="37" s="1"/>
  <c r="H182" i="37"/>
  <c r="H591" i="37" s="1"/>
  <c r="H230" i="37"/>
  <c r="H639" i="37" s="1"/>
  <c r="H248" i="37"/>
  <c r="H657" i="37" s="1"/>
  <c r="H177" i="37"/>
  <c r="H586" i="37" s="1"/>
  <c r="K95" i="24"/>
  <c r="J27" i="37"/>
  <c r="L95" i="24"/>
  <c r="K27" i="37"/>
  <c r="H219" i="37"/>
  <c r="H628" i="37" s="1"/>
  <c r="H197" i="37"/>
  <c r="H606" i="37" s="1"/>
  <c r="H221" i="37"/>
  <c r="H630" i="37" s="1"/>
  <c r="H259" i="37"/>
  <c r="H668" i="37" s="1"/>
  <c r="H184" i="37"/>
  <c r="H593" i="37" s="1"/>
  <c r="H238" i="37"/>
  <c r="H647" i="37" s="1"/>
  <c r="H249" i="37"/>
  <c r="H658" i="37" s="1"/>
  <c r="H226" i="37"/>
  <c r="H635" i="37" s="1"/>
  <c r="H215" i="37"/>
  <c r="H624" i="37" s="1"/>
  <c r="H213" i="37"/>
  <c r="H622" i="37" s="1"/>
  <c r="H235" i="37"/>
  <c r="H644" i="37" s="1"/>
  <c r="H189" i="37"/>
  <c r="H598" i="37" s="1"/>
  <c r="H263" i="37"/>
  <c r="H672" i="37" s="1"/>
  <c r="H201" i="37"/>
  <c r="H610" i="37" s="1"/>
  <c r="H187" i="37"/>
  <c r="H596" i="37" s="1"/>
  <c r="H200" i="37"/>
  <c r="H609" i="37" s="1"/>
  <c r="H258" i="37"/>
  <c r="H667" i="37" s="1"/>
  <c r="H255" i="37"/>
  <c r="H664" i="37" s="1"/>
  <c r="H225" i="37"/>
  <c r="H634" i="37" s="1"/>
  <c r="H188" i="37"/>
  <c r="H597" i="37" s="1"/>
  <c r="H253" i="37"/>
  <c r="H662" i="37" s="1"/>
  <c r="H257" i="37"/>
  <c r="H666" i="37" s="1"/>
  <c r="H244" i="37"/>
  <c r="H653" i="37" s="1"/>
  <c r="H229" i="37"/>
  <c r="H638" i="37" s="1"/>
  <c r="H234" i="37"/>
  <c r="H643" i="37" s="1"/>
  <c r="H251" i="37"/>
  <c r="H660" i="37" s="1"/>
  <c r="H191" i="37"/>
  <c r="H600" i="37" s="1"/>
  <c r="H250" i="37"/>
  <c r="H659" i="37" s="1"/>
  <c r="H237" i="37"/>
  <c r="H646" i="37" s="1"/>
  <c r="H252" i="37"/>
  <c r="H661" i="37" s="1"/>
  <c r="H227" i="37"/>
  <c r="H636" i="37" s="1"/>
  <c r="H256" i="37"/>
  <c r="H665" i="37" s="1"/>
  <c r="H194" i="37"/>
  <c r="H603" i="37" s="1"/>
  <c r="H209" i="37"/>
  <c r="H618" i="37" s="1"/>
  <c r="H181" i="37"/>
  <c r="H590" i="37" s="1"/>
  <c r="H71" i="31"/>
  <c r="H101" i="31" s="1"/>
  <c r="I72" i="31"/>
  <c r="I102" i="31" s="1"/>
  <c r="I69" i="31"/>
  <c r="I99" i="31" s="1"/>
  <c r="I70" i="31"/>
  <c r="I100" i="31" s="1"/>
  <c r="H72" i="31"/>
  <c r="H102" i="31" s="1"/>
  <c r="I71" i="31"/>
  <c r="I101" i="31" s="1"/>
  <c r="H73" i="31"/>
  <c r="H103" i="31" s="1"/>
  <c r="I73" i="31"/>
  <c r="I103" i="31" s="1"/>
  <c r="K86" i="24"/>
  <c r="F11" i="39" s="1"/>
  <c r="K97" i="24"/>
  <c r="P90" i="18"/>
  <c r="P91" i="18" s="1"/>
  <c r="L10" i="19"/>
  <c r="K125" i="19"/>
  <c r="O140" i="16"/>
  <c r="J125" i="19"/>
  <c r="G140" i="16"/>
  <c r="P71" i="18"/>
  <c r="R40" i="16"/>
  <c r="L88" i="19"/>
  <c r="L123" i="19"/>
  <c r="M38" i="26"/>
  <c r="M52" i="8"/>
  <c r="M79" i="8"/>
  <c r="I110" i="24"/>
  <c r="I113" i="24" s="1"/>
  <c r="K87" i="24"/>
  <c r="F12" i="39" s="1"/>
  <c r="K80" i="24"/>
  <c r="F5" i="39" s="1"/>
  <c r="K81" i="24"/>
  <c r="K88" i="24"/>
  <c r="F13" i="39" s="1"/>
  <c r="K82" i="24"/>
  <c r="F7" i="39" s="1"/>
  <c r="J35" i="31"/>
  <c r="K89" i="24"/>
  <c r="F14" i="39" s="1"/>
  <c r="J29" i="31"/>
  <c r="J27" i="31"/>
  <c r="M78" i="24"/>
  <c r="M85" i="24"/>
  <c r="L35" i="37" s="1"/>
  <c r="Y127" i="1"/>
  <c r="Y255" i="1"/>
  <c r="Y274" i="1" s="1"/>
  <c r="Y347" i="1" s="1"/>
  <c r="Z369" i="1"/>
  <c r="Z388" i="1" s="1"/>
  <c r="Y388" i="1"/>
  <c r="Y446" i="1" s="1"/>
  <c r="Y147" i="1"/>
  <c r="Y166" i="1" s="1"/>
  <c r="Y234" i="1" s="1"/>
  <c r="Y235" i="1" s="1"/>
  <c r="X439" i="1"/>
  <c r="L23" i="25"/>
  <c r="M23" i="26"/>
  <c r="N72" i="24"/>
  <c r="N47" i="24"/>
  <c r="L17" i="18"/>
  <c r="M17" i="18" s="1"/>
  <c r="M18" i="18" s="1"/>
  <c r="K18" i="18"/>
  <c r="J110" i="24"/>
  <c r="J113" i="24" s="1"/>
  <c r="P65" i="24"/>
  <c r="P68" i="24" s="1"/>
  <c r="P40" i="24"/>
  <c r="P43" i="24" s="1"/>
  <c r="M79" i="24"/>
  <c r="L29" i="37" s="1"/>
  <c r="J101" i="24"/>
  <c r="J112" i="24" s="1"/>
  <c r="L106" i="8"/>
  <c r="L114" i="8" s="1"/>
  <c r="N74" i="24"/>
  <c r="M8" i="19"/>
  <c r="Q55" i="16" s="1"/>
  <c r="Q93" i="18"/>
  <c r="Q103" i="18" s="1"/>
  <c r="Q78" i="18"/>
  <c r="L49" i="19"/>
  <c r="N16" i="25"/>
  <c r="Q66" i="18"/>
  <c r="O16" i="26"/>
  <c r="O21" i="26"/>
  <c r="N21" i="25"/>
  <c r="M15" i="25"/>
  <c r="M17" i="25" s="1"/>
  <c r="N15" i="26"/>
  <c r="N17" i="26" s="1"/>
  <c r="N20" i="26"/>
  <c r="N22" i="26" s="1"/>
  <c r="P59" i="18"/>
  <c r="N369" i="1" s="1"/>
  <c r="M20" i="25"/>
  <c r="M22" i="25" s="1"/>
  <c r="K27" i="31"/>
  <c r="P30" i="24"/>
  <c r="P55" i="24"/>
  <c r="M47" i="19"/>
  <c r="Q70" i="16" s="1"/>
  <c r="L104" i="24"/>
  <c r="K35" i="31"/>
  <c r="O57" i="24"/>
  <c r="O67" i="24" s="1"/>
  <c r="O71" i="24" s="1"/>
  <c r="L88" i="24"/>
  <c r="K39" i="37" s="1"/>
  <c r="L80" i="24"/>
  <c r="K30" i="37" s="1"/>
  <c r="L81" i="24"/>
  <c r="K31" i="37" s="1"/>
  <c r="L86" i="24"/>
  <c r="K37" i="37" s="1"/>
  <c r="L82" i="24"/>
  <c r="K32" i="37" s="1"/>
  <c r="K29" i="31"/>
  <c r="L87" i="24"/>
  <c r="K38" i="37" s="1"/>
  <c r="L89" i="24"/>
  <c r="K40" i="37" s="1"/>
  <c r="L97" i="24"/>
  <c r="P56" i="24"/>
  <c r="P31" i="24"/>
  <c r="P54" i="24"/>
  <c r="Q58" i="18"/>
  <c r="Q70" i="18" s="1"/>
  <c r="P29" i="24"/>
  <c r="M86" i="19"/>
  <c r="Q85" i="16" s="1"/>
  <c r="O32" i="24"/>
  <c r="O42" i="24" s="1"/>
  <c r="O46" i="24" s="1"/>
  <c r="N25" i="8" l="1"/>
  <c r="I116" i="24"/>
  <c r="I118" i="24" s="1"/>
  <c r="J31" i="37"/>
  <c r="F6" i="39"/>
  <c r="K115" i="24"/>
  <c r="J40" i="31"/>
  <c r="J40" i="37"/>
  <c r="K98" i="24"/>
  <c r="J30" i="37"/>
  <c r="J166" i="37"/>
  <c r="J575" i="37" s="1"/>
  <c r="J167" i="37"/>
  <c r="J576" i="37" s="1"/>
  <c r="J164" i="37"/>
  <c r="J573" i="37" s="1"/>
  <c r="J165" i="37"/>
  <c r="J574" i="37" s="1"/>
  <c r="J170" i="37"/>
  <c r="J579" i="37" s="1"/>
  <c r="J169" i="37"/>
  <c r="J578" i="37" s="1"/>
  <c r="J168" i="37"/>
  <c r="J577" i="37" s="1"/>
  <c r="J32" i="31"/>
  <c r="J32" i="37"/>
  <c r="K107" i="24"/>
  <c r="J38" i="37"/>
  <c r="M95" i="24"/>
  <c r="L27" i="37"/>
  <c r="K108" i="24"/>
  <c r="J39" i="37"/>
  <c r="K106" i="24"/>
  <c r="J37" i="37"/>
  <c r="K164" i="37"/>
  <c r="K573" i="37" s="1"/>
  <c r="K165" i="37"/>
  <c r="K574" i="37" s="1"/>
  <c r="K166" i="37"/>
  <c r="K575" i="37" s="1"/>
  <c r="K167" i="37"/>
  <c r="K576" i="37" s="1"/>
  <c r="K263" i="37"/>
  <c r="K672" i="37" s="1"/>
  <c r="K227" i="37"/>
  <c r="K636" i="37" s="1"/>
  <c r="K215" i="37"/>
  <c r="K624" i="37" s="1"/>
  <c r="K180" i="37"/>
  <c r="K589" i="37" s="1"/>
  <c r="K256" i="37"/>
  <c r="K665" i="37" s="1"/>
  <c r="K262" i="37"/>
  <c r="K671" i="37" s="1"/>
  <c r="K168" i="37"/>
  <c r="K577" i="37" s="1"/>
  <c r="K197" i="37"/>
  <c r="K606" i="37" s="1"/>
  <c r="K191" i="37"/>
  <c r="K600" i="37" s="1"/>
  <c r="K228" i="37"/>
  <c r="K637" i="37" s="1"/>
  <c r="K210" i="37"/>
  <c r="K619" i="37" s="1"/>
  <c r="K244" i="37"/>
  <c r="K653" i="37" s="1"/>
  <c r="K234" i="37"/>
  <c r="K643" i="37" s="1"/>
  <c r="K211" i="37"/>
  <c r="K620" i="37" s="1"/>
  <c r="K196" i="37"/>
  <c r="K605" i="37" s="1"/>
  <c r="K251" i="37"/>
  <c r="K660" i="37" s="1"/>
  <c r="K250" i="37"/>
  <c r="K659" i="37" s="1"/>
  <c r="K204" i="37"/>
  <c r="K613" i="37" s="1"/>
  <c r="K177" i="37"/>
  <c r="K586" i="37" s="1"/>
  <c r="K246" i="37"/>
  <c r="K655" i="37" s="1"/>
  <c r="K175" i="37"/>
  <c r="K584" i="37" s="1"/>
  <c r="K173" i="37"/>
  <c r="K582" i="37" s="1"/>
  <c r="K240" i="37"/>
  <c r="K649" i="37" s="1"/>
  <c r="K203" i="37"/>
  <c r="K612" i="37" s="1"/>
  <c r="K192" i="37"/>
  <c r="K601" i="37" s="1"/>
  <c r="K257" i="37"/>
  <c r="K666" i="37" s="1"/>
  <c r="K218" i="37"/>
  <c r="K627" i="37" s="1"/>
  <c r="K187" i="37"/>
  <c r="K596" i="37" s="1"/>
  <c r="K261" i="37"/>
  <c r="K670" i="37" s="1"/>
  <c r="K189" i="37"/>
  <c r="K598" i="37" s="1"/>
  <c r="K202" i="37"/>
  <c r="K611" i="37" s="1"/>
  <c r="K198" i="37"/>
  <c r="K607" i="37" s="1"/>
  <c r="K224" i="37"/>
  <c r="K633" i="37" s="1"/>
  <c r="K252" i="37"/>
  <c r="K661" i="37" s="1"/>
  <c r="K243" i="37"/>
  <c r="K652" i="37" s="1"/>
  <c r="K174" i="37"/>
  <c r="K583" i="37" s="1"/>
  <c r="K217" i="37"/>
  <c r="K626" i="37" s="1"/>
  <c r="K172" i="37"/>
  <c r="K581" i="37" s="1"/>
  <c r="K212" i="37"/>
  <c r="K621" i="37" s="1"/>
  <c r="K169" i="37"/>
  <c r="K578" i="37" s="1"/>
  <c r="K226" i="37"/>
  <c r="K635" i="37" s="1"/>
  <c r="K229" i="37"/>
  <c r="K638" i="37" s="1"/>
  <c r="K241" i="37"/>
  <c r="K650" i="37" s="1"/>
  <c r="K184" i="37"/>
  <c r="K593" i="37" s="1"/>
  <c r="K182" i="37"/>
  <c r="K591" i="37" s="1"/>
  <c r="K216" i="37"/>
  <c r="K625" i="37" s="1"/>
  <c r="K242" i="37"/>
  <c r="K651" i="37" s="1"/>
  <c r="K232" i="37"/>
  <c r="K641" i="37" s="1"/>
  <c r="K223" i="37"/>
  <c r="K632" i="37" s="1"/>
  <c r="K225" i="37"/>
  <c r="K634" i="37" s="1"/>
  <c r="K194" i="37"/>
  <c r="K603" i="37" s="1"/>
  <c r="K176" i="37"/>
  <c r="K585" i="37" s="1"/>
  <c r="K214" i="37"/>
  <c r="K623" i="37" s="1"/>
  <c r="K230" i="37"/>
  <c r="K639" i="37" s="1"/>
  <c r="K249" i="37"/>
  <c r="K658" i="37" s="1"/>
  <c r="K236" i="37"/>
  <c r="K645" i="37" s="1"/>
  <c r="K188" i="37"/>
  <c r="K597" i="37" s="1"/>
  <c r="K209" i="37"/>
  <c r="K618" i="37" s="1"/>
  <c r="K199" i="37"/>
  <c r="K608" i="37" s="1"/>
  <c r="K222" i="37"/>
  <c r="K631" i="37" s="1"/>
  <c r="K200" i="37"/>
  <c r="K609" i="37" s="1"/>
  <c r="K205" i="37"/>
  <c r="K614" i="37" s="1"/>
  <c r="K248" i="37"/>
  <c r="K657" i="37" s="1"/>
  <c r="K254" i="37"/>
  <c r="K663" i="37" s="1"/>
  <c r="K201" i="37"/>
  <c r="K610" i="37" s="1"/>
  <c r="K220" i="37"/>
  <c r="K629" i="37" s="1"/>
  <c r="K190" i="37"/>
  <c r="K599" i="37" s="1"/>
  <c r="K183" i="37"/>
  <c r="K592" i="37" s="1"/>
  <c r="K186" i="37"/>
  <c r="K595" i="37" s="1"/>
  <c r="K239" i="37"/>
  <c r="K648" i="37" s="1"/>
  <c r="K245" i="37"/>
  <c r="K654" i="37" s="1"/>
  <c r="K253" i="37"/>
  <c r="K662" i="37" s="1"/>
  <c r="K170" i="37"/>
  <c r="K579" i="37" s="1"/>
  <c r="K179" i="37"/>
  <c r="K588" i="37" s="1"/>
  <c r="K181" i="37"/>
  <c r="K590" i="37" s="1"/>
  <c r="K206" i="37"/>
  <c r="K615" i="37" s="1"/>
  <c r="K259" i="37"/>
  <c r="K668" i="37" s="1"/>
  <c r="K207" i="37"/>
  <c r="K616" i="37" s="1"/>
  <c r="K260" i="37"/>
  <c r="K669" i="37" s="1"/>
  <c r="K208" i="37"/>
  <c r="K617" i="37" s="1"/>
  <c r="K219" i="37"/>
  <c r="K628" i="37" s="1"/>
  <c r="K235" i="37"/>
  <c r="K644" i="37" s="1"/>
  <c r="K231" i="37"/>
  <c r="K640" i="37" s="1"/>
  <c r="K237" i="37"/>
  <c r="K646" i="37" s="1"/>
  <c r="K171" i="37"/>
  <c r="K580" i="37" s="1"/>
  <c r="K233" i="37"/>
  <c r="K642" i="37" s="1"/>
  <c r="K247" i="37"/>
  <c r="K656" i="37" s="1"/>
  <c r="K178" i="37"/>
  <c r="K587" i="37" s="1"/>
  <c r="K193" i="37"/>
  <c r="K602" i="37" s="1"/>
  <c r="K238" i="37"/>
  <c r="K647" i="37" s="1"/>
  <c r="K258" i="37"/>
  <c r="K667" i="37" s="1"/>
  <c r="K221" i="37"/>
  <c r="K630" i="37" s="1"/>
  <c r="K255" i="37"/>
  <c r="K664" i="37" s="1"/>
  <c r="K185" i="37"/>
  <c r="K594" i="37" s="1"/>
  <c r="K195" i="37"/>
  <c r="K604" i="37" s="1"/>
  <c r="K213" i="37"/>
  <c r="K622" i="37" s="1"/>
  <c r="J37" i="31"/>
  <c r="J31" i="31"/>
  <c r="K99" i="24"/>
  <c r="Q90" i="18"/>
  <c r="Q91" i="18" s="1"/>
  <c r="M10" i="19"/>
  <c r="L125" i="19"/>
  <c r="P140" i="16"/>
  <c r="Q71" i="18"/>
  <c r="S40" i="16"/>
  <c r="M88" i="19"/>
  <c r="M123" i="19"/>
  <c r="N38" i="26"/>
  <c r="N52" i="8"/>
  <c r="N79" i="8"/>
  <c r="AA369" i="1"/>
  <c r="AA147" i="1" s="1"/>
  <c r="AA166" i="1" s="1"/>
  <c r="AA234" i="1" s="1"/>
  <c r="Z147" i="1"/>
  <c r="Z166" i="1" s="1"/>
  <c r="Z234" i="1" s="1"/>
  <c r="Z235" i="1" s="1"/>
  <c r="Z255" i="1"/>
  <c r="Z274" i="1" s="1"/>
  <c r="Z347" i="1" s="1"/>
  <c r="Z24" i="1"/>
  <c r="Z43" i="1" s="1"/>
  <c r="Z126" i="1" s="1"/>
  <c r="Z127" i="1" s="1"/>
  <c r="J39" i="31"/>
  <c r="J38" i="31"/>
  <c r="Y389" i="1"/>
  <c r="K109" i="24"/>
  <c r="J30" i="31"/>
  <c r="J69" i="31" s="1"/>
  <c r="J99" i="31" s="1"/>
  <c r="K100" i="24"/>
  <c r="N85" i="24"/>
  <c r="M35" i="37" s="1"/>
  <c r="N78" i="24"/>
  <c r="J116" i="24"/>
  <c r="J118" i="24" s="1"/>
  <c r="Y439" i="1"/>
  <c r="Z446" i="1"/>
  <c r="Z389" i="1"/>
  <c r="N23" i="26"/>
  <c r="M23" i="25"/>
  <c r="O47" i="24"/>
  <c r="O72" i="24"/>
  <c r="N17" i="18"/>
  <c r="L18" i="18"/>
  <c r="L35" i="31"/>
  <c r="M104" i="24"/>
  <c r="L27" i="31"/>
  <c r="N79" i="24"/>
  <c r="M29" i="37" s="1"/>
  <c r="M82" i="24"/>
  <c r="L32" i="37" s="1"/>
  <c r="L29" i="31"/>
  <c r="M88" i="24"/>
  <c r="L39" i="37" s="1"/>
  <c r="M87" i="24"/>
  <c r="L38" i="37" s="1"/>
  <c r="M89" i="24"/>
  <c r="L40" i="37" s="1"/>
  <c r="M86" i="24"/>
  <c r="L37" i="37" s="1"/>
  <c r="M97" i="24"/>
  <c r="M81" i="24"/>
  <c r="L31" i="37" s="1"/>
  <c r="M80" i="24"/>
  <c r="L30" i="37" s="1"/>
  <c r="L100" i="24"/>
  <c r="K32" i="31"/>
  <c r="K39" i="31"/>
  <c r="L108" i="24"/>
  <c r="M106" i="8"/>
  <c r="M114" i="8" s="1"/>
  <c r="K40" i="31"/>
  <c r="L109" i="24"/>
  <c r="L106" i="24"/>
  <c r="K37" i="31"/>
  <c r="M49" i="19"/>
  <c r="L115" i="24"/>
  <c r="N47" i="19"/>
  <c r="R70" i="16" s="1"/>
  <c r="N20" i="25"/>
  <c r="N22" i="25" s="1"/>
  <c r="N15" i="25"/>
  <c r="N17" i="25" s="1"/>
  <c r="Q59" i="18"/>
  <c r="O369" i="1" s="1"/>
  <c r="O20" i="26"/>
  <c r="O22" i="26" s="1"/>
  <c r="O15" i="26"/>
  <c r="O17" i="26" s="1"/>
  <c r="L99" i="24"/>
  <c r="K31" i="31"/>
  <c r="O74" i="24"/>
  <c r="N8" i="19"/>
  <c r="R55" i="16" s="1"/>
  <c r="P57" i="24"/>
  <c r="P67" i="24" s="1"/>
  <c r="P71" i="24" s="1"/>
  <c r="K38" i="31"/>
  <c r="L107" i="24"/>
  <c r="L98" i="24"/>
  <c r="K30" i="31"/>
  <c r="P32" i="24"/>
  <c r="P42" i="24" s="1"/>
  <c r="P46" i="24" s="1"/>
  <c r="P47" i="24" s="1"/>
  <c r="N86" i="19"/>
  <c r="R85" i="16" s="1"/>
  <c r="O25" i="8" l="1"/>
  <c r="J193" i="37"/>
  <c r="J602" i="37" s="1"/>
  <c r="J178" i="37"/>
  <c r="J587" i="37" s="1"/>
  <c r="J263" i="37"/>
  <c r="J672" i="37" s="1"/>
  <c r="J179" i="37"/>
  <c r="J588" i="37" s="1"/>
  <c r="J243" i="37"/>
  <c r="J652" i="37" s="1"/>
  <c r="J214" i="37"/>
  <c r="J623" i="37" s="1"/>
  <c r="J172" i="37"/>
  <c r="J581" i="37" s="1"/>
  <c r="K110" i="24"/>
  <c r="K113" i="24" s="1"/>
  <c r="J221" i="37"/>
  <c r="J630" i="37" s="1"/>
  <c r="J252" i="37"/>
  <c r="J661" i="37" s="1"/>
  <c r="J238" i="37"/>
  <c r="J647" i="37" s="1"/>
  <c r="J205" i="37"/>
  <c r="J614" i="37" s="1"/>
  <c r="J242" i="37"/>
  <c r="J651" i="37" s="1"/>
  <c r="J255" i="37"/>
  <c r="J664" i="37" s="1"/>
  <c r="J212" i="37"/>
  <c r="J621" i="37" s="1"/>
  <c r="J195" i="37"/>
  <c r="J604" i="37" s="1"/>
  <c r="J216" i="37"/>
  <c r="J625" i="37" s="1"/>
  <c r="J174" i="37"/>
  <c r="J583" i="37" s="1"/>
  <c r="J236" i="37"/>
  <c r="J645" i="37" s="1"/>
  <c r="J241" i="37"/>
  <c r="J650" i="37" s="1"/>
  <c r="J173" i="37"/>
  <c r="J582" i="37" s="1"/>
  <c r="J200" i="37"/>
  <c r="J609" i="37" s="1"/>
  <c r="J194" i="37"/>
  <c r="J603" i="37" s="1"/>
  <c r="J249" i="37"/>
  <c r="J658" i="37" s="1"/>
  <c r="J181" i="37"/>
  <c r="J590" i="37" s="1"/>
  <c r="J206" i="37"/>
  <c r="J615" i="37" s="1"/>
  <c r="J260" i="37"/>
  <c r="J669" i="37" s="1"/>
  <c r="J256" i="37"/>
  <c r="J665" i="37" s="1"/>
  <c r="J254" i="37"/>
  <c r="J663" i="37" s="1"/>
  <c r="J235" i="37"/>
  <c r="J644" i="37" s="1"/>
  <c r="J215" i="37"/>
  <c r="J624" i="37" s="1"/>
  <c r="J237" i="37"/>
  <c r="J646" i="37" s="1"/>
  <c r="J219" i="37"/>
  <c r="J628" i="37" s="1"/>
  <c r="J233" i="37"/>
  <c r="J642" i="37" s="1"/>
  <c r="J177" i="37"/>
  <c r="J586" i="37" s="1"/>
  <c r="J204" i="37"/>
  <c r="J613" i="37" s="1"/>
  <c r="J262" i="37"/>
  <c r="J671" i="37" s="1"/>
  <c r="J220" i="37"/>
  <c r="J629" i="37" s="1"/>
  <c r="J234" i="37"/>
  <c r="J643" i="37" s="1"/>
  <c r="L166" i="37"/>
  <c r="L575" i="37" s="1"/>
  <c r="L167" i="37"/>
  <c r="L576" i="37" s="1"/>
  <c r="L263" i="37"/>
  <c r="L672" i="37" s="1"/>
  <c r="L164" i="37"/>
  <c r="L573" i="37" s="1"/>
  <c r="L165" i="37"/>
  <c r="L574" i="37" s="1"/>
  <c r="L252" i="37"/>
  <c r="L661" i="37" s="1"/>
  <c r="L196" i="37"/>
  <c r="L605" i="37" s="1"/>
  <c r="L171" i="37"/>
  <c r="L580" i="37" s="1"/>
  <c r="L169" i="37"/>
  <c r="L578" i="37" s="1"/>
  <c r="L198" i="37"/>
  <c r="L607" i="37" s="1"/>
  <c r="L222" i="37"/>
  <c r="L631" i="37" s="1"/>
  <c r="L246" i="37"/>
  <c r="L655" i="37" s="1"/>
  <c r="L254" i="37"/>
  <c r="L663" i="37" s="1"/>
  <c r="L188" i="37"/>
  <c r="L597" i="37" s="1"/>
  <c r="L210" i="37"/>
  <c r="L619" i="37" s="1"/>
  <c r="L228" i="37"/>
  <c r="L637" i="37" s="1"/>
  <c r="L234" i="37"/>
  <c r="L643" i="37" s="1"/>
  <c r="L176" i="37"/>
  <c r="L585" i="37" s="1"/>
  <c r="L200" i="37"/>
  <c r="L609" i="37" s="1"/>
  <c r="L216" i="37"/>
  <c r="L625" i="37" s="1"/>
  <c r="L218" i="37"/>
  <c r="L627" i="37" s="1"/>
  <c r="L247" i="37"/>
  <c r="L656" i="37" s="1"/>
  <c r="L221" i="37"/>
  <c r="L630" i="37" s="1"/>
  <c r="L240" i="37"/>
  <c r="L649" i="37" s="1"/>
  <c r="L197" i="37"/>
  <c r="L606" i="37" s="1"/>
  <c r="L181" i="37"/>
  <c r="L590" i="37" s="1"/>
  <c r="L199" i="37"/>
  <c r="L608" i="37" s="1"/>
  <c r="L183" i="37"/>
  <c r="L592" i="37" s="1"/>
  <c r="L178" i="37"/>
  <c r="L587" i="37" s="1"/>
  <c r="L174" i="37"/>
  <c r="L583" i="37" s="1"/>
  <c r="L191" i="37"/>
  <c r="L600" i="37" s="1"/>
  <c r="L170" i="37"/>
  <c r="L579" i="37" s="1"/>
  <c r="L241" i="37"/>
  <c r="L650" i="37" s="1"/>
  <c r="L232" i="37"/>
  <c r="L641" i="37" s="1"/>
  <c r="L179" i="37"/>
  <c r="L588" i="37" s="1"/>
  <c r="L207" i="37"/>
  <c r="L616" i="37" s="1"/>
  <c r="L190" i="37"/>
  <c r="L599" i="37" s="1"/>
  <c r="L248" i="37"/>
  <c r="L657" i="37" s="1"/>
  <c r="L261" i="37"/>
  <c r="L670" i="37" s="1"/>
  <c r="L257" i="37"/>
  <c r="L666" i="37" s="1"/>
  <c r="L202" i="37"/>
  <c r="L611" i="37" s="1"/>
  <c r="L182" i="37"/>
  <c r="L591" i="37" s="1"/>
  <c r="L205" i="37"/>
  <c r="L614" i="37" s="1"/>
  <c r="L255" i="37"/>
  <c r="L664" i="37" s="1"/>
  <c r="L187" i="37"/>
  <c r="L596" i="37" s="1"/>
  <c r="L185" i="37"/>
  <c r="L594" i="37" s="1"/>
  <c r="L215" i="37"/>
  <c r="L624" i="37" s="1"/>
  <c r="L237" i="37"/>
  <c r="L646" i="37" s="1"/>
  <c r="L217" i="37"/>
  <c r="L626" i="37" s="1"/>
  <c r="L226" i="37"/>
  <c r="L635" i="37" s="1"/>
  <c r="L253" i="37"/>
  <c r="L662" i="37" s="1"/>
  <c r="L175" i="37"/>
  <c r="L584" i="37" s="1"/>
  <c r="L173" i="37"/>
  <c r="L582" i="37" s="1"/>
  <c r="L203" i="37"/>
  <c r="L612" i="37" s="1"/>
  <c r="L225" i="37"/>
  <c r="L634" i="37" s="1"/>
  <c r="L250" i="37"/>
  <c r="L659" i="37" s="1"/>
  <c r="L192" i="37"/>
  <c r="L601" i="37" s="1"/>
  <c r="L214" i="37"/>
  <c r="L623" i="37" s="1"/>
  <c r="L209" i="37"/>
  <c r="L618" i="37" s="1"/>
  <c r="L238" i="37"/>
  <c r="L647" i="37" s="1"/>
  <c r="L256" i="37"/>
  <c r="L665" i="37" s="1"/>
  <c r="L258" i="37"/>
  <c r="L667" i="37" s="1"/>
  <c r="L220" i="37"/>
  <c r="L629" i="37" s="1"/>
  <c r="L244" i="37"/>
  <c r="L653" i="37" s="1"/>
  <c r="L235" i="37"/>
  <c r="L644" i="37" s="1"/>
  <c r="L201" i="37"/>
  <c r="L610" i="37" s="1"/>
  <c r="L168" i="37"/>
  <c r="L577" i="37" s="1"/>
  <c r="L208" i="37"/>
  <c r="L617" i="37" s="1"/>
  <c r="L239" i="37"/>
  <c r="L648" i="37" s="1"/>
  <c r="L189" i="37"/>
  <c r="L598" i="37" s="1"/>
  <c r="L227" i="37"/>
  <c r="L636" i="37" s="1"/>
  <c r="L177" i="37"/>
  <c r="L586" i="37" s="1"/>
  <c r="L229" i="37"/>
  <c r="L638" i="37" s="1"/>
  <c r="L249" i="37"/>
  <c r="L658" i="37" s="1"/>
  <c r="L242" i="37"/>
  <c r="L651" i="37" s="1"/>
  <c r="L184" i="37"/>
  <c r="L593" i="37" s="1"/>
  <c r="L194" i="37"/>
  <c r="L603" i="37" s="1"/>
  <c r="L193" i="37"/>
  <c r="L602" i="37" s="1"/>
  <c r="L204" i="37"/>
  <c r="L613" i="37" s="1"/>
  <c r="L186" i="37"/>
  <c r="L595" i="37" s="1"/>
  <c r="L260" i="37"/>
  <c r="L669" i="37" s="1"/>
  <c r="L224" i="37"/>
  <c r="L633" i="37" s="1"/>
  <c r="L245" i="37"/>
  <c r="L654" i="37" s="1"/>
  <c r="L223" i="37"/>
  <c r="L632" i="37" s="1"/>
  <c r="L172" i="37"/>
  <c r="L581" i="37" s="1"/>
  <c r="L231" i="37"/>
  <c r="L640" i="37" s="1"/>
  <c r="L219" i="37"/>
  <c r="L628" i="37" s="1"/>
  <c r="L259" i="37"/>
  <c r="L668" i="37" s="1"/>
  <c r="L206" i="37"/>
  <c r="L615" i="37" s="1"/>
  <c r="L212" i="37"/>
  <c r="L621" i="37" s="1"/>
  <c r="L180" i="37"/>
  <c r="L589" i="37" s="1"/>
  <c r="L233" i="37"/>
  <c r="L642" i="37" s="1"/>
  <c r="L251" i="37"/>
  <c r="L660" i="37" s="1"/>
  <c r="L213" i="37"/>
  <c r="L622" i="37" s="1"/>
  <c r="L262" i="37"/>
  <c r="L671" i="37" s="1"/>
  <c r="L211" i="37"/>
  <c r="L620" i="37" s="1"/>
  <c r="L236" i="37"/>
  <c r="L645" i="37" s="1"/>
  <c r="L230" i="37"/>
  <c r="L639" i="37" s="1"/>
  <c r="L243" i="37"/>
  <c r="L652" i="37" s="1"/>
  <c r="L195" i="37"/>
  <c r="L604" i="37" s="1"/>
  <c r="J259" i="37"/>
  <c r="J668" i="37" s="1"/>
  <c r="J248" i="37"/>
  <c r="J657" i="37" s="1"/>
  <c r="J223" i="37"/>
  <c r="J632" i="37" s="1"/>
  <c r="J186" i="37"/>
  <c r="J595" i="37" s="1"/>
  <c r="J228" i="37"/>
  <c r="J637" i="37" s="1"/>
  <c r="J230" i="37"/>
  <c r="J639" i="37" s="1"/>
  <c r="J183" i="37"/>
  <c r="J592" i="37" s="1"/>
  <c r="J202" i="37"/>
  <c r="J611" i="37" s="1"/>
  <c r="J201" i="37"/>
  <c r="J610" i="37" s="1"/>
  <c r="J187" i="37"/>
  <c r="J596" i="37" s="1"/>
  <c r="J207" i="37"/>
  <c r="J616" i="37" s="1"/>
  <c r="J247" i="37"/>
  <c r="J656" i="37" s="1"/>
  <c r="J175" i="37"/>
  <c r="J584" i="37" s="1"/>
  <c r="J229" i="37"/>
  <c r="J638" i="37" s="1"/>
  <c r="J225" i="37"/>
  <c r="J634" i="37" s="1"/>
  <c r="J258" i="37"/>
  <c r="J667" i="37" s="1"/>
  <c r="J209" i="37"/>
  <c r="J618" i="37" s="1"/>
  <c r="J199" i="37"/>
  <c r="J608" i="37" s="1"/>
  <c r="J222" i="37"/>
  <c r="J631" i="37" s="1"/>
  <c r="J208" i="37"/>
  <c r="J617" i="37" s="1"/>
  <c r="J253" i="37"/>
  <c r="J662" i="37" s="1"/>
  <c r="J261" i="37"/>
  <c r="J670" i="37" s="1"/>
  <c r="J211" i="37"/>
  <c r="J620" i="37" s="1"/>
  <c r="N95" i="24"/>
  <c r="M27" i="37"/>
  <c r="J191" i="37"/>
  <c r="J600" i="37" s="1"/>
  <c r="J184" i="37"/>
  <c r="J593" i="37" s="1"/>
  <c r="J198" i="37"/>
  <c r="J607" i="37" s="1"/>
  <c r="J227" i="37"/>
  <c r="J636" i="37" s="1"/>
  <c r="J189" i="37"/>
  <c r="J598" i="37" s="1"/>
  <c r="J250" i="37"/>
  <c r="J659" i="37" s="1"/>
  <c r="J213" i="37"/>
  <c r="J622" i="37" s="1"/>
  <c r="J203" i="37"/>
  <c r="J612" i="37" s="1"/>
  <c r="J245" i="37"/>
  <c r="J654" i="37" s="1"/>
  <c r="J182" i="37"/>
  <c r="J591" i="37" s="1"/>
  <c r="J218" i="37"/>
  <c r="J627" i="37" s="1"/>
  <c r="J224" i="37"/>
  <c r="J633" i="37" s="1"/>
  <c r="J176" i="37"/>
  <c r="J585" i="37" s="1"/>
  <c r="J244" i="37"/>
  <c r="J653" i="37" s="1"/>
  <c r="J251" i="37"/>
  <c r="J660" i="37" s="1"/>
  <c r="J240" i="37"/>
  <c r="J649" i="37" s="1"/>
  <c r="J239" i="37"/>
  <c r="J648" i="37" s="1"/>
  <c r="J190" i="37"/>
  <c r="J599" i="37" s="1"/>
  <c r="J210" i="37"/>
  <c r="J619" i="37" s="1"/>
  <c r="J188" i="37"/>
  <c r="J597" i="37" s="1"/>
  <c r="J192" i="37"/>
  <c r="J601" i="37" s="1"/>
  <c r="J196" i="37"/>
  <c r="J605" i="37" s="1"/>
  <c r="J231" i="37"/>
  <c r="J640" i="37" s="1"/>
  <c r="J185" i="37"/>
  <c r="J594" i="37" s="1"/>
  <c r="J171" i="37"/>
  <c r="J580" i="37" s="1"/>
  <c r="J257" i="37"/>
  <c r="J666" i="37" s="1"/>
  <c r="J197" i="37"/>
  <c r="J606" i="37" s="1"/>
  <c r="J217" i="37"/>
  <c r="J626" i="37" s="1"/>
  <c r="J232" i="37"/>
  <c r="J641" i="37" s="1"/>
  <c r="J226" i="37"/>
  <c r="J635" i="37" s="1"/>
  <c r="J180" i="37"/>
  <c r="J589" i="37" s="1"/>
  <c r="J246" i="37"/>
  <c r="J655" i="37" s="1"/>
  <c r="K73" i="31"/>
  <c r="K103" i="31" s="1"/>
  <c r="K70" i="31"/>
  <c r="K100" i="31" s="1"/>
  <c r="K69" i="31"/>
  <c r="K99" i="31" s="1"/>
  <c r="K101" i="24"/>
  <c r="K112" i="24" s="1"/>
  <c r="K116" i="24" s="1"/>
  <c r="K118" i="24" s="1"/>
  <c r="J71" i="31"/>
  <c r="J101" i="31" s="1"/>
  <c r="K71" i="31"/>
  <c r="K72" i="31"/>
  <c r="K102" i="31" s="1"/>
  <c r="J73" i="31"/>
  <c r="J103" i="31" s="1"/>
  <c r="J70" i="31"/>
  <c r="J100" i="31" s="1"/>
  <c r="J72" i="31"/>
  <c r="J102" i="31" s="1"/>
  <c r="N49" i="19"/>
  <c r="M125" i="19"/>
  <c r="Q140" i="16"/>
  <c r="N88" i="19"/>
  <c r="N123" i="19"/>
  <c r="O38" i="26"/>
  <c r="O52" i="8"/>
  <c r="AA24" i="1"/>
  <c r="AA43" i="1" s="1"/>
  <c r="AA126" i="1" s="1"/>
  <c r="AA127" i="1" s="1"/>
  <c r="AB369" i="1"/>
  <c r="AB255" i="1" s="1"/>
  <c r="AB274" i="1" s="1"/>
  <c r="AB347" i="1" s="1"/>
  <c r="AA388" i="1"/>
  <c r="AA446" i="1" s="1"/>
  <c r="O79" i="8"/>
  <c r="AA235" i="1"/>
  <c r="Z439" i="1"/>
  <c r="AA255" i="1"/>
  <c r="AA274" i="1" s="1"/>
  <c r="AA347" i="1" s="1"/>
  <c r="O78" i="24"/>
  <c r="O85" i="24"/>
  <c r="N35" i="37" s="1"/>
  <c r="O23" i="26"/>
  <c r="N23" i="25"/>
  <c r="P72" i="24"/>
  <c r="N18" i="18"/>
  <c r="O17" i="18"/>
  <c r="L101" i="24"/>
  <c r="L112" i="24" s="1"/>
  <c r="L37" i="31"/>
  <c r="M106" i="24"/>
  <c r="M98" i="24"/>
  <c r="L30" i="31"/>
  <c r="L40" i="31"/>
  <c r="M109" i="24"/>
  <c r="L32" i="31"/>
  <c r="M100" i="24"/>
  <c r="M29" i="31"/>
  <c r="N80" i="24"/>
  <c r="M30" i="37" s="1"/>
  <c r="N88" i="24"/>
  <c r="M39" i="37" s="1"/>
  <c r="N89" i="24"/>
  <c r="M40" i="37" s="1"/>
  <c r="N97" i="24"/>
  <c r="N82" i="24"/>
  <c r="M32" i="37" s="1"/>
  <c r="N86" i="24"/>
  <c r="M37" i="37" s="1"/>
  <c r="N81" i="24"/>
  <c r="M31" i="37" s="1"/>
  <c r="N87" i="24"/>
  <c r="M38" i="37" s="1"/>
  <c r="M27" i="31"/>
  <c r="M99" i="24"/>
  <c r="L31" i="31"/>
  <c r="L38" i="31"/>
  <c r="M107" i="24"/>
  <c r="M115" i="24"/>
  <c r="L110" i="24"/>
  <c r="L113" i="24" s="1"/>
  <c r="N106" i="8"/>
  <c r="N114" i="8" s="1"/>
  <c r="M108" i="24"/>
  <c r="L39" i="31"/>
  <c r="M35" i="31"/>
  <c r="N104" i="24"/>
  <c r="P74" i="24"/>
  <c r="O8" i="19"/>
  <c r="S55" i="16" s="1"/>
  <c r="N10" i="19"/>
  <c r="O47" i="19"/>
  <c r="S70" i="16" s="1"/>
  <c r="K101" i="31"/>
  <c r="O79" i="24"/>
  <c r="N29" i="37" s="1"/>
  <c r="O86" i="19"/>
  <c r="S85" i="16" s="1"/>
  <c r="M166" i="37" l="1"/>
  <c r="M575" i="37" s="1"/>
  <c r="M263" i="37"/>
  <c r="M672" i="37" s="1"/>
  <c r="M167" i="37"/>
  <c r="M576" i="37" s="1"/>
  <c r="M165" i="37"/>
  <c r="M574" i="37" s="1"/>
  <c r="M164" i="37"/>
  <c r="M573" i="37" s="1"/>
  <c r="M187" i="37"/>
  <c r="M596" i="37" s="1"/>
  <c r="M262" i="37"/>
  <c r="M671" i="37" s="1"/>
  <c r="M261" i="37"/>
  <c r="M670" i="37" s="1"/>
  <c r="M190" i="37"/>
  <c r="M599" i="37" s="1"/>
  <c r="M188" i="37"/>
  <c r="M597" i="37" s="1"/>
  <c r="M177" i="37"/>
  <c r="M586" i="37" s="1"/>
  <c r="M181" i="37"/>
  <c r="M590" i="37" s="1"/>
  <c r="M230" i="37"/>
  <c r="M639" i="37" s="1"/>
  <c r="M257" i="37"/>
  <c r="M666" i="37" s="1"/>
  <c r="M178" i="37"/>
  <c r="M587" i="37" s="1"/>
  <c r="M176" i="37"/>
  <c r="M585" i="37" s="1"/>
  <c r="M206" i="37"/>
  <c r="M615" i="37" s="1"/>
  <c r="M240" i="37"/>
  <c r="M649" i="37" s="1"/>
  <c r="M218" i="37"/>
  <c r="M627" i="37" s="1"/>
  <c r="M256" i="37"/>
  <c r="M665" i="37" s="1"/>
  <c r="M253" i="37"/>
  <c r="M662" i="37" s="1"/>
  <c r="M198" i="37"/>
  <c r="M607" i="37" s="1"/>
  <c r="M196" i="37"/>
  <c r="M605" i="37" s="1"/>
  <c r="M203" i="37"/>
  <c r="M612" i="37" s="1"/>
  <c r="M222" i="37"/>
  <c r="M631" i="37" s="1"/>
  <c r="M238" i="37"/>
  <c r="M647" i="37" s="1"/>
  <c r="M242" i="37"/>
  <c r="M651" i="37" s="1"/>
  <c r="M171" i="37"/>
  <c r="M580" i="37" s="1"/>
  <c r="M214" i="37"/>
  <c r="M623" i="37" s="1"/>
  <c r="M255" i="37"/>
  <c r="M664" i="37" s="1"/>
  <c r="M200" i="37"/>
  <c r="M609" i="37" s="1"/>
  <c r="M184" i="37"/>
  <c r="M593" i="37" s="1"/>
  <c r="M217" i="37"/>
  <c r="M626" i="37" s="1"/>
  <c r="M213" i="37"/>
  <c r="M622" i="37" s="1"/>
  <c r="M241" i="37"/>
  <c r="M650" i="37" s="1"/>
  <c r="M201" i="37"/>
  <c r="M610" i="37" s="1"/>
  <c r="M199" i="37"/>
  <c r="M608" i="37" s="1"/>
  <c r="M226" i="37"/>
  <c r="M635" i="37" s="1"/>
  <c r="M224" i="37"/>
  <c r="M633" i="37" s="1"/>
  <c r="M237" i="37"/>
  <c r="M646" i="37" s="1"/>
  <c r="M259" i="37"/>
  <c r="M668" i="37" s="1"/>
  <c r="M212" i="37"/>
  <c r="M621" i="37" s="1"/>
  <c r="M175" i="37"/>
  <c r="M584" i="37" s="1"/>
  <c r="M185" i="37"/>
  <c r="M594" i="37" s="1"/>
  <c r="M211" i="37"/>
  <c r="M620" i="37" s="1"/>
  <c r="M228" i="37"/>
  <c r="M637" i="37" s="1"/>
  <c r="M246" i="37"/>
  <c r="M655" i="37" s="1"/>
  <c r="M260" i="37"/>
  <c r="M669" i="37" s="1"/>
  <c r="M194" i="37"/>
  <c r="M603" i="37" s="1"/>
  <c r="M192" i="37"/>
  <c r="M601" i="37" s="1"/>
  <c r="M193" i="37"/>
  <c r="M602" i="37" s="1"/>
  <c r="M204" i="37"/>
  <c r="M613" i="37" s="1"/>
  <c r="M234" i="37"/>
  <c r="M643" i="37" s="1"/>
  <c r="M235" i="37"/>
  <c r="M644" i="37" s="1"/>
  <c r="M183" i="37"/>
  <c r="M592" i="37" s="1"/>
  <c r="M205" i="37"/>
  <c r="M614" i="37" s="1"/>
  <c r="M219" i="37"/>
  <c r="M628" i="37" s="1"/>
  <c r="M233" i="37"/>
  <c r="M642" i="37" s="1"/>
  <c r="M225" i="37"/>
  <c r="M634" i="37" s="1"/>
  <c r="M247" i="37"/>
  <c r="M656" i="37" s="1"/>
  <c r="M168" i="37"/>
  <c r="M577" i="37" s="1"/>
  <c r="M220" i="37"/>
  <c r="M629" i="37" s="1"/>
  <c r="M254" i="37"/>
  <c r="M663" i="37" s="1"/>
  <c r="M243" i="37"/>
  <c r="M652" i="37" s="1"/>
  <c r="M191" i="37"/>
  <c r="M600" i="37" s="1"/>
  <c r="M227" i="37"/>
  <c r="M636" i="37" s="1"/>
  <c r="M179" i="37"/>
  <c r="M588" i="37" s="1"/>
  <c r="M215" i="37"/>
  <c r="M624" i="37" s="1"/>
  <c r="M229" i="37"/>
  <c r="M638" i="37" s="1"/>
  <c r="M189" i="37"/>
  <c r="M598" i="37" s="1"/>
  <c r="M249" i="37"/>
  <c r="M658" i="37" s="1"/>
  <c r="M207" i="37"/>
  <c r="M616" i="37" s="1"/>
  <c r="M251" i="37"/>
  <c r="M660" i="37" s="1"/>
  <c r="M186" i="37"/>
  <c r="M595" i="37" s="1"/>
  <c r="M258" i="37"/>
  <c r="M667" i="37" s="1"/>
  <c r="M236" i="37"/>
  <c r="M645" i="37" s="1"/>
  <c r="M173" i="37"/>
  <c r="M582" i="37" s="1"/>
  <c r="M180" i="37"/>
  <c r="M589" i="37" s="1"/>
  <c r="M197" i="37"/>
  <c r="M606" i="37" s="1"/>
  <c r="M210" i="37"/>
  <c r="M619" i="37" s="1"/>
  <c r="M248" i="37"/>
  <c r="M657" i="37" s="1"/>
  <c r="M232" i="37"/>
  <c r="M641" i="37" s="1"/>
  <c r="M250" i="37"/>
  <c r="M659" i="37" s="1"/>
  <c r="M172" i="37"/>
  <c r="M581" i="37" s="1"/>
  <c r="M245" i="37"/>
  <c r="M654" i="37" s="1"/>
  <c r="M244" i="37"/>
  <c r="M653" i="37" s="1"/>
  <c r="M252" i="37"/>
  <c r="M661" i="37" s="1"/>
  <c r="M170" i="37"/>
  <c r="M579" i="37" s="1"/>
  <c r="M202" i="37"/>
  <c r="M611" i="37" s="1"/>
  <c r="M195" i="37"/>
  <c r="M604" i="37" s="1"/>
  <c r="M221" i="37"/>
  <c r="M630" i="37" s="1"/>
  <c r="M209" i="37"/>
  <c r="M618" i="37" s="1"/>
  <c r="M174" i="37"/>
  <c r="M583" i="37" s="1"/>
  <c r="M208" i="37"/>
  <c r="M617" i="37" s="1"/>
  <c r="M239" i="37"/>
  <c r="M648" i="37" s="1"/>
  <c r="M216" i="37"/>
  <c r="M625" i="37" s="1"/>
  <c r="M169" i="37"/>
  <c r="M578" i="37" s="1"/>
  <c r="M223" i="37"/>
  <c r="M632" i="37" s="1"/>
  <c r="M182" i="37"/>
  <c r="M591" i="37" s="1"/>
  <c r="M231" i="37"/>
  <c r="M640" i="37" s="1"/>
  <c r="O95" i="24"/>
  <c r="N27" i="37"/>
  <c r="L72" i="31"/>
  <c r="L102" i="31" s="1"/>
  <c r="L71" i="31"/>
  <c r="L101" i="31" s="1"/>
  <c r="L69" i="31"/>
  <c r="L99" i="31" s="1"/>
  <c r="L73" i="31"/>
  <c r="L103" i="31" s="1"/>
  <c r="L70" i="31"/>
  <c r="L100" i="31" s="1"/>
  <c r="O49" i="19"/>
  <c r="N125" i="19"/>
  <c r="R140" i="16"/>
  <c r="O88" i="19"/>
  <c r="O123" i="19"/>
  <c r="AA389" i="1"/>
  <c r="AB388" i="1"/>
  <c r="AB389" i="1" s="1"/>
  <c r="AA439" i="1"/>
  <c r="AB147" i="1"/>
  <c r="AB166" i="1" s="1"/>
  <c r="AB234" i="1" s="1"/>
  <c r="AB235" i="1" s="1"/>
  <c r="AB24" i="1"/>
  <c r="AB43" i="1" s="1"/>
  <c r="AB126" i="1" s="1"/>
  <c r="AB127" i="1" s="1"/>
  <c r="P85" i="24"/>
  <c r="O35" i="37" s="1"/>
  <c r="P78" i="24"/>
  <c r="O18" i="18"/>
  <c r="P17" i="18"/>
  <c r="P18" i="18" s="1"/>
  <c r="L116" i="24"/>
  <c r="L118" i="24" s="1"/>
  <c r="N115" i="24"/>
  <c r="N106" i="24"/>
  <c r="M37" i="31"/>
  <c r="M39" i="31"/>
  <c r="N108" i="24"/>
  <c r="M110" i="24"/>
  <c r="M113" i="24" s="1"/>
  <c r="N100" i="24"/>
  <c r="M32" i="31"/>
  <c r="M30" i="31"/>
  <c r="M69" i="31" s="1"/>
  <c r="N98" i="24"/>
  <c r="O106" i="8"/>
  <c r="O114" i="8" s="1"/>
  <c r="M38" i="31"/>
  <c r="N107" i="24"/>
  <c r="M101" i="24"/>
  <c r="M112" i="24" s="1"/>
  <c r="N99" i="24"/>
  <c r="M31" i="31"/>
  <c r="N109" i="24"/>
  <c r="M40" i="31"/>
  <c r="O104" i="24"/>
  <c r="N35" i="31"/>
  <c r="O10" i="19"/>
  <c r="P79" i="24"/>
  <c r="O29" i="37" s="1"/>
  <c r="N27" i="31"/>
  <c r="N29" i="31"/>
  <c r="O81" i="24"/>
  <c r="N31" i="37" s="1"/>
  <c r="O82" i="24"/>
  <c r="N32" i="37" s="1"/>
  <c r="O86" i="24"/>
  <c r="N37" i="37" s="1"/>
  <c r="O80" i="24"/>
  <c r="N30" i="37" s="1"/>
  <c r="O88" i="24"/>
  <c r="N39" i="37" s="1"/>
  <c r="O89" i="24"/>
  <c r="N40" i="37" s="1"/>
  <c r="O97" i="24"/>
  <c r="O87" i="24"/>
  <c r="N38" i="37" s="1"/>
  <c r="G107" i="24"/>
  <c r="G82" i="24"/>
  <c r="F46" i="36" s="1"/>
  <c r="F32" i="37" l="1"/>
  <c r="F194" i="37" s="1"/>
  <c r="F603" i="37" s="1"/>
  <c r="E706" i="37" s="1"/>
  <c r="F706" i="37" s="1"/>
  <c r="B7" i="39"/>
  <c r="F221" i="37"/>
  <c r="F630" i="37" s="1"/>
  <c r="I700" i="37" s="1"/>
  <c r="J700" i="37" s="1"/>
  <c r="F208" i="37"/>
  <c r="F617" i="37" s="1"/>
  <c r="I687" i="37" s="1"/>
  <c r="J687" i="37" s="1"/>
  <c r="F210" i="37"/>
  <c r="F619" i="37" s="1"/>
  <c r="I689" i="37" s="1"/>
  <c r="J689" i="37" s="1"/>
  <c r="F226" i="37"/>
  <c r="F635" i="37" s="1"/>
  <c r="I705" i="37" s="1"/>
  <c r="J705" i="37" s="1"/>
  <c r="F238" i="37"/>
  <c r="F647" i="37" s="1"/>
  <c r="M684" i="37" s="1"/>
  <c r="N684" i="37" s="1"/>
  <c r="F188" i="37"/>
  <c r="F597" i="37" s="1"/>
  <c r="E700" i="37" s="1"/>
  <c r="F700" i="37" s="1"/>
  <c r="F260" i="37"/>
  <c r="F669" i="37" s="1"/>
  <c r="M706" i="37" s="1"/>
  <c r="N706" i="37" s="1"/>
  <c r="F241" i="37"/>
  <c r="F650" i="37" s="1"/>
  <c r="M687" i="37" s="1"/>
  <c r="N687" i="37" s="1"/>
  <c r="F248" i="37"/>
  <c r="F657" i="37" s="1"/>
  <c r="M694" i="37" s="1"/>
  <c r="N694" i="37" s="1"/>
  <c r="F232" i="37"/>
  <c r="F641" i="37" s="1"/>
  <c r="M678" i="37" s="1"/>
  <c r="N678" i="37" s="1"/>
  <c r="F198" i="37"/>
  <c r="F607" i="37" s="1"/>
  <c r="I677" i="37" s="1"/>
  <c r="J677" i="37" s="1"/>
  <c r="F220" i="37"/>
  <c r="F629" i="37" s="1"/>
  <c r="I699" i="37" s="1"/>
  <c r="J699" i="37" s="1"/>
  <c r="F200" i="37"/>
  <c r="F609" i="37" s="1"/>
  <c r="I679" i="37" s="1"/>
  <c r="J679" i="37" s="1"/>
  <c r="F229" i="37"/>
  <c r="F638" i="37" s="1"/>
  <c r="I708" i="37" s="1"/>
  <c r="J708" i="37" s="1"/>
  <c r="F197" i="37"/>
  <c r="F606" i="37" s="1"/>
  <c r="I676" i="37" s="1"/>
  <c r="J676" i="37" s="1"/>
  <c r="F240" i="37"/>
  <c r="F649" i="37" s="1"/>
  <c r="M686" i="37" s="1"/>
  <c r="N686" i="37" s="1"/>
  <c r="F228" i="37"/>
  <c r="F637" i="37" s="1"/>
  <c r="I707" i="37" s="1"/>
  <c r="J707" i="37" s="1"/>
  <c r="F246" i="37"/>
  <c r="F655" i="37" s="1"/>
  <c r="M692" i="37" s="1"/>
  <c r="N692" i="37" s="1"/>
  <c r="F192" i="37"/>
  <c r="F601" i="37" s="1"/>
  <c r="E704" i="37" s="1"/>
  <c r="F704" i="37" s="1"/>
  <c r="F236" i="37"/>
  <c r="F645" i="37" s="1"/>
  <c r="M682" i="37" s="1"/>
  <c r="N682" i="37" s="1"/>
  <c r="F224" i="37"/>
  <c r="F633" i="37" s="1"/>
  <c r="I703" i="37" s="1"/>
  <c r="J703" i="37" s="1"/>
  <c r="F212" i="37"/>
  <c r="F621" i="37" s="1"/>
  <c r="I691" i="37" s="1"/>
  <c r="J691" i="37" s="1"/>
  <c r="F223" i="37"/>
  <c r="F632" i="37" s="1"/>
  <c r="I702" i="37" s="1"/>
  <c r="J702" i="37" s="1"/>
  <c r="F230" i="37"/>
  <c r="F639" i="37" s="1"/>
  <c r="M676" i="37" s="1"/>
  <c r="N676" i="37" s="1"/>
  <c r="F253" i="37"/>
  <c r="F662" i="37" s="1"/>
  <c r="M699" i="37" s="1"/>
  <c r="N699" i="37" s="1"/>
  <c r="F214" i="37"/>
  <c r="F623" i="37" s="1"/>
  <c r="I693" i="37" s="1"/>
  <c r="J693" i="37" s="1"/>
  <c r="F249" i="37"/>
  <c r="F658" i="37" s="1"/>
  <c r="M695" i="37" s="1"/>
  <c r="N695" i="37" s="1"/>
  <c r="F216" i="37"/>
  <c r="F625" i="37" s="1"/>
  <c r="I695" i="37" s="1"/>
  <c r="J695" i="37" s="1"/>
  <c r="F235" i="37"/>
  <c r="F644" i="37" s="1"/>
  <c r="M681" i="37" s="1"/>
  <c r="F186" i="37"/>
  <c r="F595" i="37" s="1"/>
  <c r="E698" i="37" s="1"/>
  <c r="F698" i="37" s="1"/>
  <c r="F217" i="37"/>
  <c r="F626" i="37" s="1"/>
  <c r="I696" i="37" s="1"/>
  <c r="J696" i="37" s="1"/>
  <c r="F218" i="37"/>
  <c r="F627" i="37" s="1"/>
  <c r="I697" i="37" s="1"/>
  <c r="J697" i="37" s="1"/>
  <c r="F234" i="37"/>
  <c r="F643" i="37" s="1"/>
  <c r="M680" i="37" s="1"/>
  <c r="N680" i="37" s="1"/>
  <c r="F227" i="37"/>
  <c r="F636" i="37" s="1"/>
  <c r="I706" i="37" s="1"/>
  <c r="J706" i="37" s="1"/>
  <c r="F211" i="37"/>
  <c r="F620" i="37" s="1"/>
  <c r="I690" i="37" s="1"/>
  <c r="J690" i="37" s="1"/>
  <c r="F187" i="37"/>
  <c r="F596" i="37" s="1"/>
  <c r="E699" i="37" s="1"/>
  <c r="F699" i="37" s="1"/>
  <c r="F191" i="37"/>
  <c r="F600" i="37" s="1"/>
  <c r="E703" i="37" s="1"/>
  <c r="F703" i="37" s="1"/>
  <c r="F245" i="37"/>
  <c r="F654" i="37" s="1"/>
  <c r="M691" i="37" s="1"/>
  <c r="N691" i="37" s="1"/>
  <c r="F207" i="37"/>
  <c r="F616" i="37" s="1"/>
  <c r="I686" i="37" s="1"/>
  <c r="J686" i="37" s="1"/>
  <c r="F219" i="37"/>
  <c r="F628" i="37" s="1"/>
  <c r="I698" i="37" s="1"/>
  <c r="J698" i="37" s="1"/>
  <c r="F255" i="37"/>
  <c r="F664" i="37" s="1"/>
  <c r="M701" i="37" s="1"/>
  <c r="N701" i="37" s="1"/>
  <c r="F209" i="37"/>
  <c r="F618" i="37" s="1"/>
  <c r="I688" i="37" s="1"/>
  <c r="J688" i="37" s="1"/>
  <c r="F202" i="37"/>
  <c r="F611" i="37" s="1"/>
  <c r="I681" i="37" s="1"/>
  <c r="J681" i="37" s="1"/>
  <c r="F190" i="37"/>
  <c r="F599" i="37" s="1"/>
  <c r="E702" i="37" s="1"/>
  <c r="F702" i="37" s="1"/>
  <c r="F205" i="37"/>
  <c r="F614" i="37" s="1"/>
  <c r="I684" i="37" s="1"/>
  <c r="J684" i="37" s="1"/>
  <c r="F203" i="37"/>
  <c r="F612" i="37" s="1"/>
  <c r="I682" i="37" s="1"/>
  <c r="F189" i="37"/>
  <c r="F598" i="37" s="1"/>
  <c r="E701" i="37" s="1"/>
  <c r="F701" i="37" s="1"/>
  <c r="F233" i="37"/>
  <c r="F642" i="37" s="1"/>
  <c r="M679" i="37" s="1"/>
  <c r="N679" i="37" s="1"/>
  <c r="F254" i="37"/>
  <c r="F663" i="37" s="1"/>
  <c r="M700" i="37" s="1"/>
  <c r="N700" i="37" s="1"/>
  <c r="F206" i="37"/>
  <c r="F615" i="37" s="1"/>
  <c r="I685" i="37" s="1"/>
  <c r="J685" i="37" s="1"/>
  <c r="F195" i="37"/>
  <c r="F604" i="37" s="1"/>
  <c r="E707" i="37" s="1"/>
  <c r="F707" i="37" s="1"/>
  <c r="F251" i="37"/>
  <c r="F660" i="37" s="1"/>
  <c r="M697" i="37" s="1"/>
  <c r="N697" i="37" s="1"/>
  <c r="F256" i="37"/>
  <c r="F665" i="37" s="1"/>
  <c r="M702" i="37" s="1"/>
  <c r="N702" i="37" s="1"/>
  <c r="N166" i="37"/>
  <c r="N575" i="37" s="1"/>
  <c r="N263" i="37"/>
  <c r="N672" i="37" s="1"/>
  <c r="N167" i="37"/>
  <c r="N576" i="37" s="1"/>
  <c r="N164" i="37"/>
  <c r="N573" i="37" s="1"/>
  <c r="N165" i="37"/>
  <c r="N574" i="37" s="1"/>
  <c r="N255" i="37"/>
  <c r="N664" i="37" s="1"/>
  <c r="N214" i="37"/>
  <c r="N623" i="37" s="1"/>
  <c r="N174" i="37"/>
  <c r="N583" i="37" s="1"/>
  <c r="N216" i="37"/>
  <c r="N625" i="37" s="1"/>
  <c r="N200" i="37"/>
  <c r="N609" i="37" s="1"/>
  <c r="N209" i="37"/>
  <c r="N618" i="37" s="1"/>
  <c r="N240" i="37"/>
  <c r="N649" i="37" s="1"/>
  <c r="N242" i="37"/>
  <c r="N651" i="37" s="1"/>
  <c r="N203" i="37"/>
  <c r="N612" i="37" s="1"/>
  <c r="N260" i="37"/>
  <c r="N669" i="37" s="1"/>
  <c r="N230" i="37"/>
  <c r="N639" i="37" s="1"/>
  <c r="N250" i="37"/>
  <c r="N659" i="37" s="1"/>
  <c r="N238" i="37"/>
  <c r="N647" i="37" s="1"/>
  <c r="N254" i="37"/>
  <c r="N663" i="37" s="1"/>
  <c r="N215" i="37"/>
  <c r="N624" i="37" s="1"/>
  <c r="N220" i="37"/>
  <c r="N629" i="37" s="1"/>
  <c r="N205" i="37"/>
  <c r="N614" i="37" s="1"/>
  <c r="N171" i="37"/>
  <c r="N580" i="37" s="1"/>
  <c r="N169" i="37"/>
  <c r="N578" i="37" s="1"/>
  <c r="N229" i="37"/>
  <c r="N638" i="37" s="1"/>
  <c r="N235" i="37"/>
  <c r="N644" i="37" s="1"/>
  <c r="N168" i="37"/>
  <c r="N577" i="37" s="1"/>
  <c r="N183" i="37"/>
  <c r="N592" i="37" s="1"/>
  <c r="N181" i="37"/>
  <c r="N590" i="37" s="1"/>
  <c r="N262" i="37"/>
  <c r="N671" i="37" s="1"/>
  <c r="N228" i="37"/>
  <c r="N637" i="37" s="1"/>
  <c r="N231" i="37"/>
  <c r="N640" i="37" s="1"/>
  <c r="N213" i="37"/>
  <c r="N622" i="37" s="1"/>
  <c r="N179" i="37"/>
  <c r="N588" i="37" s="1"/>
  <c r="N177" i="37"/>
  <c r="N586" i="37" s="1"/>
  <c r="N198" i="37"/>
  <c r="N607" i="37" s="1"/>
  <c r="N244" i="37"/>
  <c r="N653" i="37" s="1"/>
  <c r="N196" i="37"/>
  <c r="N605" i="37" s="1"/>
  <c r="N237" i="37"/>
  <c r="N646" i="37" s="1"/>
  <c r="N189" i="37"/>
  <c r="N598" i="37" s="1"/>
  <c r="N246" i="37"/>
  <c r="N655" i="37" s="1"/>
  <c r="N225" i="37"/>
  <c r="N634" i="37" s="1"/>
  <c r="N180" i="37"/>
  <c r="N589" i="37" s="1"/>
  <c r="N224" i="37"/>
  <c r="N633" i="37" s="1"/>
  <c r="N211" i="37"/>
  <c r="N620" i="37" s="1"/>
  <c r="N176" i="37"/>
  <c r="N585" i="37" s="1"/>
  <c r="N258" i="37"/>
  <c r="N667" i="37" s="1"/>
  <c r="N232" i="37"/>
  <c r="N641" i="37" s="1"/>
  <c r="N208" i="37"/>
  <c r="N617" i="37" s="1"/>
  <c r="N227" i="37"/>
  <c r="N636" i="37" s="1"/>
  <c r="N219" i="37"/>
  <c r="N628" i="37" s="1"/>
  <c r="N204" i="37"/>
  <c r="N613" i="37" s="1"/>
  <c r="N192" i="37"/>
  <c r="N601" i="37" s="1"/>
  <c r="N191" i="37"/>
  <c r="N600" i="37" s="1"/>
  <c r="N175" i="37"/>
  <c r="N584" i="37" s="1"/>
  <c r="N172" i="37"/>
  <c r="N581" i="37" s="1"/>
  <c r="N252" i="37"/>
  <c r="N661" i="37" s="1"/>
  <c r="N253" i="37"/>
  <c r="N662" i="37" s="1"/>
  <c r="N221" i="37"/>
  <c r="N630" i="37" s="1"/>
  <c r="N236" i="37"/>
  <c r="N645" i="37" s="1"/>
  <c r="N226" i="37"/>
  <c r="N635" i="37" s="1"/>
  <c r="N212" i="37"/>
  <c r="N621" i="37" s="1"/>
  <c r="N186" i="37"/>
  <c r="N595" i="37" s="1"/>
  <c r="N251" i="37"/>
  <c r="N660" i="37" s="1"/>
  <c r="N248" i="37"/>
  <c r="N657" i="37" s="1"/>
  <c r="N217" i="37"/>
  <c r="N626" i="37" s="1"/>
  <c r="N201" i="37"/>
  <c r="N610" i="37" s="1"/>
  <c r="N207" i="37"/>
  <c r="N616" i="37" s="1"/>
  <c r="N194" i="37"/>
  <c r="N603" i="37" s="1"/>
  <c r="N173" i="37"/>
  <c r="N582" i="37" s="1"/>
  <c r="N234" i="37"/>
  <c r="N643" i="37" s="1"/>
  <c r="N249" i="37"/>
  <c r="N658" i="37" s="1"/>
  <c r="N210" i="37"/>
  <c r="N619" i="37" s="1"/>
  <c r="N170" i="37"/>
  <c r="N579" i="37" s="1"/>
  <c r="N222" i="37"/>
  <c r="N631" i="37" s="1"/>
  <c r="N182" i="37"/>
  <c r="N591" i="37" s="1"/>
  <c r="N218" i="37"/>
  <c r="N627" i="37" s="1"/>
  <c r="N178" i="37"/>
  <c r="N587" i="37" s="1"/>
  <c r="N243" i="37"/>
  <c r="N652" i="37" s="1"/>
  <c r="N223" i="37"/>
  <c r="N632" i="37" s="1"/>
  <c r="N256" i="37"/>
  <c r="N665" i="37" s="1"/>
  <c r="N239" i="37"/>
  <c r="N648" i="37" s="1"/>
  <c r="N245" i="37"/>
  <c r="N654" i="37" s="1"/>
  <c r="N197" i="37"/>
  <c r="N606" i="37" s="1"/>
  <c r="N241" i="37"/>
  <c r="N650" i="37" s="1"/>
  <c r="N193" i="37"/>
  <c r="N602" i="37" s="1"/>
  <c r="N184" i="37"/>
  <c r="N593" i="37" s="1"/>
  <c r="N188" i="37"/>
  <c r="N597" i="37" s="1"/>
  <c r="N247" i="37"/>
  <c r="N656" i="37" s="1"/>
  <c r="N187" i="37"/>
  <c r="N596" i="37" s="1"/>
  <c r="N206" i="37"/>
  <c r="N615" i="37" s="1"/>
  <c r="N202" i="37"/>
  <c r="N611" i="37" s="1"/>
  <c r="N261" i="37"/>
  <c r="N670" i="37" s="1"/>
  <c r="N233" i="37"/>
  <c r="N642" i="37" s="1"/>
  <c r="N257" i="37"/>
  <c r="N666" i="37" s="1"/>
  <c r="N190" i="37"/>
  <c r="N599" i="37" s="1"/>
  <c r="N259" i="37"/>
  <c r="N668" i="37" s="1"/>
  <c r="N185" i="37"/>
  <c r="N594" i="37" s="1"/>
  <c r="N199" i="37"/>
  <c r="N608" i="37" s="1"/>
  <c r="N195" i="37"/>
  <c r="N604" i="37" s="1"/>
  <c r="P95" i="24"/>
  <c r="O27" i="37"/>
  <c r="M73" i="31"/>
  <c r="M103" i="31" s="1"/>
  <c r="M72" i="31"/>
  <c r="M102" i="31" s="1"/>
  <c r="M71" i="31"/>
  <c r="M101" i="31" s="1"/>
  <c r="M70" i="31"/>
  <c r="M100" i="31" s="1"/>
  <c r="O125" i="19"/>
  <c r="S140" i="16"/>
  <c r="AB446" i="1"/>
  <c r="AB439" i="1"/>
  <c r="Q17" i="18"/>
  <c r="Q18" i="18" s="1"/>
  <c r="M116" i="24"/>
  <c r="M118" i="24" s="1"/>
  <c r="N110" i="24"/>
  <c r="N113" i="24" s="1"/>
  <c r="M99" i="31"/>
  <c r="N101" i="24"/>
  <c r="N112" i="24" s="1"/>
  <c r="O107" i="24"/>
  <c r="N38" i="31"/>
  <c r="N37" i="31"/>
  <c r="O106" i="24"/>
  <c r="P104" i="24"/>
  <c r="O35" i="31"/>
  <c r="O109" i="24"/>
  <c r="N40" i="31"/>
  <c r="O98" i="24"/>
  <c r="N30" i="31"/>
  <c r="N69" i="31" s="1"/>
  <c r="O100" i="24"/>
  <c r="N32" i="31"/>
  <c r="O108" i="24"/>
  <c r="N39" i="31"/>
  <c r="O99" i="24"/>
  <c r="N31" i="31"/>
  <c r="P88" i="24"/>
  <c r="O39" i="37" s="1"/>
  <c r="P89" i="24"/>
  <c r="O40" i="37" s="1"/>
  <c r="P87" i="24"/>
  <c r="O38" i="37" s="1"/>
  <c r="P81" i="24"/>
  <c r="O31" i="37" s="1"/>
  <c r="P80" i="24"/>
  <c r="O30" i="37" s="1"/>
  <c r="P97" i="24"/>
  <c r="P86" i="24"/>
  <c r="O37" i="37" s="1"/>
  <c r="P82" i="24"/>
  <c r="O32" i="37" s="1"/>
  <c r="O29" i="31"/>
  <c r="O27" i="31"/>
  <c r="O115" i="24"/>
  <c r="G100" i="24"/>
  <c r="F32" i="31"/>
  <c r="G106" i="24"/>
  <c r="F247" i="37" l="1"/>
  <c r="F656" i="37" s="1"/>
  <c r="M693" i="37" s="1"/>
  <c r="N693" i="37" s="1"/>
  <c r="F231" i="37"/>
  <c r="F640" i="37" s="1"/>
  <c r="M677" i="37" s="1"/>
  <c r="N677" i="37" s="1"/>
  <c r="F239" i="37"/>
  <c r="F648" i="37" s="1"/>
  <c r="M685" i="37" s="1"/>
  <c r="N685" i="37" s="1"/>
  <c r="F259" i="37"/>
  <c r="F668" i="37" s="1"/>
  <c r="M705" i="37" s="1"/>
  <c r="N705" i="37" s="1"/>
  <c r="F243" i="37"/>
  <c r="F652" i="37" s="1"/>
  <c r="M689" i="37" s="1"/>
  <c r="F222" i="37"/>
  <c r="F631" i="37" s="1"/>
  <c r="I701" i="37" s="1"/>
  <c r="J701" i="37" s="1"/>
  <c r="F258" i="37"/>
  <c r="F667" i="37" s="1"/>
  <c r="M704" i="37" s="1"/>
  <c r="N704" i="37" s="1"/>
  <c r="F213" i="37"/>
  <c r="F622" i="37" s="1"/>
  <c r="I692" i="37" s="1"/>
  <c r="J692" i="37" s="1"/>
  <c r="F257" i="37"/>
  <c r="F666" i="37" s="1"/>
  <c r="M703" i="37" s="1"/>
  <c r="N703" i="37" s="1"/>
  <c r="F244" i="37"/>
  <c r="F653" i="37" s="1"/>
  <c r="M690" i="37" s="1"/>
  <c r="N690" i="37" s="1"/>
  <c r="F250" i="37"/>
  <c r="F659" i="37" s="1"/>
  <c r="M696" i="37" s="1"/>
  <c r="N696" i="37" s="1"/>
  <c r="F201" i="37"/>
  <c r="F610" i="37" s="1"/>
  <c r="I680" i="37" s="1"/>
  <c r="J680" i="37" s="1"/>
  <c r="F204" i="37"/>
  <c r="F613" i="37" s="1"/>
  <c r="I683" i="37" s="1"/>
  <c r="J683" i="37" s="1"/>
  <c r="F237" i="37"/>
  <c r="F646" i="37" s="1"/>
  <c r="M683" i="37" s="1"/>
  <c r="N683" i="37" s="1"/>
  <c r="F263" i="37"/>
  <c r="F672" i="37" s="1"/>
  <c r="M709" i="37" s="1"/>
  <c r="N709" i="37" s="1"/>
  <c r="F193" i="37"/>
  <c r="F602" i="37" s="1"/>
  <c r="E705" i="37" s="1"/>
  <c r="F705" i="37" s="1"/>
  <c r="F199" i="37"/>
  <c r="F608" i="37" s="1"/>
  <c r="I678" i="37" s="1"/>
  <c r="F252" i="37"/>
  <c r="F661" i="37" s="1"/>
  <c r="M698" i="37" s="1"/>
  <c r="N698" i="37" s="1"/>
  <c r="F261" i="37"/>
  <c r="F670" i="37" s="1"/>
  <c r="M707" i="37" s="1"/>
  <c r="N707" i="37" s="1"/>
  <c r="F262" i="37"/>
  <c r="F671" i="37" s="1"/>
  <c r="M708" i="37" s="1"/>
  <c r="N708" i="37" s="1"/>
  <c r="F225" i="37"/>
  <c r="F634" i="37" s="1"/>
  <c r="I704" i="37" s="1"/>
  <c r="J704" i="37" s="1"/>
  <c r="F215" i="37"/>
  <c r="F624" i="37" s="1"/>
  <c r="I694" i="37" s="1"/>
  <c r="J694" i="37" s="1"/>
  <c r="F242" i="37"/>
  <c r="F651" i="37" s="1"/>
  <c r="M688" i="37" s="1"/>
  <c r="N688" i="37" s="1"/>
  <c r="F196" i="37"/>
  <c r="F605" i="37" s="1"/>
  <c r="E708" i="37" s="1"/>
  <c r="F708" i="37" s="1"/>
  <c r="J682" i="37"/>
  <c r="N681" i="37"/>
  <c r="N689" i="37"/>
  <c r="O164" i="37"/>
  <c r="O573" i="37" s="1"/>
  <c r="O165" i="37"/>
  <c r="O574" i="37" s="1"/>
  <c r="O263" i="37"/>
  <c r="O672" i="37" s="1"/>
  <c r="O167" i="37"/>
  <c r="O576" i="37" s="1"/>
  <c r="O166" i="37"/>
  <c r="O575" i="37" s="1"/>
  <c r="O202" i="37"/>
  <c r="O611" i="37" s="1"/>
  <c r="O262" i="37"/>
  <c r="O671" i="37" s="1"/>
  <c r="O205" i="37"/>
  <c r="O614" i="37" s="1"/>
  <c r="O257" i="37"/>
  <c r="O666" i="37" s="1"/>
  <c r="O256" i="37"/>
  <c r="O665" i="37" s="1"/>
  <c r="O181" i="37"/>
  <c r="O590" i="37" s="1"/>
  <c r="O207" i="37"/>
  <c r="O616" i="37" s="1"/>
  <c r="O225" i="37"/>
  <c r="O634" i="37" s="1"/>
  <c r="O235" i="37"/>
  <c r="O644" i="37" s="1"/>
  <c r="O188" i="37"/>
  <c r="O597" i="37" s="1"/>
  <c r="O186" i="37"/>
  <c r="O595" i="37" s="1"/>
  <c r="O191" i="37"/>
  <c r="O600" i="37" s="1"/>
  <c r="O246" i="37"/>
  <c r="O655" i="37" s="1"/>
  <c r="O236" i="37"/>
  <c r="O645" i="37" s="1"/>
  <c r="O189" i="37"/>
  <c r="O598" i="37" s="1"/>
  <c r="O215" i="37"/>
  <c r="O624" i="37" s="1"/>
  <c r="O214" i="37"/>
  <c r="O623" i="37" s="1"/>
  <c r="O243" i="37"/>
  <c r="O652" i="37" s="1"/>
  <c r="O261" i="37"/>
  <c r="O670" i="37" s="1"/>
  <c r="O212" i="37"/>
  <c r="O621" i="37" s="1"/>
  <c r="O247" i="37"/>
  <c r="O656" i="37" s="1"/>
  <c r="O233" i="37"/>
  <c r="O642" i="37" s="1"/>
  <c r="O221" i="37"/>
  <c r="O630" i="37" s="1"/>
  <c r="O224" i="37"/>
  <c r="O633" i="37" s="1"/>
  <c r="O228" i="37"/>
  <c r="O637" i="37" s="1"/>
  <c r="O182" i="37"/>
  <c r="O591" i="37" s="1"/>
  <c r="O242" i="37"/>
  <c r="O651" i="37" s="1"/>
  <c r="O185" i="37"/>
  <c r="O594" i="37" s="1"/>
  <c r="O179" i="37"/>
  <c r="O588" i="37" s="1"/>
  <c r="O192" i="37"/>
  <c r="O601" i="37" s="1"/>
  <c r="O201" i="37"/>
  <c r="O610" i="37" s="1"/>
  <c r="O240" i="37"/>
  <c r="O649" i="37" s="1"/>
  <c r="O180" i="37"/>
  <c r="O589" i="37" s="1"/>
  <c r="O171" i="37"/>
  <c r="O580" i="37" s="1"/>
  <c r="O260" i="37"/>
  <c r="O669" i="37" s="1"/>
  <c r="O194" i="37"/>
  <c r="O603" i="37" s="1"/>
  <c r="O249" i="37"/>
  <c r="O658" i="37" s="1"/>
  <c r="O244" i="37"/>
  <c r="O653" i="37" s="1"/>
  <c r="O259" i="37"/>
  <c r="O668" i="37" s="1"/>
  <c r="O168" i="37"/>
  <c r="O577" i="37" s="1"/>
  <c r="O197" i="37"/>
  <c r="O606" i="37" s="1"/>
  <c r="O187" i="37"/>
  <c r="O596" i="37" s="1"/>
  <c r="O227" i="37"/>
  <c r="O636" i="37" s="1"/>
  <c r="O206" i="37"/>
  <c r="O615" i="37" s="1"/>
  <c r="O255" i="37"/>
  <c r="O664" i="37" s="1"/>
  <c r="O169" i="37"/>
  <c r="O578" i="37" s="1"/>
  <c r="O183" i="37"/>
  <c r="O592" i="37" s="1"/>
  <c r="O213" i="37"/>
  <c r="O622" i="37" s="1"/>
  <c r="O223" i="37"/>
  <c r="O632" i="37" s="1"/>
  <c r="O252" i="37"/>
  <c r="O661" i="37" s="1"/>
  <c r="O254" i="37"/>
  <c r="O663" i="37" s="1"/>
  <c r="O210" i="37"/>
  <c r="O619" i="37" s="1"/>
  <c r="O251" i="37"/>
  <c r="O660" i="37" s="1"/>
  <c r="O176" i="37"/>
  <c r="O585" i="37" s="1"/>
  <c r="O174" i="37"/>
  <c r="O583" i="37" s="1"/>
  <c r="O208" i="37"/>
  <c r="O617" i="37" s="1"/>
  <c r="O234" i="37"/>
  <c r="O643" i="37" s="1"/>
  <c r="O219" i="37"/>
  <c r="O628" i="37" s="1"/>
  <c r="O245" i="37"/>
  <c r="O654" i="37" s="1"/>
  <c r="O178" i="37"/>
  <c r="O587" i="37" s="1"/>
  <c r="O203" i="37"/>
  <c r="O612" i="37" s="1"/>
  <c r="O196" i="37"/>
  <c r="O605" i="37" s="1"/>
  <c r="O250" i="37"/>
  <c r="O659" i="37" s="1"/>
  <c r="O184" i="37"/>
  <c r="O593" i="37" s="1"/>
  <c r="O175" i="37"/>
  <c r="O584" i="37" s="1"/>
  <c r="O232" i="37"/>
  <c r="O641" i="37" s="1"/>
  <c r="O258" i="37"/>
  <c r="O667" i="37" s="1"/>
  <c r="O211" i="37"/>
  <c r="O620" i="37" s="1"/>
  <c r="O239" i="37"/>
  <c r="O648" i="37" s="1"/>
  <c r="O190" i="37"/>
  <c r="O599" i="37" s="1"/>
  <c r="O195" i="37"/>
  <c r="O604" i="37" s="1"/>
  <c r="O222" i="37"/>
  <c r="O631" i="37" s="1"/>
  <c r="O200" i="37"/>
  <c r="O609" i="37" s="1"/>
  <c r="O248" i="37"/>
  <c r="O657" i="37" s="1"/>
  <c r="O230" i="37"/>
  <c r="O639" i="37" s="1"/>
  <c r="O237" i="37"/>
  <c r="O646" i="37" s="1"/>
  <c r="O217" i="37"/>
  <c r="O626" i="37" s="1"/>
  <c r="O238" i="37"/>
  <c r="O647" i="37" s="1"/>
  <c r="O193" i="37"/>
  <c r="O602" i="37" s="1"/>
  <c r="O253" i="37"/>
  <c r="O662" i="37" s="1"/>
  <c r="O226" i="37"/>
  <c r="O635" i="37" s="1"/>
  <c r="O241" i="37"/>
  <c r="O650" i="37" s="1"/>
  <c r="O229" i="37"/>
  <c r="O638" i="37" s="1"/>
  <c r="O209" i="37"/>
  <c r="O618" i="37" s="1"/>
  <c r="O170" i="37"/>
  <c r="O579" i="37" s="1"/>
  <c r="O220" i="37"/>
  <c r="O629" i="37" s="1"/>
  <c r="O204" i="37"/>
  <c r="O613" i="37" s="1"/>
  <c r="O198" i="37"/>
  <c r="O607" i="37" s="1"/>
  <c r="O172" i="37"/>
  <c r="O581" i="37" s="1"/>
  <c r="O216" i="37"/>
  <c r="O625" i="37" s="1"/>
  <c r="O218" i="37"/>
  <c r="O627" i="37" s="1"/>
  <c r="O231" i="37"/>
  <c r="O640" i="37" s="1"/>
  <c r="O173" i="37"/>
  <c r="O582" i="37" s="1"/>
  <c r="O177" i="37"/>
  <c r="O586" i="37" s="1"/>
  <c r="O199" i="37"/>
  <c r="O608" i="37" s="1"/>
  <c r="N71" i="31"/>
  <c r="N101" i="31" s="1"/>
  <c r="N72" i="31"/>
  <c r="N102" i="31" s="1"/>
  <c r="N70" i="31"/>
  <c r="N100" i="31" s="1"/>
  <c r="F72" i="31"/>
  <c r="F102" i="31" s="1"/>
  <c r="E64" i="36" s="1"/>
  <c r="F64" i="36" s="1"/>
  <c r="F73" i="31"/>
  <c r="F103" i="31" s="1"/>
  <c r="E65" i="36" s="1"/>
  <c r="F65" i="36" s="1"/>
  <c r="N73" i="31"/>
  <c r="N103" i="31" s="1"/>
  <c r="N99" i="31"/>
  <c r="P115" i="24"/>
  <c r="O101" i="24"/>
  <c r="O112" i="24" s="1"/>
  <c r="N116" i="24"/>
  <c r="N118" i="24" s="1"/>
  <c r="P98" i="24"/>
  <c r="O30" i="31"/>
  <c r="O69" i="31" s="1"/>
  <c r="O110" i="24"/>
  <c r="O113" i="24" s="1"/>
  <c r="P109" i="24"/>
  <c r="O40" i="31"/>
  <c r="O39" i="31"/>
  <c r="P108" i="24"/>
  <c r="O32" i="31"/>
  <c r="P100" i="24"/>
  <c r="P99" i="24"/>
  <c r="O31" i="31"/>
  <c r="O37" i="31"/>
  <c r="P106" i="24"/>
  <c r="O38" i="31"/>
  <c r="P107" i="24"/>
  <c r="F101" i="31"/>
  <c r="E63" i="36" s="1"/>
  <c r="F63" i="36" s="1"/>
  <c r="F100" i="31"/>
  <c r="G101" i="24"/>
  <c r="G109" i="24"/>
  <c r="G108" i="24"/>
  <c r="J678" i="37" l="1"/>
  <c r="E62" i="36"/>
  <c r="F62" i="36" s="1"/>
  <c r="O71" i="31"/>
  <c r="O101" i="31" s="1"/>
  <c r="O72" i="31"/>
  <c r="O102" i="31" s="1"/>
  <c r="O73" i="31"/>
  <c r="O103" i="31" s="1"/>
  <c r="O70" i="31"/>
  <c r="O100" i="31" s="1"/>
  <c r="O116" i="24"/>
  <c r="O118" i="24" s="1"/>
  <c r="P101" i="24"/>
  <c r="P112" i="24" s="1"/>
  <c r="O99" i="31"/>
  <c r="P110" i="24"/>
  <c r="P113" i="24" s="1"/>
  <c r="G112" i="24"/>
  <c r="G110" i="24"/>
  <c r="G113" i="24" s="1"/>
  <c r="P116" i="24" l="1"/>
  <c r="P118" i="24" s="1"/>
  <c r="G116" i="24"/>
  <c r="G118" i="24" s="1"/>
  <c r="P436" i="1" l="1"/>
  <c r="Q436" i="1" l="1"/>
  <c r="R436" i="1"/>
  <c r="E52" i="19" l="1"/>
  <c r="E56" i="19" l="1"/>
  <c r="E58" i="19" s="1"/>
  <c r="N67" i="34" l="1"/>
  <c r="P437" i="1"/>
  <c r="Q437" i="1" l="1"/>
  <c r="R437" i="1"/>
  <c r="R348" i="1"/>
  <c r="Q348" i="1"/>
  <c r="E91" i="19" l="1"/>
  <c r="E95" i="19" l="1"/>
  <c r="E97" i="19" s="1"/>
  <c r="O67" i="34" l="1"/>
  <c r="R444" i="1" l="1"/>
  <c r="F61" i="8"/>
  <c r="F62" i="8" s="1"/>
  <c r="S436" i="1"/>
  <c r="F34" i="8"/>
  <c r="F35" i="8" s="1"/>
  <c r="R435" i="1"/>
  <c r="R434" i="1"/>
  <c r="P444" i="1" l="1"/>
  <c r="S437" i="1"/>
  <c r="Q444" i="1"/>
  <c r="S348" i="1"/>
  <c r="S444" i="1"/>
  <c r="F91" i="19"/>
  <c r="F71" i="8"/>
  <c r="F77" i="8" s="1"/>
  <c r="F52" i="19"/>
  <c r="D15" i="36" s="1"/>
  <c r="D17" i="36" s="1"/>
  <c r="F44" i="8"/>
  <c r="F50" i="8" s="1"/>
  <c r="Q435" i="1"/>
  <c r="Q434" i="1"/>
  <c r="P434" i="1"/>
  <c r="P435" i="1"/>
  <c r="R457" i="1"/>
  <c r="S435" i="1"/>
  <c r="F7" i="8"/>
  <c r="F88" i="8" s="1"/>
  <c r="S434" i="1"/>
  <c r="C39" i="30" s="1"/>
  <c r="F105" i="19" l="1"/>
  <c r="C93" i="16" s="1"/>
  <c r="D24" i="36"/>
  <c r="D26" i="36" s="1"/>
  <c r="F66" i="19"/>
  <c r="C78" i="16" s="1"/>
  <c r="F69" i="19"/>
  <c r="E436" i="1"/>
  <c r="Q39" i="30"/>
  <c r="T39" i="30"/>
  <c r="O39" i="30"/>
  <c r="W39" i="30"/>
  <c r="N39" i="30"/>
  <c r="S39" i="30"/>
  <c r="U39" i="30"/>
  <c r="P39" i="30"/>
  <c r="R39" i="30"/>
  <c r="V39" i="30"/>
  <c r="C40" i="30"/>
  <c r="E437" i="1"/>
  <c r="C38" i="30"/>
  <c r="E435" i="1"/>
  <c r="I61" i="8"/>
  <c r="I62" i="8" s="1"/>
  <c r="F56" i="19"/>
  <c r="F58" i="19" s="1"/>
  <c r="D20" i="36" s="1"/>
  <c r="F54" i="8"/>
  <c r="F56" i="8" s="1"/>
  <c r="F48" i="8"/>
  <c r="C69" i="16" s="1"/>
  <c r="C72" i="16" s="1"/>
  <c r="C75" i="16" s="1"/>
  <c r="F75" i="8"/>
  <c r="C84" i="16" s="1"/>
  <c r="C87" i="16" s="1"/>
  <c r="C90" i="16" s="1"/>
  <c r="F95" i="19"/>
  <c r="F97" i="19" s="1"/>
  <c r="D29" i="36" s="1"/>
  <c r="V436" i="1"/>
  <c r="I34" i="8"/>
  <c r="I35" i="8" s="1"/>
  <c r="P457" i="1"/>
  <c r="F8" i="8"/>
  <c r="F89" i="8"/>
  <c r="S447" i="1" s="1"/>
  <c r="S457" i="1" s="1"/>
  <c r="Q457" i="1"/>
  <c r="E110" i="8"/>
  <c r="E13" i="19"/>
  <c r="V38" i="30" l="1"/>
  <c r="W38" i="30"/>
  <c r="F101" i="19"/>
  <c r="F61" i="19"/>
  <c r="F62" i="19"/>
  <c r="E128" i="19"/>
  <c r="E142" i="19" s="1"/>
  <c r="P38" i="30"/>
  <c r="S38" i="30"/>
  <c r="O38" i="30"/>
  <c r="Q38" i="30"/>
  <c r="R38" i="30"/>
  <c r="C48" i="30"/>
  <c r="U38" i="30"/>
  <c r="N38" i="30"/>
  <c r="T38" i="30"/>
  <c r="N40" i="30"/>
  <c r="P40" i="30"/>
  <c r="V40" i="30"/>
  <c r="O40" i="30"/>
  <c r="U40" i="30"/>
  <c r="T40" i="30"/>
  <c r="Q40" i="30"/>
  <c r="W40" i="30"/>
  <c r="S40" i="30"/>
  <c r="R40" i="30"/>
  <c r="F98" i="8"/>
  <c r="S459" i="1"/>
  <c r="S461" i="1" s="1"/>
  <c r="C122" i="16" s="1"/>
  <c r="F81" i="8"/>
  <c r="F83" i="8" s="1"/>
  <c r="F26" i="26"/>
  <c r="V437" i="1"/>
  <c r="H61" i="8"/>
  <c r="H62" i="8" s="1"/>
  <c r="G61" i="8"/>
  <c r="G62" i="8" s="1"/>
  <c r="J61" i="8"/>
  <c r="J62" i="8" s="1"/>
  <c r="T348" i="1"/>
  <c r="I71" i="8"/>
  <c r="I77" i="8" s="1"/>
  <c r="I91" i="19"/>
  <c r="T436" i="1"/>
  <c r="G34" i="8"/>
  <c r="G35" i="8" s="1"/>
  <c r="W436" i="1"/>
  <c r="J34" i="8"/>
  <c r="J35" i="8" s="1"/>
  <c r="I44" i="8"/>
  <c r="I52" i="19"/>
  <c r="G15" i="36" s="1"/>
  <c r="G17" i="36" s="1"/>
  <c r="U436" i="1"/>
  <c r="H34" i="8"/>
  <c r="H35" i="8" s="1"/>
  <c r="E17" i="19"/>
  <c r="E19" i="19" s="1"/>
  <c r="F13" i="19"/>
  <c r="D5" i="36" s="1"/>
  <c r="D7" i="36" s="1"/>
  <c r="F17" i="8"/>
  <c r="F23" i="8" s="1"/>
  <c r="I105" i="19" l="1"/>
  <c r="F93" i="16" s="1"/>
  <c r="G24" i="36"/>
  <c r="G26" i="36" s="1"/>
  <c r="G44" i="8"/>
  <c r="G50" i="8" s="1"/>
  <c r="G52" i="19"/>
  <c r="E15" i="36" s="1"/>
  <c r="E17" i="36" s="1"/>
  <c r="I50" i="8"/>
  <c r="I54" i="8" s="1"/>
  <c r="I56" i="8" s="1"/>
  <c r="F102" i="8"/>
  <c r="C139" i="16" s="1"/>
  <c r="F27" i="19"/>
  <c r="C63" i="16" s="1"/>
  <c r="F30" i="19"/>
  <c r="I66" i="19"/>
  <c r="F78" i="16" s="1"/>
  <c r="I69" i="19"/>
  <c r="F100" i="19"/>
  <c r="F103" i="19" s="1"/>
  <c r="F116" i="19"/>
  <c r="F79" i="19"/>
  <c r="F117" i="19"/>
  <c r="E132" i="19"/>
  <c r="E134" i="19" s="1"/>
  <c r="F64" i="19"/>
  <c r="G61" i="19" s="1"/>
  <c r="F80" i="19"/>
  <c r="E143" i="19"/>
  <c r="W42" i="30"/>
  <c r="V42" i="30"/>
  <c r="U42" i="30"/>
  <c r="T42" i="30"/>
  <c r="F104" i="8"/>
  <c r="F108" i="8" s="1"/>
  <c r="F110" i="8" s="1"/>
  <c r="F128" i="19"/>
  <c r="F142" i="19" s="1"/>
  <c r="C48" i="16" s="1"/>
  <c r="S42" i="30"/>
  <c r="N42" i="30"/>
  <c r="R42" i="30"/>
  <c r="P42" i="30"/>
  <c r="Q42" i="30"/>
  <c r="O42" i="30"/>
  <c r="F37" i="26"/>
  <c r="T437" i="1"/>
  <c r="U348" i="1"/>
  <c r="W437" i="1"/>
  <c r="V435" i="1"/>
  <c r="V444" i="1"/>
  <c r="W348" i="1"/>
  <c r="U437" i="1"/>
  <c r="V348" i="1"/>
  <c r="G71" i="8"/>
  <c r="G91" i="19"/>
  <c r="J71" i="8"/>
  <c r="J77" i="8" s="1"/>
  <c r="J91" i="19"/>
  <c r="H91" i="19"/>
  <c r="H71" i="8"/>
  <c r="H77" i="8" s="1"/>
  <c r="I95" i="19"/>
  <c r="I97" i="19" s="1"/>
  <c r="G29" i="36" s="1"/>
  <c r="I75" i="8"/>
  <c r="F84" i="16" s="1"/>
  <c r="F87" i="16" s="1"/>
  <c r="F90" i="16" s="1"/>
  <c r="H52" i="19"/>
  <c r="F15" i="36" s="1"/>
  <c r="F17" i="36" s="1"/>
  <c r="H44" i="8"/>
  <c r="H50" i="8" s="1"/>
  <c r="I48" i="8"/>
  <c r="F69" i="16" s="1"/>
  <c r="F72" i="16" s="1"/>
  <c r="F75" i="16" s="1"/>
  <c r="J52" i="19"/>
  <c r="H15" i="36" s="1"/>
  <c r="H17" i="36" s="1"/>
  <c r="J44" i="8"/>
  <c r="J50" i="8" s="1"/>
  <c r="I56" i="19"/>
  <c r="I58" i="19" s="1"/>
  <c r="G20" i="36" s="1"/>
  <c r="F21" i="8"/>
  <c r="C54" i="16" s="1"/>
  <c r="C57" i="16" s="1"/>
  <c r="C60" i="16" s="1"/>
  <c r="F27" i="8"/>
  <c r="F17" i="19"/>
  <c r="M67" i="34"/>
  <c r="P67" i="34" s="1"/>
  <c r="G48" i="8" l="1"/>
  <c r="D69" i="16" s="1"/>
  <c r="D72" i="16" s="1"/>
  <c r="D75" i="16" s="1"/>
  <c r="J105" i="19"/>
  <c r="G93" i="16" s="1"/>
  <c r="H24" i="36"/>
  <c r="H26" i="36" s="1"/>
  <c r="G105" i="19"/>
  <c r="D93" i="16" s="1"/>
  <c r="E24" i="36"/>
  <c r="E26" i="36" s="1"/>
  <c r="H105" i="19"/>
  <c r="E93" i="16" s="1"/>
  <c r="F24" i="36"/>
  <c r="F26" i="36" s="1"/>
  <c r="G77" i="8"/>
  <c r="G81" i="8" s="1"/>
  <c r="C42" i="16"/>
  <c r="C45" i="16" s="1"/>
  <c r="J66" i="19"/>
  <c r="G78" i="16" s="1"/>
  <c r="J69" i="19"/>
  <c r="H66" i="19"/>
  <c r="E78" i="16" s="1"/>
  <c r="H69" i="19"/>
  <c r="G66" i="19"/>
  <c r="D78" i="16" s="1"/>
  <c r="G69" i="19"/>
  <c r="F118" i="19"/>
  <c r="G116" i="19" s="1"/>
  <c r="F107" i="19"/>
  <c r="C81" i="16" s="1"/>
  <c r="C92" i="16"/>
  <c r="F68" i="19"/>
  <c r="C77" i="16"/>
  <c r="G100" i="19"/>
  <c r="F110" i="19"/>
  <c r="F113" i="19" s="1"/>
  <c r="E120" i="19"/>
  <c r="F73" i="19"/>
  <c r="F76" i="19" s="1"/>
  <c r="E83" i="19"/>
  <c r="F34" i="19"/>
  <c r="F37" i="19" s="1"/>
  <c r="G34" i="19" s="1"/>
  <c r="G37" i="19" s="1"/>
  <c r="F81" i="19"/>
  <c r="G79" i="19" s="1"/>
  <c r="I101" i="19"/>
  <c r="I117" i="19" s="1"/>
  <c r="F106" i="19"/>
  <c r="C94" i="16" s="1"/>
  <c r="I62" i="19"/>
  <c r="I80" i="19" s="1"/>
  <c r="F67" i="19"/>
  <c r="C79" i="16" s="1"/>
  <c r="F29" i="8"/>
  <c r="F132" i="19"/>
  <c r="F134" i="19" s="1"/>
  <c r="F52" i="26"/>
  <c r="F53" i="26"/>
  <c r="F50" i="26"/>
  <c r="F48" i="26"/>
  <c r="F54" i="26" s="1"/>
  <c r="F51" i="26"/>
  <c r="F49" i="26"/>
  <c r="I81" i="8"/>
  <c r="I83" i="8" s="1"/>
  <c r="I26" i="26"/>
  <c r="F19" i="19"/>
  <c r="D10" i="36" s="1"/>
  <c r="I7" i="8"/>
  <c r="I8" i="8" s="1"/>
  <c r="V434" i="1"/>
  <c r="F38" i="30" s="1"/>
  <c r="J7" i="8"/>
  <c r="W444" i="1"/>
  <c r="T434" i="1"/>
  <c r="D39" i="30" s="1"/>
  <c r="X39" i="30" s="1"/>
  <c r="T444" i="1"/>
  <c r="H7" i="8"/>
  <c r="H88" i="8" s="1"/>
  <c r="G95" i="19"/>
  <c r="G97" i="19" s="1"/>
  <c r="E29" i="36" s="1"/>
  <c r="G75" i="8"/>
  <c r="D84" i="16" s="1"/>
  <c r="D87" i="16" s="1"/>
  <c r="D90" i="16" s="1"/>
  <c r="J95" i="19"/>
  <c r="J97" i="19" s="1"/>
  <c r="H29" i="36" s="1"/>
  <c r="H26" i="26"/>
  <c r="H37" i="26" s="1"/>
  <c r="H75" i="8"/>
  <c r="E84" i="16" s="1"/>
  <c r="E87" i="16" s="1"/>
  <c r="E90" i="16" s="1"/>
  <c r="H95" i="19"/>
  <c r="H97" i="19" s="1"/>
  <c r="F29" i="36" s="1"/>
  <c r="J75" i="8"/>
  <c r="G84" i="16" s="1"/>
  <c r="G87" i="16" s="1"/>
  <c r="G90" i="16" s="1"/>
  <c r="G54" i="8"/>
  <c r="G56" i="8" s="1"/>
  <c r="G56" i="19"/>
  <c r="G58" i="19" s="1"/>
  <c r="E20" i="36" s="1"/>
  <c r="H54" i="8"/>
  <c r="H56" i="8" s="1"/>
  <c r="H48" i="8"/>
  <c r="E69" i="16" s="1"/>
  <c r="E72" i="16" s="1"/>
  <c r="E75" i="16" s="1"/>
  <c r="J54" i="8"/>
  <c r="J56" i="8" s="1"/>
  <c r="J48" i="8"/>
  <c r="G69" i="16" s="1"/>
  <c r="G72" i="16" s="1"/>
  <c r="G75" i="16" s="1"/>
  <c r="J56" i="19"/>
  <c r="J58" i="19" s="1"/>
  <c r="H20" i="36" s="1"/>
  <c r="H56" i="19"/>
  <c r="H58" i="19" s="1"/>
  <c r="H62" i="19" l="1"/>
  <c r="H80" i="19" s="1"/>
  <c r="F20" i="36"/>
  <c r="F160" i="19"/>
  <c r="C66" i="16"/>
  <c r="F138" i="19"/>
  <c r="F154" i="19" s="1"/>
  <c r="G110" i="19"/>
  <c r="G113" i="19" s="1"/>
  <c r="H110" i="19" s="1"/>
  <c r="H113" i="19" s="1"/>
  <c r="I110" i="19" s="1"/>
  <c r="I113" i="19" s="1"/>
  <c r="F120" i="19"/>
  <c r="G73" i="19"/>
  <c r="G76" i="19" s="1"/>
  <c r="F83" i="19"/>
  <c r="J101" i="19"/>
  <c r="J117" i="19" s="1"/>
  <c r="G101" i="19"/>
  <c r="G117" i="19" s="1"/>
  <c r="G118" i="19" s="1"/>
  <c r="H101" i="19"/>
  <c r="H117" i="19" s="1"/>
  <c r="G62" i="19"/>
  <c r="G80" i="19" s="1"/>
  <c r="G81" i="19" s="1"/>
  <c r="H79" i="19" s="1"/>
  <c r="H81" i="19" s="1"/>
  <c r="J62" i="19"/>
  <c r="J80" i="19" s="1"/>
  <c r="F23" i="19"/>
  <c r="F39" i="30"/>
  <c r="Z39" i="30" s="1"/>
  <c r="F40" i="30"/>
  <c r="Z40" i="30" s="1"/>
  <c r="D40" i="30"/>
  <c r="X40" i="30" s="1"/>
  <c r="Z38" i="30"/>
  <c r="G83" i="8"/>
  <c r="G26" i="26"/>
  <c r="I37" i="26"/>
  <c r="J81" i="8"/>
  <c r="J83" i="8" s="1"/>
  <c r="J26" i="26"/>
  <c r="H81" i="8"/>
  <c r="H83" i="8" s="1"/>
  <c r="I88" i="8"/>
  <c r="I89" i="8" s="1"/>
  <c r="W434" i="1"/>
  <c r="W435" i="1"/>
  <c r="G7" i="8"/>
  <c r="G8" i="8" s="1"/>
  <c r="G17" i="8" s="1"/>
  <c r="T435" i="1"/>
  <c r="D38" i="30" s="1"/>
  <c r="Z436" i="1"/>
  <c r="M34" i="8"/>
  <c r="M35" i="8" s="1"/>
  <c r="J88" i="8"/>
  <c r="J89" i="8" s="1"/>
  <c r="J8" i="8"/>
  <c r="H8" i="8"/>
  <c r="H89" i="8"/>
  <c r="I17" i="8"/>
  <c r="I23" i="8" s="1"/>
  <c r="I13" i="19"/>
  <c r="G5" i="36" s="1"/>
  <c r="G7" i="36" s="1"/>
  <c r="I90" i="8" l="1"/>
  <c r="H98" i="8"/>
  <c r="H102" i="8" s="1"/>
  <c r="J90" i="8"/>
  <c r="G21" i="8"/>
  <c r="G23" i="8"/>
  <c r="H73" i="19"/>
  <c r="H76" i="19" s="1"/>
  <c r="I73" i="19" s="1"/>
  <c r="I76" i="19" s="1"/>
  <c r="J73" i="19" s="1"/>
  <c r="J76" i="19" s="1"/>
  <c r="I27" i="19"/>
  <c r="F63" i="16" s="1"/>
  <c r="I30" i="19"/>
  <c r="H34" i="19"/>
  <c r="H37" i="19" s="1"/>
  <c r="G160" i="19"/>
  <c r="F140" i="19"/>
  <c r="F143" i="19" s="1"/>
  <c r="C49" i="16" s="1"/>
  <c r="H116" i="19"/>
  <c r="H118" i="19" s="1"/>
  <c r="J110" i="19"/>
  <c r="J113" i="19" s="1"/>
  <c r="G103" i="19"/>
  <c r="D92" i="16" s="1"/>
  <c r="G64" i="19"/>
  <c r="F41" i="19"/>
  <c r="Z42" i="30"/>
  <c r="U447" i="1"/>
  <c r="I98" i="8"/>
  <c r="I104" i="8" s="1"/>
  <c r="I108" i="8" s="1"/>
  <c r="I110" i="8" s="1"/>
  <c r="V447" i="1"/>
  <c r="J98" i="8"/>
  <c r="W447" i="1"/>
  <c r="I128" i="19"/>
  <c r="I142" i="19" s="1"/>
  <c r="F48" i="16" s="1"/>
  <c r="G38" i="30"/>
  <c r="AA38" i="30" s="1"/>
  <c r="G39" i="30"/>
  <c r="AA39" i="30" s="1"/>
  <c r="G40" i="30"/>
  <c r="AA40" i="30" s="1"/>
  <c r="D48" i="30"/>
  <c r="X38" i="30"/>
  <c r="X42" i="30" s="1"/>
  <c r="E39" i="30"/>
  <c r="Y39" i="30" s="1"/>
  <c r="E40" i="30"/>
  <c r="Y40" i="30" s="1"/>
  <c r="E38" i="30"/>
  <c r="F48" i="30"/>
  <c r="J37" i="26"/>
  <c r="G37" i="26"/>
  <c r="G88" i="8"/>
  <c r="G89" i="8" s="1"/>
  <c r="G90" i="8" s="1"/>
  <c r="M61" i="8"/>
  <c r="M62" i="8" s="1"/>
  <c r="M71" i="8" s="1"/>
  <c r="M77" i="8" s="1"/>
  <c r="X437" i="1"/>
  <c r="Z444" i="1"/>
  <c r="AA348" i="1"/>
  <c r="X436" i="1"/>
  <c r="K34" i="8"/>
  <c r="K35" i="8" s="1"/>
  <c r="Y436" i="1"/>
  <c r="L34" i="8"/>
  <c r="L35" i="8" s="1"/>
  <c r="M52" i="19"/>
  <c r="M44" i="8"/>
  <c r="M50" i="8" s="1"/>
  <c r="J17" i="8"/>
  <c r="J23" i="8" s="1"/>
  <c r="J13" i="19"/>
  <c r="I21" i="8"/>
  <c r="F54" i="16" s="1"/>
  <c r="F57" i="16" s="1"/>
  <c r="F60" i="16" s="1"/>
  <c r="Z435" i="1"/>
  <c r="M7" i="8"/>
  <c r="Z434" i="1"/>
  <c r="J39" i="30" s="1"/>
  <c r="AD39" i="30" s="1"/>
  <c r="I17" i="19"/>
  <c r="H17" i="8"/>
  <c r="H23" i="8" s="1"/>
  <c r="H13" i="19"/>
  <c r="F5" i="36" s="1"/>
  <c r="F7" i="36" s="1"/>
  <c r="G13" i="19"/>
  <c r="E5" i="36" s="1"/>
  <c r="E7" i="36" s="1"/>
  <c r="H104" i="8" l="1"/>
  <c r="H108" i="8" s="1"/>
  <c r="H110" i="8" s="1"/>
  <c r="H90" i="8"/>
  <c r="J30" i="19"/>
  <c r="H5" i="36"/>
  <c r="H7" i="36" s="1"/>
  <c r="H30" i="19"/>
  <c r="H17" i="19"/>
  <c r="H19" i="19" s="1"/>
  <c r="H27" i="19"/>
  <c r="E63" i="16" s="1"/>
  <c r="D77" i="16"/>
  <c r="H61" i="19"/>
  <c r="H64" i="19" s="1"/>
  <c r="J104" i="8"/>
  <c r="J108" i="8" s="1"/>
  <c r="J110" i="8" s="1"/>
  <c r="I27" i="8"/>
  <c r="I29" i="8" s="1"/>
  <c r="G27" i="19"/>
  <c r="D63" i="16" s="1"/>
  <c r="G30" i="19"/>
  <c r="M66" i="19"/>
  <c r="Q78" i="16" s="1"/>
  <c r="M69" i="19"/>
  <c r="J27" i="19"/>
  <c r="G63" i="16" s="1"/>
  <c r="I34" i="19"/>
  <c r="I37" i="19" s="1"/>
  <c r="J34" i="19" s="1"/>
  <c r="H160" i="19"/>
  <c r="G107" i="19"/>
  <c r="D81" i="16" s="1"/>
  <c r="E139" i="16"/>
  <c r="E42" i="16" s="1"/>
  <c r="E45" i="16" s="1"/>
  <c r="J102" i="8"/>
  <c r="G68" i="19"/>
  <c r="D66" i="16" s="1"/>
  <c r="G137" i="19"/>
  <c r="C47" i="16"/>
  <c r="F144" i="19"/>
  <c r="I79" i="19"/>
  <c r="I81" i="19" s="1"/>
  <c r="I116" i="19"/>
  <c r="I118" i="19" s="1"/>
  <c r="K110" i="19"/>
  <c r="K113" i="19" s="1"/>
  <c r="G120" i="19"/>
  <c r="H100" i="19"/>
  <c r="H103" i="19" s="1"/>
  <c r="E92" i="16" s="1"/>
  <c r="K73" i="19"/>
  <c r="K76" i="19" s="1"/>
  <c r="G83" i="19"/>
  <c r="G106" i="19"/>
  <c r="D94" i="16" s="1"/>
  <c r="G67" i="19"/>
  <c r="D79" i="16" s="1"/>
  <c r="F155" i="19"/>
  <c r="G153" i="19" s="1"/>
  <c r="I102" i="8"/>
  <c r="G98" i="8"/>
  <c r="T447" i="1"/>
  <c r="AA42" i="30"/>
  <c r="I132" i="19"/>
  <c r="I134" i="19" s="1"/>
  <c r="G128" i="19"/>
  <c r="J128" i="19"/>
  <c r="H128" i="19"/>
  <c r="J38" i="30"/>
  <c r="AD38" i="30" s="1"/>
  <c r="G48" i="30"/>
  <c r="Y38" i="30"/>
  <c r="Y42" i="30" s="1"/>
  <c r="E48" i="30"/>
  <c r="N34" i="8"/>
  <c r="N35" i="8" s="1"/>
  <c r="N44" i="8" s="1"/>
  <c r="N50" i="8" s="1"/>
  <c r="I19" i="19"/>
  <c r="G10" i="36" s="1"/>
  <c r="M91" i="19"/>
  <c r="K61" i="8"/>
  <c r="K62" i="8" s="1"/>
  <c r="K71" i="8" s="1"/>
  <c r="K77" i="8" s="1"/>
  <c r="Y348" i="1"/>
  <c r="X348" i="1"/>
  <c r="Y437" i="1"/>
  <c r="Z348" i="1"/>
  <c r="N61" i="8"/>
  <c r="N62" i="8" s="1"/>
  <c r="AA437" i="1"/>
  <c r="M75" i="8"/>
  <c r="Q84" i="16" s="1"/>
  <c r="Q87" i="16" s="1"/>
  <c r="Q90" i="16" s="1"/>
  <c r="K52" i="19"/>
  <c r="I15" i="36" s="1"/>
  <c r="I17" i="36" s="1"/>
  <c r="K44" i="8"/>
  <c r="K50" i="8" s="1"/>
  <c r="M56" i="19"/>
  <c r="M58" i="19" s="1"/>
  <c r="M48" i="8"/>
  <c r="Q69" i="16" s="1"/>
  <c r="Q72" i="16" s="1"/>
  <c r="Q75" i="16" s="1"/>
  <c r="M54" i="8"/>
  <c r="M56" i="8" s="1"/>
  <c r="L52" i="19"/>
  <c r="L44" i="8"/>
  <c r="L50" i="8" s="1"/>
  <c r="G27" i="8"/>
  <c r="G29" i="8" s="1"/>
  <c r="D54" i="16"/>
  <c r="D57" i="16" s="1"/>
  <c r="D60" i="16" s="1"/>
  <c r="H21" i="8"/>
  <c r="E54" i="16" s="1"/>
  <c r="E57" i="16" s="1"/>
  <c r="E60" i="16" s="1"/>
  <c r="H27" i="8"/>
  <c r="H29" i="8" s="1"/>
  <c r="G17" i="19"/>
  <c r="J17" i="19"/>
  <c r="M8" i="8"/>
  <c r="M88" i="8"/>
  <c r="M89" i="8" s="1"/>
  <c r="J27" i="8"/>
  <c r="J29" i="8" s="1"/>
  <c r="J21" i="8"/>
  <c r="G54" i="16" s="1"/>
  <c r="G57" i="16" s="1"/>
  <c r="G60" i="16" s="1"/>
  <c r="G139" i="16" l="1"/>
  <c r="G42" i="16" s="1"/>
  <c r="G45" i="16" s="1"/>
  <c r="J113" i="8"/>
  <c r="F139" i="16"/>
  <c r="F42" i="16" s="1"/>
  <c r="F45" i="16" s="1"/>
  <c r="I113" i="8"/>
  <c r="H23" i="19"/>
  <c r="F10" i="36"/>
  <c r="G104" i="8"/>
  <c r="G102" i="8"/>
  <c r="H67" i="19"/>
  <c r="E79" i="16" s="1"/>
  <c r="K66" i="19"/>
  <c r="O78" i="16" s="1"/>
  <c r="K69" i="19"/>
  <c r="L66" i="19"/>
  <c r="P78" i="16" s="1"/>
  <c r="L69" i="19"/>
  <c r="M95" i="19"/>
  <c r="M97" i="19" s="1"/>
  <c r="M101" i="19" s="1"/>
  <c r="M117" i="19" s="1"/>
  <c r="M105" i="19"/>
  <c r="Q93" i="16" s="1"/>
  <c r="J37" i="19"/>
  <c r="I160" i="19"/>
  <c r="H107" i="19"/>
  <c r="E81" i="16" s="1"/>
  <c r="I138" i="19"/>
  <c r="I154" i="19" s="1"/>
  <c r="F158" i="19"/>
  <c r="J79" i="19"/>
  <c r="J81" i="19" s="1"/>
  <c r="K79" i="19" s="1"/>
  <c r="J116" i="19"/>
  <c r="J118" i="19" s="1"/>
  <c r="K116" i="19" s="1"/>
  <c r="L110" i="19"/>
  <c r="L113" i="19" s="1"/>
  <c r="H120" i="19"/>
  <c r="I100" i="19"/>
  <c r="I103" i="19" s="1"/>
  <c r="F92" i="16" s="1"/>
  <c r="L73" i="19"/>
  <c r="L76" i="19" s="1"/>
  <c r="H106" i="19"/>
  <c r="E94" i="16" s="1"/>
  <c r="M62" i="19"/>
  <c r="M80" i="19" s="1"/>
  <c r="I23" i="19"/>
  <c r="I41" i="19" s="1"/>
  <c r="J132" i="19"/>
  <c r="J134" i="19" s="1"/>
  <c r="J142" i="19"/>
  <c r="G48" i="16" s="1"/>
  <c r="H132" i="19"/>
  <c r="H134" i="19" s="1"/>
  <c r="H142" i="19"/>
  <c r="E48" i="16" s="1"/>
  <c r="G132" i="19"/>
  <c r="G134" i="19" s="1"/>
  <c r="G142" i="19"/>
  <c r="D48" i="16" s="1"/>
  <c r="M98" i="8"/>
  <c r="M102" i="8" s="1"/>
  <c r="Z447" i="1"/>
  <c r="N52" i="19"/>
  <c r="M81" i="8"/>
  <c r="M83" i="8" s="1"/>
  <c r="M26" i="26"/>
  <c r="J19" i="19"/>
  <c r="H10" i="36" s="1"/>
  <c r="G19" i="19"/>
  <c r="E10" i="36" s="1"/>
  <c r="K91" i="19"/>
  <c r="N71" i="8"/>
  <c r="N91" i="19"/>
  <c r="AA434" i="1"/>
  <c r="K40" i="30" s="1"/>
  <c r="AE40" i="30" s="1"/>
  <c r="AA444" i="1"/>
  <c r="Y434" i="1"/>
  <c r="I39" i="30" s="1"/>
  <c r="AC39" i="30" s="1"/>
  <c r="Y444" i="1"/>
  <c r="X435" i="1"/>
  <c r="X444" i="1"/>
  <c r="K75" i="8"/>
  <c r="O84" i="16" s="1"/>
  <c r="O87" i="16" s="1"/>
  <c r="O90" i="16" s="1"/>
  <c r="L56" i="19"/>
  <c r="L58" i="19" s="1"/>
  <c r="K48" i="8"/>
  <c r="O69" i="16" s="1"/>
  <c r="O72" i="16" s="1"/>
  <c r="O75" i="16" s="1"/>
  <c r="K54" i="8"/>
  <c r="K56" i="8" s="1"/>
  <c r="L54" i="8"/>
  <c r="L56" i="8" s="1"/>
  <c r="L48" i="8"/>
  <c r="P69" i="16" s="1"/>
  <c r="P72" i="16" s="1"/>
  <c r="P75" i="16" s="1"/>
  <c r="N48" i="8"/>
  <c r="R69" i="16" s="1"/>
  <c r="R72" i="16" s="1"/>
  <c r="R75" i="16" s="1"/>
  <c r="N54" i="8"/>
  <c r="N56" i="8" s="1"/>
  <c r="K56" i="19"/>
  <c r="K58" i="19" s="1"/>
  <c r="I20" i="36" s="1"/>
  <c r="M17" i="8"/>
  <c r="M23" i="8" s="1"/>
  <c r="M13" i="19"/>
  <c r="Q139" i="16" l="1"/>
  <c r="Q42" i="16" s="1"/>
  <c r="Q45" i="16" s="1"/>
  <c r="D139" i="16"/>
  <c r="D42" i="16" s="1"/>
  <c r="D45" i="16" s="1"/>
  <c r="G113" i="8"/>
  <c r="H113" i="8"/>
  <c r="K105" i="19"/>
  <c r="O93" i="16" s="1"/>
  <c r="I24" i="36"/>
  <c r="I26" i="36" s="1"/>
  <c r="N75" i="8"/>
  <c r="R84" i="16" s="1"/>
  <c r="R87" i="16" s="1"/>
  <c r="R90" i="16" s="1"/>
  <c r="N77" i="8"/>
  <c r="G108" i="8"/>
  <c r="G110" i="8" s="1"/>
  <c r="H83" i="19"/>
  <c r="E77" i="16"/>
  <c r="H68" i="19"/>
  <c r="E66" i="16" s="1"/>
  <c r="I61" i="19"/>
  <c r="M27" i="19"/>
  <c r="Q63" i="16" s="1"/>
  <c r="M30" i="19"/>
  <c r="N66" i="19"/>
  <c r="R78" i="16" s="1"/>
  <c r="N69" i="19"/>
  <c r="N95" i="19"/>
  <c r="N97" i="19" s="1"/>
  <c r="N105" i="19"/>
  <c r="R93" i="16" s="1"/>
  <c r="K34" i="19"/>
  <c r="K37" i="19" s="1"/>
  <c r="J160" i="19"/>
  <c r="I107" i="19"/>
  <c r="F81" i="16" s="1"/>
  <c r="H138" i="19"/>
  <c r="H154" i="19" s="1"/>
  <c r="G138" i="19"/>
  <c r="G154" i="19" s="1"/>
  <c r="G155" i="19" s="1"/>
  <c r="H153" i="19" s="1"/>
  <c r="J138" i="19"/>
  <c r="J154" i="19" s="1"/>
  <c r="M110" i="19"/>
  <c r="M113" i="19" s="1"/>
  <c r="I120" i="19"/>
  <c r="J100" i="19"/>
  <c r="J103" i="19" s="1"/>
  <c r="G92" i="16" s="1"/>
  <c r="M73" i="19"/>
  <c r="M76" i="19" s="1"/>
  <c r="I106" i="19"/>
  <c r="F94" i="16" s="1"/>
  <c r="K62" i="19"/>
  <c r="K80" i="19" s="1"/>
  <c r="K81" i="19" s="1"/>
  <c r="L79" i="19" s="1"/>
  <c r="L62" i="19"/>
  <c r="L80" i="19" s="1"/>
  <c r="G23" i="19"/>
  <c r="G41" i="19" s="1"/>
  <c r="H41" i="19"/>
  <c r="J23" i="19"/>
  <c r="J41" i="19" s="1"/>
  <c r="M104" i="8"/>
  <c r="M108" i="8" s="1"/>
  <c r="M110" i="8" s="1"/>
  <c r="M128" i="19"/>
  <c r="I40" i="30"/>
  <c r="AC40" i="30" s="1"/>
  <c r="L61" i="8" s="1"/>
  <c r="L62" i="8" s="1"/>
  <c r="N56" i="19"/>
  <c r="N58" i="19" s="1"/>
  <c r="M37" i="26"/>
  <c r="K81" i="8"/>
  <c r="K83" i="8" s="1"/>
  <c r="K26" i="26"/>
  <c r="K95" i="19"/>
  <c r="K97" i="19" s="1"/>
  <c r="I29" i="36" s="1"/>
  <c r="N7" i="8"/>
  <c r="N88" i="8" s="1"/>
  <c r="N89" i="8" s="1"/>
  <c r="N90" i="8" s="1"/>
  <c r="AA435" i="1"/>
  <c r="K38" i="30" s="1"/>
  <c r="X434" i="1"/>
  <c r="L7" i="8"/>
  <c r="Y435" i="1"/>
  <c r="I38" i="30" s="1"/>
  <c r="K7" i="8"/>
  <c r="K8" i="8" s="1"/>
  <c r="M17" i="19"/>
  <c r="M27" i="8"/>
  <c r="M29" i="8" s="1"/>
  <c r="M21" i="8"/>
  <c r="Q54" i="16" s="1"/>
  <c r="Q57" i="16" s="1"/>
  <c r="Q60" i="16" s="1"/>
  <c r="N101" i="19" l="1"/>
  <c r="N117" i="19" s="1"/>
  <c r="I64" i="19"/>
  <c r="F77" i="16" s="1"/>
  <c r="L34" i="19"/>
  <c r="L37" i="19" s="1"/>
  <c r="K160" i="19"/>
  <c r="J107" i="19"/>
  <c r="G81" i="16" s="1"/>
  <c r="G140" i="19"/>
  <c r="G144" i="19" s="1"/>
  <c r="G158" i="19"/>
  <c r="H155" i="19"/>
  <c r="I153" i="19" s="1"/>
  <c r="N110" i="19"/>
  <c r="N113" i="19" s="1"/>
  <c r="J120" i="19"/>
  <c r="K100" i="19"/>
  <c r="N73" i="19"/>
  <c r="N76" i="19" s="1"/>
  <c r="J106" i="19"/>
  <c r="G94" i="16" s="1"/>
  <c r="K101" i="19"/>
  <c r="K117" i="19" s="1"/>
  <c r="K118" i="19" s="1"/>
  <c r="L116" i="19" s="1"/>
  <c r="L81" i="19"/>
  <c r="N62" i="19"/>
  <c r="N80" i="19" s="1"/>
  <c r="M132" i="19"/>
  <c r="M134" i="19" s="1"/>
  <c r="M142" i="19"/>
  <c r="Q48" i="16" s="1"/>
  <c r="N98" i="8"/>
  <c r="N104" i="8" s="1"/>
  <c r="N108" i="8" s="1"/>
  <c r="N110" i="8" s="1"/>
  <c r="AA447" i="1"/>
  <c r="L88" i="8"/>
  <c r="L89" i="8" s="1"/>
  <c r="AE38" i="30"/>
  <c r="L91" i="19"/>
  <c r="L105" i="19" s="1"/>
  <c r="P93" i="16" s="1"/>
  <c r="L71" i="8"/>
  <c r="L77" i="8" s="1"/>
  <c r="H39" i="30"/>
  <c r="AB39" i="30" s="1"/>
  <c r="H40" i="30"/>
  <c r="AB40" i="30" s="1"/>
  <c r="AC38" i="30"/>
  <c r="AC42" i="30" s="1"/>
  <c r="I48" i="30"/>
  <c r="H38" i="30"/>
  <c r="K37" i="26"/>
  <c r="N81" i="8"/>
  <c r="N83" i="8" s="1"/>
  <c r="N26" i="26"/>
  <c r="M19" i="19"/>
  <c r="N8" i="8"/>
  <c r="N17" i="8" s="1"/>
  <c r="N23" i="8" s="1"/>
  <c r="L8" i="8"/>
  <c r="K88" i="8"/>
  <c r="K89" i="8" s="1"/>
  <c r="K90" i="8" s="1"/>
  <c r="K13" i="19"/>
  <c r="I5" i="36" s="1"/>
  <c r="I7" i="36" s="1"/>
  <c r="K17" i="8"/>
  <c r="K23" i="8" s="1"/>
  <c r="N102" i="8"/>
  <c r="L90" i="8" l="1"/>
  <c r="M90" i="8"/>
  <c r="R139" i="16"/>
  <c r="R42" i="16" s="1"/>
  <c r="R45" i="16" s="1"/>
  <c r="N113" i="8"/>
  <c r="I83" i="19"/>
  <c r="J61" i="19"/>
  <c r="I68" i="19"/>
  <c r="F66" i="16" s="1"/>
  <c r="I67" i="19"/>
  <c r="F79" i="16" s="1"/>
  <c r="K27" i="19"/>
  <c r="O63" i="16" s="1"/>
  <c r="K30" i="19"/>
  <c r="M34" i="19"/>
  <c r="M37" i="19" s="1"/>
  <c r="L160" i="19"/>
  <c r="G143" i="19"/>
  <c r="D49" i="16" s="1"/>
  <c r="D47" i="16"/>
  <c r="H137" i="19"/>
  <c r="H140" i="19" s="1"/>
  <c r="E47" i="16" s="1"/>
  <c r="M138" i="19"/>
  <c r="M154" i="19" s="1"/>
  <c r="M79" i="19"/>
  <c r="M81" i="19" s="1"/>
  <c r="N79" i="19" s="1"/>
  <c r="N81" i="19" s="1"/>
  <c r="O79" i="19" s="1"/>
  <c r="H158" i="19"/>
  <c r="I155" i="19"/>
  <c r="J153" i="19" s="1"/>
  <c r="O110" i="19"/>
  <c r="O113" i="19" s="1"/>
  <c r="O73" i="19"/>
  <c r="O76" i="19" s="1"/>
  <c r="K103" i="19"/>
  <c r="O92" i="16" s="1"/>
  <c r="M23" i="19"/>
  <c r="M41" i="19" s="1"/>
  <c r="K98" i="8"/>
  <c r="K104" i="8" s="1"/>
  <c r="K108" i="8" s="1"/>
  <c r="K110" i="8" s="1"/>
  <c r="X447" i="1"/>
  <c r="L98" i="8"/>
  <c r="Y447" i="1"/>
  <c r="K128" i="19"/>
  <c r="K142" i="19" s="1"/>
  <c r="O48" i="16" s="1"/>
  <c r="H48" i="30"/>
  <c r="AB38" i="30"/>
  <c r="AB42" i="30" s="1"/>
  <c r="L95" i="19"/>
  <c r="L97" i="19" s="1"/>
  <c r="L75" i="8"/>
  <c r="P84" i="16" s="1"/>
  <c r="P87" i="16" s="1"/>
  <c r="P90" i="16" s="1"/>
  <c r="N37" i="26"/>
  <c r="N13" i="19"/>
  <c r="L17" i="8"/>
  <c r="L13" i="19"/>
  <c r="AB436" i="1"/>
  <c r="AB437" i="1"/>
  <c r="AB348" i="1"/>
  <c r="AB444" i="1"/>
  <c r="O7" i="8"/>
  <c r="AB434" i="1"/>
  <c r="AB435" i="1"/>
  <c r="N21" i="8"/>
  <c r="R54" i="16" s="1"/>
  <c r="R57" i="16" s="1"/>
  <c r="R60" i="16" s="1"/>
  <c r="N27" i="8"/>
  <c r="N29" i="8" s="1"/>
  <c r="K27" i="8"/>
  <c r="K29" i="8" s="1"/>
  <c r="K21" i="8"/>
  <c r="O54" i="16" s="1"/>
  <c r="O57" i="16" s="1"/>
  <c r="O60" i="16" s="1"/>
  <c r="K17" i="19"/>
  <c r="K102" i="8" l="1"/>
  <c r="L23" i="8"/>
  <c r="L27" i="8" s="1"/>
  <c r="L29" i="8" s="1"/>
  <c r="L102" i="8"/>
  <c r="J64" i="19"/>
  <c r="G77" i="16" s="1"/>
  <c r="L27" i="19"/>
  <c r="P63" i="16" s="1"/>
  <c r="L30" i="19"/>
  <c r="N27" i="19"/>
  <c r="R63" i="16" s="1"/>
  <c r="N30" i="19"/>
  <c r="N34" i="19"/>
  <c r="N37" i="19" s="1"/>
  <c r="M160" i="19"/>
  <c r="K107" i="19"/>
  <c r="O81" i="16" s="1"/>
  <c r="L104" i="8"/>
  <c r="L108" i="8" s="1"/>
  <c r="L110" i="8" s="1"/>
  <c r="I137" i="19"/>
  <c r="I140" i="19" s="1"/>
  <c r="I144" i="19" s="1"/>
  <c r="H143" i="19"/>
  <c r="E49" i="16" s="1"/>
  <c r="H144" i="19"/>
  <c r="K106" i="19"/>
  <c r="O94" i="16" s="1"/>
  <c r="I158" i="19"/>
  <c r="J155" i="19"/>
  <c r="K153" i="19" s="1"/>
  <c r="K120" i="19"/>
  <c r="L100" i="19"/>
  <c r="L101" i="19"/>
  <c r="L117" i="19" s="1"/>
  <c r="L118" i="19" s="1"/>
  <c r="K132" i="19"/>
  <c r="K134" i="19" s="1"/>
  <c r="L128" i="19"/>
  <c r="L142" i="19" s="1"/>
  <c r="P48" i="16" s="1"/>
  <c r="N128" i="19"/>
  <c r="N142" i="19" s="1"/>
  <c r="R48" i="16" s="1"/>
  <c r="L38" i="30"/>
  <c r="AF38" i="30" s="1"/>
  <c r="L39" i="30"/>
  <c r="AF39" i="30" s="1"/>
  <c r="O34" i="8" s="1"/>
  <c r="O35" i="8" s="1"/>
  <c r="L81" i="8"/>
  <c r="L83" i="8" s="1"/>
  <c r="L26" i="26"/>
  <c r="L40" i="30"/>
  <c r="AF40" i="30" s="1"/>
  <c r="O61" i="8" s="1"/>
  <c r="O62" i="8" s="1"/>
  <c r="N17" i="19"/>
  <c r="N19" i="19" s="1"/>
  <c r="K19" i="19"/>
  <c r="I10" i="36" s="1"/>
  <c r="L21" i="8"/>
  <c r="P54" i="16" s="1"/>
  <c r="P57" i="16" s="1"/>
  <c r="P60" i="16" s="1"/>
  <c r="L17" i="19"/>
  <c r="O8" i="8"/>
  <c r="P139" i="16" l="1"/>
  <c r="P42" i="16" s="1"/>
  <c r="P45" i="16" s="1"/>
  <c r="L113" i="8"/>
  <c r="M113" i="8"/>
  <c r="O139" i="16"/>
  <c r="O42" i="16" s="1"/>
  <c r="O45" i="16" s="1"/>
  <c r="K113" i="8"/>
  <c r="J68" i="19"/>
  <c r="G66" i="16" s="1"/>
  <c r="J67" i="19"/>
  <c r="G79" i="16" s="1"/>
  <c r="J83" i="19"/>
  <c r="K61" i="19"/>
  <c r="O34" i="19"/>
  <c r="O37" i="19" s="1"/>
  <c r="O160" i="19" s="1"/>
  <c r="N160" i="19"/>
  <c r="J137" i="19"/>
  <c r="J140" i="19" s="1"/>
  <c r="F47" i="16"/>
  <c r="I143" i="19"/>
  <c r="F49" i="16" s="1"/>
  <c r="K138" i="19"/>
  <c r="K154" i="19" s="1"/>
  <c r="K155" i="19" s="1"/>
  <c r="L153" i="19" s="1"/>
  <c r="J158" i="19"/>
  <c r="M116" i="19"/>
  <c r="M118" i="19" s="1"/>
  <c r="L103" i="19"/>
  <c r="P92" i="16" s="1"/>
  <c r="K23" i="19"/>
  <c r="K41" i="19" s="1"/>
  <c r="N23" i="19"/>
  <c r="N41" i="19" s="1"/>
  <c r="AF42" i="30"/>
  <c r="L132" i="19"/>
  <c r="L134" i="19" s="1"/>
  <c r="N132" i="19"/>
  <c r="N134" i="19" s="1"/>
  <c r="O88" i="8"/>
  <c r="O89" i="8" s="1"/>
  <c r="O90" i="8" s="1"/>
  <c r="O52" i="19"/>
  <c r="O44" i="8"/>
  <c r="O50" i="8" s="1"/>
  <c r="L48" i="30"/>
  <c r="L37" i="26"/>
  <c r="O71" i="8"/>
  <c r="O77" i="8" s="1"/>
  <c r="O91" i="19"/>
  <c r="O105" i="19" s="1"/>
  <c r="S93" i="16" s="1"/>
  <c r="L19" i="19"/>
  <c r="O17" i="8"/>
  <c r="O23" i="8" s="1"/>
  <c r="O13" i="19"/>
  <c r="K64" i="19" l="1"/>
  <c r="O77" i="16" s="1"/>
  <c r="O27" i="19"/>
  <c r="S63" i="16" s="1"/>
  <c r="O30" i="19"/>
  <c r="O66" i="19"/>
  <c r="S78" i="16" s="1"/>
  <c r="O69" i="19"/>
  <c r="L107" i="19"/>
  <c r="P81" i="16" s="1"/>
  <c r="N138" i="19"/>
  <c r="N154" i="19" s="1"/>
  <c r="L138" i="19"/>
  <c r="L154" i="19" s="1"/>
  <c r="L155" i="19" s="1"/>
  <c r="M153" i="19" s="1"/>
  <c r="K137" i="19"/>
  <c r="J144" i="19"/>
  <c r="G47" i="16"/>
  <c r="K158" i="19"/>
  <c r="N116" i="19"/>
  <c r="N118" i="19" s="1"/>
  <c r="O116" i="19" s="1"/>
  <c r="L120" i="19"/>
  <c r="M100" i="19"/>
  <c r="M103" i="19" s="1"/>
  <c r="Q92" i="16" s="1"/>
  <c r="L106" i="19"/>
  <c r="P94" i="16" s="1"/>
  <c r="L23" i="19"/>
  <c r="L41" i="19" s="1"/>
  <c r="J143" i="19"/>
  <c r="G49" i="16" s="1"/>
  <c r="O98" i="8"/>
  <c r="O104" i="8" s="1"/>
  <c r="O108" i="8" s="1"/>
  <c r="O110" i="8" s="1"/>
  <c r="AB447" i="1"/>
  <c r="O128" i="19"/>
  <c r="O142" i="19" s="1"/>
  <c r="S48" i="16" s="1"/>
  <c r="O54" i="8"/>
  <c r="O56" i="8" s="1"/>
  <c r="O48" i="8"/>
  <c r="S69" i="16" s="1"/>
  <c r="S72" i="16" s="1"/>
  <c r="S75" i="16" s="1"/>
  <c r="O95" i="19"/>
  <c r="O97" i="19" s="1"/>
  <c r="O56" i="19"/>
  <c r="O58" i="19" s="1"/>
  <c r="O75" i="8"/>
  <c r="S84" i="16" s="1"/>
  <c r="S87" i="16" s="1"/>
  <c r="S90" i="16" s="1"/>
  <c r="O27" i="8"/>
  <c r="O29" i="8" s="1"/>
  <c r="O21" i="8"/>
  <c r="S54" i="16" s="1"/>
  <c r="S57" i="16" s="1"/>
  <c r="S60" i="16" s="1"/>
  <c r="O17" i="19"/>
  <c r="O102" i="8" l="1"/>
  <c r="K83" i="19"/>
  <c r="K68" i="19"/>
  <c r="O66" i="16" s="1"/>
  <c r="K67" i="19"/>
  <c r="O79" i="16" s="1"/>
  <c r="L61" i="19"/>
  <c r="M107" i="19"/>
  <c r="Q81" i="16" s="1"/>
  <c r="M120" i="19"/>
  <c r="N100" i="19"/>
  <c r="N103" i="19" s="1"/>
  <c r="R92" i="16" s="1"/>
  <c r="O101" i="19"/>
  <c r="O117" i="19" s="1"/>
  <c r="O118" i="19" s="1"/>
  <c r="M106" i="19"/>
  <c r="Q94" i="16" s="1"/>
  <c r="O62" i="19"/>
  <c r="O80" i="19" s="1"/>
  <c r="O81" i="19" s="1"/>
  <c r="L158" i="19"/>
  <c r="M155" i="19"/>
  <c r="N153" i="19" s="1"/>
  <c r="K140" i="19"/>
  <c r="O132" i="19"/>
  <c r="O134" i="19" s="1"/>
  <c r="O26" i="26"/>
  <c r="O81" i="8"/>
  <c r="O83" i="8" s="1"/>
  <c r="O19" i="19"/>
  <c r="S139" i="16" l="1"/>
  <c r="S42" i="16" s="1"/>
  <c r="S45" i="16" s="1"/>
  <c r="O113" i="8"/>
  <c r="L64" i="19"/>
  <c r="P77" i="16" s="1"/>
  <c r="N107" i="19"/>
  <c r="R81" i="16" s="1"/>
  <c r="L137" i="19"/>
  <c r="K144" i="19"/>
  <c r="O47" i="16"/>
  <c r="O138" i="19"/>
  <c r="O154" i="19" s="1"/>
  <c r="M158" i="19"/>
  <c r="N155" i="19"/>
  <c r="O153" i="19" s="1"/>
  <c r="N120" i="19"/>
  <c r="O100" i="19"/>
  <c r="O103" i="19" s="1"/>
  <c r="S92" i="16" s="1"/>
  <c r="N106" i="19"/>
  <c r="R94" i="16" s="1"/>
  <c r="O23" i="19"/>
  <c r="O41" i="19" s="1"/>
  <c r="K143" i="19"/>
  <c r="O49" i="16" s="1"/>
  <c r="O37" i="26"/>
  <c r="M61" i="19" l="1"/>
  <c r="L67" i="19"/>
  <c r="P79" i="16" s="1"/>
  <c r="L68" i="19"/>
  <c r="P66" i="16" s="1"/>
  <c r="L83" i="19"/>
  <c r="O107" i="19"/>
  <c r="S81" i="16" s="1"/>
  <c r="O120" i="19"/>
  <c r="N158" i="19"/>
  <c r="O106" i="19"/>
  <c r="S94" i="16" s="1"/>
  <c r="O155" i="19"/>
  <c r="O158" i="19" s="1"/>
  <c r="L140" i="19"/>
  <c r="M64" i="19" l="1"/>
  <c r="Q77" i="16" s="1"/>
  <c r="M137" i="19"/>
  <c r="P47" i="16"/>
  <c r="L144" i="19"/>
  <c r="L143" i="19"/>
  <c r="P49" i="16" s="1"/>
  <c r="M68" i="19" l="1"/>
  <c r="Q66" i="16" s="1"/>
  <c r="M67" i="19"/>
  <c r="Q79" i="16" s="1"/>
  <c r="M83" i="19"/>
  <c r="N61" i="19"/>
  <c r="M140" i="19"/>
  <c r="AA436" i="1"/>
  <c r="K39" i="30" s="1"/>
  <c r="AE39" i="30" s="1"/>
  <c r="AE42" i="30" s="1"/>
  <c r="Z437" i="1"/>
  <c r="J40" i="30" s="1"/>
  <c r="AD40" i="30" s="1"/>
  <c r="AD42" i="30" s="1"/>
  <c r="N64" i="19" l="1"/>
  <c r="R77" i="16" s="1"/>
  <c r="N137" i="19"/>
  <c r="M144" i="19"/>
  <c r="Q47" i="16"/>
  <c r="M143" i="19"/>
  <c r="Q49" i="16" s="1"/>
  <c r="J48" i="30"/>
  <c r="K48" i="30"/>
  <c r="N67" i="19" l="1"/>
  <c r="R79" i="16" s="1"/>
  <c r="N83" i="19"/>
  <c r="N68" i="19"/>
  <c r="R66" i="16" s="1"/>
  <c r="O61" i="19"/>
  <c r="N140" i="19"/>
  <c r="O64" i="19" l="1"/>
  <c r="S77" i="16" s="1"/>
  <c r="O137" i="19"/>
  <c r="N144" i="19"/>
  <c r="R47" i="16"/>
  <c r="N143" i="19"/>
  <c r="R49" i="16" s="1"/>
  <c r="O68" i="19" l="1"/>
  <c r="S66" i="16" s="1"/>
  <c r="O83" i="19"/>
  <c r="O67" i="19"/>
  <c r="S79" i="16" s="1"/>
  <c r="O140" i="19"/>
  <c r="O144" i="19" l="1"/>
  <c r="S47" i="16"/>
  <c r="O143" i="19"/>
  <c r="S49" i="16" s="1"/>
  <c r="E44" i="19"/>
  <c r="E159" i="19"/>
  <c r="F40" i="19"/>
  <c r="F42" i="19" s="1"/>
  <c r="F161" i="19" l="1"/>
  <c r="G40" i="19"/>
  <c r="G42" i="19" s="1"/>
  <c r="G161" i="19" s="1"/>
  <c r="F22" i="19"/>
  <c r="F25" i="19" s="1"/>
  <c r="C62" i="16" l="1"/>
  <c r="G22" i="19"/>
  <c r="G25" i="19" s="1"/>
  <c r="H22" i="19" s="1"/>
  <c r="H25" i="19" s="1"/>
  <c r="F159" i="19"/>
  <c r="F29" i="19"/>
  <c r="C51" i="16" s="1"/>
  <c r="F28" i="19"/>
  <c r="C64" i="16" s="1"/>
  <c r="H40" i="19"/>
  <c r="H42" i="19" s="1"/>
  <c r="H161" i="19" s="1"/>
  <c r="F44" i="19"/>
  <c r="G44" i="19" l="1"/>
  <c r="D62" i="16"/>
  <c r="I40" i="19"/>
  <c r="I42" i="19" s="1"/>
  <c r="I161" i="19" s="1"/>
  <c r="G28" i="19"/>
  <c r="D64" i="16" s="1"/>
  <c r="G29" i="19"/>
  <c r="D51" i="16" s="1"/>
  <c r="E62" i="16"/>
  <c r="G159" i="19"/>
  <c r="H28" i="19" l="1"/>
  <c r="E64" i="16" s="1"/>
  <c r="I22" i="19"/>
  <c r="I25" i="19" s="1"/>
  <c r="H159" i="19"/>
  <c r="H29" i="19"/>
  <c r="E51" i="16" s="1"/>
  <c r="H44" i="19"/>
  <c r="J40" i="19"/>
  <c r="J42" i="19" s="1"/>
  <c r="J161" i="19" s="1"/>
  <c r="I44" i="19" l="1"/>
  <c r="F62" i="16"/>
  <c r="K40" i="19"/>
  <c r="K42" i="19" s="1"/>
  <c r="K161" i="19" s="1"/>
  <c r="I159" i="19"/>
  <c r="I28" i="19"/>
  <c r="F64" i="16" s="1"/>
  <c r="I29" i="19"/>
  <c r="F51" i="16" s="1"/>
  <c r="J22" i="19"/>
  <c r="J25" i="19" l="1"/>
  <c r="G62" i="16" s="1"/>
  <c r="L40" i="19"/>
  <c r="L42" i="19" s="1"/>
  <c r="L161" i="19" s="1"/>
  <c r="J44" i="19" l="1"/>
  <c r="J28" i="19"/>
  <c r="G64" i="16" s="1"/>
  <c r="J29" i="19"/>
  <c r="G51" i="16" s="1"/>
  <c r="J159" i="19"/>
  <c r="K22" i="19"/>
  <c r="K25" i="19" s="1"/>
  <c r="M40" i="19"/>
  <c r="M42" i="19" s="1"/>
  <c r="M161" i="19" s="1"/>
  <c r="N40" i="19" l="1"/>
  <c r="N42" i="19" s="1"/>
  <c r="N161" i="19" s="1"/>
  <c r="L22" i="19" l="1"/>
  <c r="L25" i="19" s="1"/>
  <c r="K28" i="19"/>
  <c r="O64" i="16" s="1"/>
  <c r="K44" i="19"/>
  <c r="K159" i="19"/>
  <c r="K29" i="19"/>
  <c r="O51" i="16" s="1"/>
  <c r="O62" i="16"/>
  <c r="O40" i="19"/>
  <c r="O42" i="19" s="1"/>
  <c r="O161" i="19" s="1"/>
  <c r="L29" i="19" l="1"/>
  <c r="P51" i="16" s="1"/>
  <c r="M22" i="19"/>
  <c r="L28" i="19"/>
  <c r="P64" i="16" s="1"/>
  <c r="L44" i="19"/>
  <c r="P62" i="16"/>
  <c r="L159" i="19"/>
  <c r="M25" i="19" l="1"/>
  <c r="M28" i="19" l="1"/>
  <c r="Q64" i="16" s="1"/>
  <c r="M29" i="19"/>
  <c r="Q51" i="16" s="1"/>
  <c r="N22" i="19"/>
  <c r="M44" i="19"/>
  <c r="M159" i="19"/>
  <c r="Q62" i="16"/>
  <c r="N25" i="19" l="1"/>
  <c r="R62" i="16" s="1"/>
  <c r="N29" i="19" l="1"/>
  <c r="R51" i="16" s="1"/>
  <c r="N44" i="19"/>
  <c r="N159" i="19"/>
  <c r="N28" i="19"/>
  <c r="R64" i="16" s="1"/>
  <c r="O22" i="19"/>
  <c r="O25" i="19" s="1"/>
  <c r="O44" i="19" l="1"/>
  <c r="O28" i="19"/>
  <c r="S64" i="16" s="1"/>
  <c r="S62" i="16"/>
  <c r="O29" i="19"/>
  <c r="S51" i="16" s="1"/>
  <c r="O159" i="19"/>
</calcChain>
</file>

<file path=xl/comments1.xml><?xml version="1.0" encoding="utf-8"?>
<comments xmlns="http://schemas.openxmlformats.org/spreadsheetml/2006/main">
  <authors>
    <author>Eric Callocchia</author>
    <author>Michelle Gleisner</author>
  </authors>
  <commentList>
    <comment ref="D369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Based on Consumption Growth</t>
        </r>
      </text>
    </comment>
    <comment ref="B449" authorId="1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Moved these two items out of operating expenses - they are paid from fees, not water &amp; sewer rates.</t>
        </r>
      </text>
    </comment>
  </commentList>
</comments>
</file>

<file path=xl/comments2.xml><?xml version="1.0" encoding="utf-8"?>
<comments xmlns="http://schemas.openxmlformats.org/spreadsheetml/2006/main">
  <authors>
    <author>Michelle Gleisner</author>
    <author>sschueler</author>
    <author>Annmarie Mampe</author>
  </authors>
  <commentList>
    <comment ref="U6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Legal Fees-2014 Budget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from FY2014 Salary &amp; Budget Schedule - 1500</t>
        </r>
      </text>
    </comment>
    <comment ref="U8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FY2014 Salary &amp; Budget Schedule 1100</t>
        </r>
      </text>
    </comment>
    <comment ref="U9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FY2014 Salary &amp; Budget Schedule 1500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SP + AA from FY2014 Salary &amp; Budget Schedule 1100</t>
        </r>
      </text>
    </comment>
    <comment ref="N14" authorId="1" shapeId="0">
      <text>
        <r>
          <rPr>
            <b/>
            <sz val="8"/>
            <color indexed="81"/>
            <rFont val="Tahoma"/>
            <family val="2"/>
          </rPr>
          <t>sschueler:</t>
        </r>
        <r>
          <rPr>
            <sz val="8"/>
            <color indexed="81"/>
            <rFont val="Tahoma"/>
            <family val="2"/>
          </rPr>
          <t xml:space="preserve">
C. Krygowksi, B. Lynch, N. Klimenko, K. Prchal
</t>
        </r>
      </text>
    </comment>
    <comment ref="U14" authorId="0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FY2014 Salary &amp; Budget Schedules 2001-2003</t>
        </r>
      </text>
    </comment>
    <comment ref="N32" authorId="1" shapeId="0">
      <text>
        <r>
          <rPr>
            <b/>
            <sz val="8"/>
            <color indexed="81"/>
            <rFont val="Tahoma"/>
            <family val="2"/>
          </rPr>
          <t>sschueler:</t>
        </r>
        <r>
          <rPr>
            <sz val="8"/>
            <color indexed="81"/>
            <rFont val="Tahoma"/>
            <family val="2"/>
          </rPr>
          <t xml:space="preserve">
TOTAL CLEANING CONTRACT AMOUNT DIVIDED BY TOTAL SQUARE FOOTAGE MULITIPLIED BY 1/3 OF PW FACILITY SQUARE FOOTAGE</t>
        </r>
      </text>
    </comment>
    <comment ref="Q32" authorId="1" shapeId="0">
      <text>
        <r>
          <rPr>
            <b/>
            <sz val="8"/>
            <color indexed="81"/>
            <rFont val="Tahoma"/>
            <family val="2"/>
          </rPr>
          <t>sschueler:</t>
        </r>
        <r>
          <rPr>
            <sz val="8"/>
            <color indexed="81"/>
            <rFont val="Tahoma"/>
            <family val="2"/>
          </rPr>
          <t xml:space="preserve">
TOTAL CLEANING CONTRACT AMOUNT DIVIDED BY TOTAL SQUARE FOOTAGE MULITIPLIED BY 1/3 OF PW FACILITY SQUARE FOOTAGE
Need to confirm total/pw sqf for FY12 amount.  AKM 10/19/11</t>
        </r>
      </text>
    </comment>
    <comment ref="S32" authorId="2" shapeId="0">
      <text>
        <r>
          <rPr>
            <b/>
            <sz val="10"/>
            <color indexed="81"/>
            <rFont val="Tahoma"/>
            <family val="2"/>
          </rPr>
          <t>Annmarie Mampe:</t>
        </r>
        <r>
          <rPr>
            <sz val="10"/>
            <color indexed="81"/>
            <rFont val="Tahoma"/>
            <family val="2"/>
          </rPr>
          <t xml:space="preserve">
Total contract amount per 2011-0621, total SF per LP email 10/20/11.</t>
        </r>
      </text>
    </comment>
  </commentList>
</comments>
</file>

<file path=xl/comments3.xml><?xml version="1.0" encoding="utf-8"?>
<comments xmlns="http://schemas.openxmlformats.org/spreadsheetml/2006/main">
  <authors>
    <author>Eric Callocchia</author>
  </authors>
  <commentList>
    <comment ref="J10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Refinanced in Projected Debt</t>
        </r>
      </text>
    </comment>
  </commentList>
</comments>
</file>

<file path=xl/comments4.xml><?xml version="1.0" encoding="utf-8"?>
<comments xmlns="http://schemas.openxmlformats.org/spreadsheetml/2006/main">
  <authors>
    <author>Eric Callocchia</author>
  </authors>
  <commentList>
    <comment ref="G55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Estimated based on 10 months of consumption.
</t>
        </r>
      </text>
    </comment>
  </commentList>
</comments>
</file>

<file path=xl/comments5.xml><?xml version="1.0" encoding="utf-8"?>
<comments xmlns="http://schemas.openxmlformats.org/spreadsheetml/2006/main">
  <authors>
    <author>Eric Callocchia</author>
    <author>Michelle Gleisner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This value is 1 .00 for all land (Type code 010). We do not depreciate land value.</t>
        </r>
      </text>
    </comment>
    <comment ref="D569" authorId="1" shapeId="0">
      <text>
        <r>
          <rPr>
            <b/>
            <sz val="9"/>
            <color indexed="81"/>
            <rFont val="Tahoma"/>
            <family val="2"/>
          </rPr>
          <t>Michelle Gleisner: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Capital in Progress should not be allocated. Will be allocated as the new assets are identified. Changed from 100% to 0%</t>
        </r>
      </text>
    </comment>
  </commentList>
</comments>
</file>

<file path=xl/comments6.xml><?xml version="1.0" encoding="utf-8"?>
<comments xmlns="http://schemas.openxmlformats.org/spreadsheetml/2006/main">
  <authors>
    <author>Eric Callocchia</author>
  </authors>
  <commentList>
    <comment ref="C61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Median Usage is 8</t>
        </r>
      </text>
    </comment>
    <comment ref="C62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Average Usage is 13</t>
        </r>
      </text>
    </comment>
  </commentList>
</comments>
</file>

<file path=xl/comments7.xml><?xml version="1.0" encoding="utf-8"?>
<comments xmlns="http://schemas.openxmlformats.org/spreadsheetml/2006/main">
  <authors>
    <author>Eric Callocchia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Does not include land</t>
        </r>
      </text>
    </comment>
  </commentList>
</comments>
</file>

<file path=xl/comments8.xml><?xml version="1.0" encoding="utf-8"?>
<comments xmlns="http://schemas.openxmlformats.org/spreadsheetml/2006/main">
  <authors>
    <author>Michael Maker</author>
  </authors>
  <commentList>
    <comment ref="B26" authorId="0" shapeId="0">
      <text>
        <r>
          <rPr>
            <b/>
            <sz val="9"/>
            <color indexed="81"/>
            <rFont val="Tahoma"/>
            <family val="2"/>
          </rPr>
          <t>Michael Maker:</t>
        </r>
        <r>
          <rPr>
            <sz val="9"/>
            <color indexed="81"/>
            <rFont val="Tahoma"/>
            <family val="2"/>
          </rPr>
          <t xml:space="preserve">
Only starting from 1950 but could go back further</t>
        </r>
      </text>
    </comment>
  </commentList>
</comments>
</file>

<file path=xl/comments9.xml><?xml version="1.0" encoding="utf-8"?>
<comments xmlns="http://schemas.openxmlformats.org/spreadsheetml/2006/main">
  <authors>
    <author>Eric Callocchia</author>
  </authors>
  <commentList>
    <comment ref="C61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Median Usage is 8</t>
        </r>
      </text>
    </comment>
    <comment ref="C62" authorId="0" shapeId="0">
      <text>
        <r>
          <rPr>
            <b/>
            <sz val="9"/>
            <color indexed="81"/>
            <rFont val="Tahoma"/>
            <family val="2"/>
          </rPr>
          <t>Eric Callocchia:</t>
        </r>
        <r>
          <rPr>
            <sz val="9"/>
            <color indexed="81"/>
            <rFont val="Tahoma"/>
            <family val="2"/>
          </rPr>
          <t xml:space="preserve">
Average Usage is 13</t>
        </r>
      </text>
    </comment>
  </commentList>
</comments>
</file>

<file path=xl/sharedStrings.xml><?xml version="1.0" encoding="utf-8"?>
<sst xmlns="http://schemas.openxmlformats.org/spreadsheetml/2006/main" count="5918" uniqueCount="2344">
  <si>
    <t>Actual</t>
  </si>
  <si>
    <t>Budget</t>
  </si>
  <si>
    <t>Projected</t>
  </si>
  <si>
    <t>Inflation Factor</t>
  </si>
  <si>
    <t>FY 2015</t>
  </si>
  <si>
    <t>Personnel</t>
  </si>
  <si>
    <t>Health</t>
  </si>
  <si>
    <t>Default</t>
  </si>
  <si>
    <t>CCI</t>
  </si>
  <si>
    <t>Water Meters</t>
  </si>
  <si>
    <t>Water Fund</t>
  </si>
  <si>
    <t>Contract/Title</t>
  </si>
  <si>
    <t>Total Existing Water Debt Payment</t>
  </si>
  <si>
    <t>Sewer Fund</t>
  </si>
  <si>
    <t>Total</t>
  </si>
  <si>
    <t>% Allocation</t>
  </si>
  <si>
    <t>Water</t>
  </si>
  <si>
    <t>Project</t>
  </si>
  <si>
    <t>Fund Source</t>
  </si>
  <si>
    <t>Cash Funded</t>
  </si>
  <si>
    <t>Equipment</t>
  </si>
  <si>
    <t>Planned Water Capital Projects</t>
  </si>
  <si>
    <t>Total Water CIP Spending</t>
  </si>
  <si>
    <t>Total Cash Funded CIP Projects</t>
  </si>
  <si>
    <t>Sewer</t>
  </si>
  <si>
    <t>Planned Sewer Capital Projects</t>
  </si>
  <si>
    <t>Total Sewer CIP Spending</t>
  </si>
  <si>
    <t>Total Loan Funded CIP Projects</t>
  </si>
  <si>
    <t xml:space="preserve">Year of Issue </t>
  </si>
  <si>
    <t>Interest Rate on Borrowings</t>
  </si>
  <si>
    <t>Debt Maturity</t>
  </si>
  <si>
    <t>Total Principal</t>
  </si>
  <si>
    <t>Total Interest</t>
  </si>
  <si>
    <t>Payment Schedule</t>
  </si>
  <si>
    <t xml:space="preserve">Principal </t>
  </si>
  <si>
    <t xml:space="preserve">Interest </t>
  </si>
  <si>
    <t>Outstanding Principal</t>
  </si>
  <si>
    <t>Connections Fees</t>
  </si>
  <si>
    <t>Water Service Fees - Incorporated</t>
  </si>
  <si>
    <t>Water Service Fees - Unincorporated</t>
  </si>
  <si>
    <t>Water Service Fees - Bulk</t>
  </si>
  <si>
    <t>Water Service Fees - Sales</t>
  </si>
  <si>
    <t>Water Service Fees - Pre-Construction Sales</t>
  </si>
  <si>
    <t>Sewer Service Fees - Incorporated</t>
  </si>
  <si>
    <t>Sewer Service Fees - Unincorporated</t>
  </si>
  <si>
    <t>Storm Service Fees - Incorporated</t>
  </si>
  <si>
    <t>Storm Service Fees - Unincorporated</t>
  </si>
  <si>
    <t>Monthly Service Charges</t>
  </si>
  <si>
    <t>Late Charges</t>
  </si>
  <si>
    <t>Miscellaneous Reimbursements</t>
  </si>
  <si>
    <t>Pooled Investments Interest</t>
  </si>
  <si>
    <t>Adopted</t>
  </si>
  <si>
    <t>031-0000-352500</t>
  </si>
  <si>
    <t>GL Account Number</t>
  </si>
  <si>
    <t>GL Account Description</t>
  </si>
  <si>
    <t>031-0000-380100</t>
  </si>
  <si>
    <t>031-0000-380200</t>
  </si>
  <si>
    <t>031-0000-380300</t>
  </si>
  <si>
    <t>031-0000-380400</t>
  </si>
  <si>
    <t>031-0000-380500</t>
  </si>
  <si>
    <t>031-0000-381100</t>
  </si>
  <si>
    <t>031-0000-381200</t>
  </si>
  <si>
    <t>031-0000-382100</t>
  </si>
  <si>
    <t>031-0000-382200</t>
  </si>
  <si>
    <t>031-0000-383100</t>
  </si>
  <si>
    <t>031-0000-383200</t>
  </si>
  <si>
    <t>031-0000-334099</t>
  </si>
  <si>
    <t>031-0000-361100</t>
  </si>
  <si>
    <t>031-0000-391100</t>
  </si>
  <si>
    <t>Interfund Transfers In - General</t>
  </si>
  <si>
    <t>031-1400-410100</t>
  </si>
  <si>
    <t>Full Time - Salary</t>
  </si>
  <si>
    <t>031-1400-410110</t>
  </si>
  <si>
    <t>Full Time - Hourly</t>
  </si>
  <si>
    <t>031-1400-410130</t>
  </si>
  <si>
    <t>Part Time</t>
  </si>
  <si>
    <t>031-1400-410200</t>
  </si>
  <si>
    <t>Over Time</t>
  </si>
  <si>
    <t>031-1400-410300</t>
  </si>
  <si>
    <t>Longevity</t>
  </si>
  <si>
    <t>031-1400-410400</t>
  </si>
  <si>
    <t>Sicktime Buyback</t>
  </si>
  <si>
    <t>031-1400-420100</t>
  </si>
  <si>
    <t>Social Security</t>
  </si>
  <si>
    <t>031-1400-420200</t>
  </si>
  <si>
    <t>IMRF</t>
  </si>
  <si>
    <t>031-1400-420300</t>
  </si>
  <si>
    <t>Group Insurance</t>
  </si>
  <si>
    <t>031-1400-420500</t>
  </si>
  <si>
    <t>Medicare</t>
  </si>
  <si>
    <t>031-1400-429100</t>
  </si>
  <si>
    <t>Training &amp; Education</t>
  </si>
  <si>
    <t>031-1400-429300</t>
  </si>
  <si>
    <t>Subscriptions &amp; Publications</t>
  </si>
  <si>
    <t>031-1400-429700</t>
  </si>
  <si>
    <t>Auto Allowance &amp; Expense</t>
  </si>
  <si>
    <t>031-1400-431100</t>
  </si>
  <si>
    <t>Collection/Bad Debt Expense</t>
  </si>
  <si>
    <t>031-1400-431150</t>
  </si>
  <si>
    <t>Credit Card Fees</t>
  </si>
  <si>
    <t>031-1400-431200</t>
  </si>
  <si>
    <t>Bank Service Charges</t>
  </si>
  <si>
    <t>031-1400-432200</t>
  </si>
  <si>
    <t>Accounting &amp; Auditing Services</t>
  </si>
  <si>
    <t>031-1400-432800</t>
  </si>
  <si>
    <t>Consulting Services</t>
  </si>
  <si>
    <t>031-1400-441100</t>
  </si>
  <si>
    <t>Telephone</t>
  </si>
  <si>
    <t>031-1400-441400</t>
  </si>
  <si>
    <t>031-1400-441500</t>
  </si>
  <si>
    <t>Sewer - Fernway</t>
  </si>
  <si>
    <t>031-1400-441600</t>
  </si>
  <si>
    <t>Postage/Shipping</t>
  </si>
  <si>
    <t>031-1400-442100</t>
  </si>
  <si>
    <t>Solid Waste Hauling</t>
  </si>
  <si>
    <t>031-1400-442300</t>
  </si>
  <si>
    <t>Legal Ads &amp; Publications</t>
  </si>
  <si>
    <t>031-1400-442500</t>
  </si>
  <si>
    <t>Outsourcing</t>
  </si>
  <si>
    <t>031-1400-442900</t>
  </si>
  <si>
    <t>Courier Service</t>
  </si>
  <si>
    <t>031-1400-443600</t>
  </si>
  <si>
    <t>Office Equipment</t>
  </si>
  <si>
    <t>031-1400-452500</t>
  </si>
  <si>
    <t>Worker's Compensation Premiums</t>
  </si>
  <si>
    <t>031-1400-452950</t>
  </si>
  <si>
    <t>Insurance Broker Fees</t>
  </si>
  <si>
    <t>031-1400-460100</t>
  </si>
  <si>
    <t>Office Supplies</t>
  </si>
  <si>
    <t>031-1400-460110</t>
  </si>
  <si>
    <t>Computer Hardware</t>
  </si>
  <si>
    <t>031-1400-460130</t>
  </si>
  <si>
    <t>Computer Software</t>
  </si>
  <si>
    <t>031-1400-460140</t>
  </si>
  <si>
    <t>Printing &amp; Stationery</t>
  </si>
  <si>
    <t>031-1400-460150</t>
  </si>
  <si>
    <t>Domestic Supplies</t>
  </si>
  <si>
    <t>031-1400-460180</t>
  </si>
  <si>
    <t>031-1400-470410</t>
  </si>
  <si>
    <t>031-1400-470420</t>
  </si>
  <si>
    <t>031-1400-482700</t>
  </si>
  <si>
    <t>Administrative Charges</t>
  </si>
  <si>
    <t>031-1400-484450</t>
  </si>
  <si>
    <t>Paying Agent Fees</t>
  </si>
  <si>
    <t>031-1400-484990</t>
  </si>
  <si>
    <t>Miscellaneous</t>
  </si>
  <si>
    <t>031-6001-410100</t>
  </si>
  <si>
    <t>031-6001-410110</t>
  </si>
  <si>
    <t>031-6001-410130</t>
  </si>
  <si>
    <t>031-6001-410200</t>
  </si>
  <si>
    <t>031-6001-410300</t>
  </si>
  <si>
    <t>031-6001-420100</t>
  </si>
  <si>
    <t>031-6001-420200</t>
  </si>
  <si>
    <t>031-6001-420300</t>
  </si>
  <si>
    <t>031-6001-420500</t>
  </si>
  <si>
    <t>031-6001-429100</t>
  </si>
  <si>
    <t>031-6001-429110</t>
  </si>
  <si>
    <t>Tuition Reimbursement</t>
  </si>
  <si>
    <t>031-6001-429200</t>
  </si>
  <si>
    <t>Dues &amp; Licenses</t>
  </si>
  <si>
    <t>031-6001-429300</t>
  </si>
  <si>
    <t>031-6001-429400</t>
  </si>
  <si>
    <t>Business Travel</t>
  </si>
  <si>
    <t>031-6001-429700</t>
  </si>
  <si>
    <t>031-6001-432500</t>
  </si>
  <si>
    <t>Engineering Services</t>
  </si>
  <si>
    <t>031-6001-432800</t>
  </si>
  <si>
    <t>031-6001-441100</t>
  </si>
  <si>
    <t>031-6001-441600</t>
  </si>
  <si>
    <t>031-6001-441900</t>
  </si>
  <si>
    <t>Pagers</t>
  </si>
  <si>
    <t>031-6001-442300</t>
  </si>
  <si>
    <t>031-6001-442550</t>
  </si>
  <si>
    <t>Vehicle &amp; Equipment Transfer</t>
  </si>
  <si>
    <t>031-6001-442850</t>
  </si>
  <si>
    <t>Online Services</t>
  </si>
  <si>
    <t>031-6001-443200</t>
  </si>
  <si>
    <t>Machinery &amp; Equipment - Maintenance</t>
  </si>
  <si>
    <t>031-6001-443600</t>
  </si>
  <si>
    <t>031-6001-443610</t>
  </si>
  <si>
    <t>Computer Maintenance</t>
  </si>
  <si>
    <t>031-6001-444100</t>
  </si>
  <si>
    <t>Land Leases</t>
  </si>
  <si>
    <t>031-6001-444700</t>
  </si>
  <si>
    <t>Office Equipment Rental</t>
  </si>
  <si>
    <t>031-6001-452100</t>
  </si>
  <si>
    <t>Auto Liability Premiums</t>
  </si>
  <si>
    <t>031-6001-452300</t>
  </si>
  <si>
    <t>General Liability Premiums</t>
  </si>
  <si>
    <t>031-6001-452500</t>
  </si>
  <si>
    <t>031-6001-452950</t>
  </si>
  <si>
    <t>031-6001-460100</t>
  </si>
  <si>
    <t>031-6001-460110</t>
  </si>
  <si>
    <t>031-6001-460130</t>
  </si>
  <si>
    <t>031-6001-460140</t>
  </si>
  <si>
    <t>031-6001-460150</t>
  </si>
  <si>
    <t>031-6001-460180</t>
  </si>
  <si>
    <t>031-6001-460190</t>
  </si>
  <si>
    <t>Uniforms</t>
  </si>
  <si>
    <t>Autos &amp; Trucks</t>
  </si>
  <si>
    <t>Machinery &amp; Equipment</t>
  </si>
  <si>
    <t>031-6001-484950</t>
  </si>
  <si>
    <t>Contingency</t>
  </si>
  <si>
    <t>Water &amp; Sewer Admin Total</t>
  </si>
  <si>
    <t>031-6002-432800</t>
  </si>
  <si>
    <t>031-6002-432990</t>
  </si>
  <si>
    <t>Miscellaneous Services</t>
  </si>
  <si>
    <t>031-6002-441100</t>
  </si>
  <si>
    <t>031-6002-441300</t>
  </si>
  <si>
    <t>Electricity</t>
  </si>
  <si>
    <t>031-6002-441700</t>
  </si>
  <si>
    <t>Natural &amp; Propane Gas</t>
  </si>
  <si>
    <t>031-6002-443100</t>
  </si>
  <si>
    <t>Buildings</t>
  </si>
  <si>
    <t>031-6002-443200</t>
  </si>
  <si>
    <t>031-6002-443300</t>
  </si>
  <si>
    <t>Streets/Right of Way</t>
  </si>
  <si>
    <t>031-6002-443500</t>
  </si>
  <si>
    <t>Grounds</t>
  </si>
  <si>
    <t>031-6002-443800</t>
  </si>
  <si>
    <t>Underground Water Lines/Valves</t>
  </si>
  <si>
    <t>031-6002-443900</t>
  </si>
  <si>
    <t>Well &amp; Storage Facilities</t>
  </si>
  <si>
    <t>031-6002-444500</t>
  </si>
  <si>
    <t>Machinery &amp; Equipment Rental</t>
  </si>
  <si>
    <t>031-6002-460110</t>
  </si>
  <si>
    <t>031-6002-460130</t>
  </si>
  <si>
    <t>031-6002-460140</t>
  </si>
  <si>
    <t>031-6002-460170</t>
  </si>
  <si>
    <t>Tools</t>
  </si>
  <si>
    <t>031-6002-460180</t>
  </si>
  <si>
    <t>031-6002-460290</t>
  </si>
  <si>
    <t>Other Supplies</t>
  </si>
  <si>
    <t>031-6002-461300</t>
  </si>
  <si>
    <t>Building Supplies</t>
  </si>
  <si>
    <t>031-6002-461500</t>
  </si>
  <si>
    <t>Signs</t>
  </si>
  <si>
    <t>031-6002-461700</t>
  </si>
  <si>
    <t>Machinery &amp; Equipment Parts</t>
  </si>
  <si>
    <t>031-6002-461990</t>
  </si>
  <si>
    <t>Miscellaneous Supplies</t>
  </si>
  <si>
    <t>031-6002-462100</t>
  </si>
  <si>
    <t>Gasoline</t>
  </si>
  <si>
    <t>031-6002-462300</t>
  </si>
  <si>
    <t>Stone &amp; Sand</t>
  </si>
  <si>
    <t>031-6002-462400</t>
  </si>
  <si>
    <t>Water Mains</t>
  </si>
  <si>
    <t>031-6002-462500</t>
  </si>
  <si>
    <t>Chemicals</t>
  </si>
  <si>
    <t>031-6002-462800</t>
  </si>
  <si>
    <t>Asphalt &amp; Paving Material</t>
  </si>
  <si>
    <t>031-6002-462900</t>
  </si>
  <si>
    <t>Concrete</t>
  </si>
  <si>
    <t>031-6002-463300</t>
  </si>
  <si>
    <t>Restoration</t>
  </si>
  <si>
    <t>031-6002-464300</t>
  </si>
  <si>
    <t>Water Meter Repair Parts</t>
  </si>
  <si>
    <t>031-6002-464400</t>
  </si>
  <si>
    <t>Hydrant Repair Parts</t>
  </si>
  <si>
    <t>031-6002-464600</t>
  </si>
  <si>
    <t>031-6002-464700</t>
  </si>
  <si>
    <t>Medical/Safety Supplies</t>
  </si>
  <si>
    <t>Water Distribution System</t>
  </si>
  <si>
    <t>Water &amp; Sewer - Water Total</t>
  </si>
  <si>
    <t>031-6003-441100</t>
  </si>
  <si>
    <t>031-6003-443100</t>
  </si>
  <si>
    <t>031-6003-443200</t>
  </si>
  <si>
    <t>031-6003-443500</t>
  </si>
  <si>
    <t>031-6003-443800</t>
  </si>
  <si>
    <t>031-6003-460180</t>
  </si>
  <si>
    <t>031-6003-460290</t>
  </si>
  <si>
    <t>031-6003-461300</t>
  </si>
  <si>
    <t>031-6003-461700</t>
  </si>
  <si>
    <t>031-6003-461800</t>
  </si>
  <si>
    <t>Auto &amp; Truck Parts</t>
  </si>
  <si>
    <t>031-6003-462100</t>
  </si>
  <si>
    <t>031-6003-462300</t>
  </si>
  <si>
    <t>031-6003-462500</t>
  </si>
  <si>
    <t>031-6003-462900</t>
  </si>
  <si>
    <t>031-6003-463100</t>
  </si>
  <si>
    <t>Sanitary Sewer</t>
  </si>
  <si>
    <t>031-6003-463300</t>
  </si>
  <si>
    <t>031-6003-464700</t>
  </si>
  <si>
    <t>Water &amp; Sewer Sewer Total</t>
  </si>
  <si>
    <t>Water &amp; Sewer Finance Total</t>
  </si>
  <si>
    <t>Water &amp; Sewer - Admin Total</t>
  </si>
  <si>
    <t>031-6007-432500</t>
  </si>
  <si>
    <t>031-6007-432800</t>
  </si>
  <si>
    <t>031-6007-432910</t>
  </si>
  <si>
    <t>Pest Control</t>
  </si>
  <si>
    <t>031-6007-432990</t>
  </si>
  <si>
    <t>031-6007-442210</t>
  </si>
  <si>
    <t>Weed Control</t>
  </si>
  <si>
    <t>031-6007-443200</t>
  </si>
  <si>
    <t>031-6007-443500</t>
  </si>
  <si>
    <t>031-6007-443510</t>
  </si>
  <si>
    <t>Mowing</t>
  </si>
  <si>
    <t>031-6007-443550</t>
  </si>
  <si>
    <t>Stormwater Site Maintenance</t>
  </si>
  <si>
    <t>031-6007-443800</t>
  </si>
  <si>
    <t>031-6007-444500</t>
  </si>
  <si>
    <t>031-6007-460180</t>
  </si>
  <si>
    <t>031-6007-460290</t>
  </si>
  <si>
    <t>031-6007-461500</t>
  </si>
  <si>
    <t>031-6007-461700</t>
  </si>
  <si>
    <t>031-6007-462300</t>
  </si>
  <si>
    <t>031-6007-462900</t>
  </si>
  <si>
    <t>031-6007-463200</t>
  </si>
  <si>
    <t>Storm Sewer</t>
  </si>
  <si>
    <t>031-6007-463300</t>
  </si>
  <si>
    <t>031-6007-464850</t>
  </si>
  <si>
    <t>Fish</t>
  </si>
  <si>
    <t>031-6007-484990</t>
  </si>
  <si>
    <t>Water &amp; Sewer - Stormwater Total</t>
  </si>
  <si>
    <t>Storm</t>
  </si>
  <si>
    <t>Orland Park GO Bonds Series 2008</t>
  </si>
  <si>
    <t>Oak Lawn GO Bonds Series 2006</t>
  </si>
  <si>
    <t>Oak Lawn GO Bonds Series 2011A</t>
  </si>
  <si>
    <t>Water Main Relocation and/or Replacements</t>
  </si>
  <si>
    <t>Water Main Replacement in Conjunction w/Roadway Reconstruction Program</t>
  </si>
  <si>
    <t>Distribution System Improvements</t>
  </si>
  <si>
    <t>Pump Station, SCADA Communications and Storage Improvements</t>
  </si>
  <si>
    <t>Sanitary Sewer Lining/Televising and Improvements</t>
  </si>
  <si>
    <t>Lift Station Improvements</t>
  </si>
  <si>
    <t>John Humphrey Drive - Storm Sewer Replacement</t>
  </si>
  <si>
    <t>Orland Brook Drive - Culvert Replacement</t>
  </si>
  <si>
    <t>Wolf Road - Spring Creek Lift Station Force Main Replacement</t>
  </si>
  <si>
    <t>Flood Study Stormwater Management Improvements</t>
  </si>
  <si>
    <t>Elevated Tank Reinforcement Mains</t>
  </si>
  <si>
    <t>Water Tower Repainting</t>
  </si>
  <si>
    <t>Water Valve Exercising</t>
  </si>
  <si>
    <t>Hydrant Flow Testing</t>
  </si>
  <si>
    <t>Large Meter Testing</t>
  </si>
  <si>
    <t>Basin Best Practice Mgmt</t>
  </si>
  <si>
    <t>Storm Sewer Infrastructure Mapping</t>
  </si>
  <si>
    <t>Water Main Leak Surveys</t>
  </si>
  <si>
    <t>Infiltration &amp; Inflow (I&amp;I) Reduction Improvements</t>
  </si>
  <si>
    <t>Spring Creek Water Tower</t>
  </si>
  <si>
    <t>MPS Pump Inspection/Rehabilitation</t>
  </si>
  <si>
    <t>Fiber Optic Installation</t>
  </si>
  <si>
    <t>Water and Sewer Site Facility Security Upgrades and Replacements</t>
  </si>
  <si>
    <t>Fairway Lift Station Improvement</t>
  </si>
  <si>
    <t>Oak Lawn Project - Spur to Orland Park</t>
  </si>
  <si>
    <t>Source: Michelle Gleisner - W&amp;S Capital Improvement Program FY2016.pdf</t>
  </si>
  <si>
    <t>Source: Michelle Gleisner - Debt Service Schedule.xlxs</t>
  </si>
  <si>
    <t>Source: Michelle Gleisner - O&amp;M &amp; Misc Revenue accts 2013 - 2015.xlxs</t>
  </si>
  <si>
    <t>Total Debt</t>
  </si>
  <si>
    <t>Stormwater Fund</t>
  </si>
  <si>
    <t>Operating Costs</t>
  </si>
  <si>
    <t>Total Operating Expenses</t>
  </si>
  <si>
    <t>Capital Costs</t>
  </si>
  <si>
    <t>Cash Funded Capital Projects</t>
  </si>
  <si>
    <t>Existing Debt Service Expense</t>
  </si>
  <si>
    <t>Projected Debt Service Expense</t>
  </si>
  <si>
    <t>Total Capital Expenses</t>
  </si>
  <si>
    <t xml:space="preserve">Total Revenue Requirement </t>
  </si>
  <si>
    <t>Miscellaneous Other Revenues</t>
  </si>
  <si>
    <t xml:space="preserve">Net Revenue Requirement </t>
  </si>
  <si>
    <t>Stormwater</t>
  </si>
  <si>
    <r>
      <t xml:space="preserve">Surplus / </t>
    </r>
    <r>
      <rPr>
        <sz val="11"/>
        <color rgb="FFFF0000"/>
        <rFont val="Calibri"/>
        <family val="2"/>
        <scheme val="minor"/>
      </rPr>
      <t>(Shortfall)</t>
    </r>
  </si>
  <si>
    <r>
      <t>Surplus /</t>
    </r>
    <r>
      <rPr>
        <sz val="11"/>
        <color rgb="FFFF0000"/>
        <rFont val="Calibri"/>
        <family val="2"/>
        <scheme val="minor"/>
      </rPr>
      <t xml:space="preserve"> (Shortfall)</t>
    </r>
  </si>
  <si>
    <t>Type Code</t>
  </si>
  <si>
    <t>Acquisition Date</t>
  </si>
  <si>
    <t>Material</t>
  </si>
  <si>
    <t>A</t>
  </si>
  <si>
    <t>00027490</t>
  </si>
  <si>
    <t>SOUTHWEST HWY INDUSTRIAL POND - 13499 SW HIGHWAY</t>
  </si>
  <si>
    <t>00027491</t>
  </si>
  <si>
    <t>BUTTERFIELD POND - 8925 BUTTERFIELD LANE</t>
  </si>
  <si>
    <t>00027492</t>
  </si>
  <si>
    <t>PARKVIEW ESTATES POND &amp; PARK</t>
  </si>
  <si>
    <t>00027493</t>
  </si>
  <si>
    <t>APACHE POND - 14010 APACHE LN.</t>
  </si>
  <si>
    <t>00027494</t>
  </si>
  <si>
    <t>WELL #7 &amp; #11  8500 W. CHERRY LANE  0.53 ACRES</t>
  </si>
  <si>
    <t>00027495</t>
  </si>
  <si>
    <t>CARO VISTA POND - 13799 84TH AVE.</t>
  </si>
  <si>
    <t>00027497</t>
  </si>
  <si>
    <t>SUNNYPINE POND - 8725 PINE ST.</t>
  </si>
  <si>
    <t>00027499</t>
  </si>
  <si>
    <t>ISHNALA POND - 13625 SANDALWOOD DR.</t>
  </si>
  <si>
    <t>00027502</t>
  </si>
  <si>
    <t>PERMINAS POND - 14201 CRISTINA AVE.</t>
  </si>
  <si>
    <t>00027505</t>
  </si>
  <si>
    <t>THOMAS POND - 13920 THOMAS DR.</t>
  </si>
  <si>
    <t>00027507</t>
  </si>
  <si>
    <t>WELL #9  140TH &amp; WILLIAMS COURT  0.45 ACRES</t>
  </si>
  <si>
    <t>00027508</t>
  </si>
  <si>
    <t>HERITAGE POND - 14031 CONCORD DR.</t>
  </si>
  <si>
    <t>00027510</t>
  </si>
  <si>
    <t>WELL #2 14200 S. LAGRANGE ROAD .05 ACRES</t>
  </si>
  <si>
    <t>00027526</t>
  </si>
  <si>
    <t>BROWN PARK POND - 10299 147TH ST.</t>
  </si>
  <si>
    <t>00027527</t>
  </si>
  <si>
    <t>00027535</t>
  </si>
  <si>
    <t>ORLAND SQUARE POND - 9100 W. 151ST ST.</t>
  </si>
  <si>
    <t>00027536</t>
  </si>
  <si>
    <t>WELL #4 8800 W. GOLFVIEW DR.</t>
  </si>
  <si>
    <t>00027539</t>
  </si>
  <si>
    <t>SILVER LAKE GARDENS POND - 15199 73RD AVE.</t>
  </si>
  <si>
    <t>00027541</t>
  </si>
  <si>
    <t>VERITAS POND #1 - 7700 W. 158TH CT.</t>
  </si>
  <si>
    <t>00027546</t>
  </si>
  <si>
    <t>WELL #5 &amp; #6 7200 WHEELER DR.  0.91 ACRES</t>
  </si>
  <si>
    <t>00027550</t>
  </si>
  <si>
    <t>BOB-O-LINK POND - 8230 BOB-O-LINK RD.</t>
  </si>
  <si>
    <t>00027552</t>
  </si>
  <si>
    <t>EDGEWOOD POND - 15324 EDGEWOOD DR.</t>
  </si>
  <si>
    <t>00027561</t>
  </si>
  <si>
    <t>CACHEY POND #1 - 8021 W. 157TH ST.</t>
  </si>
  <si>
    <t>00027562</t>
  </si>
  <si>
    <t>CACHEY POND #4 - 8400 W. 157TH ST.</t>
  </si>
  <si>
    <t>00027570</t>
  </si>
  <si>
    <t>MAIN PUMP STATION - 8800 THISTLEWOOD DR. 5.5 ACRES</t>
  </si>
  <si>
    <t>00027571</t>
  </si>
  <si>
    <t>PARK HILL POND #1 - 15799 PARKHILL DR.</t>
  </si>
  <si>
    <t>00027572</t>
  </si>
  <si>
    <t>PARKHILL POND #3 &amp; PARK - 15798 PARKHILL DR.</t>
  </si>
  <si>
    <t>00027573</t>
  </si>
  <si>
    <t>WELL #10  158TH ST &amp; 88TH AVE  0.34 ACRES</t>
  </si>
  <si>
    <t>00027578</t>
  </si>
  <si>
    <t>TREETOP POND #2 - 15400 TREETOP DR.</t>
  </si>
  <si>
    <t>00027579</t>
  </si>
  <si>
    <t>TREETOP POND #2</t>
  </si>
  <si>
    <t>00027580</t>
  </si>
  <si>
    <t>TREETOP POND #1 - 9937 TREETOP DR.</t>
  </si>
  <si>
    <t>00027583</t>
  </si>
  <si>
    <t>WELL #8  106TH AVE &amp; 155TH ST  0.5 ACRES</t>
  </si>
  <si>
    <t>00027584</t>
  </si>
  <si>
    <t>APPLEKNOL POND - 10599 W. 163RD PLACE</t>
  </si>
  <si>
    <t>00027586</t>
  </si>
  <si>
    <t>CATALINA INDUSTRIAL POND - 15401 70TH CT.</t>
  </si>
  <si>
    <t>00027587</t>
  </si>
  <si>
    <t>VENTURE POND - 15800 71ST CT.</t>
  </si>
  <si>
    <t>00027594</t>
  </si>
  <si>
    <t>WELL #3 15000 S. WEST AVENUE</t>
  </si>
  <si>
    <t>00027595</t>
  </si>
  <si>
    <t>TERRY'S LINCOLN MERCURY POND - 14390 J HUMPHREY DR</t>
  </si>
  <si>
    <t>00027597</t>
  </si>
  <si>
    <t>TETON POND - 13551 ISHNALA DR.</t>
  </si>
  <si>
    <t>00027598</t>
  </si>
  <si>
    <t>VILLAGE SQUARE POND - 9125 KENSINGTON WAY</t>
  </si>
  <si>
    <t>00027604</t>
  </si>
  <si>
    <t>00027605</t>
  </si>
  <si>
    <t>HELEN POND - 9011 HELEN LANE</t>
  </si>
  <si>
    <t>00035687</t>
  </si>
  <si>
    <t>MALLARD LANDING ENTR POND - 16927 108TH AVE.</t>
  </si>
  <si>
    <t>00035688</t>
  </si>
  <si>
    <t>BROOKHILL RETENTION WALL - 17500 HIGHWOOD DR.</t>
  </si>
  <si>
    <t>00035689</t>
  </si>
  <si>
    <t>BROOKHILL CREEK NORTH - 11498 BROOKHILL DR.</t>
  </si>
  <si>
    <t>00035691</t>
  </si>
  <si>
    <t>00035696</t>
  </si>
  <si>
    <t>CACHEY POND #2 - 8201 W. 157TH ST.</t>
  </si>
  <si>
    <t>00035697</t>
  </si>
  <si>
    <t>EAGLE RIDGE POND #2 - 17900 104TH AVE.</t>
  </si>
  <si>
    <t>00035700</t>
  </si>
  <si>
    <t>EAGLE RIDGE POND #1 - EAGLE RIDGE DR.</t>
  </si>
  <si>
    <t>00035703</t>
  </si>
  <si>
    <t>VERITAS POND #2 - 15720 S. 77TH AVE.</t>
  </si>
  <si>
    <t>00035704</t>
  </si>
  <si>
    <t>YEARLING CROSSING POND - 16999 YEARLING CROSSING</t>
  </si>
  <si>
    <t>00035707</t>
  </si>
  <si>
    <t>KNOLLWOOD POND - 11151 MARILYN COURT</t>
  </si>
  <si>
    <t>00035708</t>
  </si>
  <si>
    <t>COUNTRYSIDE POND - 13700 SPRING LANE</t>
  </si>
  <si>
    <t>00035711</t>
  </si>
  <si>
    <t>VILLA WEST POND - 8699 W. 135TH ST.</t>
  </si>
  <si>
    <t>00035715</t>
  </si>
  <si>
    <t>VICTORIA PLACE POND - 10798 VICTORIA PL</t>
  </si>
  <si>
    <t>00035716</t>
  </si>
  <si>
    <t>BROOKHILL POND #2 - 17888 BROOKHILL DR.</t>
  </si>
  <si>
    <t>00035718</t>
  </si>
  <si>
    <t>BROOKHILL POND #1 - 17898 BROOKHILL DR.</t>
  </si>
  <si>
    <t>00038512</t>
  </si>
  <si>
    <t>156TH &amp; RAVINIA - 34 ACRES</t>
  </si>
  <si>
    <t>00039777</t>
  </si>
  <si>
    <t>STORM WATER TRACT 144TH &amp; 81ST MAHLER TRACT</t>
  </si>
  <si>
    <t>00040968</t>
  </si>
  <si>
    <t>149TH ST - 14900 RAVINIA AVE.</t>
  </si>
  <si>
    <t>00040969</t>
  </si>
  <si>
    <t>163RD ST. POND - 10798 W. 163RD ST.</t>
  </si>
  <si>
    <t>00040970</t>
  </si>
  <si>
    <t>AMBER POND - 10510 AMBER LANE</t>
  </si>
  <si>
    <t>00040971</t>
  </si>
  <si>
    <t>ARBOR POINT POND - 11801 W. 151ST ST.</t>
  </si>
  <si>
    <t>00040972</t>
  </si>
  <si>
    <t>ARBOR RIDGE POND - 11025 ARBOR RIDGE DR.</t>
  </si>
  <si>
    <t>00040973</t>
  </si>
  <si>
    <t>BEEMSTERBOER POND - 10701 W. 160TH ST.</t>
  </si>
  <si>
    <t>00040974</t>
  </si>
  <si>
    <t>BETH POND - 10942 BETH DR.</t>
  </si>
  <si>
    <t>00040976</t>
  </si>
  <si>
    <t>BUCK DRIVE WETLAND - 10640 BUCK DR.</t>
  </si>
  <si>
    <t>00040977</t>
  </si>
  <si>
    <t>CACHEY POND #3 - 8101 W. 157TH ST.</t>
  </si>
  <si>
    <t>00040978</t>
  </si>
  <si>
    <t>CAPISTRANO SOUTH POND - 17436 CAPISTRANO LANE</t>
  </si>
  <si>
    <t>00040979</t>
  </si>
  <si>
    <t>00040980</t>
  </si>
  <si>
    <t>CASHEW POND - 7656 CASHEW DR.</t>
  </si>
  <si>
    <t>00040981</t>
  </si>
  <si>
    <t>COLONADES POND - 7500 W. 157TH ST.</t>
  </si>
  <si>
    <t>00040982</t>
  </si>
  <si>
    <t>CRYSTAL CRREK NORTH POND - 15900 ORLAN BROOK DR.</t>
  </si>
  <si>
    <t>00040983</t>
  </si>
  <si>
    <t>DIEGO POND - 10555 DIEGO LANE</t>
  </si>
  <si>
    <t>00040984</t>
  </si>
  <si>
    <t>EAGLE RIDGE POND #3 - 10419 EAGLE RIDGE DR.</t>
  </si>
  <si>
    <t>00040985</t>
  </si>
  <si>
    <t>EAGLE RIDGE POND #4 - 10510 W. 183RD ST.</t>
  </si>
  <si>
    <t>00040986</t>
  </si>
  <si>
    <t>EQUESTRIAN TRAIL EAST POND - 15640 SHIRE DR.</t>
  </si>
  <si>
    <t>00040987</t>
  </si>
  <si>
    <t>EQUESTRIAN TRAIL WEST POND - 11199 EQUESTN TRAIL</t>
  </si>
  <si>
    <t>00040988</t>
  </si>
  <si>
    <t>FAWN CREEK LANE POND - 15513 FAWN CREEK LANE</t>
  </si>
  <si>
    <t>00040990</t>
  </si>
  <si>
    <t>GLEN OAK INDUSTRIAL POND - 10798 W. 165TH ST.</t>
  </si>
  <si>
    <t>00040991</t>
  </si>
  <si>
    <t>GLENLAKE NORTH POND - 15600 GLENLAKE DR.</t>
  </si>
  <si>
    <t>00040992</t>
  </si>
  <si>
    <t>GLENLAKE SOUTH POND - 15648 GLENLAKE DR.</t>
  </si>
  <si>
    <t>00040993</t>
  </si>
  <si>
    <t>GRANDVIEW POND - 15140 GRANDVIEW DR.</t>
  </si>
  <si>
    <t>00040994</t>
  </si>
  <si>
    <t>GREAT EGRET POND - 10631 GREAT EGRET DR.</t>
  </si>
  <si>
    <t>00040995</t>
  </si>
  <si>
    <t>GREENFIELD POND - 17660 GREENFIELD CT.</t>
  </si>
  <si>
    <t>00040996</t>
  </si>
  <si>
    <t>KILEY POND - 11555 KILEY LANE</t>
  </si>
  <si>
    <t>00040997</t>
  </si>
  <si>
    <t>KINGSPORT POND - 10801 BEAR ISLAND AVE.</t>
  </si>
  <si>
    <t>00040999</t>
  </si>
  <si>
    <t>LAKESIDE POND - 15600 LAKESIDE DR.</t>
  </si>
  <si>
    <t>00041000</t>
  </si>
  <si>
    <t>LAMPLIGHTER POND - 9200 W. 138TH ST.</t>
  </si>
  <si>
    <t>00041001</t>
  </si>
  <si>
    <t>LAUREL HILLS PONDS - 11001 LAUREL HILL DR.</t>
  </si>
  <si>
    <t>00041002</t>
  </si>
  <si>
    <t>LAUREL HILLS POND - 11001 LAUREL HILL DR.</t>
  </si>
  <si>
    <t>00041003</t>
  </si>
  <si>
    <t>LIBERTY SCHOOL POND - 8700 W. 152ND ST.</t>
  </si>
  <si>
    <t>00041004</t>
  </si>
  <si>
    <t>00041006</t>
  </si>
  <si>
    <t>00041007</t>
  </si>
  <si>
    <t>MALLARD LANDING PARK POND - 17199 DEER RUN DR.</t>
  </si>
  <si>
    <t>00041008</t>
  </si>
  <si>
    <t>MILL CREEK POND - 9998 CREEK RD.</t>
  </si>
  <si>
    <t>00041009</t>
  </si>
  <si>
    <t>NISSAN POND - 15735 86TH AVE.</t>
  </si>
  <si>
    <t>00041010</t>
  </si>
  <si>
    <t>ORLAND GOLFVIEW POND - 15531 MERION DR.</t>
  </si>
  <si>
    <t>00041012</t>
  </si>
  <si>
    <t>PALOS SPRINGS POND</t>
  </si>
  <si>
    <t>00041013</t>
  </si>
  <si>
    <t>00041014</t>
  </si>
  <si>
    <t>PERSIMMON POND - 13949 PERSIMMON DR.</t>
  </si>
  <si>
    <t>00041015</t>
  </si>
  <si>
    <t>PINEWOOD NORTH POND #1 - 13850 MCCABE DR.</t>
  </si>
  <si>
    <t>00041016</t>
  </si>
  <si>
    <t>PINEWOOD NORTH POND #2 - 13530 MCCABE DR.</t>
  </si>
  <si>
    <t>00041017</t>
  </si>
  <si>
    <t>PINEWOOD NORTH POND #3 - 13531 MCCABE DR.</t>
  </si>
  <si>
    <t>00041018</t>
  </si>
  <si>
    <t>PLUM TREE POND - 15699 86TH AVE.</t>
  </si>
  <si>
    <t>00041019</t>
  </si>
  <si>
    <t>RAVINIA CREEK WETLAND - 15656 RAVINIA AVE.</t>
  </si>
  <si>
    <t>00041020</t>
  </si>
  <si>
    <t>REDONDO POND - 7845 REDONDO LANE</t>
  </si>
  <si>
    <t>00041021</t>
  </si>
  <si>
    <t>SCHUSSLER POND - 8900 GOLFVIEW DR.</t>
  </si>
  <si>
    <t>00041022</t>
  </si>
  <si>
    <t>SETON PLACE POND - 9460 SETON PLACE</t>
  </si>
  <si>
    <t>00041023</t>
  </si>
  <si>
    <t>SHIRE NORTH POND - 15641 SHIRE DR.</t>
  </si>
  <si>
    <t>00041024</t>
  </si>
  <si>
    <t>SHIRE SOUTH POND - 15699 SHIRE DR.</t>
  </si>
  <si>
    <t>00041026</t>
  </si>
  <si>
    <t>SOMERGLEN POND - 10800 SOMERGLEN LANE</t>
  </si>
  <si>
    <t>00041027</t>
  </si>
  <si>
    <t>SPRING CREEK POND - 11250 POPLAR CREEK LANE</t>
  </si>
  <si>
    <t>00041028</t>
  </si>
  <si>
    <t>TORREY PINES POND - 15746 TORREY PINES</t>
  </si>
  <si>
    <t>00041029</t>
  </si>
  <si>
    <t>00041030</t>
  </si>
  <si>
    <t>VERITAS POND #3 - 7729 W. 158TH CT.</t>
  </si>
  <si>
    <t>00041031</t>
  </si>
  <si>
    <t>VILLA WEST CREEK - 8695 W. 135TH ST.</t>
  </si>
  <si>
    <t>00041032</t>
  </si>
  <si>
    <t>VILLAGE CENTER POND NORTH - 14500 RAVINIA AVE.</t>
  </si>
  <si>
    <t>VILLAGE CENTER POND NORTH - 2012 IMPROVEMENTS</t>
  </si>
  <si>
    <t>00041033</t>
  </si>
  <si>
    <t>VILLAGE CENTER POND SOUTH - 14700 RAVINIA AVE.</t>
  </si>
  <si>
    <t>00041034</t>
  </si>
  <si>
    <t>VILLAGE CENTER POND CENTRAL - 14600 RAVINIA AVE.</t>
  </si>
  <si>
    <t>VILLAGE CTR POND CENTRAL - 2011 IMPROVEMENTS</t>
  </si>
  <si>
    <t>00041035</t>
  </si>
  <si>
    <t>WEDGWOOD COMMONS POND - 14240 80TH AVE.</t>
  </si>
  <si>
    <t>00041036</t>
  </si>
  <si>
    <t>00041037</t>
  </si>
  <si>
    <t>WEDGWOOD ESTATES POND #1 (N) - 14300 82ND AVE.</t>
  </si>
  <si>
    <t>00041038</t>
  </si>
  <si>
    <t>WEDGWOOD ESTATED POND #2(S) - 14300 82ND AVE.</t>
  </si>
  <si>
    <t>00041039</t>
  </si>
  <si>
    <t>WHITE TAIL POND - 10701 WHITE TAIL RUN</t>
  </si>
  <si>
    <t>00041040</t>
  </si>
  <si>
    <t>WILDROSE POND - 7340 W. 157TH ST.</t>
  </si>
  <si>
    <t>00041041</t>
  </si>
  <si>
    <t>WILL-COOK POND - 18001 WILL-COOK RD.</t>
  </si>
  <si>
    <t>00041042</t>
  </si>
  <si>
    <t>WOODLAND SHORES POND - 12510 INDIAN TRAIL DR.</t>
  </si>
  <si>
    <t>00041058</t>
  </si>
  <si>
    <t>131ST LIFT STATION 1000 CREEK ROAD</t>
  </si>
  <si>
    <t>00041059</t>
  </si>
  <si>
    <t>PINEWOOD LIFT STATION - 13617 MCCABE DRIVE</t>
  </si>
  <si>
    <t>00041060</t>
  </si>
  <si>
    <t>CRYSTAL ON THE GREEN - 10805 GREEN MANOR COURT</t>
  </si>
  <si>
    <t>00041080</t>
  </si>
  <si>
    <t>LAKE LUCILLE POND - 12630 LAKETRAIL DR.</t>
  </si>
  <si>
    <t>00041149</t>
  </si>
  <si>
    <t>SPRING CREEK LIFT STATION 15200 WOLF RD .14 ACRES</t>
  </si>
  <si>
    <t>00041150</t>
  </si>
  <si>
    <t>TOWER #1 - 17801 WOLF ROAD - .5 ACRES</t>
  </si>
  <si>
    <t>00041152</t>
  </si>
  <si>
    <t>SETON PLACE LIFT - 9450 SETON PLACE DR. .11 ACRES</t>
  </si>
  <si>
    <t>00041488</t>
  </si>
  <si>
    <t>COLETTE HIGHLANDS LAND PURCHASE</t>
  </si>
  <si>
    <t>00041490</t>
  </si>
  <si>
    <t>COLETTE DETENTION POND -15801 PARK STATION BLVD</t>
  </si>
  <si>
    <t>2007 IMPROVEMENTS</t>
  </si>
  <si>
    <t>00041491</t>
  </si>
  <si>
    <t>CHURCHILL POND - 10655 CHURCHILL DRIVE</t>
  </si>
  <si>
    <t>00041492</t>
  </si>
  <si>
    <t>GLENLAKE SOUTH POND - 15648 GLENLAKE DRIVE</t>
  </si>
  <si>
    <t>00041493</t>
  </si>
  <si>
    <t>HAVERHILL POND - 14100 HAVERHILL LANE</t>
  </si>
  <si>
    <t>00041494</t>
  </si>
  <si>
    <t>ASHBOURN POINT POND - 15319 JILLIAN ROAD</t>
  </si>
  <si>
    <t>00041495</t>
  </si>
  <si>
    <t>AUTUMN RIDGE WEST POND - 11344 AUTUMN RIDGE</t>
  </si>
  <si>
    <t>00041496</t>
  </si>
  <si>
    <t>MARLEY BLVD NORTH POND - 18011 MARLEY BLVD</t>
  </si>
  <si>
    <t>00041497</t>
  </si>
  <si>
    <t>MARLEY BLVD MIDDLE POND - 18121 MARLEY BLVD</t>
  </si>
  <si>
    <t>00041498</t>
  </si>
  <si>
    <t>MARLEY BLVD SOUTH POND - 18211 MARLEY BLVD</t>
  </si>
  <si>
    <t>00041499</t>
  </si>
  <si>
    <t>AUTUMN RIDGE EAST POND - 11218 AUTUMN RIDGE</t>
  </si>
  <si>
    <t>00041500</t>
  </si>
  <si>
    <t>AUTUMN RIDGE MIDDLE POND - 11318 AUTUMN RIDGE</t>
  </si>
  <si>
    <t>00041501</t>
  </si>
  <si>
    <t>MARLEY PIPELINE ROW - CLEAR CREEK CROSSING - WOLF</t>
  </si>
  <si>
    <t>00041502</t>
  </si>
  <si>
    <t>GREEN MANOR POND - 10811 GREEN MANOR COURT</t>
  </si>
  <si>
    <t>00041503</t>
  </si>
  <si>
    <t>CRYSTAL MEADOW POND - 10810 CRYSTAL MEADOW CT</t>
  </si>
  <si>
    <t>00041504</t>
  </si>
  <si>
    <t>GREEN KNOLL POND - 11257 STEEPLECHASE PARKWAY</t>
  </si>
  <si>
    <t>00041672</t>
  </si>
  <si>
    <t>14610 WESTWOOD</t>
  </si>
  <si>
    <t>FY06 14610 WESTWOOD PROPERTY TAXES</t>
  </si>
  <si>
    <t>2007 ASBESTOS STUDY</t>
  </si>
  <si>
    <t>2007 GAS SERVICE DISCONNECTION</t>
  </si>
  <si>
    <t>2007 STRUCTURAL INSPECTION</t>
  </si>
  <si>
    <t>14610 WESTWOOD - DEMOLITION</t>
  </si>
  <si>
    <t>00041678</t>
  </si>
  <si>
    <t>CAPISTRANO NORTH POND - 10510 CAPISTRANO LANE</t>
  </si>
  <si>
    <t>00041679</t>
  </si>
  <si>
    <t>EMERALD N/S POND - 17062 KERRY AVE./10534 EMERALD</t>
  </si>
  <si>
    <t>00041680</t>
  </si>
  <si>
    <t>ROYAL OAKS POND - 11027 ROYAL OAKS LN 1.07 ACRES</t>
  </si>
  <si>
    <t>00041681</t>
  </si>
  <si>
    <t>ANTHONY DRIVE POND - 10831 ANTHONY DR. 1.7 ACRES</t>
  </si>
  <si>
    <t>00041682</t>
  </si>
  <si>
    <t>LONG RUN CREEK WETLAND - 14240 WOLF ROAD</t>
  </si>
  <si>
    <t>00041683</t>
  </si>
  <si>
    <t>11300 143RD ST. WETLAND - 11300 143RD STREET</t>
  </si>
  <si>
    <t>00041684</t>
  </si>
  <si>
    <t>LONG RUN CREEK - 14180 CREEK CROSSING DRIVE</t>
  </si>
  <si>
    <t>00041685</t>
  </si>
  <si>
    <t>LONG RUN CREEK-14180 CREEK CROSSING DR.</t>
  </si>
  <si>
    <t>00041768</t>
  </si>
  <si>
    <t>EVERGREEN VIEW - 87TH AVE. EAST POND (2.1 ACRES)</t>
  </si>
  <si>
    <t>00041769</t>
  </si>
  <si>
    <t>EVERGREEN VIEW - 88TH AVE. NORTH POND (2.23 ACRES)</t>
  </si>
  <si>
    <t>00041770</t>
  </si>
  <si>
    <t>EVERGREEN VIEW - 140TH ST. WETLAND (2.28 ACRES)</t>
  </si>
  <si>
    <t>00041771</t>
  </si>
  <si>
    <t>EVERGREEN VIEW - 85TH AVE. WETLAND (6.1 ACRES)</t>
  </si>
  <si>
    <t>00041772</t>
  </si>
  <si>
    <t>DEER CHASE ESTATES EAST POND (6.8 ACRES)</t>
  </si>
  <si>
    <t>00041773</t>
  </si>
  <si>
    <t>172ND STREET POND - 10948 W. 172ND STREET</t>
  </si>
  <si>
    <t>00041774</t>
  </si>
  <si>
    <t>DEER POINT PARK POND</t>
  </si>
  <si>
    <t>00041854</t>
  </si>
  <si>
    <t>TALL GRASS POND (3.6 ACRES) 13621 TALL GRASS TRAIL</t>
  </si>
  <si>
    <t>00041855</t>
  </si>
  <si>
    <t>LEGEND TRAIL POND (4.2 ACRES) 13835 LEGEND TRAIL</t>
  </si>
  <si>
    <t>00041856</t>
  </si>
  <si>
    <t>CREEK CROSSING POND (2.9 ACRES) 14175 CREEK CROSSI</t>
  </si>
  <si>
    <t>00041857</t>
  </si>
  <si>
    <t>EL CAMENO PARK POND (1.75 ACRES) 15200 RAVINIA</t>
  </si>
  <si>
    <t>00041858</t>
  </si>
  <si>
    <t>SETTLERS POND NORTH (1.3 ACRES) 11517 SETTLERS PON</t>
  </si>
  <si>
    <t>00041859</t>
  </si>
  <si>
    <t>SETTLERS POND SOUTH (1.95 ACRES) 17938 SETTLERS PO</t>
  </si>
  <si>
    <t>00041860</t>
  </si>
  <si>
    <t>LAKE SHORE NORTH POND (3.1 ACRES) 11548 LAKE SHORE</t>
  </si>
  <si>
    <t>00041861</t>
  </si>
  <si>
    <t>BRECKENRIDGE SOUTH POND (.56 ACRES) 18256 BRECKENR</t>
  </si>
  <si>
    <t>00041862</t>
  </si>
  <si>
    <t>IMPERIAL WEST POND (.98 ACRES) 18230 IMPERIAL LANE</t>
  </si>
  <si>
    <t>00041863</t>
  </si>
  <si>
    <t>IMPERIAL EAST POND (.56 ACRES) 18237 IMPERIAL LANE</t>
  </si>
  <si>
    <t>00041864</t>
  </si>
  <si>
    <t>KARLI POND (1.2 ACRES) 17635 KARLI LANE</t>
  </si>
  <si>
    <t>00041903</t>
  </si>
  <si>
    <t>LAND - MAIN STREET TRIANGLE DETENTION POND</t>
  </si>
  <si>
    <t>00041968</t>
  </si>
  <si>
    <t>GRASSLANDS DETENTION BASIN</t>
  </si>
  <si>
    <t>GRASSLANDS DETENTION BASIN - 2010 IMPROVEMENTS</t>
  </si>
  <si>
    <t>GRASSLANDS DETENETION BASIN - 2011 IMPROVEMENTS</t>
  </si>
  <si>
    <t>GRASSLANDS DETENTION BASIN - 2013 IMPROVEMENTS</t>
  </si>
  <si>
    <t>GRASSLANDS DETENTION BASIN - FY2014 IMPROVEMENTS</t>
  </si>
  <si>
    <t>00041997</t>
  </si>
  <si>
    <t>NICKLAUS POND (3.82 ACRES)</t>
  </si>
  <si>
    <t>00042032</t>
  </si>
  <si>
    <t>2010 EASEMENTS (2.8954 ACRES)</t>
  </si>
  <si>
    <t>00042072</t>
  </si>
  <si>
    <t>BUNRATTY POND (1.19 ACRES)</t>
  </si>
  <si>
    <t>00042073</t>
  </si>
  <si>
    <t>BUNRATTY PARK POND (1.53 ACRES)</t>
  </si>
  <si>
    <t>00042074</t>
  </si>
  <si>
    <t>JULIE ANN LANE POND (.71 ACRES)</t>
  </si>
  <si>
    <t>00042075</t>
  </si>
  <si>
    <t>2011 EASEMENTS (5.559 ACRES)</t>
  </si>
  <si>
    <t>00042135</t>
  </si>
  <si>
    <t>ASHFORD POND (.66 ACRES)</t>
  </si>
  <si>
    <t>00042140</t>
  </si>
  <si>
    <t>2012 EASEMENTS (3.640 ACRES)</t>
  </si>
  <si>
    <t>00042181</t>
  </si>
  <si>
    <t>WARWICK LANE NORTH POND (2.15 ACRES)</t>
  </si>
  <si>
    <t>00042182</t>
  </si>
  <si>
    <t>WARWICK LANE NORTH POND FAWN CREEK (1.69 ACRES)</t>
  </si>
  <si>
    <t>00042183</t>
  </si>
  <si>
    <t>WARWICK LANE SOUTH POND (2.73 ACRES)</t>
  </si>
  <si>
    <t>00042184</t>
  </si>
  <si>
    <t>2013 EASEMENTS (1.948 ACRES)</t>
  </si>
  <si>
    <t>00042233</t>
  </si>
  <si>
    <t>GLEN OAKS POND - PHASE 5 (1.05 ACRES)</t>
  </si>
  <si>
    <t>00041572</t>
  </si>
  <si>
    <t>COLETTE HIGHLANDS DETENTION POND</t>
  </si>
  <si>
    <t>00041661</t>
  </si>
  <si>
    <t>COLETTE HIGHLANDS DAM ENGINEERING</t>
  </si>
  <si>
    <t>00041666</t>
  </si>
  <si>
    <t>BROOKHILL CREEK RESTORATION</t>
  </si>
  <si>
    <t>00041671</t>
  </si>
  <si>
    <t>LONG RUN CREEK CLEANING AND DREDGING</t>
  </si>
  <si>
    <t>00041677</t>
  </si>
  <si>
    <t>FY06 COLETTE HIGHLANDS DETENTION POND COSTS</t>
  </si>
  <si>
    <t>00041900</t>
  </si>
  <si>
    <t>MAIN STREET TRIANGLE DETENTION POND W/AMENITIES</t>
  </si>
  <si>
    <t>F</t>
  </si>
  <si>
    <t>00037105</t>
  </si>
  <si>
    <t>LAND IMPROVEMENTS FY85-86</t>
  </si>
  <si>
    <t>00037106</t>
  </si>
  <si>
    <t>LAND IMPROVEMENTS  FY86-87</t>
  </si>
  <si>
    <t>00039603</t>
  </si>
  <si>
    <t>WESTWOOD DRAINAGE</t>
  </si>
  <si>
    <t>00039606</t>
  </si>
  <si>
    <t>ORLAND POND</t>
  </si>
  <si>
    <t>00039608</t>
  </si>
  <si>
    <t>1999 PUBLIC IMPROVEMENT</t>
  </si>
  <si>
    <t>00039610</t>
  </si>
  <si>
    <t>1999 PUBLIC IMPROVEMENTS</t>
  </si>
  <si>
    <t>00039614</t>
  </si>
  <si>
    <t>HUNTINGTON SEWER EXT</t>
  </si>
  <si>
    <t>00040343</t>
  </si>
  <si>
    <t>183RD ST 104TH AVE.</t>
  </si>
  <si>
    <t>00037124</t>
  </si>
  <si>
    <t>ADDITIONAL WORK SALT STORAGE BUILDING</t>
  </si>
  <si>
    <t>SALT STORAGE BUILDING</t>
  </si>
  <si>
    <t>00040836</t>
  </si>
  <si>
    <t>PIPE INSULATION - PUMP STATION 8800 THISTLEWOOD</t>
  </si>
  <si>
    <t>00040838</t>
  </si>
  <si>
    <t>OLD PUBLIC SERVICES BUILDING</t>
  </si>
  <si>
    <t>00003287</t>
  </si>
  <si>
    <t>WELL #5 AND 6 PUMPHOUSE</t>
  </si>
  <si>
    <t>ENGINEERING SERVICES SOUTH ELEVATED TANK 3/94-8/94</t>
  </si>
  <si>
    <t>LAKE MICHIGAN PUMP STATIONIMPROVEMENTS ENGINEERING</t>
  </si>
  <si>
    <t>00003294</t>
  </si>
  <si>
    <t>CHEMICAL PUMP</t>
  </si>
  <si>
    <t>AUTOMATIC CONTROL</t>
  </si>
  <si>
    <t>WELLS #7 AND 11 PUMPHOUSE</t>
  </si>
  <si>
    <t>00003322</t>
  </si>
  <si>
    <t>WELL #10 PUMPHOUSE</t>
  </si>
  <si>
    <t>SALT PIT</t>
  </si>
  <si>
    <t>00003326</t>
  </si>
  <si>
    <t>WELL #9 PUMPHOUSE</t>
  </si>
  <si>
    <t>PUMPHOUSE IMPROVEMENT</t>
  </si>
  <si>
    <t>00037112</t>
  </si>
  <si>
    <t>WEDGEWOOD PUMP STATION IMPROVEMENTS</t>
  </si>
  <si>
    <t>00041421</t>
  </si>
  <si>
    <t>REGIONAL BOOSTER SYSTEM</t>
  </si>
  <si>
    <t>00041970</t>
  </si>
  <si>
    <t>MAIN PUMP STATION UPGRADES</t>
  </si>
  <si>
    <t>00003269</t>
  </si>
  <si>
    <t>300 AMP 3 PH NON-FUSED TRANSFER SWITCH</t>
  </si>
  <si>
    <t>151ST STREET LIFT STATION - CONSTRUCTION</t>
  </si>
  <si>
    <t>A/D CONVERTER FOR WET WELL LEVEL &amp; SET UP</t>
  </si>
  <si>
    <t>00003272</t>
  </si>
  <si>
    <t>FORCE MAIN</t>
  </si>
  <si>
    <t>131ST STREET LIFT STATION</t>
  </si>
  <si>
    <t>131ST STREET LIFT STATION - CONTROLS REPLACEMENT</t>
  </si>
  <si>
    <t>00003273</t>
  </si>
  <si>
    <t>CONTROL &amp; TELEMETRY UPGRADE</t>
  </si>
  <si>
    <t>00003275</t>
  </si>
  <si>
    <t>PARKWOOD LIFT STATION - CONSTRUCTION</t>
  </si>
  <si>
    <t>00003276</t>
  </si>
  <si>
    <t>CATALINA LIFT STATION - CONSTRUCTION</t>
  </si>
  <si>
    <t>00003277</t>
  </si>
  <si>
    <t>TEEBBROOK LIFT STATION - CONSTRUCTION</t>
  </si>
  <si>
    <t>00003279</t>
  </si>
  <si>
    <t>WEDGEWOOD LIFT STATION - CONSTRUCTION</t>
  </si>
  <si>
    <t>FORCEMAIN RELOCATION AND LIFT STATION IMPROVEMENTS</t>
  </si>
  <si>
    <t>00030198</t>
  </si>
  <si>
    <t>SPRING CREEK LIFT STATION &amp; FORCE MAIN</t>
  </si>
  <si>
    <t>00040839</t>
  </si>
  <si>
    <t>S&amp;W VENTURE LIFT STATION</t>
  </si>
  <si>
    <t>00040840</t>
  </si>
  <si>
    <t>LIFT STATION</t>
  </si>
  <si>
    <t>00041419</t>
  </si>
  <si>
    <t>REMOTE KEYLESS ENTRY SYSTEM FOR LIFT STATIONS</t>
  </si>
  <si>
    <t>00041420</t>
  </si>
  <si>
    <t>REMOTE KEYLESS ENTRY SYSTEM FOR LIFTSTATION</t>
  </si>
  <si>
    <t>00041574</t>
  </si>
  <si>
    <t>I-80 CORRIDOR LIFT STATION</t>
  </si>
  <si>
    <t>I-80 CORRIDOR LIFT STATION-PRIOR YEAR EXPENSES</t>
  </si>
  <si>
    <t>I-80 LIFT STATION 2005 EXPENSES</t>
  </si>
  <si>
    <t>00041576</t>
  </si>
  <si>
    <t>151ST LIFT STATION UPGRADE</t>
  </si>
  <si>
    <t>00041664</t>
  </si>
  <si>
    <t>151ST STREET LIFT STATION</t>
  </si>
  <si>
    <t>FY06 151ST STREET LIFT STATION DESIGN COSTS</t>
  </si>
  <si>
    <t>00003268</t>
  </si>
  <si>
    <t>HUNTINGTON LIFT STATION - CONSTRUCTION</t>
  </si>
  <si>
    <t>FAIRVIEW LIFT STATION - CONSTRUCTION</t>
  </si>
  <si>
    <t>00040365</t>
  </si>
  <si>
    <t>SCADA SYSTEM UPGRADE</t>
  </si>
  <si>
    <t>00003285</t>
  </si>
  <si>
    <t>WATER TOWER #4</t>
  </si>
  <si>
    <t>00003291</t>
  </si>
  <si>
    <t>CATALINA WATER TOWER (WELLS #5 &amp; 6)</t>
  </si>
  <si>
    <t>00003318</t>
  </si>
  <si>
    <t>WATER TOWER @ WELLS 7 AND 11</t>
  </si>
  <si>
    <t>00003325</t>
  </si>
  <si>
    <t>WATER TOWER #10</t>
  </si>
  <si>
    <t>00003341</t>
  </si>
  <si>
    <t>WATER TOWER #8</t>
  </si>
  <si>
    <t>00037111</t>
  </si>
  <si>
    <t>SOUTH ELEVATED TANK</t>
  </si>
  <si>
    <t>00040841</t>
  </si>
  <si>
    <t>WATER TOWER 6</t>
  </si>
  <si>
    <t>00003286</t>
  </si>
  <si>
    <t>FOUNDATION FOR WATER TOWER #4</t>
  </si>
  <si>
    <t>FOUNDATION FOR CATALINA WATER TOWER</t>
  </si>
  <si>
    <t>FOUNDATION FOR WATER TOWER @ WELLS 7 AND 11</t>
  </si>
  <si>
    <t>FOUNDATION FOR WATER TOWER #10</t>
  </si>
  <si>
    <t>FOUNDATION FOR WATER TOWER #8</t>
  </si>
  <si>
    <t>00037263</t>
  </si>
  <si>
    <t>REPAINT TANK #8</t>
  </si>
  <si>
    <t>00037265</t>
  </si>
  <si>
    <t>4.7 MG RESERVOIR @ PUMPING STATION - FINAL PAYMENT</t>
  </si>
  <si>
    <t>00040842</t>
  </si>
  <si>
    <t>WATER MAIN - WEST AVE.</t>
  </si>
  <si>
    <t>00040843</t>
  </si>
  <si>
    <t>WATERMAIN &amp; SANITARY SEWER WOLF RD. 151ST - 131ST</t>
  </si>
  <si>
    <t>00040844</t>
  </si>
  <si>
    <t>WEST RESERVOIR ADDITION - LMW PROJECT</t>
  </si>
  <si>
    <t>00040845</t>
  </si>
  <si>
    <t>WEST RESERVOIR ADDITION</t>
  </si>
  <si>
    <t>00041969</t>
  </si>
  <si>
    <t>EAST RESERVIOR ADDITION</t>
  </si>
  <si>
    <t>EAST RESERVIOR ADDITION - 2010 IMPROVEMENTS</t>
  </si>
  <si>
    <t>00037943</t>
  </si>
  <si>
    <t>WESTWOOD DR DRAINAGE</t>
  </si>
  <si>
    <t>00037944</t>
  </si>
  <si>
    <t>DRAINAGE IMPROVEMENT</t>
  </si>
  <si>
    <t>00037945</t>
  </si>
  <si>
    <t>00037946</t>
  </si>
  <si>
    <t>MILL CREEK UPLANDS PROJ</t>
  </si>
  <si>
    <t>MILL CRK/STRMWTR PUMP STN</t>
  </si>
  <si>
    <t>00040202</t>
  </si>
  <si>
    <t>PROFESSIONAL SERVICES I80 STUDY</t>
  </si>
  <si>
    <t>00040203</t>
  </si>
  <si>
    <t>PUBLIC IMPROVEMENTS</t>
  </si>
  <si>
    <t>00040344</t>
  </si>
  <si>
    <t>SEWER LINE REHABILITAION</t>
  </si>
  <si>
    <t>00040498</t>
  </si>
  <si>
    <t>POND G ADDITIONAL IMPROVEMENT</t>
  </si>
  <si>
    <t>00040499</t>
  </si>
  <si>
    <t>I-80 DEVELOPMENT UNDERGROUND WATER/SEWER</t>
  </si>
  <si>
    <t>00040848</t>
  </si>
  <si>
    <t>SEWER LINE REHABILATION</t>
  </si>
  <si>
    <t>00040850</t>
  </si>
  <si>
    <t>POND G</t>
  </si>
  <si>
    <t>00041192</t>
  </si>
  <si>
    <t>SLIPLINING OF SANITARY SEWERS</t>
  </si>
  <si>
    <t>00041320</t>
  </si>
  <si>
    <t>88TH AVENUE WATERMAIN</t>
  </si>
  <si>
    <t>00041321</t>
  </si>
  <si>
    <t>EVERGREEN VIEW WATER &amp; SEWER OVERSIZING</t>
  </si>
  <si>
    <t>00041422</t>
  </si>
  <si>
    <t>SANITARY SEWER SLIPLINING</t>
  </si>
  <si>
    <t>00041423</t>
  </si>
  <si>
    <t>POND G DETENTION BASINS</t>
  </si>
  <si>
    <t>00041577</t>
  </si>
  <si>
    <t>00041665</t>
  </si>
  <si>
    <t>00041764</t>
  </si>
  <si>
    <t>00041886</t>
  </si>
  <si>
    <t>SLIPLINING OF STORM SEWERS - FY2008</t>
  </si>
  <si>
    <t>00037395</t>
  </si>
  <si>
    <t>UNDERGROUND PIPING - EXTRAS</t>
  </si>
  <si>
    <t>00037396</t>
  </si>
  <si>
    <t>00037397</t>
  </si>
  <si>
    <t>UNDERGROUND PIPING - WATER MAIN &amp; IMPROVEMENTS</t>
  </si>
  <si>
    <t>00037398</t>
  </si>
  <si>
    <t>UNDERGROUND PIPING- SEWER DRAIN TILE</t>
  </si>
  <si>
    <t>00039618</t>
  </si>
  <si>
    <t>00039646</t>
  </si>
  <si>
    <t>131ST ST FORCE MAIN MOD</t>
  </si>
  <si>
    <t>00040847</t>
  </si>
  <si>
    <t>PIPING UNDERGROUND</t>
  </si>
  <si>
    <t>00040849</t>
  </si>
  <si>
    <t>WATERMAIN PROJECT</t>
  </si>
  <si>
    <t>00040750</t>
  </si>
  <si>
    <t>1956 SANITARY SEWER ADDITIONS</t>
  </si>
  <si>
    <t>Clay Pipe (Lined)</t>
  </si>
  <si>
    <t>00040751</t>
  </si>
  <si>
    <t>1960 SANITARY SEWER ADDITIONS</t>
  </si>
  <si>
    <t>00040752</t>
  </si>
  <si>
    <t>1964 SANITARY SEWER ADDITIONS</t>
  </si>
  <si>
    <t>00040753</t>
  </si>
  <si>
    <t>1968 SANITARY SEWER ADDITIONS</t>
  </si>
  <si>
    <t>00040754</t>
  </si>
  <si>
    <t>1969 SANITARY SEWER ADDITIONS</t>
  </si>
  <si>
    <t>00040755</t>
  </si>
  <si>
    <t>1973 SANITARY SEWER ADDITIONS</t>
  </si>
  <si>
    <t>ABS Truss Pipe</t>
  </si>
  <si>
    <t>00040756</t>
  </si>
  <si>
    <t>1974 SANITARY SEWER ADDITIONS</t>
  </si>
  <si>
    <t>00040757</t>
  </si>
  <si>
    <t>1975 SANITARY SEWER ADDITIONS</t>
  </si>
  <si>
    <t>00040759</t>
  </si>
  <si>
    <t>1976 SANITARY SEWER ADDITIONS</t>
  </si>
  <si>
    <t>00040760</t>
  </si>
  <si>
    <t>1977 SANITARY SEWER ADDITIONS</t>
  </si>
  <si>
    <t>00040761</t>
  </si>
  <si>
    <t>1978 SANITARY SEWER ADDITIONS</t>
  </si>
  <si>
    <t>00040762</t>
  </si>
  <si>
    <t>1979 SANITARY SEWER ADDITIONS</t>
  </si>
  <si>
    <t>00040763</t>
  </si>
  <si>
    <t>1980 SANITARY SEWER ADDITIONS</t>
  </si>
  <si>
    <t>00040764</t>
  </si>
  <si>
    <t>1981 SANITARY SEWER ADDITIONS</t>
  </si>
  <si>
    <t>00040765</t>
  </si>
  <si>
    <t>1982 SANITARY SEWER ADDITIONS</t>
  </si>
  <si>
    <t>00040766</t>
  </si>
  <si>
    <t>1983 SANITARY SEWER ADDITIONS</t>
  </si>
  <si>
    <t>00040767</t>
  </si>
  <si>
    <t>1984 SANITARY SEWER ADDITIONS</t>
  </si>
  <si>
    <t>00040768</t>
  </si>
  <si>
    <t>1985 SANITARY SEWER ADDITIONS</t>
  </si>
  <si>
    <t>00040769</t>
  </si>
  <si>
    <t>1986 SANITARY SEWER ADDITIONS</t>
  </si>
  <si>
    <t>00040770</t>
  </si>
  <si>
    <t>1987 SANITARY SEWER ADDITIONS</t>
  </si>
  <si>
    <t>00040771</t>
  </si>
  <si>
    <t>1988 SANITARY SEWER ADDITIONS</t>
  </si>
  <si>
    <t>00040772</t>
  </si>
  <si>
    <t>1989 SANITARY SEWER ADDITIONS</t>
  </si>
  <si>
    <t>00040773</t>
  </si>
  <si>
    <t>1990 SANITARY SEWER ADDITIONS</t>
  </si>
  <si>
    <t>00037352</t>
  </si>
  <si>
    <t>1991 SANITARY SEWER ADDITIONS</t>
  </si>
  <si>
    <t>00037353</t>
  </si>
  <si>
    <t>1992 SANITARY SEWER ADDITIONS</t>
  </si>
  <si>
    <t>00037354</t>
  </si>
  <si>
    <t>1993 SANITARY SEWER ADDITIONS</t>
  </si>
  <si>
    <t>00037355</t>
  </si>
  <si>
    <t>1994 SANITARY SEWER ADDITIONS</t>
  </si>
  <si>
    <t>00037356</t>
  </si>
  <si>
    <t>1995 SANITARY SEWER ADDITIONS</t>
  </si>
  <si>
    <t>00040774</t>
  </si>
  <si>
    <t>1996 SANITARY SEWER ADDITIONS</t>
  </si>
  <si>
    <t>00040775</t>
  </si>
  <si>
    <t>1996-97 SANITARY SEWER ADDITIONS</t>
  </si>
  <si>
    <t>00037933</t>
  </si>
  <si>
    <t>1998 SANITARY SEWER ADDITIONS</t>
  </si>
  <si>
    <t>00038340</t>
  </si>
  <si>
    <t>1999 SANITARY SEWER ADDITIONS</t>
  </si>
  <si>
    <t>00040355</t>
  </si>
  <si>
    <t>2000 SANITARY SEWER ADDITIONS</t>
  </si>
  <si>
    <t>00040700</t>
  </si>
  <si>
    <t>2001 SANITARY SEWER ADDITIONS</t>
  </si>
  <si>
    <t>00041261</t>
  </si>
  <si>
    <t>2002 SANITARY SEWER ADDITIONS</t>
  </si>
  <si>
    <t>00041485</t>
  </si>
  <si>
    <t>SPORTSPLEX - SANITARY &amp; SEWER ADDITIONS</t>
  </si>
  <si>
    <t>00041486</t>
  </si>
  <si>
    <t>SPORTSPLEX EXTENSION TO CULVERT PIPE</t>
  </si>
  <si>
    <t>00041483</t>
  </si>
  <si>
    <t>2003 SANITARY SEWER ADDITIONS</t>
  </si>
  <si>
    <t>00041579</t>
  </si>
  <si>
    <t>2004 SANITARY SEWER ADDITIONS</t>
  </si>
  <si>
    <t>00041663</t>
  </si>
  <si>
    <t>SANITARY SEWER EXTENSION FOR GOOD SHEPARD CEMETERY</t>
  </si>
  <si>
    <t>00041725</t>
  </si>
  <si>
    <t>2005 SANITARY SEWER ADDITIONS</t>
  </si>
  <si>
    <t>00041794</t>
  </si>
  <si>
    <t>2006 SANITARY SEWER ADDITIONS (FROM DEVELOPER)</t>
  </si>
  <si>
    <t>00041850</t>
  </si>
  <si>
    <t>2007 SLIPLINING OF SANITARY SEWERS</t>
  </si>
  <si>
    <t>00041867</t>
  </si>
  <si>
    <t>2007 SANITARY SEWER ADDITIONS</t>
  </si>
  <si>
    <t>00041893</t>
  </si>
  <si>
    <t>2008 SANITARY SEWER ADDITIONS (DEVELOPER)</t>
  </si>
  <si>
    <t>00041894</t>
  </si>
  <si>
    <t>2008 SANITARY SEWER ADDITIONS (MUNICIPALITY)</t>
  </si>
  <si>
    <t>00041996</t>
  </si>
  <si>
    <t>2009 SANITARY SEWER ADDITIONS (DEVELOPER)</t>
  </si>
  <si>
    <t>00042027</t>
  </si>
  <si>
    <t>2010 SANITARY SEWER ADDITIONS - DEVELOPER</t>
  </si>
  <si>
    <t>PVC SDR 26</t>
  </si>
  <si>
    <t>00042068</t>
  </si>
  <si>
    <t>2011 SANITARY SYSTEM ADDITIONS (DEVELOPER)</t>
  </si>
  <si>
    <t>PVC SDR 27</t>
  </si>
  <si>
    <t>00042069</t>
  </si>
  <si>
    <t>2011 SANITARY SYSTEM ADDITIONS (VILLAGE)</t>
  </si>
  <si>
    <t>PVC SDR 28</t>
  </si>
  <si>
    <t>00042130</t>
  </si>
  <si>
    <t>2012 SANITARY SYSTEM ADDITIONS (DEVELOPER)</t>
  </si>
  <si>
    <t>PVC SDR 29</t>
  </si>
  <si>
    <t>00042177</t>
  </si>
  <si>
    <t>2013 SANITARY SYSTEM ADDITIONS (DEVELOPER)</t>
  </si>
  <si>
    <t>PVC SDR 30</t>
  </si>
  <si>
    <t>00042230</t>
  </si>
  <si>
    <t>2014 SANITARY SEWER ACCEPTANCE</t>
  </si>
  <si>
    <t>PVC SDR 31</t>
  </si>
  <si>
    <t>00037357</t>
  </si>
  <si>
    <t>1991 STORM SEWER ADDITIONS</t>
  </si>
  <si>
    <t>00037358</t>
  </si>
  <si>
    <t>1992 STORM SEWER ADDITIONS</t>
  </si>
  <si>
    <t>00037359</t>
  </si>
  <si>
    <t>1993 STORM SEWER ADDITIONS</t>
  </si>
  <si>
    <t>00037360</t>
  </si>
  <si>
    <t>1994 STORM SEWER ADDITIONS</t>
  </si>
  <si>
    <t>00037361</t>
  </si>
  <si>
    <t>1995 STORM SEWER ADDITIONS</t>
  </si>
  <si>
    <t>00037362</t>
  </si>
  <si>
    <t>1996 STORM SEWER ADDITIONS</t>
  </si>
  <si>
    <t>00037674</t>
  </si>
  <si>
    <t>1997 STORM SEWER ADDITIONS</t>
  </si>
  <si>
    <t>00037935</t>
  </si>
  <si>
    <t>1998 STORM SEWER ADDITIONS</t>
  </si>
  <si>
    <t>00038342</t>
  </si>
  <si>
    <t>1999 STORM SEWER ADDITIONS</t>
  </si>
  <si>
    <t>00040333</t>
  </si>
  <si>
    <t>2000 STORM SEWER ADDITIONS</t>
  </si>
  <si>
    <t>00040702</t>
  </si>
  <si>
    <t>2001 STORM SEWER ADDITIONS</t>
  </si>
  <si>
    <t>00040782</t>
  </si>
  <si>
    <t>1968 STORM SEWER ADDITIONS</t>
  </si>
  <si>
    <t>00040783</t>
  </si>
  <si>
    <t>1969 STORM SEWER ADDITIONS</t>
  </si>
  <si>
    <t>00040784</t>
  </si>
  <si>
    <t>1970 STORM SEWER ADDITIONS</t>
  </si>
  <si>
    <t>00040785</t>
  </si>
  <si>
    <t>1971 STORM SEWER ADDITIONS</t>
  </si>
  <si>
    <t>00040786</t>
  </si>
  <si>
    <t>1972 STORM SEWER ADDITIONS</t>
  </si>
  <si>
    <t>00040787</t>
  </si>
  <si>
    <t>1973 STORM SEWER ADDITIONS</t>
  </si>
  <si>
    <t>00040790</t>
  </si>
  <si>
    <t>1974 STORM SEWER ADDITIONS</t>
  </si>
  <si>
    <t>00040791</t>
  </si>
  <si>
    <t>1975 STORM SEWER ADDITIONS</t>
  </si>
  <si>
    <t>00040793</t>
  </si>
  <si>
    <t>1976 STORM SEWER ADDITIONS</t>
  </si>
  <si>
    <t>00040794</t>
  </si>
  <si>
    <t>1977 STORM SEWER ADDITIONS</t>
  </si>
  <si>
    <t>00040796</t>
  </si>
  <si>
    <t>1978 STORM SEWER ADDITIONS</t>
  </si>
  <si>
    <t>00040797</t>
  </si>
  <si>
    <t>1981 STORM SEWER ADDITIONS</t>
  </si>
  <si>
    <t>00040798</t>
  </si>
  <si>
    <t>1982 STORM SEWER ADDITIONS</t>
  </si>
  <si>
    <t>00040799</t>
  </si>
  <si>
    <t>1983 STORM SEWER ADDITIONS</t>
  </si>
  <si>
    <t>00040800</t>
  </si>
  <si>
    <t>1984 STORM SEWER ADDITIONS</t>
  </si>
  <si>
    <t>00040801</t>
  </si>
  <si>
    <t>1985 STORM SEWER ADDITIONS</t>
  </si>
  <si>
    <t>00040802</t>
  </si>
  <si>
    <t>1986 STORM SEWER ADDITIONS</t>
  </si>
  <si>
    <t>00040803</t>
  </si>
  <si>
    <t>1987 STORM SEWER ADDITIONS</t>
  </si>
  <si>
    <t>00040804</t>
  </si>
  <si>
    <t>1988 STORM SEWER ADDITIONS</t>
  </si>
  <si>
    <t>00040805</t>
  </si>
  <si>
    <t>1989 STORM SEWER ADDITIONS</t>
  </si>
  <si>
    <t>00040806</t>
  </si>
  <si>
    <t>1990 STORM SEWER ADDITIONS</t>
  </si>
  <si>
    <t>00040807</t>
  </si>
  <si>
    <t>1979 STORM SEWER ADDITIONS</t>
  </si>
  <si>
    <t>00040808</t>
  </si>
  <si>
    <t>1980 STORM SEWER ADDITIONS</t>
  </si>
  <si>
    <t>00040867</t>
  </si>
  <si>
    <t>SPECIAL ASSESS - ORLAND HILLS STORM SEWER</t>
  </si>
  <si>
    <t>00040869</t>
  </si>
  <si>
    <t>SPECIAL ASSESS - LAGUNA WOODS STORM SEWER</t>
  </si>
  <si>
    <t>00040871</t>
  </si>
  <si>
    <t>SPECIAL ASSESS - ORLAND HILLS 5/6 - STORM SEWER</t>
  </si>
  <si>
    <t>00040873</t>
  </si>
  <si>
    <t>SPECIAL ASSESS - ORLAND HILLS 5/6 STORM SEWER</t>
  </si>
  <si>
    <t>00040875</t>
  </si>
  <si>
    <t>00040877</t>
  </si>
  <si>
    <t>00041260</t>
  </si>
  <si>
    <t>2002 STORM SEWER ADDITIONS</t>
  </si>
  <si>
    <t>00041264</t>
  </si>
  <si>
    <t>LAGRANGE RD. SEWER EXTENSION</t>
  </si>
  <si>
    <t>00041482</t>
  </si>
  <si>
    <t>2003 STORM SEWER ADDITIONS</t>
  </si>
  <si>
    <t>00041545</t>
  </si>
  <si>
    <t>2003 STORM SEWER ADDITIONS - 143RD STREET</t>
  </si>
  <si>
    <t>00041580</t>
  </si>
  <si>
    <t>2004 STORM SEWER ADDITIONS</t>
  </si>
  <si>
    <t>00041673</t>
  </si>
  <si>
    <t>WINDSOR SEWER REHABILITATION</t>
  </si>
  <si>
    <t>2006 WINDSOR SEWER REBABILATION COSTS</t>
  </si>
  <si>
    <t>00041674</t>
  </si>
  <si>
    <t>OLD ORLAND SEWER REHABILITATION</t>
  </si>
  <si>
    <t>2006 OLD ORLAND SEWER REHABILITATION COSTS</t>
  </si>
  <si>
    <t>00041675</t>
  </si>
  <si>
    <t>WESTWOOD SEWER REHABILITATION</t>
  </si>
  <si>
    <t>2006 WESTWOOD SEWER REHABILITATION COSTS</t>
  </si>
  <si>
    <t>WESTWOOD FLOOD STUDY - FY2008 IMPROVEMENTS</t>
  </si>
  <si>
    <t>00041726</t>
  </si>
  <si>
    <t>2005 STORM SEWER ADDITIONS</t>
  </si>
  <si>
    <t>00041795</t>
  </si>
  <si>
    <t>2006 STORM SEWER ADDITIONS (FROM DEVELOPER)</t>
  </si>
  <si>
    <t>00041798</t>
  </si>
  <si>
    <t>145TH STREET STORM SEWER ADDITIONS</t>
  </si>
  <si>
    <t>00041799</t>
  </si>
  <si>
    <t>BUNRATTY SUBDIVISION STORMWATER ADDITIONS</t>
  </si>
  <si>
    <t>00041849</t>
  </si>
  <si>
    <t>ABONDON WATER MAIN TO INSTALL STORM SEWER</t>
  </si>
  <si>
    <t>STORM SEWER ADDITION - 143RD STREET/WESTWOOD</t>
  </si>
  <si>
    <t>00041853</t>
  </si>
  <si>
    <t>FLOOD STUDY PROJECT - CREEKSIDE - TOTAL COST</t>
  </si>
  <si>
    <t>00041868</t>
  </si>
  <si>
    <t>2007 STORM SEWER ADDITIONS</t>
  </si>
  <si>
    <t>00041888</t>
  </si>
  <si>
    <t>STORM SEWER ADDITIONS - FY2008</t>
  </si>
  <si>
    <t>00041895</t>
  </si>
  <si>
    <t>2008 STORM SEWER ADDITIONS (DEVELOPER)</t>
  </si>
  <si>
    <t>00041896</t>
  </si>
  <si>
    <t>2008 STORM SEWER ADDITIONS (MUNICIPALITY)</t>
  </si>
  <si>
    <t>00041973</t>
  </si>
  <si>
    <t>TINLEY CREEK PROJECT - FERNWAY STORM IMPROVEMENTS</t>
  </si>
  <si>
    <t>00042071</t>
  </si>
  <si>
    <t>2011 STORM SEWER ADDITIIONS (DEVELOPER)</t>
  </si>
  <si>
    <t>00042133</t>
  </si>
  <si>
    <t>2012 STORM SYSTEM ADDITIONS</t>
  </si>
  <si>
    <t>00042134</t>
  </si>
  <si>
    <t>2012 STORM SYSTEM ADDITIONS (VILLAGE)</t>
  </si>
  <si>
    <t>00042180</t>
  </si>
  <si>
    <t>2013 STORM SYSTEM ADDITIONS (DEVELOPER)</t>
  </si>
  <si>
    <t>00042232</t>
  </si>
  <si>
    <t>2014 STORM SEWER ACCEPTANCE</t>
  </si>
  <si>
    <t>00040778</t>
  </si>
  <si>
    <t>1959 STORM SEWER ADDITIONS</t>
  </si>
  <si>
    <t>00040779</t>
  </si>
  <si>
    <t>1960 STORM SEWER ADDITIONS</t>
  </si>
  <si>
    <t>00040780</t>
  </si>
  <si>
    <t>1961 STORM SEWER ADDITIONS</t>
  </si>
  <si>
    <t>00040810</t>
  </si>
  <si>
    <t>1960 WATER DISTRIBUTION SYSTEM ADDITIONS</t>
  </si>
  <si>
    <t xml:space="preserve">Cast Iron </t>
  </si>
  <si>
    <t>00040811</t>
  </si>
  <si>
    <t>1964 WATER DISTRIBUTION SYSTEM ADDITIONS</t>
  </si>
  <si>
    <t>00040812</t>
  </si>
  <si>
    <t>1968 WATER DISTRIBUTION SYSTEM ADDITIONS</t>
  </si>
  <si>
    <t>00040813</t>
  </si>
  <si>
    <t>1969 WATER DISTRIBUTION SYSTEM ADDITIONS</t>
  </si>
  <si>
    <t>00040814</t>
  </si>
  <si>
    <t>1973 WATER DISTRIBUTION SYSTEM ADDITIONS</t>
  </si>
  <si>
    <t>Ductile Iron</t>
  </si>
  <si>
    <t>00040815</t>
  </si>
  <si>
    <t>1974 WATER DISTRIBUTION SYSTEM ADDITIONS</t>
  </si>
  <si>
    <t>00040816</t>
  </si>
  <si>
    <t>1975 WATER DISTRIBUTION SYSTEM ADDITIONS</t>
  </si>
  <si>
    <t>00040817</t>
  </si>
  <si>
    <t>1976 WATER DISTRIBUTION SYSTEM ADDITIONS</t>
  </si>
  <si>
    <t>00040818</t>
  </si>
  <si>
    <t>1977 WATER DISTRIBUTION SYSTEM ADDITIONS</t>
  </si>
  <si>
    <t>00040819</t>
  </si>
  <si>
    <t>1978 WATER DISTRIBUTION SYSTEM ADDITIONS</t>
  </si>
  <si>
    <t>00040820</t>
  </si>
  <si>
    <t>1979 WATER DISTRIBUTION SYSTEM ADDITIONS</t>
  </si>
  <si>
    <t>00040821</t>
  </si>
  <si>
    <t>1980 WATER DISTRIBUTION SYSTEM ADDITIONS</t>
  </si>
  <si>
    <t>00040822</t>
  </si>
  <si>
    <t>1981 WATER DISTRIBUTION SYSTEM ADDITIONS</t>
  </si>
  <si>
    <t>00040823</t>
  </si>
  <si>
    <t>1982 WATER DISTRIBUTION SYSTEM ADDITIONS</t>
  </si>
  <si>
    <t>00040824</t>
  </si>
  <si>
    <t>1983 WATER DISTRIBUTION SYSTEM ADDITIONS</t>
  </si>
  <si>
    <t>00040825</t>
  </si>
  <si>
    <t>1984 WATER DISTRIBUTION SYSTEM ADDITIONS</t>
  </si>
  <si>
    <t>00040826</t>
  </si>
  <si>
    <t>1985 WATER DISTRIBUTION SYSTEM ADDITIONS</t>
  </si>
  <si>
    <t>00040827</t>
  </si>
  <si>
    <t>1986 WATER DISTRIBUTION SYSTEM ADDITIONS</t>
  </si>
  <si>
    <t>00040828</t>
  </si>
  <si>
    <t>1987 WATER DISTRIBUTION SYSTEM ADDITIONS</t>
  </si>
  <si>
    <t>00040829</t>
  </si>
  <si>
    <t>1988 WATER DISTRIBUTION SYSTEM ADDITIONS</t>
  </si>
  <si>
    <t>00040830</t>
  </si>
  <si>
    <t>1989 WATER DISTRIBUTION SYSTEM ADDITIONS</t>
  </si>
  <si>
    <t>Ductile Iron w/Polywrap</t>
  </si>
  <si>
    <t>00040831</t>
  </si>
  <si>
    <t>1990 WATER DISTRIBUTION SYSTEM ADDITIONS</t>
  </si>
  <si>
    <t>00037366</t>
  </si>
  <si>
    <t>1991 WATER DISTRIBUTION SYSTEM ADDITIONS</t>
  </si>
  <si>
    <t>00037367</t>
  </si>
  <si>
    <t>1992 WATER DISTRIBUTION SYSTEM ADDITIONS</t>
  </si>
  <si>
    <t>00037368</t>
  </si>
  <si>
    <t>1993 WATER DISTRIBUTION SYSTEM ADDITIONS</t>
  </si>
  <si>
    <t>00040866</t>
  </si>
  <si>
    <t>SPECIAL ASSESS - ORLAND HILLS WATER DISTRIBUTION</t>
  </si>
  <si>
    <t>00040868</t>
  </si>
  <si>
    <t>SPECIAL ASSESS - LAGUNA WOODS WATER DISTRIBUTION</t>
  </si>
  <si>
    <t>00037369</t>
  </si>
  <si>
    <t>1994 WATER DISTRIBUTION SYSTEM ADDITIONS</t>
  </si>
  <si>
    <t>00037370</t>
  </si>
  <si>
    <t>1995 WATER DISTRIBUTION SYSTEM ADDITIONS</t>
  </si>
  <si>
    <t>00037371</t>
  </si>
  <si>
    <t>1996 WATER DISTRIBUTION SYSTEM ADDITIONS</t>
  </si>
  <si>
    <t>00040832</t>
  </si>
  <si>
    <t>1997 WATER DISTRIBUTION SYSTEM ADDITIONS</t>
  </si>
  <si>
    <t>00040870</t>
  </si>
  <si>
    <t>SPECIAL ASSESS - ORLAND HILLS 5/6 WATER DISTRIB</t>
  </si>
  <si>
    <t>00040833</t>
  </si>
  <si>
    <t>1998 WATER DISTRIBUTION SYSTEM ADDITIONS</t>
  </si>
  <si>
    <t>00040872</t>
  </si>
  <si>
    <t>SPECIAL ASSESS - ORLAND HILLS 5/6 - WATER DISTRIB</t>
  </si>
  <si>
    <t>00040834</t>
  </si>
  <si>
    <t>1999 WATER DISTRIBUTION SYSTEM ADDITIONS</t>
  </si>
  <si>
    <t>00040874</t>
  </si>
  <si>
    <t>00040835</t>
  </si>
  <si>
    <t>2000 WATER DISTRIBUTION SYSTEM ADDITIONS</t>
  </si>
  <si>
    <t>00040701</t>
  </si>
  <si>
    <t>2001 WATER DISTRIBUTION SYSTEM ADDITIONS</t>
  </si>
  <si>
    <t>00040876</t>
  </si>
  <si>
    <t>00041262</t>
  </si>
  <si>
    <t>2002 WATER MAIN ADDITIONS</t>
  </si>
  <si>
    <t>00041263</t>
  </si>
  <si>
    <t>LAGRANGE RD. WATER EXTENSION</t>
  </si>
  <si>
    <t>00041484</t>
  </si>
  <si>
    <t>2003 WATER MAIN ADDITIONS</t>
  </si>
  <si>
    <t>00041573</t>
  </si>
  <si>
    <t>REGIONAL BOOSTER STATION</t>
  </si>
  <si>
    <t>00041581</t>
  </si>
  <si>
    <t>2004 WATER DISTRIBUTION ADDITIONS</t>
  </si>
  <si>
    <t>00041662</t>
  </si>
  <si>
    <t>153RD STREET BOOSTER STATION</t>
  </si>
  <si>
    <t>00041670</t>
  </si>
  <si>
    <t>WATERMAIN EXTN FROM AMERICAN SALES ALONG 167TH</t>
  </si>
  <si>
    <t>00041575</t>
  </si>
  <si>
    <t>OLD ORLAND WATER MAIN</t>
  </si>
  <si>
    <t>00041727</t>
  </si>
  <si>
    <t>2005 WATER MAIN CONSTRUCTION</t>
  </si>
  <si>
    <t>FY06 DESIGN COSTS FOR 153RD ST BOOSTER STN</t>
  </si>
  <si>
    <t>00041796</t>
  </si>
  <si>
    <t>2006 WATER MAIN ADDITIONS</t>
  </si>
  <si>
    <t>00041797</t>
  </si>
  <si>
    <t>OLD ORLAND WATERMAIN IMPROVEMENTS (CONTRACT E)</t>
  </si>
  <si>
    <t>FY2007 IMPROVEMENT COSTS</t>
  </si>
  <si>
    <t>00041847</t>
  </si>
  <si>
    <t>WATER MAIN - 153RD STREET IMPROVEMENTS</t>
  </si>
  <si>
    <t>00041869</t>
  </si>
  <si>
    <t>2007 WATER MAIN ADDITIONS (DEVELOPER)</t>
  </si>
  <si>
    <t>00041870</t>
  </si>
  <si>
    <t>2007 WATER MAIN ADDITIONS (MUNICIPALITY)</t>
  </si>
  <si>
    <t>153RD STREET BOOSTER STATION - FY2008 IMPROVEMENTS</t>
  </si>
  <si>
    <t>00041887</t>
  </si>
  <si>
    <t>WATERMAIN ADDITIONS - FY2008</t>
  </si>
  <si>
    <t>00041898</t>
  </si>
  <si>
    <t>2008 WATER MAIN ADDITIONS (DEVELOPER)</t>
  </si>
  <si>
    <t>00041899</t>
  </si>
  <si>
    <t>2008 WATER MAIN ADDITIONS (MUNICIPALITY)</t>
  </si>
  <si>
    <t>00041971</t>
  </si>
  <si>
    <t>2009 WATER MAIN ADDITIONS (MUNICIPALITY)</t>
  </si>
  <si>
    <t>00041995</t>
  </si>
  <si>
    <t>2009 WATER MAIN ADDITIONS (DEVELOPER)</t>
  </si>
  <si>
    <t>2009 WATER MAIN ADDITIONS (MUNI) - 2008 IMPROVEMEN</t>
  </si>
  <si>
    <t>00042008</t>
  </si>
  <si>
    <t>WATER MAIN REPLACEMENTS - 143RD &amp; LAGRANGE ROAD</t>
  </si>
  <si>
    <t>00042009</t>
  </si>
  <si>
    <t>WATER MAIN REPLACEMENTS - ORLAND HILLS GARDENS</t>
  </si>
  <si>
    <t>00042026</t>
  </si>
  <si>
    <t>2010 WATERMAIN ADDITIONS (DEVELOPER)</t>
  </si>
  <si>
    <t>WM REPLACEMENTS - 143/LAGRANGE - 2011 IMPROVEMENTS</t>
  </si>
  <si>
    <t>00042033</t>
  </si>
  <si>
    <t>WATER MAIN REPLACEMENT - 183RD &amp; WOLF ROAD</t>
  </si>
  <si>
    <t>00042070</t>
  </si>
  <si>
    <t>2011 WATER MAIN ADDITIONS (DEVELOPER)</t>
  </si>
  <si>
    <t>00042131</t>
  </si>
  <si>
    <t>2012 WATER MAIN ADDITIONS (DEVELOPER)</t>
  </si>
  <si>
    <t>00042132</t>
  </si>
  <si>
    <t>2012 WATER MAIN ADDITIONS (VILLAGE)</t>
  </si>
  <si>
    <t>00042123</t>
  </si>
  <si>
    <t>2012 WATER MAIN REPLACEMENT PROGRAM - TOTAL COST</t>
  </si>
  <si>
    <t>00042178</t>
  </si>
  <si>
    <t>2013 WATER SYSTEM ADDITIONS (DEVELOPER)</t>
  </si>
  <si>
    <t>00042179</t>
  </si>
  <si>
    <t>2013 WATER SYSTEM ADDITIONS (VILLAGE)</t>
  </si>
  <si>
    <t>CREEKSIDE FLOOD STUDY - FY2014 IMPROVEMENTS</t>
  </si>
  <si>
    <t>00042221</t>
  </si>
  <si>
    <t>GRASSLANDS/BROOK HILLS WATER MAIN CONNECTION</t>
  </si>
  <si>
    <t>00042231</t>
  </si>
  <si>
    <t>2014 WATER MAIN ADDITIONS</t>
  </si>
  <si>
    <t>00031482</t>
  </si>
  <si>
    <t>1987 ADDITIONS TO CHICAGO WATER CONNECTION</t>
  </si>
  <si>
    <t>CHICAGO WATER CONNECTION</t>
  </si>
  <si>
    <t>00040851</t>
  </si>
  <si>
    <t>ABOVE GROUND PIPING</t>
  </si>
  <si>
    <t>00037114</t>
  </si>
  <si>
    <t>MINI CAM SYSTEM &amp; ENCODER</t>
  </si>
  <si>
    <t>00037115</t>
  </si>
  <si>
    <t>FREQUENCY INTEREGATORS</t>
  </si>
  <si>
    <t>00037257</t>
  </si>
  <si>
    <t>INSTALLATION OF STANDBY GENERATOR</t>
  </si>
  <si>
    <t>00037937</t>
  </si>
  <si>
    <t>1998 NEWHOLLAND 575E BACKHOE</t>
  </si>
  <si>
    <t>00037942</t>
  </si>
  <si>
    <t>1998 TORO 3300-D WORKMAN</t>
  </si>
  <si>
    <t>00038245</t>
  </si>
  <si>
    <t>1999 NEWHOLLAND SKID LOADER</t>
  </si>
  <si>
    <t>00041189</t>
  </si>
  <si>
    <t>VXU METER READING SYSTEM</t>
  </si>
  <si>
    <t>00041191</t>
  </si>
  <si>
    <t>00041761</t>
  </si>
  <si>
    <t>STELLAR HOOK LIFT</t>
  </si>
  <si>
    <t>00041762</t>
  </si>
  <si>
    <t>SEWER CAMERA</t>
  </si>
  <si>
    <t>00041972</t>
  </si>
  <si>
    <t>MPS GENERATOR REPLACEMENT (2009)</t>
  </si>
  <si>
    <t>MPS GENERATOR REPLACEMENT - 2010 IMPROVEMENTS</t>
  </si>
  <si>
    <t>MPS GENERATOR REPLACEMENT -  2011 IMPROVEMENTS</t>
  </si>
  <si>
    <t>00003349</t>
  </si>
  <si>
    <t>PRIMARY PUMP/MOTOR</t>
  </si>
  <si>
    <t>00003350</t>
  </si>
  <si>
    <t>00037201</t>
  </si>
  <si>
    <t>TURBO METERS (REPLACEMENT OF)</t>
  </si>
  <si>
    <t>00037203</t>
  </si>
  <si>
    <t>PUMP(2) W/ROTATING ASSEMBLY - SMITH &amp; LOVELESS 6C3</t>
  </si>
  <si>
    <t>00038555</t>
  </si>
  <si>
    <t>1994 RAMMAR CONCRETE BREAKER S25 FOR 555 BACKHOE</t>
  </si>
  <si>
    <t>00038562</t>
  </si>
  <si>
    <t>1972 GRUPP 4" WATER PUMP 14C2</t>
  </si>
  <si>
    <t>00039616</t>
  </si>
  <si>
    <t>S &amp; W/VENTURE LIFT STATION</t>
  </si>
  <si>
    <t>00040196</t>
  </si>
  <si>
    <t>2000 CAT IT28 TOOL CARRIER/LOADER</t>
  </si>
  <si>
    <t>00040495</t>
  </si>
  <si>
    <t>80KW GENERATOR</t>
  </si>
  <si>
    <t>00041188</t>
  </si>
  <si>
    <t>KONICA 7155 COPIER</t>
  </si>
  <si>
    <t>00041418</t>
  </si>
  <si>
    <t>TRAILER MOUNTED GENERATOR - 2002 KOHLER</t>
  </si>
  <si>
    <t>00041883</t>
  </si>
  <si>
    <t>2008 GMC SAVANA CARGO VAN</t>
  </si>
  <si>
    <t>00041884</t>
  </si>
  <si>
    <t>2008 GMC SEIRRA CREW CAB PICKUP</t>
  </si>
  <si>
    <t>00041982</t>
  </si>
  <si>
    <t>2009 CHEVROLET SILVERADO 2500 HD</t>
  </si>
  <si>
    <t>00042005</t>
  </si>
  <si>
    <t>2010 FORD 350 CONVERSION VAN</t>
  </si>
  <si>
    <t>00042006</t>
  </si>
  <si>
    <t>2010 CHEVY SERVICE VAN</t>
  </si>
  <si>
    <t>00042034</t>
  </si>
  <si>
    <t>2011 FORD E250 CARGO VAN</t>
  </si>
  <si>
    <t>00042036</t>
  </si>
  <si>
    <t>2011 FORD F150 PICKUP</t>
  </si>
  <si>
    <t>00042121</t>
  </si>
  <si>
    <t>2012 FORD F550</t>
  </si>
  <si>
    <t>00042122</t>
  </si>
  <si>
    <t>2012 FORD F SUPER DUTY</t>
  </si>
  <si>
    <t>00042173</t>
  </si>
  <si>
    <t>2013 FORD ESCAPE</t>
  </si>
  <si>
    <t>00042174</t>
  </si>
  <si>
    <t>2013 FORD F350XL</t>
  </si>
  <si>
    <t>00042217</t>
  </si>
  <si>
    <t>2014 FORD F350XL (REGULAR CAB)</t>
  </si>
  <si>
    <t>00042219</t>
  </si>
  <si>
    <t>2014 FORD F350XL (EXTENDED CAB)</t>
  </si>
  <si>
    <t>00042220</t>
  </si>
  <si>
    <t>2014/2015 INTERNATIONAL 7400 TRUCK</t>
  </si>
  <si>
    <t>00036773</t>
  </si>
  <si>
    <t>1995 FORD CF7000 SWEEPER</t>
  </si>
  <si>
    <t>00040195</t>
  </si>
  <si>
    <t>2000 CHEVROLET EXPRESS SERVICE VAN</t>
  </si>
  <si>
    <t>00041415</t>
  </si>
  <si>
    <t>2003 CHEVROLET STEP VAN UTILITY REPAIR</t>
  </si>
  <si>
    <t>00041416</t>
  </si>
  <si>
    <t>2003 CHEVROLET SILVERADO 2500 UTILITY SUPERINT</t>
  </si>
  <si>
    <t>00041417</t>
  </si>
  <si>
    <t>2004 STERLING LT 8500 WATER TANDEM</t>
  </si>
  <si>
    <t>HENDERSON MUNI-BODY AND PLOW</t>
  </si>
  <si>
    <t>00041578</t>
  </si>
  <si>
    <t>2004 NEWHOLLAND STORM WATER 4X4 BACKHOE</t>
  </si>
  <si>
    <t>00041660</t>
  </si>
  <si>
    <t>2006 FORD F450 PLOW AND SPREADER</t>
  </si>
  <si>
    <t>00041676</t>
  </si>
  <si>
    <t>MAYCLIFF FLOOD STUDY IMPROVEMENTS - FY2005</t>
  </si>
  <si>
    <t>MAYCLIFF FLOOD STUDY IMPROVEMENTS - FY2006</t>
  </si>
  <si>
    <t>MAYCLIFF FLOOD STUDY IMPROVEMENTS - FY2007</t>
  </si>
  <si>
    <t>MAYCLIFF FLOOD STUDY IMPROVEMENTS - FY2008</t>
  </si>
  <si>
    <t>MAYCLIFF FLOOD STUDY IMPROVEMENTS - FY2009</t>
  </si>
  <si>
    <t>MAYCLIFF FLOOD STUDY IMPROVEMENTS - FY2013</t>
  </si>
  <si>
    <t>MAYCLIFF WATERMAIN REPLACEMENT - FY2013</t>
  </si>
  <si>
    <t>MAYCLIFF FLOOD STUDY - FY2014 IMPROVEMENTS</t>
  </si>
  <si>
    <t>MAYCLIFF FLOOD STUDY IMPROVEMENTS - FY2014</t>
  </si>
  <si>
    <t>00041891</t>
  </si>
  <si>
    <t>PARKVIEW ESTATES FLOOD STUDY - FY2008 IMPROVEMENTS</t>
  </si>
  <si>
    <t>PARKVIEW ESTATES FLOOD STUDY - 2012 IMPROVEMENTS</t>
  </si>
  <si>
    <t>PARKVIEW ESTATES FLOOD STUDY - 2013 IMPROVEMENTS</t>
  </si>
  <si>
    <t>PARKVIEW ESTATES FLOOD STUDY - FY2014 IMPROVEMENTS</t>
  </si>
  <si>
    <t>00041892</t>
  </si>
  <si>
    <t>ASHFORD COURT FLOOD STUDY - FY2009 IMPROVEMENTS</t>
  </si>
  <si>
    <t>ASHFORD COURT FLOOD STUDY - FY2008 IMPROVEMENTS</t>
  </si>
  <si>
    <t>00042007</t>
  </si>
  <si>
    <t>WATER MAIN REPLACEMENT - LAGRANGE ROAD WIDENING</t>
  </si>
  <si>
    <t>WM REPLACEMENTS - LAGRANGE RD - 2011 IMPROVEMENTS</t>
  </si>
  <si>
    <t>WM REPLACEMENT - LAGRANGE ROAD - 2012 IMPROVEMENTS</t>
  </si>
  <si>
    <t>WATER MAIN REPLACEMENT - LAGRANGE RD - 2013 IMPROV</t>
  </si>
  <si>
    <t>WATER MAIN REPLACEMENT - 2014 IMPROVEMENTS</t>
  </si>
  <si>
    <t>00042039</t>
  </si>
  <si>
    <t>CATALINA FLOOD STUDY - 2011 IMPROVEMENTS</t>
  </si>
  <si>
    <t>CATALINA FLOOD STUDY - 2012 IMPROVEMENTS</t>
  </si>
  <si>
    <t>CATALINA FLOOD STUDY - 2013 IMPROVEMENTS</t>
  </si>
  <si>
    <t>CATALINA FLOOD STUDY - FY2014 IMPROVEMENTS</t>
  </si>
  <si>
    <t>00042175</t>
  </si>
  <si>
    <t>WATER MAIN REPLACEMENT - 159TH STREET WIDENING</t>
  </si>
  <si>
    <t>00042176</t>
  </si>
  <si>
    <t>FLOOD STUDY PROJECT - FERWAY PROJECT #2</t>
  </si>
  <si>
    <t>00042216</t>
  </si>
  <si>
    <t>PUBLIC WORK SECURITY SYSTEM - 2014 IMPROVEMENTS</t>
  </si>
  <si>
    <t>00042224</t>
  </si>
  <si>
    <t>FLOOD STUDY PROJECT - FERNWAY - PROJECT #2</t>
  </si>
  <si>
    <t>Water &amp; Sewer - Sewer Total</t>
  </si>
  <si>
    <t>Control Panel</t>
  </si>
  <si>
    <t>Operating Assumptions</t>
  </si>
  <si>
    <t>Base Year</t>
  </si>
  <si>
    <t>Fiscal Year</t>
  </si>
  <si>
    <t>Source</t>
  </si>
  <si>
    <t>Personnel Expenses Inflation Rate</t>
  </si>
  <si>
    <t>Healthcare Related Expenses</t>
  </si>
  <si>
    <t>Default Model Inflation</t>
  </si>
  <si>
    <t xml:space="preserve">Commodity (Fuel) Energy Index </t>
  </si>
  <si>
    <t xml:space="preserve">Energy </t>
  </si>
  <si>
    <t>ACC Website</t>
  </si>
  <si>
    <t xml:space="preserve">Municipal Cost Index </t>
  </si>
  <si>
    <t>MCI</t>
  </si>
  <si>
    <t xml:space="preserve">Construction Cost Index </t>
  </si>
  <si>
    <t xml:space="preserve">Consumer Product Index </t>
  </si>
  <si>
    <t>CPI</t>
  </si>
  <si>
    <t>Producer Product Index</t>
  </si>
  <si>
    <t>PPI</t>
  </si>
  <si>
    <t>Consumption Growth Rate</t>
  </si>
  <si>
    <t>Municipal &amp; Financial Services Group</t>
  </si>
  <si>
    <t>check</t>
  </si>
  <si>
    <t>GRAND TOTAL O&amp;M EXPENSES</t>
  </si>
  <si>
    <t>SUBTOTAL STORMWATER O&amp;M EXPENSES</t>
  </si>
  <si>
    <t>SUBTOTAL SEWER O&amp;M EXPENSES</t>
  </si>
  <si>
    <t>SUBTOTAL WATER O&amp;M EXPENSES</t>
  </si>
  <si>
    <t>Removed</t>
  </si>
  <si>
    <t>Total Water Misc. Revenue</t>
  </si>
  <si>
    <t>Total Sewer Misc. Revenue</t>
  </si>
  <si>
    <t>Total Storm Misc. Revenue</t>
  </si>
  <si>
    <t>Estimate</t>
  </si>
  <si>
    <t>Allocation</t>
  </si>
  <si>
    <t>Growth</t>
  </si>
  <si>
    <t>Non-Growth</t>
  </si>
  <si>
    <t>Total Outstanding 
(FY 2016)</t>
  </si>
  <si>
    <t>Oak Lawn System Improvement Debt</t>
  </si>
  <si>
    <t>Water Growth Debt</t>
  </si>
  <si>
    <t>Water Non-Growth Debt</t>
  </si>
  <si>
    <t>Sewer Growth Debt</t>
  </si>
  <si>
    <t>Sewer Non-Growth Debt</t>
  </si>
  <si>
    <t>Stormwater Growth Debt</t>
  </si>
  <si>
    <t>Stormwater Non-Growth Debt</t>
  </si>
  <si>
    <t>N/A</t>
  </si>
  <si>
    <t>Avg ENR CCI % Change</t>
  </si>
  <si>
    <t>Latest ENR Year End</t>
  </si>
  <si>
    <t>Current Year</t>
  </si>
  <si>
    <t>#</t>
  </si>
  <si>
    <t>Original Cost</t>
  </si>
  <si>
    <t>LIFE</t>
  </si>
  <si>
    <t>Replacement Year</t>
  </si>
  <si>
    <t>Replacement Cost (Replacement Year)</t>
  </si>
  <si>
    <t>Replacement Cost New Less Depreciation</t>
  </si>
  <si>
    <t>W</t>
  </si>
  <si>
    <t>S</t>
  </si>
  <si>
    <t>Machinery and Equipment</t>
  </si>
  <si>
    <t>Total Water</t>
  </si>
  <si>
    <t>Total Sewer</t>
  </si>
  <si>
    <t>Schedule - Cost Escalators</t>
  </si>
  <si>
    <t>ENR Website</t>
  </si>
  <si>
    <t>IMF Website</t>
  </si>
  <si>
    <t>&lt;--Index Descriptions</t>
  </si>
  <si>
    <t>Engineering News Record (Baltimore)</t>
  </si>
  <si>
    <t>International Monetary Fund</t>
  </si>
  <si>
    <t>American City &amp; County</t>
  </si>
  <si>
    <t>Construction Cost Index</t>
  </si>
  <si>
    <t>Building Cost Index</t>
  </si>
  <si>
    <t>Commodity Fuel Index</t>
  </si>
  <si>
    <t>Municipal Cost Index</t>
  </si>
  <si>
    <t>Consumer Price Index</t>
  </si>
  <si>
    <t>Producer Price Index</t>
  </si>
  <si>
    <t>From</t>
  </si>
  <si>
    <t>To</t>
  </si>
  <si>
    <t>Years</t>
  </si>
  <si>
    <t>% Change</t>
  </si>
  <si>
    <t>Year</t>
  </si>
  <si>
    <t>Month</t>
  </si>
  <si>
    <t xml:space="preserve">CCI  </t>
  </si>
  <si>
    <t xml:space="preserve">BCI  </t>
  </si>
  <si>
    <t>Energy</t>
  </si>
  <si>
    <t xml:space="preserve">MCI  </t>
  </si>
  <si>
    <t>Annual Averages</t>
  </si>
  <si>
    <t>Annual</t>
  </si>
  <si>
    <t>Average</t>
  </si>
  <si>
    <t>Monthly Actuals</t>
  </si>
  <si>
    <t>Monthly</t>
  </si>
  <si>
    <t>YoY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</si>
  <si>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</si>
  <si>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</si>
  <si>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</si>
  <si>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</si>
  <si>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</si>
  <si>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</si>
  <si>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</si>
  <si>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</si>
  <si>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</si>
  <si>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</si>
  <si>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</si>
  <si>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</si>
  <si>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September</t>
  </si>
  <si>
    <t>October</t>
  </si>
  <si>
    <t>November</t>
  </si>
  <si>
    <t>December</t>
  </si>
  <si>
    <t>Accumulated Dep.</t>
  </si>
  <si>
    <t>Asset Number</t>
  </si>
  <si>
    <t>Status</t>
  </si>
  <si>
    <t>Acquisition Year</t>
  </si>
  <si>
    <t>Asset Description</t>
  </si>
  <si>
    <t>Total Stormwater</t>
  </si>
  <si>
    <t>SW</t>
  </si>
  <si>
    <t>Growth or Non-Growh</t>
  </si>
  <si>
    <t>Net Revenue Requirement</t>
  </si>
  <si>
    <t>Water System</t>
  </si>
  <si>
    <t>Planned Reinvestment (Capital Improvement Projects)</t>
  </si>
  <si>
    <t>Required Reinvestment (Water Lines)</t>
  </si>
  <si>
    <t>Rate Year</t>
  </si>
  <si>
    <t>Replacement Cost of Assets Not in Arrears</t>
  </si>
  <si>
    <t xml:space="preserve">Total Required Reinvestment </t>
  </si>
  <si>
    <t>Required Spending Less Planned Spending</t>
  </si>
  <si>
    <t>Rolling Average Water Main Replacement Spending</t>
  </si>
  <si>
    <t>Sewer System</t>
  </si>
  <si>
    <t>Required Reinvestment (Sewer Lines)</t>
  </si>
  <si>
    <t>Rolling Average Sewer Relining and Repair Capital Spending</t>
  </si>
  <si>
    <t>Pumphouses</t>
  </si>
  <si>
    <t>Storage Facilities</t>
  </si>
  <si>
    <t>WATER</t>
  </si>
  <si>
    <t>SEWER</t>
  </si>
  <si>
    <t>STORMWATER</t>
  </si>
  <si>
    <t>Lift Stations</t>
  </si>
  <si>
    <t>Sewer Mains</t>
  </si>
  <si>
    <t>Category</t>
  </si>
  <si>
    <t>Asset</t>
  </si>
  <si>
    <t>Model Analysis</t>
  </si>
  <si>
    <t>FY 2016</t>
  </si>
  <si>
    <t>FY 2017</t>
  </si>
  <si>
    <t>FY 2018</t>
  </si>
  <si>
    <t>FY 2019</t>
  </si>
  <si>
    <t>FY 2020</t>
  </si>
  <si>
    <t>FY 2021</t>
  </si>
  <si>
    <t>FY 2022</t>
  </si>
  <si>
    <t>FY 2023</t>
  </si>
  <si>
    <t>FY 2024</t>
  </si>
  <si>
    <t>FY 2025</t>
  </si>
  <si>
    <t>Planned Water CIP Spending</t>
  </si>
  <si>
    <t>Water Debt Issued</t>
  </si>
  <si>
    <t>Resulting Cash Funding</t>
  </si>
  <si>
    <t>Planned Sewer CIP Spending</t>
  </si>
  <si>
    <t>Sewer Debt Issued</t>
  </si>
  <si>
    <t>Water Calculated Rate Increase Needed</t>
  </si>
  <si>
    <t xml:space="preserve">Water Rate Increase Plan </t>
  </si>
  <si>
    <t>Sewer Rate Increase Plan</t>
  </si>
  <si>
    <t>Stormwater Calculated Rate Increase Needed</t>
  </si>
  <si>
    <t>Stormwater Rate Increase Plan</t>
  </si>
  <si>
    <t>Reserve Contributions</t>
  </si>
  <si>
    <t>Projected Housing Unit Growth:</t>
  </si>
  <si>
    <t>Projected Commercial Growth:</t>
  </si>
  <si>
    <t>Incorporated Customers</t>
  </si>
  <si>
    <t>Apt</t>
  </si>
  <si>
    <t>Commercial</t>
  </si>
  <si>
    <t>Residential</t>
  </si>
  <si>
    <t>School</t>
  </si>
  <si>
    <t>Sprinkler</t>
  </si>
  <si>
    <t>Total Incorporated Customers</t>
  </si>
  <si>
    <t>Unincorporated Customers</t>
  </si>
  <si>
    <t>Palos</t>
  </si>
  <si>
    <t>Total Unincorporated Customers</t>
  </si>
  <si>
    <t>Total Bulk Customers</t>
  </si>
  <si>
    <t>All Classes</t>
  </si>
  <si>
    <t>Municipal/Pays Bill</t>
  </si>
  <si>
    <t>Not for Profit</t>
  </si>
  <si>
    <t>Residential with Units</t>
  </si>
  <si>
    <t>Planned Stormwater CIP Spending</t>
  </si>
  <si>
    <t>Revenues</t>
  </si>
  <si>
    <t>User Defined User Fees</t>
  </si>
  <si>
    <t>Total Revenues</t>
  </si>
  <si>
    <t>Expenses</t>
  </si>
  <si>
    <t>Water O&amp;M Expenses</t>
  </si>
  <si>
    <t>Existing Debt Service</t>
  </si>
  <si>
    <t>Projected Debt Service</t>
  </si>
  <si>
    <t>Total Expenses</t>
  </si>
  <si>
    <t>Surplus / (Shortfall)</t>
  </si>
  <si>
    <t>Operating Cash Balance</t>
  </si>
  <si>
    <t xml:space="preserve">Beginning Cash Balance </t>
  </si>
  <si>
    <t>Number of Days of O&amp;M Expenses</t>
  </si>
  <si>
    <t>Additional Model Calculated Revenue Increase</t>
  </si>
  <si>
    <t>Sewer O&amp;M Expenses</t>
  </si>
  <si>
    <t>3R Reserve Cash Balance</t>
  </si>
  <si>
    <r>
      <t xml:space="preserve">Operating Cash Flow Surplus / </t>
    </r>
    <r>
      <rPr>
        <sz val="11"/>
        <color rgb="FFFF0000"/>
        <rFont val="Calibri"/>
        <family val="2"/>
        <scheme val="minor"/>
      </rPr>
      <t>(Shortfall)</t>
    </r>
  </si>
  <si>
    <t>Contribution</t>
  </si>
  <si>
    <t>Stormwater  O&amp;M Expenses</t>
  </si>
  <si>
    <t>Stormwater System</t>
  </si>
  <si>
    <t>Removed Capital Related Expenses:</t>
  </si>
  <si>
    <t>Debt Funded</t>
  </si>
  <si>
    <t>Bond W1</t>
  </si>
  <si>
    <t>Bond W2</t>
  </si>
  <si>
    <t>Bond W3</t>
  </si>
  <si>
    <t>Bond W4</t>
  </si>
  <si>
    <t>Bond W5</t>
  </si>
  <si>
    <t>Bond W6</t>
  </si>
  <si>
    <t>Bond W7</t>
  </si>
  <si>
    <t>Bond W8</t>
  </si>
  <si>
    <t>Bond W9</t>
  </si>
  <si>
    <t>Bond W10</t>
  </si>
  <si>
    <t>Total Debt Funded Amount</t>
  </si>
  <si>
    <t>Bond S1</t>
  </si>
  <si>
    <t>Bond S2</t>
  </si>
  <si>
    <t>Bond S3</t>
  </si>
  <si>
    <t>Bond S4</t>
  </si>
  <si>
    <t>Bond S5</t>
  </si>
  <si>
    <t>Bond S6</t>
  </si>
  <si>
    <t>Bond S7</t>
  </si>
  <si>
    <t>Bond S8</t>
  </si>
  <si>
    <t>Bond S9</t>
  </si>
  <si>
    <t>Bond S10</t>
  </si>
  <si>
    <t>Bond SW1</t>
  </si>
  <si>
    <t>Bond SW2</t>
  </si>
  <si>
    <t>Bond SW3</t>
  </si>
  <si>
    <t>Bond SW4</t>
  </si>
  <si>
    <t>Bond SW5</t>
  </si>
  <si>
    <t>Bond SW6</t>
  </si>
  <si>
    <t>Bond SW7</t>
  </si>
  <si>
    <t>Bond SW8</t>
  </si>
  <si>
    <t>Bond SW9</t>
  </si>
  <si>
    <t>Bond SW10</t>
  </si>
  <si>
    <t>Bi-Monthly Tiers</t>
  </si>
  <si>
    <t>(1,000 Gal)</t>
  </si>
  <si>
    <t>Zero Bills</t>
  </si>
  <si>
    <t>Incorporated</t>
  </si>
  <si>
    <t>Total 2014</t>
  </si>
  <si>
    <t>No. of Customer</t>
  </si>
  <si>
    <t>Total Consumption</t>
  </si>
  <si>
    <t>Allocated Consumption</t>
  </si>
  <si>
    <t>Unincorporated</t>
  </si>
  <si>
    <t>Over</t>
  </si>
  <si>
    <t>Tier 1</t>
  </si>
  <si>
    <t>Tier 2</t>
  </si>
  <si>
    <t>Tier 3</t>
  </si>
  <si>
    <t>Current</t>
  </si>
  <si>
    <t>Alt. 1</t>
  </si>
  <si>
    <t>Tier 4</t>
  </si>
  <si>
    <t>Incorp.</t>
  </si>
  <si>
    <t>Unincorp.</t>
  </si>
  <si>
    <t>FY 2014 Rates</t>
  </si>
  <si>
    <t>FY 2014 Revenues</t>
  </si>
  <si>
    <t>FY 2014 Service Charges</t>
  </si>
  <si>
    <t>FY 2014 Service Chg. Rev.</t>
  </si>
  <si>
    <t>CUSTOMER DATA</t>
  </si>
  <si>
    <t>CONSUMPTION DATA</t>
  </si>
  <si>
    <t>Actual Revenues Collected</t>
  </si>
  <si>
    <t>Annual Revenue Collected</t>
  </si>
  <si>
    <t>Variable Charges</t>
  </si>
  <si>
    <t>Total Consumption Unit Rate</t>
  </si>
  <si>
    <t>Total Annual Consumption (1,000 gallons)</t>
  </si>
  <si>
    <t>Total Annual Usage (1,000 gallons)</t>
  </si>
  <si>
    <t>Unit Rate per 1,000 gallons</t>
  </si>
  <si>
    <t>Total Revenues Collected - Fixed Charge</t>
  </si>
  <si>
    <t>Total Revenues Collected - Tier 1</t>
  </si>
  <si>
    <t>Total Revenues Collected - Unit Rate</t>
  </si>
  <si>
    <t>Total Revenues Collected - Tier 2</t>
  </si>
  <si>
    <t>Total Revenues Collected - Tier 3</t>
  </si>
  <si>
    <t>Total Collected Revenues</t>
  </si>
  <si>
    <t>FY 2014</t>
  </si>
  <si>
    <t>Service Charge</t>
  </si>
  <si>
    <t>Bi-Monthly Charge per Account</t>
  </si>
  <si>
    <t># of Accounts</t>
  </si>
  <si>
    <t>Tier 1 (0 - 9,000 gallons)</t>
  </si>
  <si>
    <t>Tier 3 (Above 18,000 gallons)</t>
  </si>
  <si>
    <t>Tier 2 (9,000 - 18,000 gallons)</t>
  </si>
  <si>
    <t>Inclining Block Rate</t>
  </si>
  <si>
    <t>Total Revenues Collected - Service Charge</t>
  </si>
  <si>
    <t>Actual Revenue Collected</t>
  </si>
  <si>
    <t>Storm Fund</t>
  </si>
  <si>
    <t>Incorporated Rates</t>
  </si>
  <si>
    <t>Unincorporated Rates</t>
  </si>
  <si>
    <t>Sewer Rate</t>
  </si>
  <si>
    <t>Stormwater Rate</t>
  </si>
  <si>
    <t>USER DEFINED RATE INCREASE</t>
  </si>
  <si>
    <t>Incorporated Rate Revenue</t>
  </si>
  <si>
    <t>Total Stormwater Revenue</t>
  </si>
  <si>
    <t>Total Sewer Revenue</t>
  </si>
  <si>
    <t>Total Revenue (Current Rates)</t>
  </si>
  <si>
    <t>Total Revenue (Proposed Rates)</t>
  </si>
  <si>
    <t>Unincorporated Rate Revenue</t>
  </si>
  <si>
    <t>Total Water Revenue</t>
  </si>
  <si>
    <t>Actual Water Reserve Contribution</t>
  </si>
  <si>
    <t>Actual Sewer Reserve Contribution</t>
  </si>
  <si>
    <t>Actual Stormwater Reserve Contribution</t>
  </si>
  <si>
    <t>Total 2015</t>
  </si>
  <si>
    <t>FY 2015 Service Chg. Rev.</t>
  </si>
  <si>
    <t>FY 2015 Revenues</t>
  </si>
  <si>
    <t>Budgeted Revenues Collected</t>
  </si>
  <si>
    <t>FY 2015 Service Charges</t>
  </si>
  <si>
    <t>FY 2015 Rates</t>
  </si>
  <si>
    <t>Budgeted Revenue Collected</t>
  </si>
  <si>
    <t>Citizens Utilities Bulk Consuption</t>
  </si>
  <si>
    <t>Citizens Utilities Bulk Rate</t>
  </si>
  <si>
    <t xml:space="preserve">Alpine Heights </t>
  </si>
  <si>
    <t>(Citizens Utilities)</t>
  </si>
  <si>
    <t>TOTAL SYSTEM</t>
  </si>
  <si>
    <t>Tier 1: 0 - 9,000 Gal</t>
  </si>
  <si>
    <t>Tier 2: 9,000 - 18,000 Gal</t>
  </si>
  <si>
    <t>Teir 3: Over 18,000 Gal</t>
  </si>
  <si>
    <t>Rate Differential</t>
  </si>
  <si>
    <t>Service Charge Revenue as a % of Total</t>
  </si>
  <si>
    <t>Bi-Monthly Service Charges</t>
  </si>
  <si>
    <t>Removed External Fee Expenses:</t>
  </si>
  <si>
    <t>Rolling Average Total Capital Spending</t>
  </si>
  <si>
    <t>Water Total</t>
  </si>
  <si>
    <t>Sewer Total</t>
  </si>
  <si>
    <t>Stormwater Total</t>
  </si>
  <si>
    <t>Finance Total</t>
  </si>
  <si>
    <t>Admin Total</t>
  </si>
  <si>
    <t>Grand Total O&amp;M and Capital</t>
  </si>
  <si>
    <t>Description</t>
  </si>
  <si>
    <t>Land</t>
  </si>
  <si>
    <t>Land Improvements</t>
  </si>
  <si>
    <t>Below Ground Piping (See 335)</t>
  </si>
  <si>
    <t>Building</t>
  </si>
  <si>
    <t>Pump Houses</t>
  </si>
  <si>
    <t>Towers</t>
  </si>
  <si>
    <t>Foundations</t>
  </si>
  <si>
    <t>Reservoir</t>
  </si>
  <si>
    <t>Below Ground Piping (See 150)</t>
  </si>
  <si>
    <t>Sanitation Sewer System</t>
  </si>
  <si>
    <t>Storm Water System</t>
  </si>
  <si>
    <t>Chicago Water Connection</t>
  </si>
  <si>
    <t>Above Ground Piping</t>
  </si>
  <si>
    <t>Construction in Progress</t>
  </si>
  <si>
    <t>Asset Type Codes</t>
  </si>
  <si>
    <t>Type Code Description</t>
  </si>
  <si>
    <t>Beginning Water 3R Balance</t>
  </si>
  <si>
    <t>Ending Water 3R Balance</t>
  </si>
  <si>
    <t>Beginning Sewer 3R Balance</t>
  </si>
  <si>
    <t>Ending Sewer 3R Balance</t>
  </si>
  <si>
    <t>Beginning Stormwater 3R Balance</t>
  </si>
  <si>
    <t>Ending Stormwater 3R Balance</t>
  </si>
  <si>
    <t>Beginning Total 3R Balance</t>
  </si>
  <si>
    <t>Ending Total 3R Balance</t>
  </si>
  <si>
    <t>Ending % of Water Asset Replacement in Reserves</t>
  </si>
  <si>
    <t>Ending % of Total Asset Replacement in Reserves</t>
  </si>
  <si>
    <t>Ending % of Stormwater Asset Replacement in Reserves</t>
  </si>
  <si>
    <t>ENR Factor</t>
  </si>
  <si>
    <t>Total Water Asset Value</t>
  </si>
  <si>
    <t>Target % of Asset Value for Reserve</t>
  </si>
  <si>
    <t>Total Sewer Asset Value</t>
  </si>
  <si>
    <t>Total Stormwater Asset Value</t>
  </si>
  <si>
    <t>Index</t>
  </si>
  <si>
    <t>lines42, 45, 48 linked to lines 84, 321, 543 in O&amp;M Expenses for projected FY 14 - out</t>
  </si>
  <si>
    <t>Inflation Rate</t>
  </si>
  <si>
    <t>Village Attorney</t>
  </si>
  <si>
    <t>Total legal budget for FY 010-0000-432100</t>
  </si>
  <si>
    <t>Village Trustees</t>
  </si>
  <si>
    <t>6 Trustees - Salary Schedules</t>
  </si>
  <si>
    <t>Village Manager/Asst. Village Manager</t>
  </si>
  <si>
    <t>PG/EB - Salary Schedules</t>
  </si>
  <si>
    <t>Village Mayor</t>
  </si>
  <si>
    <t>Mayor - Salary Schedules</t>
  </si>
  <si>
    <t>Village Clerk</t>
  </si>
  <si>
    <t>Finance</t>
  </si>
  <si>
    <t>SEE BELOW</t>
  </si>
  <si>
    <t>Human Resources</t>
  </si>
  <si>
    <t>SP/AA - Salary Schedules</t>
  </si>
  <si>
    <t>MIS</t>
  </si>
  <si>
    <t>Development Services</t>
  </si>
  <si>
    <t>Public Works</t>
  </si>
  <si>
    <t>Facilities</t>
  </si>
  <si>
    <t>Village General Fund Activity Allocations</t>
  </si>
  <si>
    <t>Village Manager</t>
  </si>
  <si>
    <t>Water Administrative Indirects</t>
  </si>
  <si>
    <t>Sewer Administrative Indirects</t>
  </si>
  <si>
    <t>Stormwater Administrative Indirects</t>
  </si>
  <si>
    <t>(1) This allocation includes staff departments only.  It is assumed that Engineering charges for design, inspection and adminstration of the utilities capital projects are charged directly to the Capital Projects.</t>
  </si>
  <si>
    <t>(2) Allocation based on estimated hours/facilities allocated to utility fund.</t>
  </si>
  <si>
    <t>(3) Allocation based on O&amp;M budget split within Utility Enterprise Fund.</t>
  </si>
  <si>
    <t>Total Adminstrative Expenses for Water and Sewer</t>
  </si>
  <si>
    <t>Water Bills</t>
  </si>
  <si>
    <t>Sewer Bills</t>
  </si>
  <si>
    <t>Stormwater Bills</t>
  </si>
  <si>
    <t>Current Structure</t>
  </si>
  <si>
    <t>Water Rates</t>
  </si>
  <si>
    <t>Sewer Rates</t>
  </si>
  <si>
    <t>Stormwater Rates</t>
  </si>
  <si>
    <t>Un-Incorporated</t>
  </si>
  <si>
    <t>Customer Class</t>
  </si>
  <si>
    <t>Bi-Monthly Usage</t>
  </si>
  <si>
    <t>Total Bi-Monthly Bill</t>
  </si>
  <si>
    <t>Average Bi-Monthly Residential Water Bill</t>
  </si>
  <si>
    <t>Average Bi-Monthly Residential Sewer Bill</t>
  </si>
  <si>
    <t>Average Bi-Monthly Residential Stormwater Bill</t>
  </si>
  <si>
    <t>Average Bi Monthly Residential Total Bill</t>
  </si>
  <si>
    <t>% Increase on Average Residential Bi-Monthly Bill</t>
  </si>
  <si>
    <t>$ Impact of Rate Increase Per Bi-Monthly Bill</t>
  </si>
  <si>
    <t>Water Assets 
Needed to be Funded</t>
  </si>
  <si>
    <t>Sewer Assets 
Needed to be Funded</t>
  </si>
  <si>
    <t>Storm Assets 
Needed to be Funded</t>
  </si>
  <si>
    <t>Between 10 and 20 Years</t>
  </si>
  <si>
    <t>Greater than 20 Years</t>
  </si>
  <si>
    <t>Between 1 and 10 Years</t>
  </si>
  <si>
    <t>Payoff Years</t>
  </si>
  <si>
    <t>Payoff Amount Per Year</t>
  </si>
  <si>
    <t>End of Useful Life</t>
  </si>
  <si>
    <t>Current Water System Characteristics</t>
  </si>
  <si>
    <t>Average Cost of Capacity Method</t>
  </si>
  <si>
    <t>Projected Capital Expenses</t>
  </si>
  <si>
    <t>Projected CIP Costs (Cash + Debt)</t>
  </si>
  <si>
    <t>Projected Borrowed Amount</t>
  </si>
  <si>
    <t>Cash Funded Projects</t>
  </si>
  <si>
    <t>Debt Service</t>
  </si>
  <si>
    <t>Interest Rate</t>
  </si>
  <si>
    <t>Period (years)</t>
  </si>
  <si>
    <t xml:space="preserve">Calculated </t>
  </si>
  <si>
    <t>Total Debt Funded Projects</t>
  </si>
  <si>
    <t>Meter Size</t>
  </si>
  <si>
    <t>Equivalent</t>
  </si>
  <si>
    <t>Connection Fee</t>
  </si>
  <si>
    <t>Admin Fees (% of principal)</t>
  </si>
  <si>
    <t>Total Cost to be Debt Funded (Principal)</t>
  </si>
  <si>
    <t>Total Projected Debt Service</t>
  </si>
  <si>
    <t>Replacement Cost Less Depreciation of Existing System</t>
  </si>
  <si>
    <t>Total Cost of Water System</t>
  </si>
  <si>
    <t>Net Cost of Water System</t>
  </si>
  <si>
    <t>Average Cost of Capacity Capital Contribution Fee</t>
  </si>
  <si>
    <t>Water Connection Fee</t>
  </si>
  <si>
    <t>8 or higher</t>
  </si>
  <si>
    <t>Build Out System EDUs</t>
  </si>
  <si>
    <t>EDUs</t>
  </si>
  <si>
    <t>Total Cons.</t>
  </si>
  <si>
    <t>Cumulative Breakeven Rate Increase</t>
  </si>
  <si>
    <t>Bulk Usage</t>
  </si>
  <si>
    <t>Total Bulk Revenues Collected</t>
  </si>
  <si>
    <t>Total Bulk Revenue</t>
  </si>
  <si>
    <t>Sewer Debt Funded Total</t>
  </si>
  <si>
    <t>Water Debt Funded Total</t>
  </si>
  <si>
    <t>Stormwater Debt Funded Total</t>
  </si>
  <si>
    <t>Total Projected Debt Payments</t>
  </si>
  <si>
    <t>Water Debt Payments</t>
  </si>
  <si>
    <t>Sewer Debt Payments</t>
  </si>
  <si>
    <t>Stormwater Debt Payments</t>
  </si>
  <si>
    <t>Water %</t>
  </si>
  <si>
    <t>Sewer %</t>
  </si>
  <si>
    <t>Storm %</t>
  </si>
  <si>
    <t>Total Debt Payment</t>
  </si>
  <si>
    <t>Total Debt Funded CIP Projects</t>
  </si>
  <si>
    <t>Debt Summary</t>
  </si>
  <si>
    <t>Total Water Debt Amount</t>
  </si>
  <si>
    <t>Total Sewer Debt Amount</t>
  </si>
  <si>
    <t>Projected Debt Payments</t>
  </si>
  <si>
    <t>031-0000-379900</t>
  </si>
  <si>
    <t>Miscellaneous Fees</t>
  </si>
  <si>
    <t>Water Systyem Capacity</t>
  </si>
  <si>
    <t>MGD</t>
  </si>
  <si>
    <t>GPD Allocation per EDU</t>
  </si>
  <si>
    <t>Max Day Peaking Factor</t>
  </si>
  <si>
    <t>Max Day GPD per EDU</t>
  </si>
  <si>
    <t>GPD</t>
  </si>
  <si>
    <t>Line of Credit Flood Study Improvements</t>
  </si>
  <si>
    <t>Oak Lawn Purchase Cost Increase</t>
  </si>
  <si>
    <t>Stormwater Debt Issued</t>
  </si>
  <si>
    <t>Actual Total Reserve Contribution</t>
  </si>
  <si>
    <t>Contributed Assets</t>
  </si>
  <si>
    <t>3R Reserve Funded</t>
  </si>
  <si>
    <t>Total 3R Reserve Funded</t>
  </si>
  <si>
    <t>EOY FY2015 Total fund balance</t>
  </si>
  <si>
    <t>Total Incorporated Usage</t>
  </si>
  <si>
    <t>Total Unincorporated Usage</t>
  </si>
  <si>
    <t>Total Bulk Usage</t>
  </si>
  <si>
    <t>(in 1,000 gallons)</t>
  </si>
  <si>
    <t>Impervious Area Calculation</t>
  </si>
  <si>
    <t>Residential Impervious Area (Acres)</t>
  </si>
  <si>
    <t>Commercial Impervious area (Acres)</t>
  </si>
  <si>
    <t>Stormwater Net Revenue Requirement</t>
  </si>
  <si>
    <t>Residential Impervious Area (Sq. Feet)</t>
  </si>
  <si>
    <t>Commercial Impervious area (Sq. Feet)</t>
  </si>
  <si>
    <t>Total Impervious Square Feet</t>
  </si>
  <si>
    <t>Annual Fee per Sq. Foot</t>
  </si>
  <si>
    <t>Sample Bills</t>
  </si>
  <si>
    <t>Chick Fil A</t>
  </si>
  <si>
    <t>Best Buy</t>
  </si>
  <si>
    <t>Parkview Christian Church</t>
  </si>
  <si>
    <t>Annual Fee Per Acre</t>
  </si>
  <si>
    <t>Total Impervious Acres</t>
  </si>
  <si>
    <t>MPS Electrical Equipment Evaluation</t>
  </si>
  <si>
    <t>Crystal Tree Watermain Replacement Lake Ridge &amp; Crystal Tree Dr - 2017</t>
  </si>
  <si>
    <t xml:space="preserve">Dashboard </t>
  </si>
  <si>
    <t>Operating and Maintenance Expenses</t>
  </si>
  <si>
    <t>Indirect Cost Allocation</t>
  </si>
  <si>
    <r>
      <t xml:space="preserve">Village General Fund Activity Budget </t>
    </r>
    <r>
      <rPr>
        <b/>
        <vertAlign val="superscript"/>
        <sz val="11"/>
        <rFont val="Calibri"/>
        <family val="2"/>
        <scheme val="minor"/>
      </rPr>
      <t>(1)</t>
    </r>
  </si>
  <si>
    <r>
      <t xml:space="preserve">Allocation </t>
    </r>
    <r>
      <rPr>
        <b/>
        <vertAlign val="superscript"/>
        <sz val="11"/>
        <rFont val="Calibri"/>
        <family val="2"/>
        <scheme val="minor"/>
      </rPr>
      <t>(2)</t>
    </r>
  </si>
  <si>
    <r>
      <t xml:space="preserve">Allocation </t>
    </r>
    <r>
      <rPr>
        <b/>
        <vertAlign val="superscript"/>
        <sz val="11"/>
        <rFont val="Calibri"/>
        <family val="2"/>
        <scheme val="minor"/>
      </rPr>
      <t>(3)</t>
    </r>
  </si>
  <si>
    <t>Existing Debt Payments</t>
  </si>
  <si>
    <t>Capital Improvement Plan</t>
  </si>
  <si>
    <t>Fixed Asset Listing</t>
  </si>
  <si>
    <t>Asset Replacement Analysis</t>
  </si>
  <si>
    <t>Miscellaneous Revenues</t>
  </si>
  <si>
    <t>Revenue Requirements</t>
  </si>
  <si>
    <t>Customers and Consumpion</t>
  </si>
  <si>
    <t>2014 Rate Reconcilliation</t>
  </si>
  <si>
    <t>2015 Rate Reconcilliation</t>
  </si>
  <si>
    <t>Water Rate Projections</t>
  </si>
  <si>
    <t>Sewer Rate Projections</t>
  </si>
  <si>
    <t>Stormwater Rate Projections</t>
  </si>
  <si>
    <t>Cash Flows and Cash Balances</t>
  </si>
  <si>
    <t>Four Tier Rate Structure Consumption</t>
  </si>
  <si>
    <t>Four Tier Alternative Rates</t>
  </si>
  <si>
    <t>Total Revenue (Four Tier Alternative Rates)</t>
  </si>
  <si>
    <t>Four Tier Alternative</t>
  </si>
  <si>
    <t>Four Tier Rate Structure</t>
  </si>
  <si>
    <t>Bulk</t>
  </si>
  <si>
    <t>Revenues under Proposed Rates</t>
  </si>
  <si>
    <t>Total Consumption New Cust offset by Declining Consumption</t>
  </si>
  <si>
    <t>Total Consumption Incr by New Cust</t>
  </si>
  <si>
    <t>Total Consumption - 5 yr avg</t>
  </si>
  <si>
    <t>FY 2011</t>
  </si>
  <si>
    <t>FY 2012</t>
  </si>
  <si>
    <t>FY 2013</t>
  </si>
  <si>
    <t>Gallons per Day per Account</t>
  </si>
  <si>
    <t>Bulk Customers</t>
  </si>
  <si>
    <t>CIP Funding</t>
  </si>
  <si>
    <t>New Debt</t>
  </si>
  <si>
    <t>Reserves</t>
  </si>
  <si>
    <t>Operating Cash</t>
  </si>
  <si>
    <t>O&amp;M</t>
  </si>
  <si>
    <t>Temporary Increase</t>
  </si>
  <si>
    <t>Effective Months</t>
  </si>
  <si>
    <t>% Increase</t>
  </si>
  <si>
    <t>FY 2007</t>
  </si>
  <si>
    <t>FY 2008</t>
  </si>
  <si>
    <t>FY 2009</t>
  </si>
  <si>
    <t>FY 2010</t>
  </si>
  <si>
    <t>Total Accounts</t>
  </si>
  <si>
    <t>GPD / Acct</t>
  </si>
  <si>
    <t>Total Consumption all classes</t>
  </si>
  <si>
    <t>From CAFR</t>
  </si>
  <si>
    <t>Total Consumption no Municipal</t>
  </si>
  <si>
    <t>FY 2002</t>
  </si>
  <si>
    <t>FY 2003</t>
  </si>
  <si>
    <t>FY 2004</t>
  </si>
  <si>
    <t>FY 2005</t>
  </si>
  <si>
    <t>FY 2006</t>
  </si>
  <si>
    <t>Reported:</t>
  </si>
  <si>
    <t>15 months</t>
  </si>
  <si>
    <t>incl. municipal</t>
  </si>
  <si>
    <t>Avg CIP 2005 - 2015</t>
  </si>
  <si>
    <t>FY2016 3R Reserve Target</t>
  </si>
  <si>
    <t xml:space="preserve">Total Consumption </t>
  </si>
  <si>
    <t>Future Years Projected Based on 2015 Consumption Allocations Between Tiers</t>
  </si>
  <si>
    <t>031-6003-432990</t>
  </si>
  <si>
    <t>031-6003-444500</t>
  </si>
  <si>
    <t>Streets/Right of Way Maintenance</t>
  </si>
  <si>
    <t>031-6007-460170</t>
  </si>
  <si>
    <t>031-6007-462800</t>
  </si>
  <si>
    <t>031-6001-442810</t>
  </si>
  <si>
    <t>Fire Alarm System Services</t>
  </si>
  <si>
    <t>Fire Alarm Services</t>
  </si>
  <si>
    <t>Planned Stormwater Capital Projects</t>
  </si>
  <si>
    <t>Total Stormwater CIP Spending</t>
  </si>
  <si>
    <t>CONSULTING ON MISS CREEK UPLANDS</t>
  </si>
  <si>
    <t>TOTAL ALL CUSTOMERS</t>
  </si>
  <si>
    <t>Future years based on FY2015, with Commercial and Residential incremented by Growth Above</t>
  </si>
  <si>
    <t>Orland Park, Mokena &amp; Tinley Park</t>
  </si>
  <si>
    <t/>
  </si>
  <si>
    <t>Total Revenue (FY2015 Rates)</t>
  </si>
  <si>
    <t>Debt Payments</t>
  </si>
  <si>
    <t>Capital</t>
  </si>
  <si>
    <t>Depreciation</t>
  </si>
  <si>
    <t>budgeted 189373 for OL Impr. Debt</t>
  </si>
  <si>
    <t>OL Debt System Impr</t>
  </si>
  <si>
    <t>FY2016 Budget</t>
  </si>
  <si>
    <t>031-1400</t>
  </si>
  <si>
    <t>031-6001</t>
  </si>
  <si>
    <t>031-6002</t>
  </si>
  <si>
    <t>031-6003</t>
  </si>
  <si>
    <t>031-6007</t>
  </si>
  <si>
    <t>Name</t>
  </si>
  <si>
    <t xml:space="preserve">Thomas     </t>
  </si>
  <si>
    <t xml:space="preserve">Martin          </t>
  </si>
  <si>
    <t>Superintendent of Streets</t>
  </si>
  <si>
    <t>Open Position</t>
  </si>
  <si>
    <t xml:space="preserve">Foreman                       </t>
  </si>
  <si>
    <t>Samuel</t>
  </si>
  <si>
    <t>Brokop</t>
  </si>
  <si>
    <t>Maintenance Worker II</t>
  </si>
  <si>
    <t xml:space="preserve">Ryan       </t>
  </si>
  <si>
    <t xml:space="preserve">Callaghan       </t>
  </si>
  <si>
    <t>Maintenance Worker III</t>
  </si>
  <si>
    <t xml:space="preserve">Michael    </t>
  </si>
  <si>
    <t>Cichowicz</t>
  </si>
  <si>
    <t xml:space="preserve">Mark       </t>
  </si>
  <si>
    <t>Cingrani</t>
  </si>
  <si>
    <t xml:space="preserve">Maintenance Worker I          </t>
  </si>
  <si>
    <t>Maintenance Worker I</t>
  </si>
  <si>
    <t xml:space="preserve">Diorio          </t>
  </si>
  <si>
    <t xml:space="preserve">David      </t>
  </si>
  <si>
    <t>Faltin</t>
  </si>
  <si>
    <t>Jim</t>
  </si>
  <si>
    <t>Mulqueeny</t>
  </si>
  <si>
    <t xml:space="preserve">Bon </t>
  </si>
  <si>
    <t xml:space="preserve">Nola            </t>
  </si>
  <si>
    <t>Norkus</t>
  </si>
  <si>
    <t xml:space="preserve">Rauch           </t>
  </si>
  <si>
    <t xml:space="preserve">Richard    </t>
  </si>
  <si>
    <t xml:space="preserve">Rittenbacher    </t>
  </si>
  <si>
    <t>Public Improvement Tech II</t>
  </si>
  <si>
    <t>Keith</t>
  </si>
  <si>
    <t>Rusch</t>
  </si>
  <si>
    <t xml:space="preserve">Peter      </t>
  </si>
  <si>
    <t xml:space="preserve">Sereda          </t>
  </si>
  <si>
    <t xml:space="preserve">James      </t>
  </si>
  <si>
    <t xml:space="preserve">Shanahan        </t>
  </si>
  <si>
    <t xml:space="preserve">William    </t>
  </si>
  <si>
    <t xml:space="preserve">Sparks          </t>
  </si>
  <si>
    <t xml:space="preserve">Kevin      </t>
  </si>
  <si>
    <t>Stephens</t>
  </si>
  <si>
    <t>Gregory</t>
  </si>
  <si>
    <t>Swieboda</t>
  </si>
  <si>
    <t>Brian</t>
  </si>
  <si>
    <t>Karen</t>
  </si>
  <si>
    <t>Willson</t>
  </si>
  <si>
    <t>9 positions</t>
  </si>
  <si>
    <t>Corrigan</t>
  </si>
  <si>
    <t>Kurtis</t>
  </si>
  <si>
    <t>Transportation &amp; Engineering Manager</t>
  </si>
  <si>
    <t>Cassidy</t>
  </si>
  <si>
    <t>Kucala</t>
  </si>
  <si>
    <t>James</t>
  </si>
  <si>
    <t>Plumbing/Building Inspector</t>
  </si>
  <si>
    <t>Development Services Personnel</t>
  </si>
  <si>
    <t>Parks/Bldg Maint Division Director</t>
  </si>
  <si>
    <t>Park/Bldg Database Coordinator</t>
  </si>
  <si>
    <t>Couch</t>
  </si>
  <si>
    <t>Gary</t>
  </si>
  <si>
    <t>Parks Operations Manager</t>
  </si>
  <si>
    <t>Finance Director</t>
  </si>
  <si>
    <t>Asst Finance Director</t>
  </si>
  <si>
    <t>Financial Analyst</t>
  </si>
  <si>
    <t>Contract Administrator</t>
  </si>
  <si>
    <t>Purchasing Administrator</t>
  </si>
  <si>
    <t>Accountant</t>
  </si>
  <si>
    <t>A/P Coordinator</t>
  </si>
  <si>
    <t>Payroll Administrator</t>
  </si>
  <si>
    <t>Accounting Tech II</t>
  </si>
  <si>
    <t>P/T Clerical/Cashier</t>
  </si>
  <si>
    <t xml:space="preserve">Information System Administrator     </t>
  </si>
  <si>
    <t xml:space="preserve">MIS Manager                   </t>
  </si>
  <si>
    <t>Information Sys Support Coord</t>
  </si>
  <si>
    <t>Innoprise</t>
  </si>
  <si>
    <t>Legistar Maintenance</t>
  </si>
  <si>
    <t>IBM AS/400 Software Subscription Service</t>
  </si>
  <si>
    <t>HTE</t>
  </si>
  <si>
    <t>IBM AS/400 Hardware Maintenance</t>
  </si>
  <si>
    <t>HPG</t>
  </si>
  <si>
    <t>PW Work Order Printer</t>
  </si>
  <si>
    <t>Annual Hardware Purchases</t>
  </si>
  <si>
    <t>Total 1200 +1201 Salary Schedules</t>
  </si>
  <si>
    <t>FY2016 Average Bill - Impervious Area</t>
  </si>
  <si>
    <t>FY2016 Average Bill - Water Usage</t>
  </si>
  <si>
    <t>FY2015 Average BiMonthly Water Usage (1,000 Gallons)</t>
  </si>
  <si>
    <t>Acct No.</t>
  </si>
  <si>
    <t>Residential Condo</t>
  </si>
  <si>
    <t>Residential Townhouse</t>
  </si>
  <si>
    <t>Residential S.F. Home - avg. lot</t>
  </si>
  <si>
    <t>Residential S.F. Home - large lot</t>
  </si>
  <si>
    <t>Calc's for 217700-226430 appear incorrect</t>
  </si>
  <si>
    <t>Current (2015)</t>
  </si>
  <si>
    <t>Connection Fees</t>
  </si>
  <si>
    <t>Withdrawal to fund CIP</t>
  </si>
  <si>
    <t>Total Water CIP Funding Sources</t>
  </si>
  <si>
    <t>Water CIP Funding Source</t>
  </si>
  <si>
    <t>Sewer CIP Funding Source</t>
  </si>
  <si>
    <t>Total Sewer CIP Funding Sources</t>
  </si>
  <si>
    <t>Stormwater CIP Funding Source</t>
  </si>
  <si>
    <t>Total Stormwater CIP Funding Sources</t>
  </si>
  <si>
    <t>Total Stormwater Debt Amount</t>
  </si>
  <si>
    <t>Seasonal Maintenance -Streets</t>
  </si>
  <si>
    <t>Linda</t>
  </si>
  <si>
    <t>Kujawa</t>
  </si>
  <si>
    <t>Impervious Sq. Feet</t>
  </si>
  <si>
    <t>(Savings) / Cost If Billed on Impervious Area</t>
  </si>
  <si>
    <t>Water Usage (1,000 Gallons)</t>
  </si>
  <si>
    <t>Fast Food Restaurant</t>
  </si>
  <si>
    <t>Total No. of Customers</t>
  </si>
  <si>
    <t>% of FY15 Customer Bills</t>
  </si>
  <si>
    <t>% of FY2015 consumption</t>
  </si>
  <si>
    <t># of Cust. Bills</t>
  </si>
  <si>
    <t>% of Cust. Bills</t>
  </si>
  <si>
    <t>Amt. of Cons.</t>
  </si>
  <si>
    <t>% of Cons.</t>
  </si>
  <si>
    <t>Tier Level</t>
  </si>
  <si>
    <t>0 - 5000 Gal</t>
  </si>
  <si>
    <t>0 - 6000 Gal</t>
  </si>
  <si>
    <t>0 - 7000 Gal</t>
  </si>
  <si>
    <t>0 - 8000 Gal</t>
  </si>
  <si>
    <t>% of FY14 Consumption</t>
  </si>
  <si>
    <t>% of FY14 Customer Bills</t>
  </si>
  <si>
    <t>Municipality</t>
  </si>
  <si>
    <t>Downers Grove</t>
  </si>
  <si>
    <t>Highland Park</t>
  </si>
  <si>
    <t>Aurora</t>
  </si>
  <si>
    <t>Flat Fee</t>
  </si>
  <si>
    <t>Northbrook</t>
  </si>
  <si>
    <t>Water Usage</t>
  </si>
  <si>
    <t>Rolling Meadows</t>
  </si>
  <si>
    <t>Tinley Park</t>
  </si>
  <si>
    <t xml:space="preserve">Water Usage </t>
  </si>
  <si>
    <t>Winnetka</t>
  </si>
  <si>
    <t>3R Reserve Funding</t>
  </si>
  <si>
    <t>O&amp;M Check</t>
  </si>
  <si>
    <t>Existing Debt Check</t>
  </si>
  <si>
    <t>CIP Check</t>
  </si>
  <si>
    <t>Total Number of Customers</t>
  </si>
  <si>
    <t>Roger</t>
  </si>
  <si>
    <t>Bladek</t>
  </si>
  <si>
    <t>Electrical Maintenance</t>
  </si>
  <si>
    <t>CTO</t>
  </si>
  <si>
    <t>Daniel</t>
  </si>
  <si>
    <t>Fanciullacci</t>
  </si>
  <si>
    <t>Comments</t>
  </si>
  <si>
    <t>Stormwater problems in streets, duty supervisor (wm breaks, flooding…)</t>
  </si>
  <si>
    <t>Deborah</t>
  </si>
  <si>
    <t>Kentner</t>
  </si>
  <si>
    <t>Services Representative</t>
  </si>
  <si>
    <t>Morgan</t>
  </si>
  <si>
    <t>V&amp;E/Transport Operations Mngr</t>
  </si>
  <si>
    <t>Patrick</t>
  </si>
  <si>
    <t>Beasley</t>
  </si>
  <si>
    <t>Richard</t>
  </si>
  <si>
    <t>Hendricks</t>
  </si>
  <si>
    <t>Mechanic II</t>
  </si>
  <si>
    <t>Robert</t>
  </si>
  <si>
    <t>Stoffle</t>
  </si>
  <si>
    <t>Robin</t>
  </si>
  <si>
    <t>Wagner</t>
  </si>
  <si>
    <t>Wynslow</t>
  </si>
  <si>
    <t>Thresh</t>
  </si>
  <si>
    <t>Inventory Control Technician</t>
  </si>
  <si>
    <t>Flood mitigation (inlet cleaning during storms)</t>
  </si>
  <si>
    <t>Tree removals for utility digs, flood mitigation</t>
  </si>
  <si>
    <t>Pond maintenance</t>
  </si>
  <si>
    <t>Sod &amp; dirt restorations on utility repairs</t>
  </si>
  <si>
    <t>Concrete restorations of inlet repairs</t>
  </si>
  <si>
    <t>Asphalt restoration on utility repairs</t>
  </si>
  <si>
    <t>Curb restorations of inlet repairs</t>
  </si>
  <si>
    <t>Storm conveyance design in ROW</t>
  </si>
  <si>
    <t>Pond maintenance, inlet repairs</t>
  </si>
  <si>
    <t>Tree removals for utility digs</t>
  </si>
  <si>
    <t>duty supervisor (wm breaks, flooding…)</t>
  </si>
  <si>
    <t>Various restoration assists on utility repairs</t>
  </si>
  <si>
    <t>Assists Utility night crew.</t>
  </si>
  <si>
    <t>Processing work orders, answering calls, Pond mowing, Aquatic DB management</t>
  </si>
  <si>
    <t>Processing work orders, answering calls</t>
  </si>
  <si>
    <t>Assist full time staff as noted above.</t>
  </si>
  <si>
    <t>duty supervisor (wm breaks, flooding…),Utility vehicle replacements (specifications)</t>
  </si>
  <si>
    <t>utility vehicle maintenance</t>
  </si>
  <si>
    <t>Utility vehicle maintenance support</t>
  </si>
  <si>
    <t>Underground Utility Inspections-new construction</t>
  </si>
  <si>
    <t>Parks</t>
  </si>
  <si>
    <t>Water Rate Revenue Generated</t>
  </si>
  <si>
    <t>Sewer Rate Revenue Generated</t>
  </si>
  <si>
    <t>Stormwater Rate Revenue Generated</t>
  </si>
  <si>
    <t>Total Net Revenue Requirements</t>
  </si>
  <si>
    <t>Total Rate Revenue Generated</t>
  </si>
  <si>
    <t>CIP funding</t>
  </si>
  <si>
    <t>Total System Fund</t>
  </si>
  <si>
    <r>
      <t>Minimum Amount Met? (Yes/</t>
    </r>
    <r>
      <rPr>
        <b/>
        <sz val="12"/>
        <color rgb="FFFF0000"/>
        <rFont val="Calibri"/>
        <family val="2"/>
        <scheme val="minor"/>
      </rPr>
      <t>No</t>
    </r>
    <r>
      <rPr>
        <b/>
        <sz val="12"/>
        <color theme="0"/>
        <rFont val="Calibri"/>
        <family val="2"/>
        <scheme val="minor"/>
      </rPr>
      <t>)</t>
    </r>
  </si>
  <si>
    <t>Asset Replacement</t>
  </si>
  <si>
    <t>Projected Debt Check</t>
  </si>
  <si>
    <t>Reserve Contribution Phase-In</t>
  </si>
  <si>
    <t>CHECK</t>
  </si>
  <si>
    <t>Ending % of Sewer Asset Replacement in Reserves</t>
  </si>
  <si>
    <t>Projected Debt</t>
  </si>
  <si>
    <t>TOTAL PROJECTED DEBT CIP</t>
  </si>
  <si>
    <t>TOTAL ALL CASH CIP</t>
  </si>
  <si>
    <t>TOTAL 3R RESERVE CIP</t>
  </si>
  <si>
    <t>Water 3R Reserve Contribution</t>
  </si>
  <si>
    <t>Sewer 3R Reserve Contribution</t>
  </si>
  <si>
    <t>Stormwater 3R Reserve Contribution</t>
  </si>
  <si>
    <t>Total 3R Reserve Funding Contribution</t>
  </si>
  <si>
    <t>0 - 9000 Gal (Current)</t>
  </si>
  <si>
    <t>Current Method  Billed on Water Usage</t>
  </si>
  <si>
    <t>Alternative Method       Billed on Impervious Area*</t>
  </si>
  <si>
    <t xml:space="preserve">      Billed on actual impervious square feet at a rate of $0.012 / sq. ft.</t>
  </si>
  <si>
    <t xml:space="preserve">      No credits given for runoff reduction </t>
  </si>
  <si>
    <t>Sample - Average FY2015 Bimonthly Stormwater Bill</t>
  </si>
  <si>
    <t xml:space="preserve">* Presented for illustrative purposes only - assumptions include the following: </t>
  </si>
  <si>
    <t>AWWA STD. w/ water conservation methods</t>
  </si>
  <si>
    <t>AWWA STD. w/o water conservation methods</t>
  </si>
  <si>
    <t xml:space="preserve">      Revenue generated remains the same regardless of billing method</t>
  </si>
  <si>
    <t>Year Implemented</t>
  </si>
  <si>
    <t>Rate Structure</t>
  </si>
  <si>
    <t>Impervious Area</t>
  </si>
  <si>
    <t>Source: Western Kentucky University Stormwater Utility Survey 2014</t>
  </si>
  <si>
    <t>source: cmap stormwater utilities in Illinois</t>
  </si>
  <si>
    <t>Richton Park</t>
  </si>
  <si>
    <t>Orland Park</t>
  </si>
  <si>
    <t>unknown</t>
  </si>
  <si>
    <t>As of January, 2013, eight municipalities in the Chicago region had implemented stormwater utility fees.</t>
  </si>
  <si>
    <t>Total Cash Balance</t>
  </si>
  <si>
    <t>Withdrawal to Fund CIP</t>
  </si>
  <si>
    <r>
      <t xml:space="preserve">Cash Flow Surplus / </t>
    </r>
    <r>
      <rPr>
        <sz val="11"/>
        <color rgb="FFFF0000"/>
        <rFont val="Calibri"/>
        <family val="2"/>
        <scheme val="minor"/>
      </rPr>
      <t>(Shortfall)</t>
    </r>
  </si>
  <si>
    <t>Total Water Cash Balance</t>
  </si>
  <si>
    <t>Total Sewer Cash Balance</t>
  </si>
  <si>
    <t>Total Stormwater Cash Balance</t>
  </si>
  <si>
    <t>Water Net Revenue Requirements</t>
  </si>
  <si>
    <t>Checks:</t>
  </si>
  <si>
    <r>
      <t>Total Cash Flow Surplus /</t>
    </r>
    <r>
      <rPr>
        <b/>
        <sz val="12"/>
        <color rgb="FFFF0000"/>
        <rFont val="Calibri"/>
        <family val="2"/>
      </rPr>
      <t xml:space="preserve"> (Shortfall)</t>
    </r>
  </si>
  <si>
    <t>Total Withdrawal to fund CIP</t>
  </si>
  <si>
    <t>Water 3R Withdrawal to fund CIP</t>
  </si>
  <si>
    <t>Sewer 3R Withdrawal to fund CIP</t>
  </si>
  <si>
    <t>Stormwater 3R Withdrawal to fund CIP</t>
  </si>
  <si>
    <r>
      <t>Total Surplus /</t>
    </r>
    <r>
      <rPr>
        <b/>
        <sz val="12"/>
        <color rgb="FFFF0000"/>
        <rFont val="Calibri"/>
        <family val="2"/>
      </rPr>
      <t xml:space="preserve"> (Shortfall)</t>
    </r>
  </si>
  <si>
    <r>
      <t xml:space="preserve">Water Cash Flow Surplus / </t>
    </r>
    <r>
      <rPr>
        <b/>
        <sz val="12"/>
        <color rgb="FFFF0000"/>
        <rFont val="Calibri"/>
        <family val="2"/>
        <scheme val="minor"/>
      </rPr>
      <t>(Shortfall)</t>
    </r>
  </si>
  <si>
    <t>Sewer Net Revenue Requirements</t>
  </si>
  <si>
    <t>O&amp;M Target</t>
  </si>
  <si>
    <t>3R Reserve Target</t>
  </si>
  <si>
    <t>Stormwater Net Revenue Requirements</t>
  </si>
  <si>
    <r>
      <t xml:space="preserve">Sewer Cash Flow Surplus / </t>
    </r>
    <r>
      <rPr>
        <b/>
        <sz val="12"/>
        <color rgb="FFFF0000"/>
        <rFont val="Calibri"/>
        <family val="2"/>
        <scheme val="minor"/>
      </rPr>
      <t>(Shortfall)</t>
    </r>
  </si>
  <si>
    <r>
      <t xml:space="preserve">Stormwater Cash Flow Surplus / </t>
    </r>
    <r>
      <rPr>
        <b/>
        <sz val="12"/>
        <color rgb="FFFF0000"/>
        <rFont val="Calibri"/>
        <family val="2"/>
        <scheme val="minor"/>
      </rPr>
      <t>(Shortfall)</t>
    </r>
  </si>
  <si>
    <t>Stormwater Service Fees - Incorporated</t>
  </si>
  <si>
    <t>Stormwater Service Fees - Unincorporated</t>
  </si>
  <si>
    <t>Percent Increase in Revenue</t>
  </si>
  <si>
    <t>Total Costs</t>
  </si>
  <si>
    <r>
      <t xml:space="preserve">Surplus / </t>
    </r>
    <r>
      <rPr>
        <b/>
        <sz val="12"/>
        <color rgb="FFFF0000"/>
        <rFont val="Calibri"/>
        <family val="2"/>
      </rPr>
      <t>(Shortfall)</t>
    </r>
  </si>
  <si>
    <t> Water Rates</t>
  </si>
  <si>
    <t>Previous</t>
  </si>
  <si>
    <t>Proposed FY 2016</t>
  </si>
  <si>
    <t>Service Charge per Bill</t>
  </si>
  <si>
    <t>Volume Charges (per 1,000 gallons)</t>
  </si>
  <si>
    <t>Tier 1: 0 – 9,000</t>
  </si>
  <si>
    <t>Tier 2: 9,000 – 18,000</t>
  </si>
  <si>
    <t>Tier 3: Over 18,000</t>
  </si>
  <si>
    <t>Tier 1: 0 – 7,000</t>
  </si>
  <si>
    <t>Tier 2: 7,000 – 12,000</t>
  </si>
  <si>
    <t>Tier 3: 12,000 – 22,000</t>
  </si>
  <si>
    <t>Tier 4: Over 22,000</t>
  </si>
  <si>
    <t>Customer Usage</t>
  </si>
  <si>
    <t>Proposed</t>
  </si>
  <si>
    <t>%</t>
  </si>
  <si>
    <t>Increase</t>
  </si>
  <si>
    <t>Bi-Monthly Bill</t>
  </si>
  <si>
    <t>Lift Station Generator Replacements</t>
  </si>
  <si>
    <t>Sewer Calculated Additional Rate Increase Needed</t>
  </si>
  <si>
    <t>Water Divison Minimum Reserves</t>
  </si>
  <si>
    <t>Sewer Division Minimum Reserves</t>
  </si>
  <si>
    <t>Stormwater Division Minimum Reserves</t>
  </si>
  <si>
    <r>
      <t xml:space="preserve">Stormwater Operating Surplus / </t>
    </r>
    <r>
      <rPr>
        <b/>
        <sz val="12"/>
        <color rgb="FFFF0000"/>
        <rFont val="Calibri"/>
        <family val="2"/>
      </rPr>
      <t>(Shortfall)</t>
    </r>
  </si>
  <si>
    <r>
      <rPr>
        <b/>
        <sz val="12"/>
        <color theme="0"/>
        <rFont val="Calibri"/>
        <family val="2"/>
        <scheme val="minor"/>
      </rPr>
      <t>Sewer Operating Surplus /</t>
    </r>
    <r>
      <rPr>
        <b/>
        <sz val="12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</rPr>
      <t>(Shortfall)</t>
    </r>
  </si>
  <si>
    <r>
      <t xml:space="preserve">Water Operating Surplus / </t>
    </r>
    <r>
      <rPr>
        <b/>
        <sz val="12"/>
        <color rgb="FFFF0000"/>
        <rFont val="Calibri"/>
        <family val="2"/>
        <scheme val="minor"/>
      </rPr>
      <t>(Shortfall)</t>
    </r>
  </si>
  <si>
    <t>Water Division Ending Cash Balance</t>
  </si>
  <si>
    <t>Total Sewer Division Ending Cash Balance</t>
  </si>
  <si>
    <t>Total Stormwater Division Ending Cash Balance</t>
  </si>
  <si>
    <t>Minimum Cash Reserves</t>
  </si>
  <si>
    <t>FY2016</t>
  </si>
  <si>
    <t xml:space="preserve">Current </t>
  </si>
  <si>
    <t>number of customer bills</t>
  </si>
  <si>
    <t>Tier 1: 0 - 7000</t>
  </si>
  <si>
    <t>Tier 2: 7000 - 12000</t>
  </si>
  <si>
    <t>Tier 3: 12000 - 22000</t>
  </si>
  <si>
    <t>Tier 4: Over 22000</t>
  </si>
  <si>
    <t>Incorporated Water Rates</t>
  </si>
  <si>
    <t>Unincorporated Water Rates</t>
  </si>
  <si>
    <t>Citizens Utilities Bulk Water Rate</t>
  </si>
  <si>
    <t>Storm Sewer Rates</t>
  </si>
  <si>
    <t xml:space="preserve">Sewer Rates - Incorporated </t>
  </si>
  <si>
    <t>Sewer Cap</t>
  </si>
  <si>
    <t xml:space="preserve">Storm Water Incorporated </t>
  </si>
  <si>
    <t>Sewer Rates - Unincorporated</t>
  </si>
  <si>
    <t xml:space="preserve">Storm Water - Unincorporated </t>
  </si>
  <si>
    <t>Total Fund Ending Cash Balance</t>
  </si>
  <si>
    <t>Fund Minimum Reserves</t>
  </si>
  <si>
    <t>Usage</t>
  </si>
  <si>
    <t>Customer Bill</t>
  </si>
  <si>
    <t>Current Rates</t>
  </si>
  <si>
    <t>Proposed Rates</t>
  </si>
  <si>
    <t>Usage in Gallons</t>
  </si>
  <si>
    <t>Average Customer Bill</t>
  </si>
  <si>
    <t xml:space="preserve">12,000 Gallons </t>
  </si>
  <si>
    <t xml:space="preserve">11,000 Gallons </t>
  </si>
  <si>
    <t xml:space="preserve">13,000 Gallons </t>
  </si>
  <si>
    <t>13,000 Gallons</t>
  </si>
  <si>
    <t>FY2015 Rates</t>
  </si>
  <si>
    <t>Proposed FY2016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</si>
</sst>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/yy;@"/>
    <numFmt numFmtId="165" formatCode="&quot;FY &quot;####"/>
    <numFmt numFmtId="166" formatCode="0.0%"/>
    <numFmt numFmtId="167" formatCode="_(&quot;$&quot;* #,##0_);_(&quot;$&quot;* \(#,##0\);_(&quot;$&quot;* &quot;-&quot;??_);_(@_)"/>
    <numFmt numFmtId="168" formatCode="m/d/yyyy;@"/>
    <numFmt numFmtId="169" formatCode="0_);\(0\)"/>
    <numFmt numFmtId="170" formatCode="_(* #,##0_);_(* \(#,##0\);_(* &quot;-&quot;??_);_(@_)"/>
    <numFmt numFmtId="171" formatCode="&quot;FY&quot;\ ####"/>
    <numFmt numFmtId="172" formatCode="mm/dd/yy;@"/>
    <numFmt numFmtId="173" formatCode="_(* #,##0.0_);_(* \(#,##0.0\);_(* &quot;-&quot;??_);_(@_)"/>
    <numFmt numFmtId="174" formatCode="0.0"/>
    <numFmt numFmtId="175" formatCode="&quot;FY &quot;####&quot; &quot;"/>
    <numFmt numFmtId="176" formatCode="&quot;FY&quot;\ General"/>
    <numFmt numFmtId="177" formatCode="&quot;$&quot;#,##0"/>
    <numFmt numFmtId="178" formatCode="#&quot; Months&quot;"/>
    <numFmt numFmtId="179" formatCode="&quot;$&quot;#,##0.00"/>
    <numFmt numFmtId="180" formatCode="&quot;0&quot;##"/>
    <numFmt numFmtId="181" formatCode="&quot;FY&quot;\ ###"/>
    <numFmt numFmtId="182" formatCode="#,##0.0"/>
    <numFmt numFmtId="183" formatCode="_(&quot;$&quot;* #,##0.000_);_(&quot;$&quot;* \(#,##0.000\);_(&quot;$&quot;* &quot;-&quot;??_);_(@_)"/>
    <numFmt numFmtId="184" formatCode="0.000"/>
    <numFmt numFmtId="185" formatCode="&quot;$&quot;#,##0.000"/>
    <numFmt numFmtId="186" formatCode="&quot;$&quot;#,##0.00000"/>
  </numFmts>
  <fonts count="120" x14ac:knownFonts="1"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80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2"/>
      <color rgb="FF000080"/>
      <name val="Calibri"/>
      <family val="2"/>
      <scheme val="minor"/>
    </font>
    <font>
      <sz val="12"/>
      <color rgb="FF00008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u/>
      <sz val="12"/>
      <color indexed="12"/>
      <name val="Times New Roman"/>
      <family val="1"/>
    </font>
    <font>
      <u/>
      <sz val="12"/>
      <color indexed="12"/>
      <name val="Calibri"/>
      <family val="2"/>
      <scheme val="minor"/>
    </font>
    <font>
      <sz val="11"/>
      <color theme="1"/>
      <name val="Times New Roman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Times New Roman"/>
      <family val="1"/>
    </font>
    <font>
      <b/>
      <sz val="12"/>
      <color theme="3" tint="0.3999755851924192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80"/>
      <name val="Calibri"/>
      <family val="2"/>
      <scheme val="minor"/>
    </font>
    <font>
      <sz val="12"/>
      <color rgb="FF000000"/>
      <name val="Calibri"/>
      <family val="2"/>
    </font>
    <font>
      <b/>
      <sz val="11"/>
      <color rgb="FF000080"/>
      <name val="Calibri"/>
      <family val="2"/>
      <scheme val="minor"/>
    </font>
    <font>
      <b/>
      <u/>
      <sz val="11"/>
      <color rgb="FF00008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</font>
    <font>
      <b/>
      <i/>
      <sz val="11"/>
      <color theme="1"/>
      <name val="Calibri"/>
      <family val="2"/>
    </font>
    <font>
      <i/>
      <sz val="11"/>
      <color rgb="FFFF0000"/>
      <name val="Calibri"/>
      <family val="2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</font>
    <font>
      <sz val="12"/>
      <color indexed="6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2"/>
      <name val="Calibri"/>
      <family val="2"/>
      <scheme val="minor"/>
    </font>
    <font>
      <u/>
      <sz val="12"/>
      <color theme="10"/>
      <name val="Calibri"/>
      <family val="2"/>
    </font>
    <font>
      <b/>
      <i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</font>
    <font>
      <u/>
      <sz val="12"/>
      <color theme="10"/>
      <name val="Calibri"/>
      <family val="2"/>
      <scheme val="minor"/>
    </font>
    <font>
      <b/>
      <sz val="12"/>
      <color rgb="FF002060"/>
      <name val="Calibri"/>
      <family val="2"/>
    </font>
    <font>
      <b/>
      <u/>
      <sz val="12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b/>
      <sz val="12"/>
      <color theme="3" tint="0.39997558519241921"/>
      <name val="Calibri"/>
      <family val="2"/>
    </font>
    <font>
      <sz val="12"/>
      <color theme="3" tint="0.3999755851924192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8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2"/>
      <color theme="1"/>
      <name val="Calibri"/>
      <family val="2"/>
    </font>
    <font>
      <sz val="12"/>
      <color rgb="FFFF0000"/>
      <name val="Calibri"/>
      <family val="2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name val="Calibri"/>
      <family val="2"/>
    </font>
    <font>
      <b/>
      <u/>
      <sz val="11"/>
      <color indexed="9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i/>
      <sz val="11"/>
      <color indexed="10"/>
      <name val="Calibri"/>
      <family val="2"/>
      <scheme val="minor"/>
    </font>
    <font>
      <b/>
      <sz val="12"/>
      <color rgb="FFFF0000"/>
      <name val="Calibri"/>
      <family val="2"/>
    </font>
    <font>
      <b/>
      <sz val="12"/>
      <color theme="0"/>
      <name val="Calibri"/>
      <family val="2"/>
    </font>
    <font>
      <b/>
      <sz val="12"/>
      <color rgb="FF0070C0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rgb="FFFFFFFF"/>
      <name val="Calibri"/>
      <family val="2"/>
    </font>
    <font>
      <b/>
      <sz val="11"/>
      <name val="Arial"/>
      <family val="2"/>
    </font>
    <font>
      <b/>
      <sz val="14"/>
      <color theme="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rgb="FF00008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auto="1"/>
        <bgColor theme="0" tint="-0.14999847407452621"/>
      </patternFill>
    </fill>
    <fill>
      <patternFill patternType="lightDown">
        <fgColor auto="1"/>
        <bgColor theme="0" tint="-0.14999847407452621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A2"/>
        <bgColor indexed="64"/>
      </patternFill>
    </fill>
    <fill>
      <patternFill patternType="lightDown">
        <fgColor theme="0" tint="-0.24994659260841701"/>
        <bgColor indexed="65"/>
      </patternFill>
    </fill>
    <fill>
      <patternFill patternType="lightDown">
        <fgColor theme="0" tint="-0.24994659260841701"/>
        <bgColor rgb="FFFFFF00"/>
      </patternFill>
    </fill>
    <fill>
      <patternFill patternType="solid">
        <fgColor rgb="FF0070C0"/>
        <bgColor indexed="64"/>
      </patternFill>
    </fill>
    <fill>
      <patternFill patternType="solid">
        <fgColor rgb="FF0000A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00000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</borders>
  <cellStyleXfs count="98">
    <xf numFmtId="0" fontId="0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4" fontId="24" fillId="0" borderId="0"/>
    <xf numFmtId="0" fontId="27" fillId="0" borderId="0"/>
    <xf numFmtId="164" fontId="23" fillId="0" borderId="0"/>
    <xf numFmtId="164" fontId="23" fillId="0" borderId="0"/>
    <xf numFmtId="44" fontId="23" fillId="0" borderId="0" applyFont="0" applyFill="0" applyBorder="0" applyAlignment="0" applyProtection="0"/>
    <xf numFmtId="0" fontId="34" fillId="0" borderId="0"/>
    <xf numFmtId="0" fontId="36" fillId="0" borderId="0" applyNumberFormat="0" applyFill="0" applyBorder="0" applyAlignment="0" applyProtection="0">
      <alignment vertical="top"/>
      <protection locked="0"/>
    </xf>
    <xf numFmtId="164" fontId="38" fillId="0" borderId="0"/>
    <xf numFmtId="164" fontId="36" fillId="0" borderId="0" applyNumberFormat="0" applyFill="0" applyBorder="0" applyAlignment="0" applyProtection="0">
      <alignment vertical="top"/>
      <protection locked="0"/>
    </xf>
    <xf numFmtId="164" fontId="23" fillId="0" borderId="0"/>
    <xf numFmtId="0" fontId="23" fillId="0" borderId="0"/>
    <xf numFmtId="0" fontId="38" fillId="0" borderId="0"/>
    <xf numFmtId="44" fontId="38" fillId="0" borderId="0" applyFont="0" applyFill="0" applyBorder="0" applyAlignment="0" applyProtection="0"/>
    <xf numFmtId="164" fontId="34" fillId="0" borderId="0"/>
    <xf numFmtId="7" fontId="42" fillId="0" borderId="0"/>
    <xf numFmtId="164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4" fontId="34" fillId="0" borderId="0"/>
    <xf numFmtId="7" fontId="42" fillId="0" borderId="0"/>
    <xf numFmtId="164" fontId="34" fillId="0" borderId="0"/>
    <xf numFmtId="164" fontId="22" fillId="0" borderId="0"/>
    <xf numFmtId="164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6" fillId="0" borderId="0" applyFont="0" applyFill="0" applyBorder="0" applyAlignment="0" applyProtection="0"/>
    <xf numFmtId="164" fontId="21" fillId="0" borderId="0"/>
    <xf numFmtId="164" fontId="21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4" fontId="20" fillId="0" borderId="0"/>
    <xf numFmtId="164" fontId="20" fillId="0" borderId="0"/>
    <xf numFmtId="9" fontId="20" fillId="0" borderId="0" applyFont="0" applyFill="0" applyBorder="0" applyAlignment="0" applyProtection="0"/>
    <xf numFmtId="164" fontId="18" fillId="0" borderId="0"/>
    <xf numFmtId="0" fontId="34" fillId="0" borderId="0"/>
    <xf numFmtId="44" fontId="18" fillId="0" borderId="0" applyFont="0" applyFill="0" applyBorder="0" applyAlignment="0" applyProtection="0"/>
    <xf numFmtId="3" fontId="42" fillId="0" borderId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4" fillId="0" borderId="0"/>
    <xf numFmtId="0" fontId="36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18" fillId="0" borderId="0"/>
    <xf numFmtId="0" fontId="34" fillId="0" borderId="0"/>
    <xf numFmtId="0" fontId="18" fillId="0" borderId="0"/>
    <xf numFmtId="43" fontId="34" fillId="0" borderId="0" applyFont="0" applyFill="0" applyBorder="0" applyAlignment="0" applyProtection="0"/>
    <xf numFmtId="0" fontId="74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8" fillId="0" borderId="0"/>
    <xf numFmtId="164" fontId="17" fillId="0" borderId="0"/>
    <xf numFmtId="0" fontId="72" fillId="0" borderId="0" applyNumberFormat="0" applyFill="0" applyBorder="0" applyAlignment="0" applyProtection="0"/>
    <xf numFmtId="0" fontId="17" fillId="0" borderId="0"/>
    <xf numFmtId="0" fontId="34" fillId="0" borderId="0"/>
    <xf numFmtId="164" fontId="38" fillId="0" borderId="0"/>
    <xf numFmtId="44" fontId="34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16" fillId="0" borderId="0"/>
    <xf numFmtId="3" fontId="42" fillId="0" borderId="0"/>
    <xf numFmtId="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34" fillId="0" borderId="0"/>
    <xf numFmtId="43" fontId="16" fillId="0" borderId="0" applyFont="0" applyFill="0" applyBorder="0" applyAlignment="0" applyProtection="0"/>
    <xf numFmtId="0" fontId="16" fillId="0" borderId="0"/>
    <xf numFmtId="0" fontId="27" fillId="0" borderId="0"/>
    <xf numFmtId="43" fontId="87" fillId="0" borderId="0" applyFont="0" applyFill="0" applyBorder="0" applyAlignment="0" applyProtection="0">
      <alignment vertical="top"/>
    </xf>
    <xf numFmtId="164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9" fillId="0" borderId="0"/>
    <xf numFmtId="164" fontId="8" fillId="0" borderId="0"/>
    <xf numFmtId="9" fontId="34" fillId="0" borderId="0" applyFont="0" applyFill="0" applyBorder="0" applyAlignment="0" applyProtection="0"/>
    <xf numFmtId="164" fontId="8" fillId="0" borderId="0"/>
    <xf numFmtId="164" fontId="7" fillId="0" borderId="0"/>
  </cellStyleXfs>
  <cellXfs count="1336">
    <xf numFmtId="0" fontId="0" fillId="0" borderId="0" xfId="0"/>
    <xf numFmtId="165" fontId="30" fillId="2" borderId="1" xfId="5" applyNumberFormat="1" applyFont="1" applyFill="1" applyBorder="1" applyAlignment="1">
      <alignment horizontal="center" vertical="center"/>
    </xf>
    <xf numFmtId="1" fontId="31" fillId="0" borderId="0" xfId="4" applyNumberFormat="1" applyFont="1" applyAlignment="1">
      <alignment horizontal="left"/>
    </xf>
    <xf numFmtId="164" fontId="28" fillId="0" borderId="0" xfId="6" applyFont="1" applyAlignment="1">
      <alignment vertical="center"/>
    </xf>
    <xf numFmtId="164" fontId="30" fillId="2" borderId="0" xfId="6" applyFont="1" applyFill="1" applyBorder="1" applyAlignment="1">
      <alignment horizontal="center" vertical="center"/>
    </xf>
    <xf numFmtId="164" fontId="30" fillId="2" borderId="4" xfId="6" applyFont="1" applyFill="1" applyBorder="1" applyAlignment="1">
      <alignment horizontal="center" vertical="center"/>
    </xf>
    <xf numFmtId="0" fontId="35" fillId="0" borderId="0" xfId="8" applyFont="1" applyFill="1" applyBorder="1"/>
    <xf numFmtId="0" fontId="37" fillId="0" borderId="0" xfId="9" applyFont="1" applyFill="1" applyBorder="1" applyAlignment="1" applyProtection="1"/>
    <xf numFmtId="164" fontId="31" fillId="0" borderId="0" xfId="10" applyFont="1" applyAlignment="1">
      <alignment horizontal="left"/>
    </xf>
    <xf numFmtId="164" fontId="31" fillId="0" borderId="0" xfId="11" applyFont="1" applyFill="1" applyBorder="1" applyAlignment="1" applyProtection="1">
      <alignment horizontal="left" vertical="center"/>
    </xf>
    <xf numFmtId="1" fontId="28" fillId="0" borderId="0" xfId="12" applyNumberFormat="1" applyFont="1" applyFill="1"/>
    <xf numFmtId="164" fontId="30" fillId="0" borderId="0" xfId="12" applyFont="1" applyFill="1" applyBorder="1" applyAlignment="1">
      <alignment horizontal="center"/>
    </xf>
    <xf numFmtId="1" fontId="29" fillId="0" borderId="0" xfId="12" applyNumberFormat="1" applyFont="1" applyFill="1" applyBorder="1" applyAlignment="1"/>
    <xf numFmtId="1" fontId="28" fillId="0" borderId="0" xfId="12" applyNumberFormat="1" applyFont="1" applyFill="1" applyBorder="1"/>
    <xf numFmtId="164" fontId="28" fillId="0" borderId="0" xfId="12" applyFont="1" applyAlignment="1">
      <alignment horizontal="center" wrapText="1"/>
    </xf>
    <xf numFmtId="165" fontId="30" fillId="2" borderId="0" xfId="5" applyNumberFormat="1" applyFont="1" applyFill="1" applyBorder="1" applyAlignment="1">
      <alignment horizontal="center" vertical="center"/>
    </xf>
    <xf numFmtId="0" fontId="28" fillId="0" borderId="0" xfId="13" applyFont="1"/>
    <xf numFmtId="164" fontId="28" fillId="0" borderId="0" xfId="12" applyFont="1" applyBorder="1" applyAlignment="1">
      <alignment horizontal="center"/>
    </xf>
    <xf numFmtId="164" fontId="28" fillId="0" borderId="0" xfId="12" applyFont="1" applyAlignment="1">
      <alignment horizontal="center"/>
    </xf>
    <xf numFmtId="0" fontId="39" fillId="0" borderId="0" xfId="13" applyFont="1" applyBorder="1" applyAlignment="1"/>
    <xf numFmtId="0" fontId="39" fillId="3" borderId="9" xfId="13" applyFont="1" applyFill="1" applyBorder="1" applyAlignment="1"/>
    <xf numFmtId="167" fontId="28" fillId="3" borderId="0" xfId="1" applyNumberFormat="1" applyFont="1" applyFill="1"/>
    <xf numFmtId="0" fontId="28" fillId="0" borderId="0" xfId="14" applyFont="1" applyFill="1" applyAlignment="1">
      <alignment horizontal="left"/>
    </xf>
    <xf numFmtId="167" fontId="28" fillId="3" borderId="0" xfId="1" applyNumberFormat="1" applyFont="1" applyFill="1" applyAlignment="1">
      <alignment horizontal="right"/>
    </xf>
    <xf numFmtId="164" fontId="40" fillId="0" borderId="2" xfId="12" applyFont="1" applyBorder="1" applyAlignment="1">
      <alignment horizontal="left"/>
    </xf>
    <xf numFmtId="164" fontId="35" fillId="0" borderId="2" xfId="12" applyFont="1" applyBorder="1" applyAlignment="1">
      <alignment horizontal="left"/>
    </xf>
    <xf numFmtId="167" fontId="40" fillId="0" borderId="2" xfId="1" applyNumberFormat="1" applyFont="1" applyBorder="1" applyAlignment="1">
      <alignment horizontal="right"/>
    </xf>
    <xf numFmtId="167" fontId="35" fillId="0" borderId="2" xfId="1" applyNumberFormat="1" applyFont="1" applyBorder="1" applyAlignment="1">
      <alignment horizontal="right"/>
    </xf>
    <xf numFmtId="164" fontId="33" fillId="0" borderId="0" xfId="12" applyFont="1" applyAlignment="1">
      <alignment horizontal="center"/>
    </xf>
    <xf numFmtId="164" fontId="35" fillId="0" borderId="0" xfId="12" applyFont="1" applyBorder="1" applyAlignment="1">
      <alignment horizontal="left"/>
    </xf>
    <xf numFmtId="164" fontId="28" fillId="0" borderId="0" xfId="12" applyFont="1" applyBorder="1" applyAlignment="1">
      <alignment horizontal="left"/>
    </xf>
    <xf numFmtId="167" fontId="28" fillId="0" borderId="0" xfId="1" applyNumberFormat="1" applyFont="1" applyBorder="1" applyAlignment="1">
      <alignment horizontal="right"/>
    </xf>
    <xf numFmtId="167" fontId="28" fillId="0" borderId="0" xfId="1" applyNumberFormat="1" applyFont="1" applyAlignment="1">
      <alignment horizontal="right"/>
    </xf>
    <xf numFmtId="164" fontId="28" fillId="0" borderId="0" xfId="12" applyFont="1" applyAlignment="1">
      <alignment horizontal="left"/>
    </xf>
    <xf numFmtId="164" fontId="28" fillId="0" borderId="0" xfId="12" applyFont="1" applyFill="1" applyBorder="1"/>
    <xf numFmtId="167" fontId="35" fillId="0" borderId="0" xfId="1" applyNumberFormat="1" applyFont="1" applyFill="1" applyAlignment="1">
      <alignment horizontal="right"/>
    </xf>
    <xf numFmtId="164" fontId="28" fillId="0" borderId="0" xfId="12" applyFont="1" applyBorder="1"/>
    <xf numFmtId="164" fontId="29" fillId="0" borderId="3" xfId="12" applyFont="1" applyBorder="1" applyAlignment="1">
      <alignment horizontal="left"/>
    </xf>
    <xf numFmtId="167" fontId="28" fillId="0" borderId="3" xfId="1" applyNumberFormat="1" applyFont="1" applyBorder="1" applyAlignment="1">
      <alignment horizontal="right"/>
    </xf>
    <xf numFmtId="164" fontId="29" fillId="0" borderId="0" xfId="12" applyFont="1" applyBorder="1" applyAlignment="1">
      <alignment horizontal="left"/>
    </xf>
    <xf numFmtId="167" fontId="28" fillId="0" borderId="0" xfId="12" applyNumberFormat="1" applyFont="1" applyBorder="1" applyAlignment="1">
      <alignment horizontal="left"/>
    </xf>
    <xf numFmtId="164" fontId="37" fillId="0" borderId="0" xfId="11" applyFont="1" applyAlignment="1" applyProtection="1"/>
    <xf numFmtId="164" fontId="40" fillId="0" borderId="0" xfId="10" applyFont="1" applyFill="1" applyAlignment="1">
      <alignment horizontal="left"/>
    </xf>
    <xf numFmtId="164" fontId="40" fillId="0" borderId="0" xfId="10" applyFont="1" applyFill="1" applyAlignment="1">
      <alignment horizontal="center"/>
    </xf>
    <xf numFmtId="164" fontId="41" fillId="0" borderId="0" xfId="11" applyFont="1" applyAlignment="1" applyProtection="1">
      <alignment horizontal="center"/>
    </xf>
    <xf numFmtId="164" fontId="35" fillId="0" borderId="0" xfId="10" applyFont="1" applyFill="1" applyAlignment="1">
      <alignment horizontal="left"/>
    </xf>
    <xf numFmtId="164" fontId="35" fillId="0" borderId="0" xfId="10" applyFont="1" applyFill="1" applyAlignment="1">
      <alignment horizontal="center"/>
    </xf>
    <xf numFmtId="167" fontId="35" fillId="0" borderId="0" xfId="1" applyNumberFormat="1" applyFont="1" applyFill="1" applyAlignment="1">
      <alignment horizontal="center"/>
    </xf>
    <xf numFmtId="164" fontId="28" fillId="0" borderId="0" xfId="12" applyFont="1" applyFill="1" applyBorder="1" applyAlignment="1">
      <alignment horizontal="center"/>
    </xf>
    <xf numFmtId="164" fontId="28" fillId="0" borderId="0" xfId="12" applyFont="1" applyFill="1" applyAlignment="1">
      <alignment horizontal="center"/>
    </xf>
    <xf numFmtId="167" fontId="28" fillId="0" borderId="0" xfId="7" applyNumberFormat="1" applyFont="1" applyAlignment="1">
      <alignment horizontal="center"/>
    </xf>
    <xf numFmtId="0" fontId="28" fillId="0" borderId="0" xfId="14" applyFont="1" applyFill="1"/>
    <xf numFmtId="167" fontId="28" fillId="3" borderId="0" xfId="1" applyNumberFormat="1" applyFont="1" applyFill="1" applyAlignment="1"/>
    <xf numFmtId="167" fontId="35" fillId="0" borderId="2" xfId="1" applyNumberFormat="1" applyFont="1" applyBorder="1" applyAlignment="1"/>
    <xf numFmtId="164" fontId="40" fillId="0" borderId="0" xfId="12" applyFont="1" applyBorder="1" applyAlignment="1">
      <alignment horizontal="left"/>
    </xf>
    <xf numFmtId="167" fontId="28" fillId="0" borderId="0" xfId="1" applyNumberFormat="1" applyFont="1" applyAlignment="1"/>
    <xf numFmtId="167" fontId="29" fillId="0" borderId="3" xfId="1" applyNumberFormat="1" applyFont="1" applyBorder="1" applyAlignment="1"/>
    <xf numFmtId="167" fontId="35" fillId="0" borderId="0" xfId="15" applyNumberFormat="1" applyFont="1" applyFill="1" applyAlignment="1">
      <alignment horizontal="center"/>
    </xf>
    <xf numFmtId="164" fontId="30" fillId="2" borderId="10" xfId="16" applyFont="1" applyFill="1" applyBorder="1" applyAlignment="1">
      <alignment horizontal="left" vertical="center" wrapText="1"/>
    </xf>
    <xf numFmtId="164" fontId="30" fillId="2" borderId="10" xfId="10" applyFont="1" applyFill="1" applyBorder="1" applyAlignment="1">
      <alignment vertical="center" wrapText="1"/>
    </xf>
    <xf numFmtId="10" fontId="28" fillId="4" borderId="10" xfId="19" applyNumberFormat="1" applyFont="1" applyFill="1" applyBorder="1" applyAlignment="1">
      <alignment horizontal="center" vertical="center"/>
    </xf>
    <xf numFmtId="10" fontId="28" fillId="4" borderId="0" xfId="19" applyNumberFormat="1" applyFont="1" applyFill="1" applyBorder="1" applyAlignment="1">
      <alignment horizontal="center" vertical="center"/>
    </xf>
    <xf numFmtId="10" fontId="28" fillId="4" borderId="9" xfId="19" applyNumberFormat="1" applyFont="1" applyFill="1" applyBorder="1" applyAlignment="1">
      <alignment horizontal="center" vertical="center"/>
    </xf>
    <xf numFmtId="164" fontId="30" fillId="2" borderId="1" xfId="10" applyFont="1" applyFill="1" applyBorder="1" applyAlignment="1">
      <alignment vertical="center" wrapText="1"/>
    </xf>
    <xf numFmtId="169" fontId="28" fillId="4" borderId="1" xfId="20" applyNumberFormat="1" applyFont="1" applyFill="1" applyBorder="1" applyAlignment="1">
      <alignment horizontal="center" vertical="center"/>
    </xf>
    <xf numFmtId="169" fontId="28" fillId="4" borderId="4" xfId="20" applyNumberFormat="1" applyFont="1" applyFill="1" applyBorder="1" applyAlignment="1">
      <alignment horizontal="center" vertical="center"/>
    </xf>
    <xf numFmtId="169" fontId="28" fillId="4" borderId="8" xfId="20" applyNumberFormat="1" applyFont="1" applyFill="1" applyBorder="1" applyAlignment="1">
      <alignment horizontal="center" vertical="center"/>
    </xf>
    <xf numFmtId="165" fontId="30" fillId="2" borderId="0" xfId="18" applyNumberFormat="1" applyFont="1" applyFill="1" applyBorder="1" applyAlignment="1">
      <alignment horizontal="center" vertical="center"/>
    </xf>
    <xf numFmtId="165" fontId="30" fillId="2" borderId="4" xfId="18" applyNumberFormat="1" applyFont="1" applyFill="1" applyBorder="1" applyAlignment="1">
      <alignment horizontal="center" vertical="center"/>
    </xf>
    <xf numFmtId="49" fontId="28" fillId="0" borderId="0" xfId="6" applyNumberFormat="1" applyFont="1" applyBorder="1" applyAlignment="1">
      <alignment horizontal="left" vertical="center"/>
    </xf>
    <xf numFmtId="165" fontId="44" fillId="2" borderId="1" xfId="5" applyNumberFormat="1" applyFont="1" applyFill="1" applyBorder="1" applyAlignment="1">
      <alignment horizontal="center" vertical="center"/>
    </xf>
    <xf numFmtId="0" fontId="51" fillId="0" borderId="0" xfId="0" applyFont="1"/>
    <xf numFmtId="1" fontId="47" fillId="0" borderId="0" xfId="4" applyNumberFormat="1" applyFont="1" applyAlignment="1">
      <alignment horizontal="left"/>
    </xf>
    <xf numFmtId="1" fontId="21" fillId="0" borderId="0" xfId="24" applyNumberFormat="1" applyFont="1"/>
    <xf numFmtId="1" fontId="21" fillId="0" borderId="0" xfId="24" applyNumberFormat="1" applyFont="1" applyBorder="1"/>
    <xf numFmtId="1" fontId="52" fillId="0" borderId="0" xfId="24" applyNumberFormat="1" applyFont="1" applyBorder="1"/>
    <xf numFmtId="1" fontId="46" fillId="0" borderId="0" xfId="24" applyNumberFormat="1" applyFont="1" applyBorder="1" applyAlignment="1">
      <alignment horizontal="right"/>
    </xf>
    <xf numFmtId="1" fontId="46" fillId="0" borderId="0" xfId="24" applyNumberFormat="1" applyFont="1" applyBorder="1" applyAlignment="1"/>
    <xf numFmtId="164" fontId="21" fillId="0" borderId="0" xfId="24" applyFont="1"/>
    <xf numFmtId="164" fontId="53" fillId="0" borderId="0" xfId="24" applyFont="1" applyAlignment="1">
      <alignment horizontal="center"/>
    </xf>
    <xf numFmtId="164" fontId="21" fillId="0" borderId="0" xfId="24" applyFont="1" applyFill="1"/>
    <xf numFmtId="164" fontId="46" fillId="0" borderId="0" xfId="24" applyFont="1" applyFill="1" applyAlignment="1">
      <alignment horizontal="center"/>
    </xf>
    <xf numFmtId="164" fontId="21" fillId="2" borderId="0" xfId="24" applyFont="1" applyFill="1"/>
    <xf numFmtId="164" fontId="21" fillId="2" borderId="0" xfId="24" applyFont="1" applyFill="1" applyBorder="1"/>
    <xf numFmtId="165" fontId="44" fillId="2" borderId="0" xfId="25" applyNumberFormat="1" applyFont="1" applyFill="1" applyBorder="1" applyAlignment="1">
      <alignment horizontal="center" vertical="center"/>
    </xf>
    <xf numFmtId="164" fontId="21" fillId="0" borderId="0" xfId="24" applyFont="1" applyFill="1" applyAlignment="1">
      <alignment horizontal="center"/>
    </xf>
    <xf numFmtId="164" fontId="44" fillId="2" borderId="0" xfId="24" applyFont="1" applyFill="1"/>
    <xf numFmtId="164" fontId="44" fillId="2" borderId="0" xfId="24" applyFont="1" applyFill="1" applyBorder="1"/>
    <xf numFmtId="1" fontId="44" fillId="2" borderId="0" xfId="24" applyNumberFormat="1" applyFont="1" applyFill="1" applyBorder="1" applyAlignment="1">
      <alignment horizontal="center"/>
    </xf>
    <xf numFmtId="164" fontId="44" fillId="2" borderId="0" xfId="24" applyFont="1" applyFill="1" applyBorder="1" applyAlignment="1">
      <alignment horizontal="center"/>
    </xf>
    <xf numFmtId="165" fontId="44" fillId="2" borderId="1" xfId="25" applyNumberFormat="1" applyFont="1" applyFill="1" applyBorder="1" applyAlignment="1">
      <alignment horizontal="center" vertical="center"/>
    </xf>
    <xf numFmtId="4" fontId="48" fillId="0" borderId="0" xfId="0" applyNumberFormat="1" applyFont="1" applyAlignment="1">
      <alignment horizontal="left"/>
    </xf>
    <xf numFmtId="167" fontId="21" fillId="0" borderId="0" xfId="28" applyNumberFormat="1" applyFont="1"/>
    <xf numFmtId="164" fontId="50" fillId="0" borderId="0" xfId="24" applyFont="1"/>
    <xf numFmtId="164" fontId="50" fillId="0" borderId="0" xfId="24" applyFont="1" applyAlignment="1">
      <alignment horizontal="center"/>
    </xf>
    <xf numFmtId="164" fontId="52" fillId="0" borderId="0" xfId="24" applyFont="1"/>
    <xf numFmtId="0" fontId="46" fillId="0" borderId="0" xfId="0" applyFont="1" applyAlignment="1">
      <alignment horizontal="left" vertical="center"/>
    </xf>
    <xf numFmtId="38" fontId="21" fillId="0" borderId="0" xfId="0" applyNumberFormat="1" applyFont="1" applyAlignment="1">
      <alignment vertical="center"/>
    </xf>
    <xf numFmtId="164" fontId="50" fillId="0" borderId="0" xfId="24" applyFont="1" applyFill="1"/>
    <xf numFmtId="164" fontId="21" fillId="0" borderId="0" xfId="24" applyFont="1" applyAlignment="1">
      <alignment horizontal="center"/>
    </xf>
    <xf numFmtId="1" fontId="21" fillId="0" borderId="0" xfId="26" applyNumberFormat="1" applyFont="1" applyFill="1" applyAlignment="1">
      <alignment horizontal="center"/>
    </xf>
    <xf numFmtId="1" fontId="21" fillId="0" borderId="0" xfId="26" applyNumberFormat="1" applyFont="1" applyAlignment="1">
      <alignment horizontal="center"/>
    </xf>
    <xf numFmtId="164" fontId="46" fillId="0" borderId="0" xfId="24" applyFont="1"/>
    <xf numFmtId="0" fontId="21" fillId="0" borderId="0" xfId="30" applyFont="1"/>
    <xf numFmtId="42" fontId="21" fillId="0" borderId="0" xfId="29" applyNumberFormat="1" applyFont="1"/>
    <xf numFmtId="0" fontId="21" fillId="0" borderId="0" xfId="31" applyFont="1"/>
    <xf numFmtId="1" fontId="21" fillId="0" borderId="0" xfId="26" applyNumberFormat="1" applyFont="1" applyBorder="1" applyAlignment="1">
      <alignment horizontal="center"/>
    </xf>
    <xf numFmtId="164" fontId="21" fillId="0" borderId="0" xfId="24" applyFont="1" applyBorder="1"/>
    <xf numFmtId="42" fontId="21" fillId="0" borderId="0" xfId="34" applyNumberFormat="1" applyFont="1"/>
    <xf numFmtId="1" fontId="21" fillId="0" borderId="0" xfId="26" applyNumberFormat="1" applyFont="1" applyBorder="1" applyAlignment="1">
      <alignment horizontal="left"/>
    </xf>
    <xf numFmtId="167" fontId="21" fillId="0" borderId="0" xfId="28" applyNumberFormat="1" applyFont="1" applyBorder="1"/>
    <xf numFmtId="42" fontId="21" fillId="0" borderId="0" xfId="35" applyNumberFormat="1" applyFont="1" applyBorder="1"/>
    <xf numFmtId="1" fontId="54" fillId="0" borderId="0" xfId="24" applyNumberFormat="1" applyFont="1" applyBorder="1"/>
    <xf numFmtId="1" fontId="48" fillId="0" borderId="0" xfId="4" applyNumberFormat="1" applyFont="1" applyAlignment="1">
      <alignment horizontal="left"/>
    </xf>
    <xf numFmtId="1" fontId="27" fillId="0" borderId="0" xfId="0" applyNumberFormat="1" applyFont="1" applyAlignment="1"/>
    <xf numFmtId="1" fontId="21" fillId="0" borderId="0" xfId="0" applyNumberFormat="1" applyFont="1" applyAlignment="1"/>
    <xf numFmtId="1" fontId="52" fillId="0" borderId="0" xfId="0" applyNumberFormat="1" applyFont="1" applyBorder="1" applyAlignment="1"/>
    <xf numFmtId="1" fontId="21" fillId="0" borderId="0" xfId="0" applyNumberFormat="1" applyFont="1" applyBorder="1" applyAlignment="1"/>
    <xf numFmtId="1" fontId="46" fillId="0" borderId="0" xfId="0" applyNumberFormat="1" applyFont="1" applyBorder="1" applyAlignment="1">
      <alignment horizontal="right"/>
    </xf>
    <xf numFmtId="1" fontId="46" fillId="0" borderId="0" xfId="0" applyNumberFormat="1" applyFont="1" applyBorder="1" applyAlignment="1"/>
    <xf numFmtId="1" fontId="27" fillId="0" borderId="0" xfId="0" applyNumberFormat="1" applyFont="1" applyBorder="1" applyAlignment="1"/>
    <xf numFmtId="165" fontId="44" fillId="2" borderId="7" xfId="5" applyNumberFormat="1" applyFont="1" applyFill="1" applyBorder="1" applyAlignment="1">
      <alignment horizontal="center" vertical="center"/>
    </xf>
    <xf numFmtId="165" fontId="44" fillId="2" borderId="2" xfId="5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5" fontId="44" fillId="2" borderId="4" xfId="5" applyNumberFormat="1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27" fillId="3" borderId="0" xfId="0" applyFont="1" applyFill="1" applyAlignment="1">
      <alignment horizontal="center" vertical="center"/>
    </xf>
    <xf numFmtId="166" fontId="27" fillId="0" borderId="0" xfId="2" applyNumberFormat="1" applyFont="1" applyAlignment="1">
      <alignment horizontal="center" vertical="center"/>
    </xf>
    <xf numFmtId="3" fontId="48" fillId="0" borderId="0" xfId="0" applyNumberFormat="1" applyFont="1" applyAlignment="1">
      <alignment horizontal="right"/>
    </xf>
    <xf numFmtId="0" fontId="21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3" fontId="21" fillId="0" borderId="0" xfId="0" applyNumberFormat="1" applyFont="1" applyAlignment="1">
      <alignment vertical="center"/>
    </xf>
    <xf numFmtId="0" fontId="27" fillId="0" borderId="0" xfId="0" applyFont="1" applyAlignment="1"/>
    <xf numFmtId="0" fontId="21" fillId="0" borderId="0" xfId="0" applyFont="1" applyAlignment="1"/>
    <xf numFmtId="4" fontId="59" fillId="0" borderId="0" xfId="0" applyNumberFormat="1" applyFont="1" applyAlignment="1">
      <alignment horizontal="left"/>
    </xf>
    <xf numFmtId="3" fontId="21" fillId="0" borderId="2" xfId="0" applyNumberFormat="1" applyFont="1" applyBorder="1" applyAlignment="1"/>
    <xf numFmtId="3" fontId="21" fillId="0" borderId="0" xfId="0" applyNumberFormat="1" applyFont="1" applyAlignment="1"/>
    <xf numFmtId="3" fontId="58" fillId="0" borderId="0" xfId="1" applyNumberFormat="1" applyFont="1" applyBorder="1" applyAlignment="1">
      <alignment vertical="center"/>
    </xf>
    <xf numFmtId="4" fontId="60" fillId="0" borderId="0" xfId="0" applyNumberFormat="1" applyFont="1" applyAlignment="1">
      <alignment horizontal="left"/>
    </xf>
    <xf numFmtId="0" fontId="61" fillId="0" borderId="0" xfId="0" applyFont="1" applyAlignment="1"/>
    <xf numFmtId="0" fontId="55" fillId="0" borderId="3" xfId="0" applyFont="1" applyBorder="1" applyAlignment="1">
      <alignment horizontal="left" vertical="center"/>
    </xf>
    <xf numFmtId="167" fontId="46" fillId="0" borderId="3" xfId="1" applyNumberFormat="1" applyFont="1" applyBorder="1" applyAlignment="1">
      <alignment vertical="center"/>
    </xf>
    <xf numFmtId="166" fontId="21" fillId="0" borderId="0" xfId="2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71" fontId="30" fillId="2" borderId="2" xfId="16" applyNumberFormat="1" applyFont="1" applyFill="1" applyBorder="1" applyAlignment="1">
      <alignment horizontal="center" vertical="center" wrapText="1"/>
    </xf>
    <xf numFmtId="165" fontId="35" fillId="4" borderId="7" xfId="18" applyNumberFormat="1" applyFont="1" applyFill="1" applyBorder="1" applyAlignment="1">
      <alignment horizontal="center" vertical="center"/>
    </xf>
    <xf numFmtId="165" fontId="35" fillId="4" borderId="2" xfId="18" applyNumberFormat="1" applyFont="1" applyFill="1" applyBorder="1" applyAlignment="1">
      <alignment horizontal="center" vertical="center"/>
    </xf>
    <xf numFmtId="165" fontId="35" fillId="4" borderId="5" xfId="18" applyNumberFormat="1" applyFont="1" applyFill="1" applyBorder="1" applyAlignment="1">
      <alignment horizontal="center" vertical="center"/>
    </xf>
    <xf numFmtId="1" fontId="52" fillId="0" borderId="0" xfId="37" applyNumberFormat="1" applyFont="1" applyBorder="1"/>
    <xf numFmtId="1" fontId="46" fillId="0" borderId="0" xfId="37" applyNumberFormat="1" applyFont="1" applyBorder="1" applyAlignment="1">
      <alignment horizontal="right"/>
    </xf>
    <xf numFmtId="1" fontId="46" fillId="0" borderId="0" xfId="37" applyNumberFormat="1" applyFont="1" applyBorder="1" applyAlignment="1"/>
    <xf numFmtId="165" fontId="44" fillId="2" borderId="1" xfId="38" applyNumberFormat="1" applyFont="1" applyFill="1" applyBorder="1" applyAlignment="1">
      <alignment horizontal="center" vertical="center"/>
    </xf>
    <xf numFmtId="165" fontId="44" fillId="2" borderId="10" xfId="38" applyNumberFormat="1" applyFont="1" applyFill="1" applyBorder="1" applyAlignment="1">
      <alignment horizontal="center" vertical="center"/>
    </xf>
    <xf numFmtId="164" fontId="52" fillId="0" borderId="0" xfId="37" applyFont="1"/>
    <xf numFmtId="165" fontId="44" fillId="0" borderId="0" xfId="38" applyNumberFormat="1" applyFont="1" applyFill="1" applyBorder="1" applyAlignment="1">
      <alignment horizontal="center" vertical="center"/>
    </xf>
    <xf numFmtId="164" fontId="63" fillId="0" borderId="0" xfId="37" applyFont="1"/>
    <xf numFmtId="164" fontId="48" fillId="0" borderId="0" xfId="37" applyFont="1" applyBorder="1"/>
    <xf numFmtId="164" fontId="64" fillId="0" borderId="0" xfId="37" applyFont="1" applyBorder="1" applyAlignment="1">
      <alignment horizontal="right"/>
    </xf>
    <xf numFmtId="167" fontId="58" fillId="0" borderId="2" xfId="37" applyNumberFormat="1" applyFont="1" applyBorder="1"/>
    <xf numFmtId="164" fontId="48" fillId="0" borderId="0" xfId="37" applyFont="1"/>
    <xf numFmtId="164" fontId="49" fillId="0" borderId="0" xfId="37" applyFont="1"/>
    <xf numFmtId="167" fontId="46" fillId="0" borderId="0" xfId="37" applyNumberFormat="1" applyFont="1"/>
    <xf numFmtId="6" fontId="48" fillId="0" borderId="0" xfId="37" applyNumberFormat="1" applyFont="1"/>
    <xf numFmtId="164" fontId="50" fillId="0" borderId="0" xfId="37" applyFont="1"/>
    <xf numFmtId="167" fontId="52" fillId="0" borderId="11" xfId="37" applyNumberFormat="1" applyFont="1" applyBorder="1"/>
    <xf numFmtId="167" fontId="46" fillId="0" borderId="0" xfId="37" applyNumberFormat="1" applyFont="1" applyBorder="1"/>
    <xf numFmtId="167" fontId="49" fillId="0" borderId="0" xfId="37" applyNumberFormat="1" applyFont="1"/>
    <xf numFmtId="167" fontId="48" fillId="0" borderId="0" xfId="37" applyNumberFormat="1" applyFont="1"/>
    <xf numFmtId="167" fontId="48" fillId="0" borderId="0" xfId="40" applyNumberFormat="1" applyFont="1"/>
    <xf numFmtId="9" fontId="27" fillId="3" borderId="0" xfId="2" applyFont="1" applyFill="1" applyAlignment="1">
      <alignment horizontal="center" vertical="center"/>
    </xf>
    <xf numFmtId="9" fontId="27" fillId="6" borderId="0" xfId="2" applyFont="1" applyFill="1" applyAlignment="1">
      <alignment horizontal="center" vertical="center"/>
    </xf>
    <xf numFmtId="9" fontId="27" fillId="6" borderId="0" xfId="2" applyFont="1" applyFill="1" applyAlignment="1">
      <alignment horizontal="center"/>
    </xf>
    <xf numFmtId="4" fontId="48" fillId="7" borderId="0" xfId="0" applyNumberFormat="1" applyFont="1" applyFill="1" applyAlignment="1">
      <alignment horizontal="left"/>
    </xf>
    <xf numFmtId="0" fontId="46" fillId="7" borderId="0" xfId="0" applyFont="1" applyFill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167" fontId="46" fillId="0" borderId="0" xfId="1" applyNumberFormat="1" applyFont="1" applyBorder="1" applyAlignment="1">
      <alignment vertical="center"/>
    </xf>
    <xf numFmtId="4" fontId="48" fillId="8" borderId="0" xfId="0" applyNumberFormat="1" applyFont="1" applyFill="1" applyAlignment="1">
      <alignment horizontal="left"/>
    </xf>
    <xf numFmtId="0" fontId="21" fillId="8" borderId="0" xfId="0" applyFont="1" applyFill="1" applyAlignment="1">
      <alignment horizontal="left" vertical="center"/>
    </xf>
    <xf numFmtId="0" fontId="46" fillId="8" borderId="0" xfId="0" applyFont="1" applyFill="1" applyAlignment="1">
      <alignment horizontal="left" vertical="center"/>
    </xf>
    <xf numFmtId="0" fontId="21" fillId="8" borderId="0" xfId="0" applyFont="1" applyFill="1" applyAlignment="1"/>
    <xf numFmtId="4" fontId="49" fillId="8" borderId="0" xfId="0" applyNumberFormat="1" applyFont="1" applyFill="1" applyAlignment="1">
      <alignment horizontal="left"/>
    </xf>
    <xf numFmtId="9" fontId="20" fillId="6" borderId="0" xfId="2" applyFont="1" applyFill="1" applyBorder="1" applyAlignment="1">
      <alignment horizontal="center"/>
    </xf>
    <xf numFmtId="9" fontId="67" fillId="6" borderId="0" xfId="2" applyFont="1" applyFill="1" applyAlignment="1">
      <alignment horizontal="center" vertical="center"/>
    </xf>
    <xf numFmtId="9" fontId="27" fillId="6" borderId="3" xfId="2" applyFont="1" applyFill="1" applyBorder="1" applyAlignment="1">
      <alignment horizontal="center" vertical="center"/>
    </xf>
    <xf numFmtId="9" fontId="27" fillId="6" borderId="0" xfId="2" applyFont="1" applyFill="1" applyBorder="1" applyAlignment="1">
      <alignment horizontal="center" vertical="center"/>
    </xf>
    <xf numFmtId="4" fontId="48" fillId="9" borderId="0" xfId="0" applyNumberFormat="1" applyFont="1" applyFill="1" applyAlignment="1">
      <alignment horizontal="left"/>
    </xf>
    <xf numFmtId="0" fontId="21" fillId="9" borderId="0" xfId="0" applyFont="1" applyFill="1" applyAlignment="1">
      <alignment horizontal="left" vertical="center"/>
    </xf>
    <xf numFmtId="0" fontId="46" fillId="9" borderId="0" xfId="0" applyFont="1" applyFill="1" applyAlignment="1">
      <alignment horizontal="left" vertical="center"/>
    </xf>
    <xf numFmtId="0" fontId="21" fillId="9" borderId="0" xfId="0" applyFont="1" applyFill="1" applyAlignment="1"/>
    <xf numFmtId="0" fontId="55" fillId="9" borderId="0" xfId="0" applyFont="1" applyFill="1" applyAlignment="1"/>
    <xf numFmtId="4" fontId="60" fillId="9" borderId="0" xfId="0" applyNumberFormat="1" applyFont="1" applyFill="1" applyAlignment="1">
      <alignment horizontal="left"/>
    </xf>
    <xf numFmtId="9" fontId="60" fillId="3" borderId="0" xfId="2" applyFont="1" applyFill="1" applyAlignment="1">
      <alignment horizontal="center" vertical="center"/>
    </xf>
    <xf numFmtId="0" fontId="27" fillId="0" borderId="0" xfId="0" applyFont="1" applyFill="1" applyAlignment="1">
      <alignment horizontal="left" vertical="center"/>
    </xf>
    <xf numFmtId="4" fontId="48" fillId="0" borderId="0" xfId="0" applyNumberFormat="1" applyFont="1" applyFill="1" applyAlignment="1">
      <alignment horizontal="left"/>
    </xf>
    <xf numFmtId="0" fontId="21" fillId="0" borderId="0" xfId="0" applyFont="1" applyFill="1" applyAlignment="1">
      <alignment horizontal="left" vertical="center"/>
    </xf>
    <xf numFmtId="0" fontId="46" fillId="0" borderId="0" xfId="0" applyFont="1" applyFill="1" applyAlignment="1">
      <alignment horizontal="left" vertical="center"/>
    </xf>
    <xf numFmtId="0" fontId="21" fillId="0" borderId="0" xfId="0" applyFont="1" applyFill="1" applyAlignment="1"/>
    <xf numFmtId="0" fontId="27" fillId="0" borderId="0" xfId="0" applyFont="1" applyAlignment="1">
      <alignment horizontal="center" vertical="center"/>
    </xf>
    <xf numFmtId="167" fontId="20" fillId="0" borderId="3" xfId="1" applyNumberFormat="1" applyFont="1" applyBorder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9" fontId="27" fillId="3" borderId="0" xfId="0" applyNumberFormat="1" applyFont="1" applyFill="1" applyAlignment="1">
      <alignment horizontal="center" vertical="center"/>
    </xf>
    <xf numFmtId="3" fontId="19" fillId="0" borderId="2" xfId="1" applyNumberFormat="1" applyFont="1" applyBorder="1" applyAlignment="1">
      <alignment vertical="center"/>
    </xf>
    <xf numFmtId="167" fontId="49" fillId="0" borderId="2" xfId="24" applyNumberFormat="1" applyFont="1" applyBorder="1"/>
    <xf numFmtId="3" fontId="21" fillId="0" borderId="0" xfId="28" applyNumberFormat="1" applyFont="1"/>
    <xf numFmtId="1" fontId="18" fillId="5" borderId="0" xfId="26" applyNumberFormat="1" applyFont="1" applyFill="1" applyBorder="1" applyAlignment="1">
      <alignment horizontal="left"/>
    </xf>
    <xf numFmtId="165" fontId="30" fillId="2" borderId="10" xfId="5" applyNumberFormat="1" applyFont="1" applyFill="1" applyBorder="1" applyAlignment="1">
      <alignment horizontal="center" vertical="center"/>
    </xf>
    <xf numFmtId="1" fontId="31" fillId="0" borderId="0" xfId="4" applyNumberFormat="1" applyFont="1" applyAlignment="1">
      <alignment horizontal="left" vertical="center"/>
    </xf>
    <xf numFmtId="1" fontId="28" fillId="0" borderId="0" xfId="6" applyNumberFormat="1" applyFont="1" applyAlignment="1">
      <alignment vertical="center"/>
    </xf>
    <xf numFmtId="1" fontId="28" fillId="0" borderId="0" xfId="6" applyNumberFormat="1" applyFont="1" applyBorder="1" applyAlignment="1">
      <alignment vertical="center"/>
    </xf>
    <xf numFmtId="1" fontId="25" fillId="0" borderId="0" xfId="6" applyNumberFormat="1" applyFont="1" applyBorder="1" applyAlignment="1">
      <alignment vertical="center"/>
    </xf>
    <xf numFmtId="1" fontId="29" fillId="0" borderId="0" xfId="6" applyNumberFormat="1" applyFont="1" applyBorder="1" applyAlignment="1">
      <alignment horizontal="right" vertical="center"/>
    </xf>
    <xf numFmtId="1" fontId="29" fillId="0" borderId="0" xfId="6" applyNumberFormat="1" applyFont="1" applyBorder="1" applyAlignment="1">
      <alignment vertical="center"/>
    </xf>
    <xf numFmtId="164" fontId="32" fillId="0" borderId="0" xfId="6" applyFont="1" applyAlignment="1">
      <alignment vertical="center"/>
    </xf>
    <xf numFmtId="164" fontId="28" fillId="0" borderId="0" xfId="6" applyFont="1" applyBorder="1" applyAlignment="1">
      <alignment vertical="center"/>
    </xf>
    <xf numFmtId="167" fontId="29" fillId="0" borderId="9" xfId="7" applyNumberFormat="1" applyFont="1" applyBorder="1" applyAlignment="1">
      <alignment vertical="center"/>
    </xf>
    <xf numFmtId="167" fontId="29" fillId="0" borderId="0" xfId="7" applyNumberFormat="1" applyFont="1" applyBorder="1" applyAlignment="1">
      <alignment vertical="center"/>
    </xf>
    <xf numFmtId="167" fontId="35" fillId="0" borderId="0" xfId="1" applyNumberFormat="1" applyFont="1" applyBorder="1" applyAlignment="1">
      <alignment horizontal="center" vertical="center"/>
    </xf>
    <xf numFmtId="41" fontId="35" fillId="0" borderId="0" xfId="0" applyNumberFormat="1" applyFont="1" applyBorder="1" applyAlignment="1">
      <alignment horizontal="center" vertical="center"/>
    </xf>
    <xf numFmtId="170" fontId="28" fillId="0" borderId="0" xfId="36" applyNumberFormat="1" applyFont="1" applyBorder="1" applyAlignment="1">
      <alignment vertical="center"/>
    </xf>
    <xf numFmtId="167" fontId="28" fillId="0" borderId="0" xfId="1" applyNumberFormat="1" applyFont="1" applyBorder="1" applyAlignment="1">
      <alignment vertical="center"/>
    </xf>
    <xf numFmtId="164" fontId="35" fillId="0" borderId="0" xfId="6" applyFont="1" applyBorder="1" applyAlignment="1">
      <alignment vertical="center"/>
    </xf>
    <xf numFmtId="164" fontId="40" fillId="0" borderId="0" xfId="6" applyFont="1" applyBorder="1" applyAlignment="1">
      <alignment vertical="center"/>
    </xf>
    <xf numFmtId="167" fontId="40" fillId="0" borderId="5" xfId="6" applyNumberFormat="1" applyFont="1" applyBorder="1" applyAlignment="1">
      <alignment vertical="center"/>
    </xf>
    <xf numFmtId="167" fontId="40" fillId="0" borderId="2" xfId="6" applyNumberFormat="1" applyFont="1" applyBorder="1" applyAlignment="1">
      <alignment vertical="center"/>
    </xf>
    <xf numFmtId="164" fontId="29" fillId="0" borderId="0" xfId="6" applyFont="1" applyBorder="1" applyAlignment="1">
      <alignment vertical="center"/>
    </xf>
    <xf numFmtId="167" fontId="29" fillId="0" borderId="0" xfId="6" applyNumberFormat="1" applyFont="1" applyBorder="1" applyAlignment="1">
      <alignment vertical="center"/>
    </xf>
    <xf numFmtId="164" fontId="33" fillId="0" borderId="0" xfId="6" applyFont="1" applyAlignment="1">
      <alignment vertical="center"/>
    </xf>
    <xf numFmtId="167" fontId="33" fillId="0" borderId="0" xfId="6" applyNumberFormat="1" applyFont="1" applyAlignment="1">
      <alignment vertical="center"/>
    </xf>
    <xf numFmtId="168" fontId="29" fillId="0" borderId="0" xfId="6" applyNumberFormat="1" applyFont="1" applyBorder="1" applyAlignment="1">
      <alignment vertical="center"/>
    </xf>
    <xf numFmtId="167" fontId="28" fillId="0" borderId="0" xfId="0" applyNumberFormat="1" applyFont="1" applyBorder="1" applyAlignment="1">
      <alignment horizontal="center" vertical="center"/>
    </xf>
    <xf numFmtId="41" fontId="28" fillId="0" borderId="0" xfId="0" applyNumberFormat="1" applyFont="1" applyBorder="1" applyAlignment="1">
      <alignment horizontal="center" vertical="center"/>
    </xf>
    <xf numFmtId="9" fontId="27" fillId="3" borderId="10" xfId="2" applyFont="1" applyFill="1" applyBorder="1" applyAlignment="1">
      <alignment horizontal="center" vertical="center"/>
    </xf>
    <xf numFmtId="9" fontId="28" fillId="0" borderId="9" xfId="2" applyNumberFormat="1" applyFont="1" applyBorder="1" applyAlignment="1">
      <alignment horizontal="center" vertical="center"/>
    </xf>
    <xf numFmtId="164" fontId="30" fillId="2" borderId="0" xfId="6" applyFont="1" applyFill="1" applyBorder="1" applyAlignment="1">
      <alignment horizontal="center" vertical="center" wrapText="1"/>
    </xf>
    <xf numFmtId="0" fontId="35" fillId="0" borderId="0" xfId="45" applyFont="1" applyFill="1" applyBorder="1" applyAlignment="1">
      <alignment vertical="center"/>
    </xf>
    <xf numFmtId="0" fontId="35" fillId="0" borderId="0" xfId="45" applyFont="1" applyFill="1" applyBorder="1" applyAlignment="1">
      <alignment horizontal="left" vertical="center"/>
    </xf>
    <xf numFmtId="172" fontId="35" fillId="0" borderId="0" xfId="45" applyNumberFormat="1" applyFont="1" applyBorder="1" applyAlignment="1">
      <alignment horizontal="right" vertical="center"/>
    </xf>
    <xf numFmtId="0" fontId="35" fillId="0" borderId="0" xfId="45" applyFont="1" applyBorder="1" applyAlignment="1">
      <alignment horizontal="right" vertical="center"/>
    </xf>
    <xf numFmtId="0" fontId="35" fillId="0" borderId="0" xfId="45" applyFont="1" applyBorder="1" applyAlignment="1">
      <alignment vertical="center"/>
    </xf>
    <xf numFmtId="167" fontId="28" fillId="0" borderId="0" xfId="46" applyNumberFormat="1" applyFont="1" applyAlignment="1">
      <alignment vertical="center"/>
    </xf>
    <xf numFmtId="3" fontId="31" fillId="0" borderId="0" xfId="47" applyFont="1" applyBorder="1" applyAlignment="1">
      <alignment vertical="center"/>
    </xf>
    <xf numFmtId="0" fontId="35" fillId="0" borderId="0" xfId="45" applyFont="1" applyBorder="1" applyAlignment="1">
      <alignment horizontal="left" vertical="center"/>
    </xf>
    <xf numFmtId="167" fontId="30" fillId="0" borderId="0" xfId="48" applyNumberFormat="1" applyFont="1" applyFill="1" applyBorder="1" applyAlignment="1">
      <alignment horizontal="right" vertical="center" wrapText="1"/>
    </xf>
    <xf numFmtId="167" fontId="35" fillId="0" borderId="0" xfId="46" applyNumberFormat="1" applyFont="1" applyFill="1" applyBorder="1" applyAlignment="1">
      <alignment horizontal="right" vertical="center"/>
    </xf>
    <xf numFmtId="167" fontId="29" fillId="0" borderId="0" xfId="15" applyNumberFormat="1" applyFont="1" applyFill="1" applyAlignment="1">
      <alignment horizontal="right" vertical="center"/>
    </xf>
    <xf numFmtId="167" fontId="35" fillId="0" borderId="0" xfId="45" applyNumberFormat="1" applyFont="1" applyBorder="1" applyAlignment="1">
      <alignment horizontal="right" vertical="center"/>
    </xf>
    <xf numFmtId="172" fontId="35" fillId="0" borderId="0" xfId="45" applyNumberFormat="1" applyFont="1" applyFill="1" applyBorder="1" applyAlignment="1">
      <alignment horizontal="right" vertical="center"/>
    </xf>
    <xf numFmtId="0" fontId="35" fillId="0" borderId="0" xfId="45" applyFont="1" applyFill="1" applyBorder="1" applyAlignment="1">
      <alignment horizontal="right" vertical="center"/>
    </xf>
    <xf numFmtId="0" fontId="35" fillId="0" borderId="0" xfId="49" applyFont="1" applyFill="1" applyBorder="1" applyAlignment="1">
      <alignment vertical="center"/>
    </xf>
    <xf numFmtId="172" fontId="68" fillId="0" borderId="0" xfId="45" applyNumberFormat="1" applyFont="1" applyFill="1" applyBorder="1" applyAlignment="1">
      <alignment horizontal="right" vertical="center"/>
    </xf>
    <xf numFmtId="0" fontId="68" fillId="11" borderId="0" xfId="45" applyFont="1" applyFill="1" applyBorder="1" applyAlignment="1">
      <alignment horizontal="right" vertical="center"/>
    </xf>
    <xf numFmtId="166" fontId="35" fillId="3" borderId="0" xfId="19" applyNumberFormat="1" applyFont="1" applyFill="1" applyBorder="1" applyAlignment="1">
      <alignment horizontal="right" vertical="center"/>
    </xf>
    <xf numFmtId="0" fontId="68" fillId="0" borderId="0" xfId="45" applyFont="1" applyFill="1" applyBorder="1" applyAlignment="1">
      <alignment horizontal="right" vertical="center"/>
    </xf>
    <xf numFmtId="0" fontId="35" fillId="3" borderId="0" xfId="45" applyFont="1" applyFill="1" applyBorder="1" applyAlignment="1">
      <alignment horizontal="center" vertical="center"/>
    </xf>
    <xf numFmtId="172" fontId="30" fillId="10" borderId="0" xfId="45" applyNumberFormat="1" applyFont="1" applyFill="1" applyBorder="1" applyAlignment="1">
      <alignment horizontal="center" vertical="center" wrapText="1"/>
    </xf>
    <xf numFmtId="172" fontId="69" fillId="12" borderId="0" xfId="45" applyNumberFormat="1" applyFont="1" applyFill="1" applyBorder="1" applyAlignment="1">
      <alignment horizontal="center" vertical="center" wrapText="1"/>
    </xf>
    <xf numFmtId="172" fontId="30" fillId="12" borderId="0" xfId="45" applyNumberFormat="1" applyFont="1" applyFill="1" applyBorder="1" applyAlignment="1">
      <alignment horizontal="center" vertical="center" wrapText="1"/>
    </xf>
    <xf numFmtId="0" fontId="69" fillId="12" borderId="0" xfId="45" applyFont="1" applyFill="1" applyBorder="1" applyAlignment="1">
      <alignment horizontal="center" vertical="center" wrapText="1"/>
    </xf>
    <xf numFmtId="15" fontId="30" fillId="12" borderId="4" xfId="48" applyNumberFormat="1" applyFont="1" applyFill="1" applyBorder="1" applyAlignment="1">
      <alignment horizontal="center" vertical="center" wrapText="1"/>
    </xf>
    <xf numFmtId="0" fontId="35" fillId="0" borderId="0" xfId="45" applyFont="1" applyBorder="1" applyAlignment="1">
      <alignment vertical="center" wrapText="1"/>
    </xf>
    <xf numFmtId="9" fontId="35" fillId="3" borderId="0" xfId="50" applyFont="1" applyFill="1" applyBorder="1" applyAlignment="1">
      <alignment horizontal="center" vertical="center"/>
    </xf>
    <xf numFmtId="9" fontId="35" fillId="13" borderId="0" xfId="50" applyFont="1" applyFill="1" applyBorder="1" applyAlignment="1">
      <alignment horizontal="center" vertical="center"/>
    </xf>
    <xf numFmtId="1" fontId="35" fillId="0" borderId="0" xfId="45" applyNumberFormat="1" applyFont="1" applyFill="1" applyBorder="1" applyAlignment="1">
      <alignment horizontal="center" vertical="center"/>
    </xf>
    <xf numFmtId="0" fontId="35" fillId="0" borderId="0" xfId="45" applyNumberFormat="1" applyFont="1" applyFill="1" applyBorder="1" applyAlignment="1">
      <alignment horizontal="right" vertical="center"/>
    </xf>
    <xf numFmtId="170" fontId="35" fillId="0" borderId="0" xfId="51" applyNumberFormat="1" applyFont="1" applyFill="1" applyBorder="1" applyAlignment="1">
      <alignment vertical="center"/>
    </xf>
    <xf numFmtId="43" fontId="35" fillId="0" borderId="0" xfId="52" applyFont="1" applyFill="1" applyBorder="1" applyAlignment="1">
      <alignment horizontal="right" vertical="center"/>
    </xf>
    <xf numFmtId="167" fontId="35" fillId="0" borderId="0" xfId="15" applyNumberFormat="1" applyFont="1" applyFill="1" applyBorder="1" applyAlignment="1">
      <alignment horizontal="left" vertical="center"/>
    </xf>
    <xf numFmtId="9" fontId="35" fillId="0" borderId="0" xfId="50" applyFont="1" applyFill="1" applyBorder="1" applyAlignment="1">
      <alignment horizontal="center" vertical="center"/>
    </xf>
    <xf numFmtId="9" fontId="35" fillId="0" borderId="0" xfId="50" applyFont="1" applyFill="1" applyBorder="1" applyAlignment="1">
      <alignment horizontal="left" vertical="center"/>
    </xf>
    <xf numFmtId="167" fontId="35" fillId="0" borderId="4" xfId="45" applyNumberFormat="1" applyFont="1" applyFill="1" applyBorder="1" applyAlignment="1">
      <alignment horizontal="right" vertical="center"/>
    </xf>
    <xf numFmtId="167" fontId="35" fillId="0" borderId="0" xfId="45" applyNumberFormat="1" applyFont="1" applyFill="1" applyBorder="1" applyAlignment="1">
      <alignment horizontal="right" vertical="center"/>
    </xf>
    <xf numFmtId="167" fontId="40" fillId="0" borderId="3" xfId="46" applyNumberFormat="1" applyFont="1" applyFill="1" applyBorder="1" applyAlignment="1">
      <alignment horizontal="right" vertical="center"/>
    </xf>
    <xf numFmtId="170" fontId="35" fillId="0" borderId="0" xfId="51" applyNumberFormat="1" applyFont="1" applyBorder="1" applyAlignment="1">
      <alignment horizontal="right" vertical="center"/>
    </xf>
    <xf numFmtId="172" fontId="70" fillId="0" borderId="0" xfId="45" applyNumberFormat="1" applyFont="1" applyBorder="1" applyAlignment="1">
      <alignment horizontal="left" vertical="center"/>
    </xf>
    <xf numFmtId="172" fontId="35" fillId="0" borderId="0" xfId="45" applyNumberFormat="1" applyFont="1" applyBorder="1" applyAlignment="1">
      <alignment horizontal="center" vertical="center"/>
    </xf>
    <xf numFmtId="0" fontId="35" fillId="0" borderId="0" xfId="45" applyNumberFormat="1" applyFont="1" applyFill="1" applyBorder="1" applyAlignment="1">
      <alignment horizontal="left" vertical="center"/>
    </xf>
    <xf numFmtId="0" fontId="40" fillId="0" borderId="0" xfId="45" applyNumberFormat="1" applyFont="1" applyFill="1" applyBorder="1" applyAlignment="1">
      <alignment horizontal="left" vertical="center"/>
    </xf>
    <xf numFmtId="167" fontId="40" fillId="0" borderId="2" xfId="45" applyNumberFormat="1" applyFont="1" applyBorder="1" applyAlignment="1">
      <alignment horizontal="right" vertical="center"/>
    </xf>
    <xf numFmtId="172" fontId="40" fillId="0" borderId="0" xfId="45" applyNumberFormat="1" applyFont="1" applyBorder="1" applyAlignment="1">
      <alignment horizontal="center" vertical="center"/>
    </xf>
    <xf numFmtId="44" fontId="35" fillId="0" borderId="0" xfId="45" applyNumberFormat="1" applyFont="1" applyBorder="1" applyAlignment="1">
      <alignment horizontal="right" vertical="center"/>
    </xf>
    <xf numFmtId="0" fontId="35" fillId="0" borderId="0" xfId="49" applyFont="1" applyFill="1" applyBorder="1" applyAlignment="1"/>
    <xf numFmtId="0" fontId="71" fillId="0" borderId="0" xfId="54" applyFont="1" applyFill="1" applyAlignment="1" applyProtection="1">
      <alignment horizontal="center"/>
    </xf>
    <xf numFmtId="49" fontId="71" fillId="0" borderId="0" xfId="54" applyNumberFormat="1" applyFont="1" applyFill="1" applyAlignment="1" applyProtection="1">
      <alignment horizontal="center"/>
    </xf>
    <xf numFmtId="49" fontId="35" fillId="0" borderId="0" xfId="49" applyNumberFormat="1" applyFont="1" applyFill="1" applyAlignment="1">
      <alignment horizontal="center"/>
    </xf>
    <xf numFmtId="170" fontId="35" fillId="0" borderId="0" xfId="55" applyNumberFormat="1" applyFont="1" applyFill="1" applyAlignment="1"/>
    <xf numFmtId="170" fontId="35" fillId="0" borderId="0" xfId="55" applyNumberFormat="1" applyFont="1" applyFill="1" applyAlignment="1">
      <alignment horizontal="center"/>
    </xf>
    <xf numFmtId="170" fontId="40" fillId="0" borderId="0" xfId="55" applyNumberFormat="1" applyFont="1" applyFill="1" applyBorder="1" applyAlignment="1">
      <alignment horizontal="center"/>
    </xf>
    <xf numFmtId="0" fontId="28" fillId="0" borderId="0" xfId="57" applyFont="1"/>
    <xf numFmtId="0" fontId="31" fillId="0" borderId="0" xfId="57" applyFont="1" applyAlignment="1"/>
    <xf numFmtId="49" fontId="73" fillId="0" borderId="0" xfId="49" applyNumberFormat="1" applyFont="1" applyFill="1" applyBorder="1" applyAlignment="1">
      <alignment horizontal="center"/>
    </xf>
    <xf numFmtId="0" fontId="35" fillId="0" borderId="0" xfId="58" applyFont="1" applyFill="1"/>
    <xf numFmtId="0" fontId="35" fillId="0" borderId="0" xfId="58" applyFont="1" applyFill="1" applyBorder="1"/>
    <xf numFmtId="0" fontId="30" fillId="0" borderId="0" xfId="57" applyFont="1" applyFill="1" applyBorder="1" applyAlignment="1">
      <alignment horizontal="center" wrapText="1"/>
    </xf>
    <xf numFmtId="0" fontId="30" fillId="0" borderId="0" xfId="57" applyFont="1" applyFill="1" applyBorder="1" applyAlignment="1">
      <alignment horizontal="center"/>
    </xf>
    <xf numFmtId="0" fontId="28" fillId="0" borderId="0" xfId="59" applyFont="1" applyFill="1"/>
    <xf numFmtId="0" fontId="28" fillId="0" borderId="0" xfId="59" applyFont="1" applyFill="1" applyBorder="1"/>
    <xf numFmtId="0" fontId="35" fillId="0" borderId="0" xfId="58" applyFont="1"/>
    <xf numFmtId="170" fontId="35" fillId="0" borderId="0" xfId="60" applyNumberFormat="1" applyFont="1"/>
    <xf numFmtId="0" fontId="28" fillId="0" borderId="0" xfId="59" applyFont="1"/>
    <xf numFmtId="0" fontId="75" fillId="0" borderId="0" xfId="58" applyFont="1"/>
    <xf numFmtId="0" fontId="35" fillId="0" borderId="0" xfId="58" applyFont="1" applyBorder="1"/>
    <xf numFmtId="0" fontId="40" fillId="0" borderId="0" xfId="58" applyFont="1" applyAlignment="1">
      <alignment horizontal="right"/>
    </xf>
    <xf numFmtId="0" fontId="30" fillId="12" borderId="20" xfId="57" applyFont="1" applyFill="1" applyBorder="1" applyAlignment="1">
      <alignment horizontal="right" wrapText="1"/>
    </xf>
    <xf numFmtId="166" fontId="30" fillId="12" borderId="21" xfId="19" applyNumberFormat="1" applyFont="1" applyFill="1" applyBorder="1" applyAlignment="1">
      <alignment horizontal="right" wrapText="1"/>
    </xf>
    <xf numFmtId="0" fontId="30" fillId="12" borderId="4" xfId="57" applyFont="1" applyFill="1" applyBorder="1" applyAlignment="1">
      <alignment horizontal="right" wrapText="1"/>
    </xf>
    <xf numFmtId="166" fontId="30" fillId="12" borderId="22" xfId="19" applyNumberFormat="1" applyFont="1" applyFill="1" applyBorder="1" applyAlignment="1">
      <alignment horizontal="right" wrapText="1"/>
    </xf>
    <xf numFmtId="166" fontId="30" fillId="12" borderId="8" xfId="19" applyNumberFormat="1" applyFont="1" applyFill="1" applyBorder="1" applyAlignment="1">
      <alignment horizontal="right" wrapText="1"/>
    </xf>
    <xf numFmtId="0" fontId="28" fillId="3" borderId="7" xfId="57" applyFont="1" applyFill="1" applyBorder="1" applyAlignment="1">
      <alignment horizontal="right"/>
    </xf>
    <xf numFmtId="0" fontId="28" fillId="3" borderId="5" xfId="57" applyFont="1" applyFill="1" applyBorder="1" applyAlignment="1">
      <alignment horizontal="right"/>
    </xf>
    <xf numFmtId="0" fontId="30" fillId="12" borderId="8" xfId="57" applyFont="1" applyFill="1" applyBorder="1" applyAlignment="1">
      <alignment horizontal="right" wrapText="1"/>
    </xf>
    <xf numFmtId="0" fontId="30" fillId="12" borderId="13" xfId="57" applyFont="1" applyFill="1" applyBorder="1" applyAlignment="1">
      <alignment horizontal="right" wrapText="1"/>
    </xf>
    <xf numFmtId="0" fontId="30" fillId="12" borderId="23" xfId="57" applyFont="1" applyFill="1" applyBorder="1" applyAlignment="1">
      <alignment horizontal="right" wrapText="1"/>
    </xf>
    <xf numFmtId="0" fontId="29" fillId="0" borderId="14" xfId="57" applyFont="1" applyBorder="1" applyAlignment="1">
      <alignment horizontal="right"/>
    </xf>
    <xf numFmtId="166" fontId="29" fillId="0" borderId="8" xfId="19" applyNumberFormat="1" applyFont="1" applyBorder="1" applyAlignment="1">
      <alignment horizontal="right"/>
    </xf>
    <xf numFmtId="2" fontId="35" fillId="0" borderId="4" xfId="58" applyNumberFormat="1" applyFont="1" applyBorder="1" applyAlignment="1">
      <alignment horizontal="right" wrapText="1"/>
    </xf>
    <xf numFmtId="0" fontId="30" fillId="12" borderId="0" xfId="57" applyFont="1" applyFill="1" applyBorder="1" applyAlignment="1">
      <alignment horizontal="left" wrapText="1"/>
    </xf>
    <xf numFmtId="0" fontId="30" fillId="12" borderId="4" xfId="57" applyFont="1" applyFill="1" applyBorder="1" applyAlignment="1">
      <alignment horizontal="left" wrapText="1"/>
    </xf>
    <xf numFmtId="0" fontId="30" fillId="12" borderId="22" xfId="57" applyFont="1" applyFill="1" applyBorder="1" applyAlignment="1">
      <alignment horizontal="right" wrapText="1"/>
    </xf>
    <xf numFmtId="2" fontId="35" fillId="0" borderId="0" xfId="58" applyNumberFormat="1" applyFont="1" applyBorder="1" applyAlignment="1">
      <alignment horizontal="right" wrapText="1"/>
    </xf>
    <xf numFmtId="2" fontId="35" fillId="0" borderId="0" xfId="58" applyNumberFormat="1" applyFont="1" applyFill="1" applyBorder="1" applyAlignment="1">
      <alignment horizontal="right" wrapText="1"/>
    </xf>
    <xf numFmtId="0" fontId="40" fillId="0" borderId="3" xfId="58" applyFont="1" applyBorder="1" applyAlignment="1">
      <alignment horizontal="left"/>
    </xf>
    <xf numFmtId="0" fontId="35" fillId="0" borderId="3" xfId="58" applyFont="1" applyBorder="1"/>
    <xf numFmtId="2" fontId="40" fillId="0" borderId="3" xfId="58" applyNumberFormat="1" applyFont="1" applyBorder="1" applyAlignment="1">
      <alignment horizontal="right" wrapText="1"/>
    </xf>
    <xf numFmtId="2" fontId="40" fillId="0" borderId="6" xfId="60" applyNumberFormat="1" applyFont="1" applyBorder="1" applyAlignment="1">
      <alignment horizontal="right" wrapText="1"/>
    </xf>
    <xf numFmtId="2" fontId="40" fillId="0" borderId="3" xfId="60" applyNumberFormat="1" applyFont="1" applyBorder="1" applyAlignment="1">
      <alignment horizontal="right" wrapText="1"/>
    </xf>
    <xf numFmtId="2" fontId="40" fillId="0" borderId="14" xfId="58" applyNumberFormat="1" applyFont="1" applyBorder="1" applyAlignment="1">
      <alignment horizontal="right" wrapText="1"/>
    </xf>
    <xf numFmtId="2" fontId="35" fillId="0" borderId="0" xfId="58" applyNumberFormat="1" applyFont="1" applyFill="1" applyBorder="1"/>
    <xf numFmtId="166" fontId="28" fillId="0" borderId="9" xfId="19" applyNumberFormat="1" applyFont="1" applyBorder="1" applyAlignment="1">
      <alignment horizontal="right" vertical="center" wrapText="1"/>
    </xf>
    <xf numFmtId="2" fontId="40" fillId="0" borderId="4" xfId="58" applyNumberFormat="1" applyFont="1" applyBorder="1" applyAlignment="1">
      <alignment horizontal="left"/>
    </xf>
    <xf numFmtId="2" fontId="40" fillId="0" borderId="4" xfId="58" applyNumberFormat="1" applyFont="1" applyBorder="1" applyAlignment="1">
      <alignment horizontal="left" wrapText="1"/>
    </xf>
    <xf numFmtId="2" fontId="40" fillId="0" borderId="4" xfId="58" applyNumberFormat="1" applyFont="1" applyBorder="1" applyAlignment="1">
      <alignment horizontal="right" wrapText="1"/>
    </xf>
    <xf numFmtId="2" fontId="40" fillId="0" borderId="8" xfId="60" applyNumberFormat="1" applyFont="1" applyBorder="1" applyAlignment="1">
      <alignment horizontal="right" wrapText="1"/>
    </xf>
    <xf numFmtId="2" fontId="40" fillId="0" borderId="4" xfId="60" applyNumberFormat="1" applyFont="1" applyBorder="1" applyAlignment="1">
      <alignment horizontal="right" wrapText="1"/>
    </xf>
    <xf numFmtId="2" fontId="40" fillId="0" borderId="1" xfId="58" applyNumberFormat="1" applyFont="1" applyBorder="1" applyAlignment="1">
      <alignment horizontal="right" wrapText="1"/>
    </xf>
    <xf numFmtId="2" fontId="35" fillId="0" borderId="0" xfId="58" applyNumberFormat="1" applyFont="1" applyBorder="1" applyAlignment="1">
      <alignment horizontal="left" wrapText="1"/>
    </xf>
    <xf numFmtId="1" fontId="35" fillId="0" borderId="0" xfId="58" applyNumberFormat="1" applyFont="1" applyBorder="1" applyAlignment="1">
      <alignment horizontal="right" wrapText="1"/>
    </xf>
    <xf numFmtId="2" fontId="40" fillId="0" borderId="9" xfId="60" applyNumberFormat="1" applyFont="1" applyBorder="1" applyAlignment="1">
      <alignment horizontal="right" wrapText="1"/>
    </xf>
    <xf numFmtId="2" fontId="40" fillId="0" borderId="10" xfId="58" applyNumberFormat="1" applyFont="1" applyBorder="1" applyAlignment="1">
      <alignment horizontal="right" wrapText="1"/>
    </xf>
    <xf numFmtId="2" fontId="40" fillId="0" borderId="0" xfId="58" applyNumberFormat="1" applyFont="1" applyBorder="1" applyAlignment="1">
      <alignment horizontal="right" wrapText="1"/>
    </xf>
    <xf numFmtId="2" fontId="40" fillId="0" borderId="0" xfId="60" applyNumberFormat="1" applyFont="1" applyBorder="1" applyAlignment="1">
      <alignment horizontal="right" wrapText="1"/>
    </xf>
    <xf numFmtId="166" fontId="35" fillId="0" borderId="9" xfId="62" applyNumberFormat="1" applyFont="1" applyFill="1" applyBorder="1"/>
    <xf numFmtId="1" fontId="35" fillId="0" borderId="0" xfId="58" applyNumberFormat="1" applyFont="1" applyBorder="1"/>
    <xf numFmtId="0" fontId="28" fillId="0" borderId="10" xfId="59" applyFont="1" applyBorder="1"/>
    <xf numFmtId="173" fontId="35" fillId="0" borderId="9" xfId="60" applyNumberFormat="1" applyFont="1" applyFill="1" applyBorder="1"/>
    <xf numFmtId="0" fontId="37" fillId="0" borderId="9" xfId="63" applyFont="1" applyBorder="1" applyAlignment="1" applyProtection="1"/>
    <xf numFmtId="0" fontId="35" fillId="0" borderId="0" xfId="58" applyFont="1" applyBorder="1" applyAlignment="1"/>
    <xf numFmtId="0" fontId="35" fillId="0" borderId="0" xfId="58" applyFont="1" applyAlignment="1">
      <alignment horizontal="left" wrapText="1"/>
    </xf>
    <xf numFmtId="3" fontId="40" fillId="0" borderId="0" xfId="64" applyNumberFormat="1" applyFont="1" applyFill="1" applyBorder="1" applyAlignment="1">
      <alignment horizontal="center"/>
    </xf>
    <xf numFmtId="173" fontId="76" fillId="0" borderId="10" xfId="60" applyNumberFormat="1" applyFont="1" applyFill="1" applyBorder="1"/>
    <xf numFmtId="173" fontId="76" fillId="0" borderId="0" xfId="60" applyNumberFormat="1" applyFont="1" applyFill="1"/>
    <xf numFmtId="0" fontId="35" fillId="0" borderId="9" xfId="58" applyFont="1" applyBorder="1" applyAlignment="1">
      <alignment wrapText="1"/>
    </xf>
    <xf numFmtId="0" fontId="35" fillId="0" borderId="0" xfId="58" applyFont="1" applyAlignment="1">
      <alignment wrapText="1"/>
    </xf>
    <xf numFmtId="1" fontId="35" fillId="0" borderId="0" xfId="64" applyNumberFormat="1" applyFont="1" applyFill="1" applyBorder="1" applyAlignment="1">
      <alignment horizontal="center" wrapText="1"/>
    </xf>
    <xf numFmtId="3" fontId="35" fillId="0" borderId="0" xfId="64" applyNumberFormat="1" applyFont="1" applyFill="1" applyBorder="1" applyAlignment="1">
      <alignment horizontal="center" wrapText="1"/>
    </xf>
    <xf numFmtId="173" fontId="35" fillId="0" borderId="10" xfId="60" applyNumberFormat="1" applyFont="1" applyFill="1" applyBorder="1"/>
    <xf numFmtId="0" fontId="35" fillId="0" borderId="9" xfId="58" applyFont="1" applyBorder="1"/>
    <xf numFmtId="1" fontId="35" fillId="0" borderId="0" xfId="58" applyNumberFormat="1" applyFont="1" applyFill="1" applyBorder="1"/>
    <xf numFmtId="174" fontId="35" fillId="0" borderId="10" xfId="58" applyNumberFormat="1" applyFont="1" applyBorder="1"/>
    <xf numFmtId="0" fontId="35" fillId="13" borderId="9" xfId="58" applyFont="1" applyFill="1" applyBorder="1"/>
    <xf numFmtId="174" fontId="35" fillId="0" borderId="0" xfId="58" applyNumberFormat="1" applyFont="1"/>
    <xf numFmtId="0" fontId="35" fillId="13" borderId="0" xfId="58" applyFont="1" applyFill="1"/>
    <xf numFmtId="166" fontId="35" fillId="0" borderId="9" xfId="62" applyNumberFormat="1" applyFont="1" applyBorder="1"/>
    <xf numFmtId="166" fontId="35" fillId="0" borderId="0" xfId="62" applyNumberFormat="1" applyFont="1"/>
    <xf numFmtId="174" fontId="35" fillId="0" borderId="10" xfId="58" applyNumberFormat="1" applyFont="1" applyFill="1" applyBorder="1"/>
    <xf numFmtId="166" fontId="35" fillId="13" borderId="9" xfId="62" applyNumberFormat="1" applyFont="1" applyFill="1" applyBorder="1"/>
    <xf numFmtId="166" fontId="35" fillId="13" borderId="0" xfId="62" applyNumberFormat="1" applyFont="1" applyFill="1"/>
    <xf numFmtId="174" fontId="35" fillId="13" borderId="9" xfId="58" applyNumberFormat="1" applyFont="1" applyFill="1" applyBorder="1"/>
    <xf numFmtId="174" fontId="35" fillId="13" borderId="0" xfId="58" applyNumberFormat="1" applyFont="1" applyFill="1"/>
    <xf numFmtId="0" fontId="35" fillId="0" borderId="0" xfId="58" applyFont="1" applyFill="1" applyAlignment="1">
      <alignment wrapText="1"/>
    </xf>
    <xf numFmtId="174" fontId="35" fillId="0" borderId="0" xfId="58" applyNumberFormat="1" applyFont="1" applyFill="1"/>
    <xf numFmtId="166" fontId="35" fillId="0" borderId="0" xfId="62" applyNumberFormat="1" applyFont="1" applyFill="1"/>
    <xf numFmtId="0" fontId="29" fillId="0" borderId="0" xfId="59" applyFont="1"/>
    <xf numFmtId="174" fontId="35" fillId="0" borderId="0" xfId="58" applyNumberFormat="1" applyFont="1" applyFill="1" applyBorder="1"/>
    <xf numFmtId="166" fontId="35" fillId="0" borderId="0" xfId="62" applyNumberFormat="1" applyFont="1" applyFill="1" applyBorder="1"/>
    <xf numFmtId="170" fontId="35" fillId="0" borderId="0" xfId="60" applyNumberFormat="1" applyFont="1" applyBorder="1"/>
    <xf numFmtId="0" fontId="28" fillId="0" borderId="0" xfId="59" applyFont="1" applyBorder="1"/>
    <xf numFmtId="167" fontId="30" fillId="0" borderId="0" xfId="48" applyNumberFormat="1" applyFont="1" applyFill="1" applyBorder="1" applyAlignment="1">
      <alignment horizontal="center" vertical="center" wrapText="1"/>
    </xf>
    <xf numFmtId="167" fontId="35" fillId="0" borderId="0" xfId="46" applyNumberFormat="1" applyFont="1" applyFill="1" applyBorder="1" applyAlignment="1">
      <alignment horizontal="center" vertical="center"/>
    </xf>
    <xf numFmtId="172" fontId="35" fillId="0" borderId="0" xfId="45" applyNumberFormat="1" applyFont="1" applyFill="1" applyBorder="1" applyAlignment="1">
      <alignment horizontal="center" vertical="center"/>
    </xf>
    <xf numFmtId="172" fontId="68" fillId="0" borderId="0" xfId="45" applyNumberFormat="1" applyFont="1" applyFill="1" applyBorder="1" applyAlignment="1">
      <alignment horizontal="center" vertical="center"/>
    </xf>
    <xf numFmtId="0" fontId="35" fillId="0" borderId="0" xfId="45" applyNumberFormat="1" applyFont="1" applyFill="1" applyBorder="1" applyAlignment="1">
      <alignment horizontal="center" vertical="center"/>
    </xf>
    <xf numFmtId="0" fontId="35" fillId="0" borderId="0" xfId="45" applyFont="1" applyFill="1" applyBorder="1" applyAlignment="1">
      <alignment horizontal="center" vertical="center"/>
    </xf>
    <xf numFmtId="14" fontId="35" fillId="0" borderId="0" xfId="45" applyNumberFormat="1" applyFont="1" applyFill="1" applyBorder="1" applyAlignment="1">
      <alignment horizontal="center" vertical="center"/>
    </xf>
    <xf numFmtId="1" fontId="17" fillId="0" borderId="0" xfId="42" applyNumberFormat="1" applyFont="1"/>
    <xf numFmtId="1" fontId="52" fillId="0" borderId="12" xfId="42" applyNumberFormat="1" applyFont="1" applyBorder="1"/>
    <xf numFmtId="1" fontId="17" fillId="0" borderId="12" xfId="42" applyNumberFormat="1" applyFont="1" applyBorder="1"/>
    <xf numFmtId="1" fontId="46" fillId="0" borderId="12" xfId="42" applyNumberFormat="1" applyFont="1" applyBorder="1" applyAlignment="1">
      <alignment horizontal="right"/>
    </xf>
    <xf numFmtId="164" fontId="17" fillId="0" borderId="0" xfId="42" applyFont="1"/>
    <xf numFmtId="164" fontId="48" fillId="0" borderId="0" xfId="21" applyFont="1" applyAlignment="1">
      <alignment horizontal="center"/>
    </xf>
    <xf numFmtId="164" fontId="48" fillId="0" borderId="0" xfId="21" applyFont="1" applyAlignment="1">
      <alignment horizontal="left"/>
    </xf>
    <xf numFmtId="10" fontId="48" fillId="0" borderId="0" xfId="43" applyNumberFormat="1" applyFont="1" applyBorder="1" applyAlignment="1"/>
    <xf numFmtId="164" fontId="48" fillId="0" borderId="0" xfId="42" applyFont="1" applyBorder="1" applyAlignment="1"/>
    <xf numFmtId="164" fontId="49" fillId="0" borderId="0" xfId="42" applyFont="1" applyAlignment="1"/>
    <xf numFmtId="164" fontId="44" fillId="2" borderId="7" xfId="42" applyFont="1" applyFill="1" applyBorder="1" applyAlignment="1">
      <alignment horizontal="center" vertical="center"/>
    </xf>
    <xf numFmtId="164" fontId="44" fillId="2" borderId="2" xfId="42" applyFont="1" applyFill="1" applyBorder="1" applyAlignment="1">
      <alignment horizontal="center" vertical="center"/>
    </xf>
    <xf numFmtId="164" fontId="44" fillId="2" borderId="10" xfId="42" applyFont="1" applyFill="1" applyBorder="1" applyAlignment="1">
      <alignment horizontal="center" vertical="center"/>
    </xf>
    <xf numFmtId="164" fontId="44" fillId="2" borderId="0" xfId="42" applyFont="1" applyFill="1" applyBorder="1" applyAlignment="1">
      <alignment horizontal="center" vertical="center"/>
    </xf>
    <xf numFmtId="165" fontId="44" fillId="2" borderId="0" xfId="42" applyNumberFormat="1" applyFont="1" applyFill="1" applyBorder="1" applyAlignment="1">
      <alignment horizontal="center" vertical="center"/>
    </xf>
    <xf numFmtId="165" fontId="44" fillId="2" borderId="9" xfId="42" applyNumberFormat="1" applyFont="1" applyFill="1" applyBorder="1" applyAlignment="1">
      <alignment horizontal="center" vertical="center"/>
    </xf>
    <xf numFmtId="164" fontId="44" fillId="2" borderId="10" xfId="42" applyFont="1" applyFill="1" applyBorder="1" applyAlignment="1">
      <alignment horizontal="left" vertical="center" wrapText="1"/>
    </xf>
    <xf numFmtId="166" fontId="48" fillId="4" borderId="7" xfId="43" applyNumberFormat="1" applyFont="1" applyFill="1" applyBorder="1" applyAlignment="1" applyProtection="1">
      <alignment horizontal="center" vertical="center"/>
      <protection locked="0"/>
    </xf>
    <xf numFmtId="164" fontId="44" fillId="2" borderId="0" xfId="42" applyFont="1" applyFill="1" applyBorder="1" applyAlignment="1">
      <alignment horizontal="center" vertical="center" wrapText="1"/>
    </xf>
    <xf numFmtId="166" fontId="48" fillId="4" borderId="10" xfId="43" applyNumberFormat="1" applyFont="1" applyFill="1" applyBorder="1" applyAlignment="1" applyProtection="1">
      <alignment horizontal="center" vertical="center"/>
      <protection locked="0"/>
    </xf>
    <xf numFmtId="166" fontId="48" fillId="4" borderId="1" xfId="43" applyNumberFormat="1" applyFont="1" applyFill="1" applyBorder="1" applyAlignment="1" applyProtection="1">
      <alignment horizontal="center" vertical="center"/>
      <protection locked="0"/>
    </xf>
    <xf numFmtId="164" fontId="44" fillId="2" borderId="7" xfId="42" applyFont="1" applyFill="1" applyBorder="1" applyAlignment="1">
      <alignment horizontal="left" vertical="center"/>
    </xf>
    <xf numFmtId="1" fontId="46" fillId="0" borderId="0" xfId="42" applyNumberFormat="1" applyFont="1"/>
    <xf numFmtId="168" fontId="46" fillId="0" borderId="0" xfId="42" applyNumberFormat="1" applyFont="1"/>
    <xf numFmtId="9" fontId="27" fillId="0" borderId="0" xfId="2" applyFont="1" applyFill="1" applyAlignment="1">
      <alignment horizontal="center" vertical="center"/>
    </xf>
    <xf numFmtId="164" fontId="28" fillId="0" borderId="0" xfId="10" applyFont="1" applyAlignment="1">
      <alignment vertical="center"/>
    </xf>
    <xf numFmtId="0" fontId="78" fillId="0" borderId="0" xfId="66" applyFont="1"/>
    <xf numFmtId="0" fontId="77" fillId="0" borderId="0" xfId="0" applyFont="1"/>
    <xf numFmtId="0" fontId="28" fillId="0" borderId="0" xfId="67" applyFont="1"/>
    <xf numFmtId="164" fontId="79" fillId="0" borderId="0" xfId="10" applyFont="1" applyAlignment="1">
      <alignment horizontal="left"/>
    </xf>
    <xf numFmtId="0" fontId="35" fillId="0" borderId="0" xfId="68" applyFont="1" applyFill="1" applyBorder="1"/>
    <xf numFmtId="0" fontId="40" fillId="0" borderId="0" xfId="14" applyFont="1"/>
    <xf numFmtId="175" fontId="30" fillId="12" borderId="4" xfId="69" applyNumberFormat="1" applyFont="1" applyFill="1" applyBorder="1" applyAlignment="1">
      <alignment horizontal="center" vertical="center"/>
    </xf>
    <xf numFmtId="0" fontId="28" fillId="0" borderId="0" xfId="14" applyFont="1"/>
    <xf numFmtId="0" fontId="30" fillId="0" borderId="0" xfId="67" applyFont="1" applyFill="1" applyAlignment="1">
      <alignment horizontal="left"/>
    </xf>
    <xf numFmtId="0" fontId="35" fillId="0" borderId="0" xfId="14" applyFont="1"/>
    <xf numFmtId="0" fontId="80" fillId="0" borderId="0" xfId="14" applyFont="1" applyFill="1"/>
    <xf numFmtId="0" fontId="35" fillId="0" borderId="0" xfId="14" applyFont="1" applyFill="1"/>
    <xf numFmtId="0" fontId="39" fillId="0" borderId="0" xfId="14" applyFont="1" applyFill="1" applyBorder="1"/>
    <xf numFmtId="0" fontId="76" fillId="0" borderId="0" xfId="49" applyFont="1"/>
    <xf numFmtId="0" fontId="29" fillId="0" borderId="0" xfId="67" applyFont="1" applyAlignment="1">
      <alignment horizontal="left" indent="3"/>
    </xf>
    <xf numFmtId="0" fontId="35" fillId="0" borderId="0" xfId="49" applyFont="1"/>
    <xf numFmtId="167" fontId="35" fillId="0" borderId="0" xfId="70" applyNumberFormat="1" applyFont="1" applyFill="1" applyBorder="1" applyAlignment="1">
      <alignment horizontal="center" wrapText="1"/>
    </xf>
    <xf numFmtId="0" fontId="29" fillId="0" borderId="0" xfId="14" applyFont="1" applyAlignment="1">
      <alignment horizontal="left" indent="4"/>
    </xf>
    <xf numFmtId="167" fontId="40" fillId="0" borderId="0" xfId="71" applyNumberFormat="1" applyFont="1"/>
    <xf numFmtId="0" fontId="28" fillId="0" borderId="0" xfId="67" applyFont="1" applyAlignment="1">
      <alignment horizontal="left" indent="3"/>
    </xf>
    <xf numFmtId="167" fontId="76" fillId="0" borderId="0" xfId="70" applyNumberFormat="1" applyFont="1" applyFill="1" applyBorder="1" applyAlignment="1">
      <alignment horizontal="center" wrapText="1"/>
    </xf>
    <xf numFmtId="176" fontId="29" fillId="0" borderId="0" xfId="60" applyNumberFormat="1" applyFont="1" applyFill="1" applyBorder="1" applyAlignment="1">
      <alignment horizontal="center" wrapText="1"/>
    </xf>
    <xf numFmtId="0" fontId="28" fillId="0" borderId="0" xfId="67" applyFont="1" applyAlignment="1">
      <alignment horizontal="left" indent="4"/>
    </xf>
    <xf numFmtId="167" fontId="28" fillId="0" borderId="0" xfId="71" applyNumberFormat="1" applyFont="1" applyFill="1" applyBorder="1" applyAlignment="1">
      <alignment horizontal="center"/>
    </xf>
    <xf numFmtId="167" fontId="28" fillId="0" borderId="0" xfId="70" applyNumberFormat="1" applyFont="1" applyBorder="1"/>
    <xf numFmtId="167" fontId="35" fillId="0" borderId="0" xfId="71" applyNumberFormat="1" applyFont="1"/>
    <xf numFmtId="0" fontId="40" fillId="0" borderId="0" xfId="49" applyFont="1"/>
    <xf numFmtId="167" fontId="29" fillId="0" borderId="0" xfId="70" applyNumberFormat="1" applyFont="1" applyBorder="1"/>
    <xf numFmtId="167" fontId="40" fillId="0" borderId="2" xfId="71" applyNumberFormat="1" applyFont="1" applyBorder="1"/>
    <xf numFmtId="167" fontId="40" fillId="0" borderId="0" xfId="71" applyNumberFormat="1" applyFont="1" applyBorder="1"/>
    <xf numFmtId="0" fontId="76" fillId="0" borderId="0" xfId="67" applyFont="1" applyAlignment="1">
      <alignment horizontal="left" indent="4"/>
    </xf>
    <xf numFmtId="167" fontId="76" fillId="0" borderId="0" xfId="70" applyNumberFormat="1" applyFont="1" applyBorder="1"/>
    <xf numFmtId="174" fontId="35" fillId="0" borderId="0" xfId="14" applyNumberFormat="1" applyFont="1"/>
    <xf numFmtId="174" fontId="28" fillId="0" borderId="0" xfId="14" applyNumberFormat="1" applyFont="1"/>
    <xf numFmtId="167" fontId="35" fillId="0" borderId="0" xfId="14" applyNumberFormat="1" applyFont="1"/>
    <xf numFmtId="172" fontId="40" fillId="0" borderId="0" xfId="45" applyNumberFormat="1" applyFont="1" applyBorder="1" applyAlignment="1">
      <alignment horizontal="left" vertical="center"/>
    </xf>
    <xf numFmtId="167" fontId="40" fillId="0" borderId="0" xfId="45" applyNumberFormat="1" applyFont="1" applyBorder="1" applyAlignment="1">
      <alignment horizontal="right" vertical="center"/>
    </xf>
    <xf numFmtId="172" fontId="69" fillId="14" borderId="0" xfId="45" applyNumberFormat="1" applyFont="1" applyFill="1" applyBorder="1" applyAlignment="1">
      <alignment horizontal="center" vertical="center" wrapText="1"/>
    </xf>
    <xf numFmtId="172" fontId="69" fillId="9" borderId="0" xfId="45" applyNumberFormat="1" applyFont="1" applyFill="1" applyBorder="1" applyAlignment="1">
      <alignment horizontal="center" vertical="center" wrapText="1"/>
    </xf>
    <xf numFmtId="1" fontId="28" fillId="0" borderId="0" xfId="65" applyNumberFormat="1" applyFont="1"/>
    <xf numFmtId="1" fontId="25" fillId="0" borderId="12" xfId="65" applyNumberFormat="1" applyFont="1" applyBorder="1"/>
    <xf numFmtId="1" fontId="29" fillId="0" borderId="12" xfId="65" applyNumberFormat="1" applyFont="1" applyBorder="1"/>
    <xf numFmtId="1" fontId="28" fillId="0" borderId="12" xfId="65" applyNumberFormat="1" applyFont="1" applyBorder="1"/>
    <xf numFmtId="0" fontId="26" fillId="0" borderId="0" xfId="4" applyFont="1"/>
    <xf numFmtId="164" fontId="31" fillId="0" borderId="0" xfId="4" applyNumberFormat="1" applyFont="1" applyAlignment="1">
      <alignment horizontal="left"/>
    </xf>
    <xf numFmtId="0" fontId="26" fillId="0" borderId="0" xfId="4" applyFont="1" applyFill="1" applyBorder="1"/>
    <xf numFmtId="165" fontId="30" fillId="12" borderId="0" xfId="4" applyNumberFormat="1" applyFont="1" applyFill="1" applyBorder="1" applyAlignment="1">
      <alignment horizontal="center" vertical="center"/>
    </xf>
    <xf numFmtId="0" fontId="83" fillId="0" borderId="0" xfId="4" applyFont="1"/>
    <xf numFmtId="0" fontId="77" fillId="0" borderId="0" xfId="4" applyFont="1" applyFill="1" applyBorder="1"/>
    <xf numFmtId="167" fontId="26" fillId="0" borderId="0" xfId="1" applyNumberFormat="1" applyFont="1" applyFill="1" applyBorder="1" applyAlignment="1">
      <alignment horizontal="right"/>
    </xf>
    <xf numFmtId="177" fontId="77" fillId="0" borderId="0" xfId="71" applyNumberFormat="1" applyFont="1" applyFill="1" applyBorder="1"/>
    <xf numFmtId="178" fontId="77" fillId="0" borderId="0" xfId="74" applyNumberFormat="1" applyFont="1" applyFill="1" applyBorder="1" applyAlignment="1">
      <alignment horizontal="center"/>
    </xf>
    <xf numFmtId="0" fontId="26" fillId="0" borderId="0" xfId="4" applyFont="1" applyFill="1"/>
    <xf numFmtId="166" fontId="28" fillId="0" borderId="25" xfId="73" applyNumberFormat="1" applyFont="1" applyBorder="1" applyAlignment="1">
      <alignment horizontal="center"/>
    </xf>
    <xf numFmtId="166" fontId="26" fillId="0" borderId="0" xfId="73" applyNumberFormat="1" applyFont="1" applyAlignment="1">
      <alignment horizontal="center"/>
    </xf>
    <xf numFmtId="0" fontId="77" fillId="0" borderId="4" xfId="4" applyFont="1" applyFill="1" applyBorder="1"/>
    <xf numFmtId="0" fontId="82" fillId="0" borderId="28" xfId="4" applyFont="1" applyFill="1" applyBorder="1"/>
    <xf numFmtId="8" fontId="82" fillId="0" borderId="28" xfId="4" applyNumberFormat="1" applyFont="1" applyFill="1" applyBorder="1"/>
    <xf numFmtId="0" fontId="81" fillId="0" borderId="28" xfId="4" applyFont="1" applyFill="1" applyBorder="1"/>
    <xf numFmtId="8" fontId="81" fillId="0" borderId="28" xfId="4" applyNumberFormat="1" applyFont="1" applyFill="1" applyBorder="1"/>
    <xf numFmtId="0" fontId="84" fillId="0" borderId="0" xfId="4" applyFont="1"/>
    <xf numFmtId="8" fontId="26" fillId="0" borderId="28" xfId="4" applyNumberFormat="1" applyFont="1" applyFill="1" applyBorder="1" applyAlignment="1">
      <alignment horizontal="right"/>
    </xf>
    <xf numFmtId="10" fontId="26" fillId="0" borderId="29" xfId="74" applyNumberFormat="1" applyFont="1" applyFill="1" applyBorder="1" applyAlignment="1">
      <alignment horizontal="right"/>
    </xf>
    <xf numFmtId="1" fontId="43" fillId="0" borderId="12" xfId="65" applyNumberFormat="1" applyFont="1" applyBorder="1"/>
    <xf numFmtId="9" fontId="28" fillId="0" borderId="12" xfId="2" applyFont="1" applyBorder="1"/>
    <xf numFmtId="0" fontId="60" fillId="0" borderId="0" xfId="0" applyFont="1" applyFill="1"/>
    <xf numFmtId="3" fontId="27" fillId="0" borderId="0" xfId="0" applyNumberFormat="1" applyFont="1"/>
    <xf numFmtId="164" fontId="47" fillId="0" borderId="0" xfId="11" applyFont="1" applyFill="1" applyAlignment="1" applyProtection="1">
      <alignment horizontal="left" vertical="center"/>
    </xf>
    <xf numFmtId="175" fontId="44" fillId="12" borderId="4" xfId="69" applyNumberFormat="1" applyFont="1" applyFill="1" applyBorder="1" applyAlignment="1">
      <alignment horizontal="center" vertical="center"/>
    </xf>
    <xf numFmtId="165" fontId="44" fillId="0" borderId="0" xfId="10" applyNumberFormat="1" applyFont="1" applyFill="1" applyBorder="1" applyAlignment="1">
      <alignment horizontal="center" vertical="center"/>
    </xf>
    <xf numFmtId="164" fontId="47" fillId="0" borderId="0" xfId="11" applyFont="1" applyFill="1" applyAlignment="1" applyProtection="1">
      <alignment horizontal="center" vertical="center"/>
    </xf>
    <xf numFmtId="3" fontId="48" fillId="0" borderId="0" xfId="76" applyFont="1" applyAlignment="1">
      <alignment vertical="center"/>
    </xf>
    <xf numFmtId="3" fontId="48" fillId="0" borderId="0" xfId="76" applyFont="1" applyFill="1" applyAlignment="1">
      <alignment horizontal="right" vertical="center"/>
    </xf>
    <xf numFmtId="9" fontId="48" fillId="0" borderId="0" xfId="77" applyFont="1" applyFill="1" applyAlignment="1">
      <alignment vertical="center"/>
    </xf>
    <xf numFmtId="0" fontId="48" fillId="0" borderId="0" xfId="49" applyFont="1" applyFill="1" applyAlignment="1">
      <alignment horizontal="right" vertical="center"/>
    </xf>
    <xf numFmtId="167" fontId="48" fillId="0" borderId="0" xfId="78" applyNumberFormat="1" applyFont="1" applyFill="1" applyAlignment="1">
      <alignment vertical="center"/>
    </xf>
    <xf numFmtId="0" fontId="48" fillId="0" borderId="0" xfId="49" applyFont="1" applyAlignment="1">
      <alignment vertical="center"/>
    </xf>
    <xf numFmtId="3" fontId="64" fillId="0" borderId="0" xfId="76" applyFont="1" applyAlignment="1">
      <alignment vertical="center"/>
    </xf>
    <xf numFmtId="3" fontId="64" fillId="0" borderId="0" xfId="76" applyFont="1" applyAlignment="1">
      <alignment horizontal="center" vertical="center"/>
    </xf>
    <xf numFmtId="3" fontId="64" fillId="0" borderId="0" xfId="76" applyFont="1" applyFill="1" applyAlignment="1">
      <alignment vertical="center"/>
    </xf>
    <xf numFmtId="3" fontId="64" fillId="0" borderId="0" xfId="76" applyFont="1" applyFill="1" applyAlignment="1">
      <alignment horizontal="center" vertical="center"/>
    </xf>
    <xf numFmtId="3" fontId="48" fillId="0" borderId="0" xfId="76" applyFont="1" applyFill="1" applyAlignment="1">
      <alignment vertical="center"/>
    </xf>
    <xf numFmtId="0" fontId="49" fillId="0" borderId="0" xfId="79" applyFont="1" applyAlignment="1">
      <alignment horizontal="left" vertical="center"/>
    </xf>
    <xf numFmtId="3" fontId="49" fillId="0" borderId="0" xfId="76" applyFont="1" applyBorder="1" applyAlignment="1">
      <alignment vertical="center"/>
    </xf>
    <xf numFmtId="3" fontId="49" fillId="0" borderId="0" xfId="76" applyFont="1" applyBorder="1" applyAlignment="1">
      <alignment horizontal="center" vertical="center"/>
    </xf>
    <xf numFmtId="3" fontId="49" fillId="0" borderId="0" xfId="76" applyFont="1" applyAlignment="1">
      <alignment vertical="center"/>
    </xf>
    <xf numFmtId="3" fontId="48" fillId="0" borderId="0" xfId="47" applyFont="1" applyBorder="1" applyAlignment="1">
      <alignment horizontal="left" vertical="center"/>
    </xf>
    <xf numFmtId="3" fontId="48" fillId="0" borderId="0" xfId="47" applyFont="1" applyBorder="1" applyAlignment="1">
      <alignment horizontal="center" vertical="center"/>
    </xf>
    <xf numFmtId="170" fontId="48" fillId="0" borderId="0" xfId="60" applyNumberFormat="1" applyFont="1" applyFill="1" applyBorder="1" applyAlignment="1">
      <alignment vertical="center"/>
    </xf>
    <xf numFmtId="3" fontId="48" fillId="0" borderId="0" xfId="76" applyFont="1" applyBorder="1" applyAlignment="1">
      <alignment horizontal="left" vertical="center"/>
    </xf>
    <xf numFmtId="3" fontId="48" fillId="0" borderId="0" xfId="76" applyFont="1" applyBorder="1" applyAlignment="1">
      <alignment horizontal="center" vertical="center"/>
    </xf>
    <xf numFmtId="167" fontId="49" fillId="0" borderId="2" xfId="70" applyNumberFormat="1" applyFont="1" applyBorder="1" applyAlignment="1">
      <alignment vertical="center"/>
    </xf>
    <xf numFmtId="3" fontId="48" fillId="0" borderId="0" xfId="76" applyFont="1" applyBorder="1" applyAlignment="1">
      <alignment vertical="center"/>
    </xf>
    <xf numFmtId="170" fontId="48" fillId="0" borderId="0" xfId="60" applyNumberFormat="1" applyFont="1" applyBorder="1" applyAlignment="1">
      <alignment vertical="center"/>
    </xf>
    <xf numFmtId="170" fontId="49" fillId="0" borderId="0" xfId="60" applyNumberFormat="1" applyFont="1" applyBorder="1" applyAlignment="1">
      <alignment vertical="center"/>
    </xf>
    <xf numFmtId="6" fontId="49" fillId="0" borderId="3" xfId="70" applyNumberFormat="1" applyFont="1" applyBorder="1" applyAlignment="1">
      <alignment vertical="center"/>
    </xf>
    <xf numFmtId="167" fontId="49" fillId="0" borderId="0" xfId="70" applyNumberFormat="1" applyFont="1" applyBorder="1" applyAlignment="1">
      <alignment vertical="center"/>
    </xf>
    <xf numFmtId="1" fontId="48" fillId="0" borderId="0" xfId="80" applyNumberFormat="1" applyFont="1" applyBorder="1" applyAlignment="1">
      <alignment vertical="center"/>
    </xf>
    <xf numFmtId="0" fontId="48" fillId="0" borderId="0" xfId="80" applyFont="1" applyAlignment="1">
      <alignment vertical="center"/>
    </xf>
    <xf numFmtId="0" fontId="48" fillId="0" borderId="0" xfId="79" applyFont="1" applyAlignment="1">
      <alignment horizontal="left" vertical="center"/>
    </xf>
    <xf numFmtId="49" fontId="48" fillId="0" borderId="0" xfId="79" applyNumberFormat="1" applyFont="1" applyAlignment="1">
      <alignment horizontal="left" vertical="center"/>
    </xf>
    <xf numFmtId="49" fontId="48" fillId="0" borderId="0" xfId="79" applyNumberFormat="1" applyFont="1" applyAlignment="1">
      <alignment horizontal="center" vertical="center"/>
    </xf>
    <xf numFmtId="170" fontId="48" fillId="0" borderId="4" xfId="60" applyNumberFormat="1" applyFont="1" applyFill="1" applyBorder="1" applyAlignment="1">
      <alignment vertical="center"/>
    </xf>
    <xf numFmtId="167" fontId="49" fillId="0" borderId="0" xfId="70" applyNumberFormat="1" applyFont="1" applyFill="1" applyBorder="1" applyAlignment="1">
      <alignment vertical="center"/>
    </xf>
    <xf numFmtId="170" fontId="48" fillId="3" borderId="0" xfId="60" applyNumberFormat="1" applyFont="1" applyFill="1" applyBorder="1" applyAlignment="1">
      <alignment vertical="center"/>
    </xf>
    <xf numFmtId="0" fontId="49" fillId="0" borderId="0" xfId="79" applyFont="1" applyFill="1" applyAlignment="1">
      <alignment horizontal="left" vertical="center"/>
    </xf>
    <xf numFmtId="0" fontId="48" fillId="0" borderId="0" xfId="79" applyFont="1" applyFill="1" applyAlignment="1">
      <alignment horizontal="left" vertical="center"/>
    </xf>
    <xf numFmtId="0" fontId="48" fillId="0" borderId="0" xfId="79" applyFont="1" applyFill="1" applyAlignment="1">
      <alignment horizontal="center" vertical="center"/>
    </xf>
    <xf numFmtId="167" fontId="48" fillId="0" borderId="2" xfId="70" applyNumberFormat="1" applyFont="1" applyBorder="1" applyAlignment="1">
      <alignment vertical="center"/>
    </xf>
    <xf numFmtId="3" fontId="48" fillId="0" borderId="0" xfId="76" applyFont="1" applyAlignment="1">
      <alignment horizontal="center" vertical="center"/>
    </xf>
    <xf numFmtId="9" fontId="21" fillId="0" borderId="0" xfId="2" applyFont="1" applyAlignment="1">
      <alignment horizontal="center"/>
    </xf>
    <xf numFmtId="9" fontId="15" fillId="0" borderId="0" xfId="2" applyFont="1" applyAlignment="1">
      <alignment horizontal="center"/>
    </xf>
    <xf numFmtId="0" fontId="27" fillId="15" borderId="0" xfId="0" applyFont="1" applyFill="1" applyAlignment="1">
      <alignment vertical="center"/>
    </xf>
    <xf numFmtId="9" fontId="27" fillId="15" borderId="0" xfId="2" applyFont="1" applyFill="1" applyAlignment="1">
      <alignment horizontal="center" vertical="center"/>
    </xf>
    <xf numFmtId="0" fontId="21" fillId="15" borderId="0" xfId="0" applyFont="1" applyFill="1" applyAlignment="1">
      <alignment vertical="center"/>
    </xf>
    <xf numFmtId="0" fontId="41" fillId="0" borderId="0" xfId="8" applyFont="1" applyFill="1" applyBorder="1" applyAlignment="1">
      <alignment horizontal="center"/>
    </xf>
    <xf numFmtId="0" fontId="41" fillId="0" borderId="0" xfId="8" applyFont="1" applyFill="1" applyBorder="1"/>
    <xf numFmtId="170" fontId="14" fillId="0" borderId="0" xfId="84" applyNumberFormat="1" applyFont="1" applyAlignment="1">
      <alignment vertical="center"/>
    </xf>
    <xf numFmtId="0" fontId="27" fillId="11" borderId="0" xfId="0" applyFont="1" applyFill="1" applyAlignment="1">
      <alignment vertical="center"/>
    </xf>
    <xf numFmtId="164" fontId="88" fillId="0" borderId="0" xfId="5" applyFont="1" applyBorder="1" applyAlignment="1">
      <alignment vertical="center"/>
    </xf>
    <xf numFmtId="164" fontId="89" fillId="0" borderId="0" xfId="5" applyFont="1" applyBorder="1" applyAlignment="1">
      <alignment horizontal="center" vertical="center"/>
    </xf>
    <xf numFmtId="164" fontId="89" fillId="0" borderId="4" xfId="5" applyFont="1" applyBorder="1" applyAlignment="1">
      <alignment horizontal="center" vertical="center" wrapText="1"/>
    </xf>
    <xf numFmtId="3" fontId="88" fillId="0" borderId="0" xfId="5" applyNumberFormat="1" applyFont="1" applyBorder="1" applyAlignment="1">
      <alignment vertical="center"/>
    </xf>
    <xf numFmtId="164" fontId="88" fillId="0" borderId="0" xfId="5" applyFont="1" applyAlignment="1">
      <alignment vertical="center"/>
    </xf>
    <xf numFmtId="170" fontId="88" fillId="0" borderId="0" xfId="36" applyNumberFormat="1" applyFont="1" applyAlignment="1">
      <alignment vertical="center"/>
    </xf>
    <xf numFmtId="0" fontId="55" fillId="0" borderId="0" xfId="0" applyFont="1" applyAlignment="1">
      <alignment horizontal="center" vertical="center"/>
    </xf>
    <xf numFmtId="1" fontId="88" fillId="0" borderId="0" xfId="5" applyNumberFormat="1" applyFont="1" applyAlignment="1">
      <alignment horizontal="center" vertical="center"/>
    </xf>
    <xf numFmtId="1" fontId="88" fillId="16" borderId="0" xfId="5" applyNumberFormat="1" applyFont="1" applyFill="1" applyAlignment="1">
      <alignment horizontal="center" vertical="center"/>
    </xf>
    <xf numFmtId="9" fontId="27" fillId="0" borderId="0" xfId="2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179" fontId="27" fillId="0" borderId="0" xfId="0" applyNumberFormat="1" applyFont="1" applyAlignment="1">
      <alignment horizontal="center" vertical="center"/>
    </xf>
    <xf numFmtId="177" fontId="27" fillId="0" borderId="0" xfId="0" applyNumberFormat="1" applyFont="1" applyAlignment="1">
      <alignment horizontal="center" vertical="center"/>
    </xf>
    <xf numFmtId="166" fontId="27" fillId="0" borderId="0" xfId="2" applyNumberFormat="1" applyFont="1" applyAlignment="1">
      <alignment vertical="center"/>
    </xf>
    <xf numFmtId="1" fontId="90" fillId="0" borderId="0" xfId="85" applyNumberFormat="1" applyFont="1"/>
    <xf numFmtId="1" fontId="92" fillId="0" borderId="0" xfId="85" applyNumberFormat="1" applyFont="1" applyBorder="1" applyAlignment="1"/>
    <xf numFmtId="1" fontId="90" fillId="0" borderId="0" xfId="85" applyNumberFormat="1" applyFont="1" applyBorder="1"/>
    <xf numFmtId="1" fontId="91" fillId="0" borderId="0" xfId="85" applyNumberFormat="1" applyFont="1" applyBorder="1"/>
    <xf numFmtId="1" fontId="92" fillId="0" borderId="0" xfId="85" applyNumberFormat="1" applyFont="1" applyBorder="1" applyAlignment="1">
      <alignment horizontal="right"/>
    </xf>
    <xf numFmtId="3" fontId="13" fillId="0" borderId="0" xfId="85" applyNumberFormat="1" applyFont="1"/>
    <xf numFmtId="3" fontId="93" fillId="2" borderId="0" xfId="85" applyNumberFormat="1" applyFont="1" applyFill="1" applyAlignment="1">
      <alignment horizontal="center" vertical="center"/>
    </xf>
    <xf numFmtId="3" fontId="13" fillId="0" borderId="24" xfId="85" applyNumberFormat="1" applyFont="1" applyFill="1" applyBorder="1" applyAlignment="1"/>
    <xf numFmtId="3" fontId="13" fillId="0" borderId="30" xfId="85" applyNumberFormat="1" applyFont="1" applyFill="1" applyBorder="1" applyAlignment="1"/>
    <xf numFmtId="3" fontId="13" fillId="0" borderId="31" xfId="85" applyNumberFormat="1" applyFont="1" applyFill="1" applyBorder="1" applyAlignment="1"/>
    <xf numFmtId="3" fontId="13" fillId="0" borderId="32" xfId="85" applyNumberFormat="1" applyFont="1" applyBorder="1"/>
    <xf numFmtId="3" fontId="13" fillId="0" borderId="0" xfId="85" applyNumberFormat="1" applyFont="1" applyFill="1" applyBorder="1" applyAlignment="1">
      <alignment horizontal="center"/>
    </xf>
    <xf numFmtId="3" fontId="13" fillId="0" borderId="33" xfId="85" applyNumberFormat="1" applyFont="1" applyFill="1" applyBorder="1" applyAlignment="1">
      <alignment horizontal="center"/>
    </xf>
    <xf numFmtId="3" fontId="13" fillId="0" borderId="32" xfId="85" applyNumberFormat="1" applyFont="1" applyFill="1" applyBorder="1"/>
    <xf numFmtId="3" fontId="13" fillId="0" borderId="0" xfId="85" applyNumberFormat="1" applyFont="1" applyBorder="1" applyAlignment="1">
      <alignment horizontal="center"/>
    </xf>
    <xf numFmtId="3" fontId="13" fillId="0" borderId="0" xfId="85" applyNumberFormat="1" applyFont="1" applyFill="1" applyBorder="1"/>
    <xf numFmtId="3" fontId="13" fillId="0" borderId="33" xfId="85" applyNumberFormat="1" applyFont="1" applyFill="1" applyBorder="1"/>
    <xf numFmtId="44" fontId="46" fillId="0" borderId="0" xfId="86" applyNumberFormat="1" applyFont="1" applyFill="1" applyBorder="1"/>
    <xf numFmtId="44" fontId="46" fillId="0" borderId="0" xfId="86" applyFont="1" applyFill="1" applyBorder="1"/>
    <xf numFmtId="44" fontId="46" fillId="0" borderId="33" xfId="86" applyFont="1" applyFill="1" applyBorder="1"/>
    <xf numFmtId="167" fontId="13" fillId="0" borderId="0" xfId="86" applyNumberFormat="1" applyFont="1" applyFill="1" applyBorder="1"/>
    <xf numFmtId="167" fontId="13" fillId="0" borderId="33" xfId="86" applyNumberFormat="1" applyFont="1" applyFill="1" applyBorder="1"/>
    <xf numFmtId="3" fontId="13" fillId="0" borderId="34" xfId="85" applyNumberFormat="1" applyFont="1" applyFill="1" applyBorder="1"/>
    <xf numFmtId="167" fontId="13" fillId="0" borderId="35" xfId="86" applyNumberFormat="1" applyFont="1" applyFill="1" applyBorder="1"/>
    <xf numFmtId="3" fontId="13" fillId="0" borderId="35" xfId="85" applyNumberFormat="1" applyFont="1" applyBorder="1"/>
    <xf numFmtId="3" fontId="13" fillId="0" borderId="36" xfId="85" applyNumberFormat="1" applyFont="1" applyBorder="1"/>
    <xf numFmtId="3" fontId="13" fillId="0" borderId="0" xfId="85" applyNumberFormat="1" applyFont="1" applyBorder="1"/>
    <xf numFmtId="3" fontId="13" fillId="0" borderId="33" xfId="85" applyNumberFormat="1" applyFont="1" applyBorder="1"/>
    <xf numFmtId="44" fontId="13" fillId="0" borderId="0" xfId="86" applyFont="1" applyFill="1" applyBorder="1"/>
    <xf numFmtId="44" fontId="13" fillId="0" borderId="33" xfId="86" applyFont="1" applyFill="1" applyBorder="1"/>
    <xf numFmtId="3" fontId="13" fillId="0" borderId="24" xfId="85" applyNumberFormat="1" applyFont="1" applyFill="1" applyBorder="1"/>
    <xf numFmtId="167" fontId="13" fillId="0" borderId="30" xfId="86" applyNumberFormat="1" applyFont="1" applyFill="1" applyBorder="1"/>
    <xf numFmtId="167" fontId="13" fillId="0" borderId="31" xfId="86" applyNumberFormat="1" applyFont="1" applyFill="1" applyBorder="1"/>
    <xf numFmtId="167" fontId="46" fillId="0" borderId="2" xfId="86" applyNumberFormat="1" applyFont="1" applyFill="1" applyBorder="1"/>
    <xf numFmtId="166" fontId="94" fillId="0" borderId="33" xfId="87" applyNumberFormat="1" applyFont="1" applyBorder="1" applyAlignment="1">
      <alignment horizontal="center"/>
    </xf>
    <xf numFmtId="3" fontId="45" fillId="0" borderId="34" xfId="85" applyNumberFormat="1" applyFont="1" applyFill="1" applyBorder="1"/>
    <xf numFmtId="167" fontId="45" fillId="0" borderId="35" xfId="86" applyNumberFormat="1" applyFont="1" applyFill="1" applyBorder="1"/>
    <xf numFmtId="3" fontId="13" fillId="0" borderId="36" xfId="85" applyNumberFormat="1" applyFont="1" applyFill="1" applyBorder="1"/>
    <xf numFmtId="10" fontId="13" fillId="0" borderId="0" xfId="87" applyNumberFormat="1" applyFont="1"/>
    <xf numFmtId="167" fontId="46" fillId="0" borderId="0" xfId="86" applyNumberFormat="1" applyFont="1" applyFill="1" applyBorder="1"/>
    <xf numFmtId="167" fontId="46" fillId="0" borderId="33" xfId="86" applyNumberFormat="1" applyFont="1" applyFill="1" applyBorder="1"/>
    <xf numFmtId="3" fontId="46" fillId="0" borderId="0" xfId="85" applyNumberFormat="1" applyFont="1"/>
    <xf numFmtId="167" fontId="46" fillId="0" borderId="0" xfId="86" applyNumberFormat="1" applyFont="1" applyAlignment="1">
      <alignment horizontal="right"/>
    </xf>
    <xf numFmtId="167" fontId="46" fillId="0" borderId="0" xfId="86" applyNumberFormat="1" applyFont="1"/>
    <xf numFmtId="0" fontId="27" fillId="0" borderId="0" xfId="0" applyFont="1"/>
    <xf numFmtId="179" fontId="27" fillId="0" borderId="0" xfId="0" applyNumberFormat="1" applyFont="1"/>
    <xf numFmtId="166" fontId="27" fillId="0" borderId="0" xfId="2" applyNumberFormat="1" applyFont="1"/>
    <xf numFmtId="177" fontId="27" fillId="0" borderId="0" xfId="0" applyNumberFormat="1" applyFont="1"/>
    <xf numFmtId="0" fontId="55" fillId="0" borderId="0" xfId="0" applyFont="1"/>
    <xf numFmtId="177" fontId="55" fillId="0" borderId="2" xfId="0" applyNumberFormat="1" applyFont="1" applyBorder="1"/>
    <xf numFmtId="0" fontId="35" fillId="0" borderId="0" xfId="67" applyFont="1" applyAlignment="1">
      <alignment horizontal="left" indent="4"/>
    </xf>
    <xf numFmtId="167" fontId="35" fillId="0" borderId="0" xfId="71" applyNumberFormat="1" applyFont="1" applyBorder="1"/>
    <xf numFmtId="3" fontId="12" fillId="0" borderId="0" xfId="85" applyNumberFormat="1" applyFont="1" applyFill="1" applyBorder="1" applyAlignment="1">
      <alignment horizontal="center"/>
    </xf>
    <xf numFmtId="164" fontId="89" fillId="0" borderId="0" xfId="5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6" fontId="27" fillId="5" borderId="0" xfId="2" applyNumberFormat="1" applyFont="1" applyFill="1" applyAlignment="1">
      <alignment vertical="center"/>
    </xf>
    <xf numFmtId="166" fontId="28" fillId="0" borderId="37" xfId="73" applyNumberFormat="1" applyFont="1" applyBorder="1" applyAlignment="1">
      <alignment horizontal="center"/>
    </xf>
    <xf numFmtId="3" fontId="11" fillId="0" borderId="32" xfId="85" applyNumberFormat="1" applyFont="1" applyFill="1" applyBorder="1"/>
    <xf numFmtId="167" fontId="28" fillId="0" borderId="0" xfId="14" applyNumberFormat="1" applyFont="1"/>
    <xf numFmtId="165" fontId="44" fillId="2" borderId="0" xfId="38" applyNumberFormat="1" applyFont="1" applyFill="1" applyBorder="1" applyAlignment="1">
      <alignment horizontal="center" vertical="center"/>
    </xf>
    <xf numFmtId="2" fontId="27" fillId="0" borderId="0" xfId="0" applyNumberFormat="1" applyFont="1"/>
    <xf numFmtId="177" fontId="55" fillId="0" borderId="0" xfId="0" applyNumberFormat="1" applyFont="1" applyBorder="1"/>
    <xf numFmtId="166" fontId="27" fillId="0" borderId="0" xfId="2" applyNumberFormat="1" applyFont="1" applyBorder="1"/>
    <xf numFmtId="1" fontId="88" fillId="11" borderId="0" xfId="5" applyNumberFormat="1" applyFont="1" applyFill="1" applyAlignment="1">
      <alignment horizontal="center" vertical="center"/>
    </xf>
    <xf numFmtId="1" fontId="88" fillId="0" borderId="0" xfId="5" applyNumberFormat="1" applyFont="1" applyFill="1" applyAlignment="1">
      <alignment horizontal="center" vertical="center"/>
    </xf>
    <xf numFmtId="0" fontId="60" fillId="0" borderId="0" xfId="0" applyFont="1" applyFill="1" applyAlignment="1">
      <alignment vertical="center"/>
    </xf>
    <xf numFmtId="170" fontId="60" fillId="0" borderId="0" xfId="60" applyNumberFormat="1" applyFont="1" applyFill="1" applyBorder="1" applyAlignment="1">
      <alignment horizontal="left" vertical="center"/>
    </xf>
    <xf numFmtId="0" fontId="60" fillId="16" borderId="0" xfId="0" applyFont="1" applyFill="1" applyAlignment="1">
      <alignment vertical="center"/>
    </xf>
    <xf numFmtId="170" fontId="60" fillId="0" borderId="0" xfId="60" applyNumberFormat="1" applyFont="1" applyFill="1" applyBorder="1" applyAlignment="1">
      <alignment horizontal="right" vertical="center"/>
    </xf>
    <xf numFmtId="0" fontId="85" fillId="0" borderId="0" xfId="0" applyFont="1" applyFill="1" applyBorder="1" applyAlignment="1">
      <alignment vertical="center"/>
    </xf>
    <xf numFmtId="0" fontId="85" fillId="0" borderId="0" xfId="0" applyFont="1" applyFill="1" applyAlignment="1">
      <alignment vertical="center"/>
    </xf>
    <xf numFmtId="170" fontId="60" fillId="0" borderId="0" xfId="60" applyNumberFormat="1" applyFont="1" applyFill="1" applyAlignment="1">
      <alignment vertical="center"/>
    </xf>
    <xf numFmtId="3" fontId="27" fillId="0" borderId="0" xfId="0" applyNumberFormat="1" applyFont="1" applyAlignment="1">
      <alignment vertical="center"/>
    </xf>
    <xf numFmtId="3" fontId="60" fillId="0" borderId="0" xfId="0" applyNumberFormat="1" applyFont="1" applyFill="1" applyAlignment="1">
      <alignment vertical="center"/>
    </xf>
    <xf numFmtId="3" fontId="85" fillId="0" borderId="2" xfId="0" applyNumberFormat="1" applyFont="1" applyFill="1" applyBorder="1" applyAlignment="1">
      <alignment vertical="center"/>
    </xf>
    <xf numFmtId="166" fontId="60" fillId="0" borderId="0" xfId="2" applyNumberFormat="1" applyFont="1" applyFill="1" applyAlignment="1">
      <alignment vertical="center"/>
    </xf>
    <xf numFmtId="0" fontId="86" fillId="0" borderId="0" xfId="0" applyFont="1" applyFill="1" applyAlignment="1">
      <alignment vertical="center"/>
    </xf>
    <xf numFmtId="3" fontId="67" fillId="0" borderId="0" xfId="0" applyNumberFormat="1" applyFont="1" applyFill="1" applyAlignment="1">
      <alignment vertical="center"/>
    </xf>
    <xf numFmtId="3" fontId="67" fillId="0" borderId="0" xfId="0" applyNumberFormat="1" applyFont="1" applyAlignment="1">
      <alignment vertical="center"/>
    </xf>
    <xf numFmtId="9" fontId="60" fillId="0" borderId="0" xfId="2" applyFont="1" applyFill="1" applyAlignment="1">
      <alignment horizontal="center" vertical="center"/>
    </xf>
    <xf numFmtId="3" fontId="27" fillId="16" borderId="0" xfId="0" applyNumberFormat="1" applyFont="1" applyFill="1"/>
    <xf numFmtId="9" fontId="35" fillId="5" borderId="0" xfId="50" applyFont="1" applyFill="1" applyBorder="1" applyAlignment="1">
      <alignment horizontal="center" vertical="center"/>
    </xf>
    <xf numFmtId="165" fontId="40" fillId="5" borderId="0" xfId="5" applyNumberFormat="1" applyFont="1" applyFill="1" applyBorder="1" applyAlignment="1">
      <alignment horizontal="center" vertical="center"/>
    </xf>
    <xf numFmtId="3" fontId="9" fillId="0" borderId="2" xfId="1" applyNumberFormat="1" applyFont="1" applyBorder="1" applyAlignment="1">
      <alignment vertical="center"/>
    </xf>
    <xf numFmtId="4" fontId="48" fillId="5" borderId="0" xfId="0" applyNumberFormat="1" applyFont="1" applyFill="1" applyAlignment="1">
      <alignment horizontal="left"/>
    </xf>
    <xf numFmtId="170" fontId="48" fillId="5" borderId="0" xfId="60" applyNumberFormat="1" applyFont="1" applyFill="1" applyBorder="1" applyAlignment="1">
      <alignment horizontal="center" vertical="center"/>
    </xf>
    <xf numFmtId="172" fontId="30" fillId="10" borderId="0" xfId="45" applyNumberFormat="1" applyFont="1" applyFill="1" applyBorder="1" applyAlignment="1">
      <alignment horizontal="center" vertical="center"/>
    </xf>
    <xf numFmtId="167" fontId="97" fillId="0" borderId="0" xfId="70" applyNumberFormat="1" applyFont="1" applyBorder="1"/>
    <xf numFmtId="167" fontId="40" fillId="0" borderId="0" xfId="14" applyNumberFormat="1" applyFont="1"/>
    <xf numFmtId="0" fontId="97" fillId="0" borderId="0" xfId="49" applyFont="1"/>
    <xf numFmtId="0" fontId="98" fillId="0" borderId="0" xfId="14" applyFont="1" applyFill="1" applyBorder="1"/>
    <xf numFmtId="0" fontId="29" fillId="0" borderId="0" xfId="14" applyFont="1"/>
    <xf numFmtId="0" fontId="55" fillId="0" borderId="0" xfId="0" applyFont="1" applyAlignment="1">
      <alignment horizontal="left" vertical="center"/>
    </xf>
    <xf numFmtId="38" fontId="46" fillId="0" borderId="2" xfId="0" applyNumberFormat="1" applyFont="1" applyBorder="1" applyAlignment="1">
      <alignment vertical="center"/>
    </xf>
    <xf numFmtId="0" fontId="27" fillId="5" borderId="0" xfId="0" applyFont="1" applyFill="1" applyAlignment="1">
      <alignment horizontal="center" vertical="center"/>
    </xf>
    <xf numFmtId="166" fontId="27" fillId="5" borderId="0" xfId="2" applyNumberFormat="1" applyFont="1" applyFill="1" applyAlignment="1">
      <alignment horizontal="center" vertical="center"/>
    </xf>
    <xf numFmtId="180" fontId="35" fillId="0" borderId="0" xfId="45" applyNumberFormat="1" applyFont="1" applyFill="1" applyBorder="1" applyAlignment="1">
      <alignment horizontal="center" vertical="center"/>
    </xf>
    <xf numFmtId="0" fontId="55" fillId="0" borderId="38" xfId="0" applyFont="1" applyBorder="1" applyAlignment="1">
      <alignment horizontal="center" vertical="center"/>
    </xf>
    <xf numFmtId="0" fontId="55" fillId="0" borderId="39" xfId="0" applyFont="1" applyBorder="1" applyAlignment="1">
      <alignment horizontal="center" vertical="center"/>
    </xf>
    <xf numFmtId="0" fontId="27" fillId="0" borderId="36" xfId="0" applyFont="1" applyBorder="1" applyAlignment="1">
      <alignment vertical="center"/>
    </xf>
    <xf numFmtId="180" fontId="27" fillId="0" borderId="40" xfId="0" applyNumberFormat="1" applyFont="1" applyBorder="1" applyAlignment="1">
      <alignment horizontal="center" vertical="center"/>
    </xf>
    <xf numFmtId="1" fontId="27" fillId="0" borderId="40" xfId="0" applyNumberFormat="1" applyFont="1" applyBorder="1" applyAlignment="1">
      <alignment horizontal="center" vertical="center"/>
    </xf>
    <xf numFmtId="0" fontId="28" fillId="0" borderId="0" xfId="48" applyFont="1" applyAlignment="1">
      <alignment vertical="center"/>
    </xf>
    <xf numFmtId="0" fontId="28" fillId="0" borderId="0" xfId="48" applyFont="1" applyAlignment="1">
      <alignment horizontal="right" vertical="center"/>
    </xf>
    <xf numFmtId="166" fontId="35" fillId="0" borderId="0" xfId="2" applyNumberFormat="1" applyFont="1"/>
    <xf numFmtId="166" fontId="35" fillId="0" borderId="0" xfId="2" applyNumberFormat="1" applyFont="1" applyBorder="1"/>
    <xf numFmtId="166" fontId="28" fillId="0" borderId="0" xfId="2" applyNumberFormat="1" applyFont="1"/>
    <xf numFmtId="2" fontId="35" fillId="0" borderId="0" xfId="14" applyNumberFormat="1" applyFont="1"/>
    <xf numFmtId="167" fontId="35" fillId="0" borderId="0" xfId="71" applyNumberFormat="1" applyFont="1" applyFill="1"/>
    <xf numFmtId="167" fontId="40" fillId="0" borderId="0" xfId="71" applyNumberFormat="1" applyFont="1" applyFill="1" applyBorder="1"/>
    <xf numFmtId="0" fontId="35" fillId="0" borderId="0" xfId="67" applyFont="1" applyFill="1" applyAlignment="1">
      <alignment horizontal="left" indent="4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65" fontId="44" fillId="2" borderId="0" xfId="5" applyNumberFormat="1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179" fontId="0" fillId="0" borderId="0" xfId="0" applyNumberFormat="1" applyAlignment="1">
      <alignment vertical="center"/>
    </xf>
    <xf numFmtId="0" fontId="102" fillId="0" borderId="0" xfId="0" applyFont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77" fillId="0" borderId="0" xfId="0" applyFont="1" applyAlignment="1">
      <alignment horizontal="center" vertical="center"/>
    </xf>
    <xf numFmtId="179" fontId="103" fillId="0" borderId="0" xfId="0" applyNumberFormat="1" applyFont="1" applyAlignment="1">
      <alignment vertical="center"/>
    </xf>
    <xf numFmtId="0" fontId="82" fillId="0" borderId="0" xfId="0" applyFont="1" applyAlignment="1">
      <alignment vertical="center"/>
    </xf>
    <xf numFmtId="0" fontId="0" fillId="0" borderId="29" xfId="4" applyFont="1" applyFill="1" applyBorder="1"/>
    <xf numFmtId="177" fontId="0" fillId="0" borderId="0" xfId="0" applyNumberFormat="1" applyAlignment="1">
      <alignment vertical="center"/>
    </xf>
    <xf numFmtId="0" fontId="70" fillId="0" borderId="0" xfId="14" applyFont="1"/>
    <xf numFmtId="0" fontId="70" fillId="0" borderId="0" xfId="14" applyFont="1" applyAlignment="1">
      <alignment horizontal="center" vertical="center"/>
    </xf>
    <xf numFmtId="167" fontId="35" fillId="16" borderId="0" xfId="71" applyNumberFormat="1" applyFont="1" applyFill="1" applyBorder="1"/>
    <xf numFmtId="181" fontId="40" fillId="16" borderId="4" xfId="2" applyNumberFormat="1" applyFont="1" applyFill="1" applyBorder="1" applyAlignment="1">
      <alignment horizontal="center"/>
    </xf>
    <xf numFmtId="165" fontId="40" fillId="11" borderId="4" xfId="69" applyNumberFormat="1" applyFont="1" applyFill="1" applyBorder="1" applyAlignment="1">
      <alignment horizontal="center" vertical="center"/>
    </xf>
    <xf numFmtId="181" fontId="40" fillId="11" borderId="4" xfId="2" applyNumberFormat="1" applyFont="1" applyFill="1" applyBorder="1" applyAlignment="1">
      <alignment horizontal="center"/>
    </xf>
    <xf numFmtId="1" fontId="35" fillId="11" borderId="0" xfId="2" applyNumberFormat="1" applyFont="1" applyFill="1" applyAlignment="1">
      <alignment horizontal="center"/>
    </xf>
    <xf numFmtId="0" fontId="77" fillId="0" borderId="4" xfId="0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 wrapText="1"/>
    </xf>
    <xf numFmtId="0" fontId="35" fillId="0" borderId="0" xfId="45" applyFont="1" applyAlignment="1">
      <alignment vertical="center"/>
    </xf>
    <xf numFmtId="1" fontId="35" fillId="0" borderId="0" xfId="4" applyNumberFormat="1" applyFont="1" applyAlignment="1">
      <alignment horizontal="left"/>
    </xf>
    <xf numFmtId="0" fontId="40" fillId="0" borderId="0" xfId="45" applyFont="1" applyAlignment="1">
      <alignment vertical="center"/>
    </xf>
    <xf numFmtId="0" fontId="104" fillId="0" borderId="0" xfId="45" applyFont="1" applyAlignment="1">
      <alignment vertical="center"/>
    </xf>
    <xf numFmtId="0" fontId="35" fillId="0" borderId="0" xfId="45" applyFont="1" applyAlignment="1">
      <alignment horizontal="center" vertical="center"/>
    </xf>
    <xf numFmtId="0" fontId="35" fillId="0" borderId="4" xfId="45" applyFont="1" applyBorder="1" applyAlignment="1">
      <alignment vertical="center"/>
    </xf>
    <xf numFmtId="0" fontId="40" fillId="0" borderId="7" xfId="45" applyFont="1" applyBorder="1" applyAlignment="1">
      <alignment vertical="center"/>
    </xf>
    <xf numFmtId="0" fontId="35" fillId="0" borderId="2" xfId="45" applyFont="1" applyBorder="1" applyAlignment="1">
      <alignment vertical="center"/>
    </xf>
    <xf numFmtId="0" fontId="35" fillId="0" borderId="5" xfId="45" applyFont="1" applyBorder="1" applyAlignment="1">
      <alignment vertical="center"/>
    </xf>
    <xf numFmtId="0" fontId="35" fillId="0" borderId="10" xfId="45" applyFont="1" applyBorder="1" applyAlignment="1">
      <alignment vertical="center"/>
    </xf>
    <xf numFmtId="0" fontId="35" fillId="0" borderId="9" xfId="45" applyFont="1" applyBorder="1" applyAlignment="1">
      <alignment vertical="center"/>
    </xf>
    <xf numFmtId="165" fontId="30" fillId="2" borderId="10" xfId="18" applyNumberFormat="1" applyFont="1" applyFill="1" applyBorder="1" applyAlignment="1">
      <alignment horizontal="center" vertical="center"/>
    </xf>
    <xf numFmtId="177" fontId="35" fillId="0" borderId="0" xfId="70" applyNumberFormat="1" applyFont="1" applyBorder="1" applyAlignment="1">
      <alignment vertical="center"/>
    </xf>
    <xf numFmtId="167" fontId="35" fillId="0" borderId="0" xfId="70" applyNumberFormat="1" applyFont="1" applyBorder="1" applyAlignment="1">
      <alignment vertical="center"/>
    </xf>
    <xf numFmtId="0" fontId="40" fillId="0" borderId="10" xfId="45" applyFont="1" applyBorder="1" applyAlignment="1">
      <alignment vertical="center"/>
    </xf>
    <xf numFmtId="166" fontId="35" fillId="18" borderId="0" xfId="95" applyNumberFormat="1" applyFont="1" applyFill="1" applyBorder="1" applyAlignment="1">
      <alignment horizontal="center" vertical="center"/>
    </xf>
    <xf numFmtId="1" fontId="35" fillId="18" borderId="0" xfId="95" applyNumberFormat="1" applyFont="1" applyFill="1" applyBorder="1" applyAlignment="1">
      <alignment horizontal="center" vertical="center"/>
    </xf>
    <xf numFmtId="170" fontId="35" fillId="0" borderId="0" xfId="60" applyNumberFormat="1" applyFont="1" applyBorder="1" applyAlignment="1">
      <alignment vertical="center"/>
    </xf>
    <xf numFmtId="166" fontId="35" fillId="19" borderId="0" xfId="95" applyNumberFormat="1" applyFont="1" applyFill="1" applyBorder="1" applyAlignment="1">
      <alignment horizontal="center" vertical="center"/>
    </xf>
    <xf numFmtId="12" fontId="35" fillId="0" borderId="0" xfId="45" applyNumberFormat="1" applyFont="1" applyBorder="1" applyAlignment="1">
      <alignment horizontal="center" vertical="center"/>
    </xf>
    <xf numFmtId="43" fontId="35" fillId="0" borderId="0" xfId="60" applyNumberFormat="1" applyFont="1" applyFill="1" applyBorder="1" applyAlignment="1">
      <alignment horizontal="center" vertical="center"/>
    </xf>
    <xf numFmtId="177" fontId="35" fillId="0" borderId="0" xfId="45" applyNumberFormat="1" applyFont="1" applyBorder="1" applyAlignment="1">
      <alignment vertical="center"/>
    </xf>
    <xf numFmtId="9" fontId="35" fillId="0" borderId="0" xfId="2" applyFont="1" applyAlignment="1">
      <alignment vertical="center"/>
    </xf>
    <xf numFmtId="166" fontId="35" fillId="0" borderId="0" xfId="95" applyNumberFormat="1" applyFont="1" applyFill="1" applyBorder="1" applyAlignment="1">
      <alignment horizontal="center" vertical="center"/>
    </xf>
    <xf numFmtId="166" fontId="35" fillId="0" borderId="0" xfId="95" applyNumberFormat="1" applyFont="1" applyBorder="1" applyAlignment="1">
      <alignment vertical="center"/>
    </xf>
    <xf numFmtId="43" fontId="35" fillId="0" borderId="0" xfId="60" applyNumberFormat="1" applyFont="1" applyFill="1" applyBorder="1" applyAlignment="1">
      <alignment vertical="center"/>
    </xf>
    <xf numFmtId="0" fontId="35" fillId="0" borderId="1" xfId="45" applyFont="1" applyBorder="1" applyAlignment="1">
      <alignment vertical="center"/>
    </xf>
    <xf numFmtId="177" fontId="40" fillId="0" borderId="4" xfId="70" applyNumberFormat="1" applyFont="1" applyBorder="1" applyAlignment="1">
      <alignment vertical="center"/>
    </xf>
    <xf numFmtId="0" fontId="35" fillId="0" borderId="8" xfId="45" applyFont="1" applyBorder="1" applyAlignment="1">
      <alignment vertical="center"/>
    </xf>
    <xf numFmtId="0" fontId="105" fillId="0" borderId="0" xfId="0" applyFont="1"/>
    <xf numFmtId="177" fontId="35" fillId="0" borderId="0" xfId="1" applyNumberFormat="1" applyFont="1" applyBorder="1" applyAlignment="1">
      <alignment vertical="center"/>
    </xf>
    <xf numFmtId="166" fontId="48" fillId="0" borderId="0" xfId="2" applyNumberFormat="1" applyFont="1"/>
    <xf numFmtId="1" fontId="29" fillId="0" borderId="0" xfId="6" applyNumberFormat="1" applyFont="1" applyBorder="1" applyAlignment="1">
      <alignment horizontal="right" vertical="center"/>
    </xf>
    <xf numFmtId="0" fontId="51" fillId="0" borderId="0" xfId="0" applyFont="1" applyFill="1"/>
    <xf numFmtId="3" fontId="6" fillId="0" borderId="32" xfId="85" applyNumberFormat="1" applyFont="1" applyFill="1" applyBorder="1"/>
    <xf numFmtId="0" fontId="76" fillId="0" borderId="0" xfId="45" applyFont="1" applyAlignment="1">
      <alignment vertical="center"/>
    </xf>
    <xf numFmtId="164" fontId="30" fillId="2" borderId="10" xfId="10" applyFont="1" applyFill="1" applyBorder="1" applyAlignment="1">
      <alignment horizontal="left" vertical="center"/>
    </xf>
    <xf numFmtId="164" fontId="40" fillId="0" borderId="0" xfId="10" applyFont="1" applyAlignment="1">
      <alignment vertical="center"/>
    </xf>
    <xf numFmtId="164" fontId="28" fillId="0" borderId="0" xfId="16" applyFont="1" applyAlignment="1">
      <alignment vertical="center"/>
    </xf>
    <xf numFmtId="164" fontId="30" fillId="2" borderId="7" xfId="10" applyFont="1" applyFill="1" applyBorder="1" applyAlignment="1">
      <alignment horizontal="center" vertical="center"/>
    </xf>
    <xf numFmtId="167" fontId="39" fillId="0" borderId="7" xfId="7" applyNumberFormat="1" applyFont="1" applyBorder="1" applyAlignment="1">
      <alignment vertical="center"/>
    </xf>
    <xf numFmtId="167" fontId="39" fillId="0" borderId="2" xfId="7" applyNumberFormat="1" applyFont="1" applyBorder="1" applyAlignment="1">
      <alignment vertical="center"/>
    </xf>
    <xf numFmtId="167" fontId="39" fillId="0" borderId="5" xfId="7" applyNumberFormat="1" applyFont="1" applyBorder="1" applyAlignment="1">
      <alignment vertical="center"/>
    </xf>
    <xf numFmtId="167" fontId="39" fillId="0" borderId="10" xfId="7" applyNumberFormat="1" applyFont="1" applyBorder="1" applyAlignment="1">
      <alignment vertical="center"/>
    </xf>
    <xf numFmtId="167" fontId="39" fillId="0" borderId="0" xfId="7" applyNumberFormat="1" applyFont="1" applyBorder="1" applyAlignment="1">
      <alignment vertical="center"/>
    </xf>
    <xf numFmtId="167" fontId="39" fillId="0" borderId="9" xfId="7" applyNumberFormat="1" applyFont="1" applyBorder="1" applyAlignment="1">
      <alignment vertical="center"/>
    </xf>
    <xf numFmtId="167" fontId="39" fillId="0" borderId="1" xfId="7" applyNumberFormat="1" applyFont="1" applyBorder="1" applyAlignment="1">
      <alignment vertical="center"/>
    </xf>
    <xf numFmtId="167" fontId="39" fillId="0" borderId="4" xfId="7" applyNumberFormat="1" applyFont="1" applyBorder="1" applyAlignment="1">
      <alignment vertical="center"/>
    </xf>
    <xf numFmtId="167" fontId="39" fillId="0" borderId="8" xfId="7" applyNumberFormat="1" applyFont="1" applyBorder="1" applyAlignment="1">
      <alignment vertical="center"/>
    </xf>
    <xf numFmtId="167" fontId="98" fillId="0" borderId="4" xfId="7" applyNumberFormat="1" applyFont="1" applyBorder="1" applyAlignment="1">
      <alignment vertical="center"/>
    </xf>
    <xf numFmtId="167" fontId="98" fillId="0" borderId="8" xfId="7" applyNumberFormat="1" applyFont="1" applyBorder="1" applyAlignment="1">
      <alignment vertical="center"/>
    </xf>
    <xf numFmtId="167" fontId="35" fillId="0" borderId="0" xfId="17" applyNumberFormat="1" applyFont="1" applyFill="1" applyBorder="1" applyAlignment="1">
      <alignment vertical="center"/>
    </xf>
    <xf numFmtId="167" fontId="28" fillId="0" borderId="0" xfId="7" applyNumberFormat="1" applyFont="1" applyAlignment="1">
      <alignment vertical="center"/>
    </xf>
    <xf numFmtId="167" fontId="40" fillId="0" borderId="0" xfId="7" applyNumberFormat="1" applyFont="1" applyBorder="1" applyAlignment="1">
      <alignment horizontal="center" vertical="center"/>
    </xf>
    <xf numFmtId="167" fontId="28" fillId="0" borderId="0" xfId="7" applyNumberFormat="1" applyFont="1" applyFill="1" applyBorder="1" applyAlignment="1">
      <alignment horizontal="center" vertical="center"/>
    </xf>
    <xf numFmtId="167" fontId="35" fillId="0" borderId="0" xfId="7" applyNumberFormat="1" applyFont="1" applyFill="1" applyBorder="1" applyAlignment="1">
      <alignment horizontal="center" vertical="center"/>
    </xf>
    <xf numFmtId="167" fontId="35" fillId="0" borderId="0" xfId="7" applyNumberFormat="1" applyFont="1" applyFill="1" applyBorder="1" applyAlignment="1">
      <alignment vertical="center"/>
    </xf>
    <xf numFmtId="9" fontId="28" fillId="0" borderId="0" xfId="2" applyFont="1" applyAlignment="1">
      <alignment vertical="center"/>
    </xf>
    <xf numFmtId="164" fontId="30" fillId="2" borderId="0" xfId="16" applyFont="1" applyFill="1" applyAlignment="1">
      <alignment vertical="center"/>
    </xf>
    <xf numFmtId="167" fontId="25" fillId="0" borderId="0" xfId="15" applyNumberFormat="1" applyFont="1" applyAlignment="1">
      <alignment vertical="center"/>
    </xf>
    <xf numFmtId="167" fontId="28" fillId="0" borderId="0" xfId="15" applyNumberFormat="1" applyFont="1" applyAlignment="1">
      <alignment vertical="center"/>
    </xf>
    <xf numFmtId="164" fontId="28" fillId="0" borderId="0" xfId="16" applyFont="1" applyFill="1" applyAlignment="1">
      <alignment vertical="center"/>
    </xf>
    <xf numFmtId="164" fontId="25" fillId="0" borderId="0" xfId="16" applyFont="1" applyFill="1" applyAlignment="1">
      <alignment vertical="center"/>
    </xf>
    <xf numFmtId="167" fontId="33" fillId="0" borderId="0" xfId="7" applyNumberFormat="1" applyFont="1" applyAlignment="1">
      <alignment vertical="center"/>
    </xf>
    <xf numFmtId="164" fontId="35" fillId="0" borderId="0" xfId="21" applyFont="1" applyBorder="1" applyAlignment="1">
      <alignment horizontal="center" vertical="center"/>
    </xf>
    <xf numFmtId="37" fontId="28" fillId="0" borderId="0" xfId="22" applyNumberFormat="1" applyFont="1" applyAlignment="1">
      <alignment horizontal="center" vertical="center"/>
    </xf>
    <xf numFmtId="164" fontId="35" fillId="0" borderId="0" xfId="21" applyFont="1" applyFill="1" applyBorder="1" applyAlignment="1">
      <alignment horizontal="center" vertical="center"/>
    </xf>
    <xf numFmtId="167" fontId="28" fillId="0" borderId="0" xfId="22" applyNumberFormat="1" applyFont="1" applyFill="1" applyAlignment="1">
      <alignment vertical="center"/>
    </xf>
    <xf numFmtId="167" fontId="28" fillId="0" borderId="4" xfId="22" applyNumberFormat="1" applyFont="1" applyFill="1" applyBorder="1" applyAlignment="1">
      <alignment vertical="center"/>
    </xf>
    <xf numFmtId="167" fontId="29" fillId="0" borderId="2" xfId="22" applyNumberFormat="1" applyFont="1" applyBorder="1" applyAlignment="1">
      <alignment vertical="center"/>
    </xf>
    <xf numFmtId="167" fontId="29" fillId="0" borderId="0" xfId="22" applyNumberFormat="1" applyFont="1" applyBorder="1" applyAlignment="1">
      <alignment vertical="center"/>
    </xf>
    <xf numFmtId="164" fontId="35" fillId="0" borderId="0" xfId="23" applyFont="1" applyFill="1" applyBorder="1" applyAlignment="1">
      <alignment horizontal="center" vertical="center"/>
    </xf>
    <xf numFmtId="167" fontId="29" fillId="0" borderId="0" xfId="7" applyNumberFormat="1" applyFont="1" applyBorder="1" applyAlignment="1">
      <alignment horizontal="center" vertical="center"/>
    </xf>
    <xf numFmtId="164" fontId="35" fillId="3" borderId="0" xfId="21" applyFont="1" applyFill="1" applyBorder="1" applyAlignment="1">
      <alignment horizontal="center" vertical="center"/>
    </xf>
    <xf numFmtId="37" fontId="28" fillId="3" borderId="0" xfId="22" applyNumberFormat="1" applyFont="1" applyFill="1" applyAlignment="1">
      <alignment horizontal="center" vertical="center"/>
    </xf>
    <xf numFmtId="167" fontId="28" fillId="3" borderId="0" xfId="22" applyNumberFormat="1" applyFont="1" applyFill="1" applyAlignment="1">
      <alignment vertical="center"/>
    </xf>
    <xf numFmtId="167" fontId="28" fillId="3" borderId="4" xfId="22" applyNumberFormat="1" applyFont="1" applyFill="1" applyBorder="1" applyAlignment="1">
      <alignment vertical="center"/>
    </xf>
    <xf numFmtId="167" fontId="29" fillId="3" borderId="0" xfId="22" applyNumberFormat="1" applyFont="1" applyFill="1" applyBorder="1" applyAlignment="1">
      <alignment vertical="center"/>
    </xf>
    <xf numFmtId="164" fontId="35" fillId="3" borderId="0" xfId="23" applyFont="1" applyFill="1" applyBorder="1" applyAlignment="1">
      <alignment horizontal="center" vertical="center"/>
    </xf>
    <xf numFmtId="167" fontId="29" fillId="3" borderId="0" xfId="7" applyNumberFormat="1" applyFont="1" applyFill="1" applyBorder="1" applyAlignment="1">
      <alignment horizontal="center" vertical="center"/>
    </xf>
    <xf numFmtId="167" fontId="28" fillId="3" borderId="0" xfId="22" applyNumberFormat="1" applyFont="1" applyFill="1" applyBorder="1" applyAlignment="1">
      <alignment vertical="center"/>
    </xf>
    <xf numFmtId="167" fontId="28" fillId="0" borderId="0" xfId="22" applyNumberFormat="1" applyFont="1" applyAlignment="1">
      <alignment vertical="center"/>
    </xf>
    <xf numFmtId="1" fontId="43" fillId="0" borderId="0" xfId="6" applyNumberFormat="1" applyFont="1" applyBorder="1" applyAlignment="1">
      <alignment vertical="center"/>
    </xf>
    <xf numFmtId="164" fontId="44" fillId="2" borderId="2" xfId="42" applyFont="1" applyFill="1" applyBorder="1" applyAlignment="1">
      <alignment horizontal="center" vertical="center"/>
    </xf>
    <xf numFmtId="3" fontId="48" fillId="17" borderId="0" xfId="0" applyNumberFormat="1" applyFont="1" applyFill="1" applyAlignment="1">
      <alignment horizontal="right"/>
    </xf>
    <xf numFmtId="3" fontId="21" fillId="17" borderId="0" xfId="0" applyNumberFormat="1" applyFont="1" applyFill="1" applyAlignment="1">
      <alignment horizontal="right"/>
    </xf>
    <xf numFmtId="3" fontId="35" fillId="3" borderId="0" xfId="45" applyNumberFormat="1" applyFont="1" applyFill="1" applyAlignment="1">
      <alignment vertical="center"/>
    </xf>
    <xf numFmtId="3" fontId="35" fillId="0" borderId="0" xfId="45" applyNumberFormat="1" applyFont="1" applyFill="1" applyAlignment="1">
      <alignment vertical="center"/>
    </xf>
    <xf numFmtId="182" fontId="35" fillId="3" borderId="0" xfId="45" applyNumberFormat="1" applyFont="1" applyFill="1" applyAlignment="1">
      <alignment vertical="center"/>
    </xf>
    <xf numFmtId="49" fontId="48" fillId="0" borderId="0" xfId="79" applyNumberFormat="1" applyFont="1" applyBorder="1" applyAlignment="1">
      <alignment horizontal="left" vertical="center"/>
    </xf>
    <xf numFmtId="3" fontId="64" fillId="0" borderId="0" xfId="76" applyFont="1" applyFill="1" applyBorder="1" applyAlignment="1">
      <alignment vertical="center"/>
    </xf>
    <xf numFmtId="3" fontId="64" fillId="0" borderId="0" xfId="76" applyFont="1" applyFill="1" applyBorder="1" applyAlignment="1">
      <alignment horizontal="center" vertical="center"/>
    </xf>
    <xf numFmtId="6" fontId="35" fillId="0" borderId="0" xfId="45" applyNumberFormat="1" applyFont="1" applyFill="1" applyBorder="1" applyAlignment="1">
      <alignment vertical="center"/>
    </xf>
    <xf numFmtId="0" fontId="106" fillId="0" borderId="0" xfId="0" applyFont="1" applyFill="1" applyAlignment="1">
      <alignment vertical="center"/>
    </xf>
    <xf numFmtId="9" fontId="35" fillId="0" borderId="0" xfId="2" applyFont="1" applyBorder="1" applyAlignment="1">
      <alignment horizontal="right" vertical="center"/>
    </xf>
    <xf numFmtId="9" fontId="35" fillId="13" borderId="0" xfId="2" applyFont="1" applyFill="1" applyAlignment="1">
      <alignment horizontal="center"/>
    </xf>
    <xf numFmtId="164" fontId="40" fillId="0" borderId="0" xfId="10" applyFont="1" applyAlignment="1">
      <alignment horizontal="left"/>
    </xf>
    <xf numFmtId="164" fontId="40" fillId="0" borderId="0" xfId="12" applyFont="1" applyFill="1" applyBorder="1" applyAlignment="1">
      <alignment horizontal="center"/>
    </xf>
    <xf numFmtId="164" fontId="30" fillId="0" borderId="0" xfId="10" applyFont="1" applyAlignment="1">
      <alignment horizontal="left"/>
    </xf>
    <xf numFmtId="1" fontId="41" fillId="0" borderId="0" xfId="12" applyNumberFormat="1" applyFont="1" applyFill="1"/>
    <xf numFmtId="3" fontId="60" fillId="16" borderId="0" xfId="0" applyNumberFormat="1" applyFont="1" applyFill="1" applyAlignment="1">
      <alignment vertical="center"/>
    </xf>
    <xf numFmtId="170" fontId="60" fillId="0" borderId="0" xfId="60" applyNumberFormat="1" applyFont="1" applyFill="1" applyBorder="1" applyAlignment="1">
      <alignment horizontal="center" vertical="center"/>
    </xf>
    <xf numFmtId="9" fontId="27" fillId="0" borderId="0" xfId="2" applyFont="1"/>
    <xf numFmtId="170" fontId="27" fillId="0" borderId="0" xfId="36" applyNumberFormat="1" applyFont="1"/>
    <xf numFmtId="170" fontId="27" fillId="0" borderId="0" xfId="0" applyNumberFormat="1" applyFont="1"/>
    <xf numFmtId="170" fontId="55" fillId="0" borderId="2" xfId="0" applyNumberFormat="1" applyFont="1" applyBorder="1"/>
    <xf numFmtId="183" fontId="27" fillId="0" borderId="0" xfId="1" applyNumberFormat="1" applyFont="1"/>
    <xf numFmtId="170" fontId="55" fillId="0" borderId="0" xfId="0" applyNumberFormat="1" applyFont="1" applyBorder="1"/>
    <xf numFmtId="167" fontId="27" fillId="0" borderId="0" xfId="1" applyNumberFormat="1" applyFont="1"/>
    <xf numFmtId="43" fontId="27" fillId="0" borderId="0" xfId="0" applyNumberFormat="1" applyFont="1"/>
    <xf numFmtId="9" fontId="27" fillId="0" borderId="0" xfId="2" applyNumberFormat="1" applyFont="1" applyFill="1" applyAlignment="1">
      <alignment horizontal="center" vertical="center"/>
    </xf>
    <xf numFmtId="0" fontId="107" fillId="0" borderId="0" xfId="63" applyFont="1" applyAlignment="1" applyProtection="1">
      <alignment horizontal="left" vertical="center"/>
    </xf>
    <xf numFmtId="0" fontId="44" fillId="0" borderId="0" xfId="93" applyFont="1" applyAlignment="1">
      <alignment vertical="center"/>
    </xf>
    <xf numFmtId="0" fontId="48" fillId="0" borderId="0" xfId="93" applyFont="1" applyFill="1" applyBorder="1" applyAlignment="1">
      <alignment vertical="center"/>
    </xf>
    <xf numFmtId="0" fontId="48" fillId="0" borderId="0" xfId="93" applyFont="1" applyAlignment="1">
      <alignment vertical="center"/>
    </xf>
    <xf numFmtId="0" fontId="48" fillId="0" borderId="0" xfId="93" applyFont="1" applyFill="1" applyAlignment="1">
      <alignment vertical="center"/>
    </xf>
    <xf numFmtId="0" fontId="49" fillId="0" borderId="0" xfId="93" applyFont="1" applyFill="1" applyBorder="1" applyAlignment="1">
      <alignment horizontal="center" vertical="center"/>
    </xf>
    <xf numFmtId="0" fontId="48" fillId="0" borderId="0" xfId="93" applyFont="1" applyBorder="1" applyAlignment="1">
      <alignment horizontal="center" vertical="center"/>
    </xf>
    <xf numFmtId="0" fontId="49" fillId="0" borderId="0" xfId="93" applyFont="1" applyFill="1" applyBorder="1" applyAlignment="1">
      <alignment vertical="center"/>
    </xf>
    <xf numFmtId="167" fontId="48" fillId="0" borderId="0" xfId="70" applyNumberFormat="1" applyFont="1" applyBorder="1" applyAlignment="1">
      <alignment horizontal="center" vertical="center"/>
    </xf>
    <xf numFmtId="170" fontId="48" fillId="0" borderId="0" xfId="93" applyNumberFormat="1" applyFont="1" applyBorder="1" applyAlignment="1">
      <alignment horizontal="center" vertical="center"/>
    </xf>
    <xf numFmtId="170" fontId="48" fillId="0" borderId="0" xfId="93" applyNumberFormat="1" applyFont="1" applyFill="1" applyBorder="1" applyAlignment="1">
      <alignment horizontal="center" vertical="center"/>
    </xf>
    <xf numFmtId="9" fontId="48" fillId="17" borderId="0" xfId="93" applyNumberFormat="1" applyFont="1" applyFill="1" applyBorder="1" applyAlignment="1">
      <alignment horizontal="center" vertical="center"/>
    </xf>
    <xf numFmtId="170" fontId="48" fillId="16" borderId="0" xfId="93" applyNumberFormat="1" applyFont="1" applyFill="1" applyBorder="1" applyAlignment="1">
      <alignment horizontal="center" vertical="center"/>
    </xf>
    <xf numFmtId="0" fontId="49" fillId="0" borderId="0" xfId="93" applyFont="1" applyFill="1" applyAlignment="1">
      <alignment vertical="center"/>
    </xf>
    <xf numFmtId="9" fontId="48" fillId="0" borderId="0" xfId="93" applyNumberFormat="1" applyFont="1" applyFill="1" applyBorder="1" applyAlignment="1">
      <alignment vertical="center"/>
    </xf>
    <xf numFmtId="0" fontId="48" fillId="0" borderId="4" xfId="93" applyFont="1" applyBorder="1" applyAlignment="1">
      <alignment horizontal="center" vertical="center"/>
    </xf>
    <xf numFmtId="167" fontId="48" fillId="0" borderId="0" xfId="93" applyNumberFormat="1" applyFont="1" applyBorder="1" applyAlignment="1">
      <alignment horizontal="center" vertical="center"/>
    </xf>
    <xf numFmtId="9" fontId="48" fillId="0" borderId="0" xfId="62" applyFont="1" applyBorder="1" applyAlignment="1">
      <alignment horizontal="center" vertical="center"/>
    </xf>
    <xf numFmtId="166" fontId="48" fillId="0" borderId="0" xfId="62" applyNumberFormat="1" applyFont="1" applyBorder="1" applyAlignment="1">
      <alignment horizontal="center" vertical="center"/>
    </xf>
    <xf numFmtId="9" fontId="48" fillId="0" borderId="0" xfId="93" applyNumberFormat="1" applyFont="1" applyFill="1" applyBorder="1" applyAlignment="1">
      <alignment horizontal="center" vertical="center"/>
    </xf>
    <xf numFmtId="9" fontId="48" fillId="0" borderId="0" xfId="62" applyFont="1" applyFill="1" applyBorder="1" applyAlignment="1" applyProtection="1">
      <alignment horizontal="center" vertical="center"/>
    </xf>
    <xf numFmtId="0" fontId="48" fillId="0" borderId="0" xfId="93" applyFont="1" applyFill="1" applyBorder="1" applyAlignment="1">
      <alignment horizontal="center" vertical="center"/>
    </xf>
    <xf numFmtId="167" fontId="48" fillId="0" borderId="0" xfId="93" applyNumberFormat="1" applyFont="1" applyFill="1" applyBorder="1" applyAlignment="1">
      <alignment vertical="center"/>
    </xf>
    <xf numFmtId="0" fontId="109" fillId="0" borderId="0" xfId="93" applyFont="1" applyFill="1" applyBorder="1" applyAlignment="1">
      <alignment vertical="center"/>
    </xf>
    <xf numFmtId="1" fontId="5" fillId="0" borderId="0" xfId="37" applyNumberFormat="1" applyFont="1" applyBorder="1"/>
    <xf numFmtId="164" fontId="5" fillId="0" borderId="0" xfId="37" applyFont="1"/>
    <xf numFmtId="167" fontId="5" fillId="0" borderId="0" xfId="37" applyNumberFormat="1" applyFont="1"/>
    <xf numFmtId="10" fontId="5" fillId="0" borderId="0" xfId="39" applyNumberFormat="1" applyFont="1"/>
    <xf numFmtId="1" fontId="5" fillId="0" borderId="0" xfId="37" applyNumberFormat="1" applyFont="1"/>
    <xf numFmtId="164" fontId="44" fillId="2" borderId="0" xfId="42" applyFont="1" applyFill="1" applyBorder="1" applyAlignment="1">
      <alignment horizontal="left" vertical="center"/>
    </xf>
    <xf numFmtId="166" fontId="48" fillId="4" borderId="14" xfId="43" applyNumberFormat="1" applyFont="1" applyFill="1" applyBorder="1" applyAlignment="1" applyProtection="1">
      <alignment horizontal="center" vertical="center"/>
      <protection locked="0"/>
    </xf>
    <xf numFmtId="166" fontId="17" fillId="0" borderId="0" xfId="42" applyNumberFormat="1" applyFont="1"/>
    <xf numFmtId="166" fontId="50" fillId="0" borderId="0" xfId="2" applyNumberFormat="1" applyFont="1"/>
    <xf numFmtId="167" fontId="77" fillId="0" borderId="0" xfId="1" applyNumberFormat="1" applyFont="1" applyFill="1" applyBorder="1" applyAlignment="1">
      <alignment horizontal="center"/>
    </xf>
    <xf numFmtId="166" fontId="81" fillId="3" borderId="29" xfId="74" applyNumberFormat="1" applyFont="1" applyFill="1" applyBorder="1" applyAlignment="1">
      <alignment horizontal="center"/>
    </xf>
    <xf numFmtId="6" fontId="81" fillId="0" borderId="29" xfId="74" applyNumberFormat="1" applyFont="1" applyFill="1" applyBorder="1" applyAlignment="1">
      <alignment horizontal="center"/>
    </xf>
    <xf numFmtId="166" fontId="81" fillId="3" borderId="41" xfId="74" applyNumberFormat="1" applyFont="1" applyFill="1" applyBorder="1" applyAlignment="1">
      <alignment horizontal="center"/>
    </xf>
    <xf numFmtId="6" fontId="81" fillId="0" borderId="41" xfId="74" applyNumberFormat="1" applyFont="1" applyFill="1" applyBorder="1" applyAlignment="1">
      <alignment horizontal="center"/>
    </xf>
    <xf numFmtId="170" fontId="85" fillId="16" borderId="11" xfId="60" applyNumberFormat="1" applyFont="1" applyFill="1" applyBorder="1" applyAlignment="1">
      <alignment horizontal="left" vertical="center" wrapText="1"/>
    </xf>
    <xf numFmtId="3" fontId="85" fillId="16" borderId="11" xfId="0" applyNumberFormat="1" applyFont="1" applyFill="1" applyBorder="1" applyAlignment="1">
      <alignment vertical="center"/>
    </xf>
    <xf numFmtId="170" fontId="85" fillId="0" borderId="0" xfId="60" applyNumberFormat="1" applyFont="1" applyFill="1" applyBorder="1" applyAlignment="1">
      <alignment horizontal="left" vertical="center"/>
    </xf>
    <xf numFmtId="3" fontId="85" fillId="0" borderId="0" xfId="0" applyNumberFormat="1" applyFont="1" applyFill="1" applyBorder="1" applyAlignment="1">
      <alignment vertical="center"/>
    </xf>
    <xf numFmtId="166" fontId="85" fillId="0" borderId="0" xfId="2" applyNumberFormat="1" applyFont="1" applyFill="1" applyBorder="1" applyAlignment="1">
      <alignment vertical="center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66" fontId="0" fillId="0" borderId="0" xfId="2" applyNumberFormat="1" applyFont="1"/>
    <xf numFmtId="9" fontId="88" fillId="0" borderId="0" xfId="2" applyNumberFormat="1" applyFont="1" applyAlignment="1">
      <alignment horizontal="center" vertical="center"/>
    </xf>
    <xf numFmtId="0" fontId="77" fillId="0" borderId="0" xfId="0" applyFont="1" applyAlignment="1">
      <alignment horizontal="center"/>
    </xf>
    <xf numFmtId="177" fontId="0" fillId="0" borderId="0" xfId="0" applyNumberFormat="1" applyAlignment="1">
      <alignment horizontal="center"/>
    </xf>
    <xf numFmtId="177" fontId="77" fillId="0" borderId="0" xfId="0" applyNumberFormat="1" applyFont="1"/>
    <xf numFmtId="166" fontId="27" fillId="13" borderId="0" xfId="2" applyNumberFormat="1" applyFont="1" applyFill="1" applyAlignment="1">
      <alignment horizontal="center"/>
    </xf>
    <xf numFmtId="0" fontId="27" fillId="16" borderId="0" xfId="0" applyFont="1" applyFill="1" applyAlignment="1">
      <alignment horizontal="center" vertical="center"/>
    </xf>
    <xf numFmtId="0" fontId="57" fillId="0" borderId="0" xfId="0" applyFont="1"/>
    <xf numFmtId="166" fontId="57" fillId="0" borderId="0" xfId="2" applyNumberFormat="1" applyFont="1"/>
    <xf numFmtId="0" fontId="27" fillId="13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3" fontId="77" fillId="0" borderId="0" xfId="0" applyNumberFormat="1" applyFont="1"/>
    <xf numFmtId="10" fontId="0" fillId="0" borderId="0" xfId="2" applyNumberFormat="1" applyFont="1"/>
    <xf numFmtId="0" fontId="77" fillId="6" borderId="4" xfId="0" applyFont="1" applyFill="1" applyBorder="1" applyAlignment="1">
      <alignment horizontal="center"/>
    </xf>
    <xf numFmtId="0" fontId="0" fillId="6" borderId="0" xfId="0" applyFont="1" applyFill="1"/>
    <xf numFmtId="177" fontId="0" fillId="6" borderId="0" xfId="0" applyNumberFormat="1" applyFont="1" applyFill="1" applyAlignment="1">
      <alignment horizontal="center"/>
    </xf>
    <xf numFmtId="0" fontId="0" fillId="6" borderId="0" xfId="0" applyFont="1" applyFill="1" applyAlignment="1">
      <alignment horizontal="right"/>
    </xf>
    <xf numFmtId="166" fontId="48" fillId="17" borderId="0" xfId="43" applyNumberFormat="1" applyFont="1" applyFill="1" applyBorder="1" applyAlignment="1" applyProtection="1">
      <alignment horizontal="center" vertical="center"/>
      <protection locked="0"/>
    </xf>
    <xf numFmtId="166" fontId="48" fillId="17" borderId="9" xfId="43" applyNumberFormat="1" applyFont="1" applyFill="1" applyBorder="1" applyAlignment="1" applyProtection="1">
      <alignment horizontal="center" vertical="center"/>
      <protection locked="0"/>
    </xf>
    <xf numFmtId="166" fontId="48" fillId="17" borderId="4" xfId="43" applyNumberFormat="1" applyFont="1" applyFill="1" applyBorder="1" applyAlignment="1" applyProtection="1">
      <alignment horizontal="center" vertical="center"/>
      <protection locked="0"/>
    </xf>
    <xf numFmtId="166" fontId="48" fillId="17" borderId="8" xfId="43" applyNumberFormat="1" applyFont="1" applyFill="1" applyBorder="1" applyAlignment="1" applyProtection="1">
      <alignment horizontal="center" vertical="center"/>
      <protection locked="0"/>
    </xf>
    <xf numFmtId="166" fontId="48" fillId="17" borderId="3" xfId="43" applyNumberFormat="1" applyFont="1" applyFill="1" applyBorder="1" applyAlignment="1" applyProtection="1">
      <alignment horizontal="center" vertical="center"/>
      <protection locked="0"/>
    </xf>
    <xf numFmtId="166" fontId="48" fillId="17" borderId="6" xfId="43" applyNumberFormat="1" applyFont="1" applyFill="1" applyBorder="1" applyAlignment="1" applyProtection="1">
      <alignment horizontal="center" vertical="center"/>
      <protection locked="0"/>
    </xf>
    <xf numFmtId="166" fontId="48" fillId="17" borderId="2" xfId="43" applyNumberFormat="1" applyFont="1" applyFill="1" applyBorder="1" applyAlignment="1" applyProtection="1">
      <alignment horizontal="center" vertical="center"/>
      <protection locked="0"/>
    </xf>
    <xf numFmtId="166" fontId="48" fillId="17" borderId="5" xfId="43" applyNumberFormat="1" applyFont="1" applyFill="1" applyBorder="1" applyAlignment="1" applyProtection="1">
      <alignment horizontal="center" vertical="center"/>
      <protection locked="0"/>
    </xf>
    <xf numFmtId="10" fontId="60" fillId="0" borderId="0" xfId="2" applyNumberFormat="1" applyFont="1" applyFill="1" applyAlignment="1">
      <alignment vertical="center"/>
    </xf>
    <xf numFmtId="3" fontId="48" fillId="5" borderId="0" xfId="0" applyNumberFormat="1" applyFont="1" applyFill="1" applyAlignment="1">
      <alignment horizontal="right"/>
    </xf>
    <xf numFmtId="3" fontId="21" fillId="5" borderId="0" xfId="0" applyNumberFormat="1" applyFont="1" applyFill="1" applyAlignment="1">
      <alignment horizontal="right"/>
    </xf>
    <xf numFmtId="3" fontId="48" fillId="21" borderId="0" xfId="0" applyNumberFormat="1" applyFont="1" applyFill="1" applyAlignment="1">
      <alignment horizontal="right"/>
    </xf>
    <xf numFmtId="3" fontId="21" fillId="21" borderId="0" xfId="0" applyNumberFormat="1" applyFont="1" applyFill="1" applyAlignment="1">
      <alignment horizontal="right"/>
    </xf>
    <xf numFmtId="0" fontId="4" fillId="0" borderId="0" xfId="0" applyFont="1" applyAlignment="1"/>
    <xf numFmtId="164" fontId="40" fillId="5" borderId="2" xfId="12" applyFont="1" applyFill="1" applyBorder="1" applyAlignment="1">
      <alignment horizontal="left"/>
    </xf>
    <xf numFmtId="164" fontId="40" fillId="5" borderId="0" xfId="12" applyFont="1" applyFill="1" applyBorder="1" applyAlignment="1">
      <alignment horizontal="left"/>
    </xf>
    <xf numFmtId="0" fontId="35" fillId="5" borderId="0" xfId="45" applyFont="1" applyFill="1" applyBorder="1" applyAlignment="1">
      <alignment horizontal="left" vertical="center"/>
    </xf>
    <xf numFmtId="3" fontId="85" fillId="0" borderId="0" xfId="0" applyNumberFormat="1" applyFont="1" applyFill="1" applyAlignment="1">
      <alignment vertical="center"/>
    </xf>
    <xf numFmtId="170" fontId="85" fillId="23" borderId="11" xfId="60" applyNumberFormat="1" applyFont="1" applyFill="1" applyBorder="1" applyAlignment="1">
      <alignment horizontal="left" vertical="center"/>
    </xf>
    <xf numFmtId="3" fontId="85" fillId="23" borderId="11" xfId="0" applyNumberFormat="1" applyFont="1" applyFill="1" applyBorder="1" applyAlignment="1">
      <alignment vertical="center"/>
    </xf>
    <xf numFmtId="170" fontId="85" fillId="23" borderId="0" xfId="60" applyNumberFormat="1" applyFont="1" applyFill="1" applyBorder="1" applyAlignment="1">
      <alignment horizontal="left" vertical="center"/>
    </xf>
    <xf numFmtId="3" fontId="85" fillId="23" borderId="0" xfId="0" applyNumberFormat="1" applyFont="1" applyFill="1" applyBorder="1" applyAlignment="1">
      <alignment vertical="center"/>
    </xf>
    <xf numFmtId="166" fontId="85" fillId="23" borderId="0" xfId="2" applyNumberFormat="1" applyFont="1" applyFill="1" applyBorder="1" applyAlignment="1">
      <alignment vertical="center"/>
    </xf>
    <xf numFmtId="170" fontId="85" fillId="13" borderId="0" xfId="60" applyNumberFormat="1" applyFont="1" applyFill="1" applyBorder="1" applyAlignment="1">
      <alignment horizontal="left" vertical="center"/>
    </xf>
    <xf numFmtId="3" fontId="85" fillId="13" borderId="0" xfId="0" applyNumberFormat="1" applyFont="1" applyFill="1" applyBorder="1" applyAlignment="1">
      <alignment vertical="center"/>
    </xf>
    <xf numFmtId="166" fontId="85" fillId="13" borderId="0" xfId="2" applyNumberFormat="1" applyFont="1" applyFill="1" applyBorder="1" applyAlignment="1">
      <alignment vertical="center"/>
    </xf>
    <xf numFmtId="170" fontId="85" fillId="24" borderId="11" xfId="60" applyNumberFormat="1" applyFont="1" applyFill="1" applyBorder="1" applyAlignment="1">
      <alignment horizontal="left" vertical="center"/>
    </xf>
    <xf numFmtId="3" fontId="85" fillId="24" borderId="11" xfId="0" applyNumberFormat="1" applyFont="1" applyFill="1" applyBorder="1" applyAlignment="1">
      <alignment vertical="center"/>
    </xf>
    <xf numFmtId="170" fontId="60" fillId="24" borderId="0" xfId="60" applyNumberFormat="1" applyFont="1" applyFill="1" applyBorder="1" applyAlignment="1">
      <alignment horizontal="left" vertical="center"/>
    </xf>
    <xf numFmtId="3" fontId="85" fillId="24" borderId="0" xfId="0" applyNumberFormat="1" applyFont="1" applyFill="1" applyBorder="1" applyAlignment="1">
      <alignment vertical="center"/>
    </xf>
    <xf numFmtId="166" fontId="85" fillId="24" borderId="0" xfId="2" applyNumberFormat="1" applyFont="1" applyFill="1" applyBorder="1" applyAlignment="1">
      <alignment vertical="center"/>
    </xf>
    <xf numFmtId="0" fontId="60" fillId="22" borderId="0" xfId="0" applyFont="1" applyFill="1" applyAlignment="1">
      <alignment horizontal="right" vertical="center"/>
    </xf>
    <xf numFmtId="0" fontId="60" fillId="22" borderId="0" xfId="0" applyFont="1" applyFill="1" applyAlignment="1">
      <alignment vertical="center"/>
    </xf>
    <xf numFmtId="2" fontId="60" fillId="22" borderId="0" xfId="0" applyNumberFormat="1" applyFont="1" applyFill="1" applyAlignment="1">
      <alignment vertical="center"/>
    </xf>
    <xf numFmtId="3" fontId="60" fillId="22" borderId="0" xfId="0" applyNumberFormat="1" applyFont="1" applyFill="1" applyAlignment="1">
      <alignment vertical="center"/>
    </xf>
    <xf numFmtId="2" fontId="60" fillId="22" borderId="0" xfId="0" applyNumberFormat="1" applyFont="1" applyFill="1" applyAlignment="1">
      <alignment horizontal="right" vertical="center"/>
    </xf>
    <xf numFmtId="167" fontId="48" fillId="5" borderId="0" xfId="37" applyNumberFormat="1" applyFont="1" applyFill="1"/>
    <xf numFmtId="0" fontId="57" fillId="25" borderId="0" xfId="0" applyFont="1" applyFill="1"/>
    <xf numFmtId="0" fontId="55" fillId="25" borderId="0" xfId="0" applyFont="1" applyFill="1"/>
    <xf numFmtId="177" fontId="55" fillId="25" borderId="0" xfId="0" applyNumberFormat="1" applyFont="1" applyFill="1" applyBorder="1"/>
    <xf numFmtId="9" fontId="57" fillId="25" borderId="0" xfId="2" applyFont="1" applyFill="1"/>
    <xf numFmtId="0" fontId="57" fillId="0" borderId="0" xfId="0" applyFont="1" applyFill="1"/>
    <xf numFmtId="0" fontId="55" fillId="0" borderId="0" xfId="0" applyFont="1" applyFill="1"/>
    <xf numFmtId="177" fontId="55" fillId="0" borderId="0" xfId="0" applyNumberFormat="1" applyFont="1" applyFill="1" applyBorder="1"/>
    <xf numFmtId="9" fontId="57" fillId="0" borderId="0" xfId="2" applyFont="1" applyFill="1"/>
    <xf numFmtId="179" fontId="27" fillId="0" borderId="0" xfId="0" applyNumberFormat="1" applyFont="1" applyFill="1"/>
    <xf numFmtId="0" fontId="27" fillId="0" borderId="0" xfId="0" applyFont="1" applyFill="1"/>
    <xf numFmtId="0" fontId="55" fillId="21" borderId="0" xfId="0" applyFont="1" applyFill="1"/>
    <xf numFmtId="177" fontId="55" fillId="21" borderId="2" xfId="0" applyNumberFormat="1" applyFont="1" applyFill="1" applyBorder="1"/>
    <xf numFmtId="0" fontId="105" fillId="26" borderId="0" xfId="0" applyFont="1" applyFill="1"/>
    <xf numFmtId="0" fontId="27" fillId="26" borderId="0" xfId="0" applyFont="1" applyFill="1"/>
    <xf numFmtId="0" fontId="55" fillId="26" borderId="0" xfId="0" applyFont="1" applyFill="1"/>
    <xf numFmtId="177" fontId="55" fillId="26" borderId="2" xfId="0" applyNumberFormat="1" applyFont="1" applyFill="1" applyBorder="1"/>
    <xf numFmtId="0" fontId="27" fillId="21" borderId="0" xfId="0" applyFont="1" applyFill="1" applyAlignment="1">
      <alignment vertical="center"/>
    </xf>
    <xf numFmtId="9" fontId="27" fillId="21" borderId="0" xfId="2" applyFont="1" applyFill="1" applyAlignment="1">
      <alignment horizontal="center" vertical="center"/>
    </xf>
    <xf numFmtId="0" fontId="21" fillId="21" borderId="0" xfId="0" applyFont="1" applyFill="1" applyAlignment="1">
      <alignment vertical="center"/>
    </xf>
    <xf numFmtId="0" fontId="55" fillId="21" borderId="3" xfId="0" applyFont="1" applyFill="1" applyBorder="1" applyAlignment="1">
      <alignment vertical="center"/>
    </xf>
    <xf numFmtId="9" fontId="55" fillId="21" borderId="3" xfId="2" applyFont="1" applyFill="1" applyBorder="1" applyAlignment="1">
      <alignment horizontal="center" vertical="center"/>
    </xf>
    <xf numFmtId="3" fontId="46" fillId="21" borderId="3" xfId="0" applyNumberFormat="1" applyFont="1" applyFill="1" applyBorder="1" applyAlignment="1">
      <alignment vertical="center"/>
    </xf>
    <xf numFmtId="0" fontId="4" fillId="21" borderId="0" xfId="0" applyFont="1" applyFill="1" applyAlignment="1">
      <alignment vertical="center"/>
    </xf>
    <xf numFmtId="3" fontId="21" fillId="21" borderId="0" xfId="0" applyNumberFormat="1" applyFont="1" applyFill="1" applyAlignment="1">
      <alignment vertical="center"/>
    </xf>
    <xf numFmtId="1" fontId="35" fillId="5" borderId="0" xfId="2" applyNumberFormat="1" applyFont="1" applyFill="1" applyAlignment="1">
      <alignment horizontal="center"/>
    </xf>
    <xf numFmtId="167" fontId="49" fillId="5" borderId="0" xfId="70" applyNumberFormat="1" applyFont="1" applyFill="1" applyBorder="1" applyAlignment="1">
      <alignment vertical="center"/>
    </xf>
    <xf numFmtId="3" fontId="48" fillId="0" borderId="0" xfId="0" applyNumberFormat="1" applyFont="1" applyFill="1" applyAlignment="1">
      <alignment horizontal="right"/>
    </xf>
    <xf numFmtId="0" fontId="46" fillId="0" borderId="0" xfId="0" applyFont="1" applyAlignment="1">
      <alignment horizontal="center"/>
    </xf>
    <xf numFmtId="0" fontId="88" fillId="0" borderId="0" xfId="93" applyFont="1" applyFill="1" applyBorder="1" applyAlignment="1" applyProtection="1">
      <alignment horizontal="left" vertical="top"/>
      <protection locked="0"/>
    </xf>
    <xf numFmtId="0" fontId="3" fillId="0" borderId="0" xfId="0" applyFont="1"/>
    <xf numFmtId="9" fontId="3" fillId="0" borderId="0" xfId="2" applyFont="1"/>
    <xf numFmtId="177" fontId="3" fillId="0" borderId="0" xfId="0" applyNumberFormat="1" applyFont="1"/>
    <xf numFmtId="3" fontId="3" fillId="0" borderId="0" xfId="0" applyNumberFormat="1" applyFont="1"/>
    <xf numFmtId="177" fontId="0" fillId="0" borderId="0" xfId="0" applyNumberFormat="1"/>
    <xf numFmtId="0" fontId="48" fillId="0" borderId="0" xfId="0" applyFont="1" applyFill="1" applyBorder="1" applyAlignment="1">
      <alignment horizontal="left"/>
    </xf>
    <xf numFmtId="0" fontId="48" fillId="0" borderId="0" xfId="0" applyFont="1"/>
    <xf numFmtId="0" fontId="48" fillId="0" borderId="0" xfId="0" applyFont="1" applyFill="1"/>
    <xf numFmtId="0" fontId="0" fillId="0" borderId="0" xfId="0" applyFont="1"/>
    <xf numFmtId="0" fontId="0" fillId="0" borderId="0" xfId="0" applyBorder="1"/>
    <xf numFmtId="0" fontId="88" fillId="13" borderId="0" xfId="93" applyFont="1" applyFill="1" applyBorder="1" applyAlignment="1" applyProtection="1">
      <alignment horizontal="left" vertical="top"/>
      <protection locked="0"/>
    </xf>
    <xf numFmtId="0" fontId="48" fillId="13" borderId="0" xfId="93" applyFont="1" applyFill="1"/>
    <xf numFmtId="0" fontId="48" fillId="13" borderId="0" xfId="0" applyFont="1" applyFill="1" applyBorder="1" applyAlignment="1">
      <alignment horizontal="left"/>
    </xf>
    <xf numFmtId="0" fontId="0" fillId="13" borderId="0" xfId="0" applyFill="1"/>
    <xf numFmtId="0" fontId="27" fillId="0" borderId="0" xfId="0" applyFont="1" applyAlignment="1">
      <alignment horizontal="center" wrapText="1"/>
    </xf>
    <xf numFmtId="0" fontId="27" fillId="22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27" fillId="22" borderId="0" xfId="0" applyFont="1" applyFill="1"/>
    <xf numFmtId="177" fontId="35" fillId="0" borderId="0" xfId="45" applyNumberFormat="1" applyFont="1" applyAlignment="1">
      <alignment vertical="center"/>
    </xf>
    <xf numFmtId="0" fontId="40" fillId="0" borderId="0" xfId="45" applyFont="1" applyAlignment="1">
      <alignment horizontal="center" vertical="center"/>
    </xf>
    <xf numFmtId="164" fontId="44" fillId="27" borderId="10" xfId="42" applyFont="1" applyFill="1" applyBorder="1" applyAlignment="1">
      <alignment horizontal="left" vertical="center" wrapText="1"/>
    </xf>
    <xf numFmtId="164" fontId="44" fillId="27" borderId="0" xfId="42" applyFont="1" applyFill="1" applyBorder="1" applyAlignment="1">
      <alignment horizontal="center" vertical="center" wrapText="1"/>
    </xf>
    <xf numFmtId="164" fontId="44" fillId="27" borderId="0" xfId="42" applyFont="1" applyFill="1" applyBorder="1" applyAlignment="1">
      <alignment horizontal="center" vertical="center"/>
    </xf>
    <xf numFmtId="166" fontId="48" fillId="27" borderId="1" xfId="43" applyNumberFormat="1" applyFont="1" applyFill="1" applyBorder="1" applyAlignment="1" applyProtection="1">
      <alignment horizontal="center" vertical="center"/>
      <protection locked="0"/>
    </xf>
    <xf numFmtId="166" fontId="48" fillId="27" borderId="4" xfId="43" applyNumberFormat="1" applyFont="1" applyFill="1" applyBorder="1" applyAlignment="1" applyProtection="1">
      <alignment horizontal="center" vertical="center"/>
      <protection locked="0"/>
    </xf>
    <xf numFmtId="166" fontId="48" fillId="27" borderId="8" xfId="43" applyNumberFormat="1" applyFont="1" applyFill="1" applyBorder="1" applyAlignment="1" applyProtection="1">
      <alignment horizontal="center" vertical="center"/>
      <protection locked="0"/>
    </xf>
    <xf numFmtId="9" fontId="35" fillId="20" borderId="0" xfId="2" applyFont="1" applyFill="1" applyAlignment="1">
      <alignment horizontal="center"/>
    </xf>
    <xf numFmtId="3" fontId="48" fillId="0" borderId="0" xfId="76" applyFont="1" applyAlignment="1">
      <alignment horizontal="left" vertical="center"/>
    </xf>
    <xf numFmtId="3" fontId="64" fillId="0" borderId="0" xfId="76" applyFont="1" applyAlignment="1">
      <alignment horizontal="left" vertical="center"/>
    </xf>
    <xf numFmtId="3" fontId="64" fillId="0" borderId="0" xfId="76" applyFont="1" applyFill="1" applyAlignment="1">
      <alignment horizontal="left" vertical="center"/>
    </xf>
    <xf numFmtId="0" fontId="27" fillId="0" borderId="0" xfId="83" applyFont="1" applyAlignment="1">
      <alignment horizontal="left" vertical="center"/>
    </xf>
    <xf numFmtId="10" fontId="60" fillId="0" borderId="0" xfId="0" applyNumberFormat="1" applyFont="1" applyFill="1" applyAlignment="1">
      <alignment vertical="center"/>
    </xf>
    <xf numFmtId="167" fontId="48" fillId="20" borderId="0" xfId="37" applyNumberFormat="1" applyFont="1" applyFill="1"/>
    <xf numFmtId="164" fontId="28" fillId="20" borderId="0" xfId="6" applyFont="1" applyFill="1" applyAlignment="1">
      <alignment vertical="center"/>
    </xf>
    <xf numFmtId="164" fontId="35" fillId="20" borderId="0" xfId="10" applyFont="1" applyFill="1" applyAlignment="1">
      <alignment horizontal="right"/>
    </xf>
    <xf numFmtId="9" fontId="27" fillId="0" borderId="0" xfId="2" applyFont="1" applyBorder="1"/>
    <xf numFmtId="170" fontId="27" fillId="0" borderId="0" xfId="36" applyNumberFormat="1" applyFont="1" applyFill="1"/>
    <xf numFmtId="0" fontId="55" fillId="0" borderId="0" xfId="0" applyFont="1" applyAlignment="1">
      <alignment horizontal="center" wrapText="1"/>
    </xf>
    <xf numFmtId="0" fontId="55" fillId="0" borderId="0" xfId="0" applyFont="1" applyAlignment="1">
      <alignment horizontal="center"/>
    </xf>
    <xf numFmtId="184" fontId="0" fillId="0" borderId="0" xfId="0" applyNumberFormat="1"/>
    <xf numFmtId="0" fontId="55" fillId="0" borderId="0" xfId="0" applyFont="1" applyAlignment="1">
      <alignment horizontal="center" vertical="center" wrapText="1"/>
    </xf>
    <xf numFmtId="170" fontId="27" fillId="0" borderId="0" xfId="0" applyNumberFormat="1" applyFont="1" applyAlignment="1">
      <alignment vertical="center"/>
    </xf>
    <xf numFmtId="9" fontId="27" fillId="0" borderId="0" xfId="2" applyFont="1" applyAlignment="1">
      <alignment vertical="center"/>
    </xf>
    <xf numFmtId="9" fontId="2" fillId="0" borderId="0" xfId="2" applyFont="1" applyAlignment="1">
      <alignment horizontal="center" vertical="center"/>
    </xf>
    <xf numFmtId="0" fontId="77" fillId="0" borderId="4" xfId="0" applyFont="1" applyBorder="1" applyAlignment="1">
      <alignment horizontal="center" wrapText="1"/>
    </xf>
    <xf numFmtId="0" fontId="0" fillId="28" borderId="0" xfId="0" applyFill="1" applyAlignment="1">
      <alignment vertical="center"/>
    </xf>
    <xf numFmtId="0" fontId="0" fillId="28" borderId="0" xfId="0" applyFill="1" applyAlignment="1">
      <alignment horizontal="center" vertical="center"/>
    </xf>
    <xf numFmtId="0" fontId="102" fillId="16" borderId="0" xfId="0" applyFont="1" applyFill="1" applyAlignment="1">
      <alignment horizontal="center" vertical="center"/>
    </xf>
    <xf numFmtId="0" fontId="77" fillId="28" borderId="0" xfId="0" applyFont="1" applyFill="1" applyAlignment="1">
      <alignment vertical="center"/>
    </xf>
    <xf numFmtId="0" fontId="0" fillId="28" borderId="0" xfId="0" applyFont="1" applyFill="1" applyAlignment="1">
      <alignment horizontal="center" vertical="center"/>
    </xf>
    <xf numFmtId="0" fontId="82" fillId="28" borderId="0" xfId="0" applyFont="1" applyFill="1" applyAlignment="1">
      <alignment vertical="center"/>
    </xf>
    <xf numFmtId="0" fontId="102" fillId="28" borderId="0" xfId="0" applyFont="1" applyFill="1" applyAlignment="1">
      <alignment vertical="center"/>
    </xf>
    <xf numFmtId="0" fontId="0" fillId="16" borderId="0" xfId="0" applyFill="1" applyAlignment="1">
      <alignment vertical="center"/>
    </xf>
    <xf numFmtId="0" fontId="82" fillId="16" borderId="0" xfId="0" applyFont="1" applyFill="1" applyAlignment="1">
      <alignment horizontal="center" vertical="center"/>
    </xf>
    <xf numFmtId="0" fontId="82" fillId="16" borderId="0" xfId="0" applyFont="1" applyFill="1" applyAlignment="1">
      <alignment vertical="center"/>
    </xf>
    <xf numFmtId="9" fontId="0" fillId="0" borderId="0" xfId="0" applyNumberFormat="1"/>
    <xf numFmtId="0" fontId="29" fillId="0" borderId="4" xfId="0" applyFont="1" applyBorder="1" applyAlignment="1">
      <alignment horizontal="center" wrapText="1"/>
    </xf>
    <xf numFmtId="0" fontId="77" fillId="0" borderId="4" xfId="0" applyFont="1" applyBorder="1" applyAlignment="1">
      <alignment horizontal="center"/>
    </xf>
    <xf numFmtId="10" fontId="67" fillId="0" borderId="0" xfId="2" applyNumberFormat="1" applyFont="1" applyAlignment="1">
      <alignment vertical="center"/>
    </xf>
    <xf numFmtId="164" fontId="2" fillId="0" borderId="0" xfId="37" applyFont="1"/>
    <xf numFmtId="0" fontId="0" fillId="0" borderId="0" xfId="4" applyFont="1"/>
    <xf numFmtId="0" fontId="77" fillId="0" borderId="0" xfId="4" applyFont="1" applyBorder="1"/>
    <xf numFmtId="3" fontId="26" fillId="0" borderId="0" xfId="4" applyNumberFormat="1" applyFont="1" applyBorder="1"/>
    <xf numFmtId="0" fontId="48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6" fontId="26" fillId="0" borderId="0" xfId="4" applyNumberFormat="1" applyFont="1"/>
    <xf numFmtId="167" fontId="35" fillId="0" borderId="0" xfId="71" applyNumberFormat="1" applyFont="1" applyFill="1" applyBorder="1"/>
    <xf numFmtId="4" fontId="30" fillId="9" borderId="0" xfId="0" applyNumberFormat="1" applyFont="1" applyFill="1" applyAlignment="1">
      <alignment horizontal="left"/>
    </xf>
    <xf numFmtId="0" fontId="35" fillId="29" borderId="0" xfId="67" applyFont="1" applyFill="1" applyAlignment="1">
      <alignment horizontal="left" indent="4"/>
    </xf>
    <xf numFmtId="167" fontId="76" fillId="29" borderId="0" xfId="70" applyNumberFormat="1" applyFont="1" applyFill="1" applyBorder="1"/>
    <xf numFmtId="167" fontId="35" fillId="29" borderId="0" xfId="71" applyNumberFormat="1" applyFont="1" applyFill="1" applyBorder="1"/>
    <xf numFmtId="0" fontId="28" fillId="29" borderId="0" xfId="14" applyFont="1" applyFill="1"/>
    <xf numFmtId="167" fontId="28" fillId="29" borderId="0" xfId="14" applyNumberFormat="1" applyFont="1" applyFill="1"/>
    <xf numFmtId="4" fontId="40" fillId="8" borderId="0" xfId="0" applyNumberFormat="1" applyFont="1" applyFill="1" applyAlignment="1">
      <alignment horizontal="left" vertical="center"/>
    </xf>
    <xf numFmtId="4" fontId="30" fillId="9" borderId="0" xfId="0" applyNumberFormat="1" applyFont="1" applyFill="1" applyAlignment="1">
      <alignment horizontal="left" vertical="center"/>
    </xf>
    <xf numFmtId="4" fontId="30" fillId="30" borderId="24" xfId="0" applyNumberFormat="1" applyFont="1" applyFill="1" applyBorder="1" applyAlignment="1">
      <alignment horizontal="left" vertical="center"/>
    </xf>
    <xf numFmtId="4" fontId="48" fillId="30" borderId="30" xfId="0" applyNumberFormat="1" applyFont="1" applyFill="1" applyBorder="1" applyAlignment="1">
      <alignment horizontal="left" vertical="center"/>
    </xf>
    <xf numFmtId="4" fontId="48" fillId="30" borderId="30" xfId="0" applyNumberFormat="1" applyFont="1" applyFill="1" applyBorder="1" applyAlignment="1">
      <alignment horizontal="center" vertical="center"/>
    </xf>
    <xf numFmtId="3" fontId="49" fillId="0" borderId="32" xfId="76" applyFont="1" applyBorder="1" applyAlignment="1">
      <alignment horizontal="left" vertical="center"/>
    </xf>
    <xf numFmtId="3" fontId="49" fillId="0" borderId="33" xfId="76" applyFont="1" applyBorder="1" applyAlignment="1">
      <alignment vertical="center"/>
    </xf>
    <xf numFmtId="3" fontId="48" fillId="0" borderId="32" xfId="47" applyFont="1" applyBorder="1" applyAlignment="1">
      <alignment horizontal="left" vertical="center"/>
    </xf>
    <xf numFmtId="170" fontId="48" fillId="0" borderId="33" xfId="60" applyNumberFormat="1" applyFont="1" applyFill="1" applyBorder="1" applyAlignment="1">
      <alignment vertical="center"/>
    </xf>
    <xf numFmtId="3" fontId="48" fillId="0" borderId="32" xfId="76" applyFont="1" applyBorder="1" applyAlignment="1">
      <alignment horizontal="left" vertical="center"/>
    </xf>
    <xf numFmtId="167" fontId="48" fillId="0" borderId="45" xfId="70" applyNumberFormat="1" applyFont="1" applyBorder="1" applyAlignment="1">
      <alignment vertical="center"/>
    </xf>
    <xf numFmtId="170" fontId="48" fillId="0" borderId="33" xfId="60" applyNumberFormat="1" applyFont="1" applyBorder="1" applyAlignment="1">
      <alignment vertical="center"/>
    </xf>
    <xf numFmtId="170" fontId="49" fillId="0" borderId="33" xfId="60" applyNumberFormat="1" applyFont="1" applyBorder="1" applyAlignment="1">
      <alignment vertical="center"/>
    </xf>
    <xf numFmtId="164" fontId="48" fillId="0" borderId="32" xfId="10" applyFont="1" applyBorder="1" applyAlignment="1">
      <alignment horizontal="left" vertical="center"/>
    </xf>
    <xf numFmtId="167" fontId="49" fillId="0" borderId="45" xfId="70" applyNumberFormat="1" applyFont="1" applyBorder="1" applyAlignment="1">
      <alignment vertical="center"/>
    </xf>
    <xf numFmtId="3" fontId="48" fillId="0" borderId="33" xfId="76" applyFont="1" applyBorder="1" applyAlignment="1">
      <alignment vertical="center"/>
    </xf>
    <xf numFmtId="0" fontId="49" fillId="0" borderId="32" xfId="79" applyFont="1" applyBorder="1" applyAlignment="1">
      <alignment horizontal="left" vertical="center"/>
    </xf>
    <xf numFmtId="0" fontId="49" fillId="0" borderId="0" xfId="79" applyFont="1" applyBorder="1" applyAlignment="1">
      <alignment vertical="center"/>
    </xf>
    <xf numFmtId="0" fontId="49" fillId="0" borderId="0" xfId="79" applyFont="1" applyBorder="1" applyAlignment="1">
      <alignment horizontal="center" vertical="center"/>
    </xf>
    <xf numFmtId="6" fontId="49" fillId="0" borderId="43" xfId="70" applyNumberFormat="1" applyFont="1" applyBorder="1" applyAlignment="1">
      <alignment vertical="center"/>
    </xf>
    <xf numFmtId="167" fontId="49" fillId="0" borderId="33" xfId="70" applyNumberFormat="1" applyFont="1" applyBorder="1" applyAlignment="1">
      <alignment vertical="center"/>
    </xf>
    <xf numFmtId="0" fontId="49" fillId="0" borderId="0" xfId="79" applyFont="1" applyBorder="1" applyAlignment="1">
      <alignment horizontal="left" vertical="center"/>
    </xf>
    <xf numFmtId="1" fontId="48" fillId="0" borderId="33" xfId="80" applyNumberFormat="1" applyFont="1" applyBorder="1" applyAlignment="1">
      <alignment vertical="center"/>
    </xf>
    <xf numFmtId="0" fontId="48" fillId="0" borderId="32" xfId="79" applyFont="1" applyBorder="1" applyAlignment="1">
      <alignment horizontal="left" vertical="center"/>
    </xf>
    <xf numFmtId="0" fontId="48" fillId="0" borderId="0" xfId="79" applyFont="1" applyBorder="1" applyAlignment="1">
      <alignment horizontal="left" vertical="center"/>
    </xf>
    <xf numFmtId="49" fontId="48" fillId="0" borderId="32" xfId="79" applyNumberFormat="1" applyFont="1" applyBorder="1" applyAlignment="1">
      <alignment horizontal="left" vertical="center"/>
    </xf>
    <xf numFmtId="49" fontId="48" fillId="0" borderId="0" xfId="79" applyNumberFormat="1" applyFont="1" applyBorder="1" applyAlignment="1">
      <alignment horizontal="center" vertical="center"/>
    </xf>
    <xf numFmtId="170" fontId="48" fillId="0" borderId="46" xfId="60" applyNumberFormat="1" applyFont="1" applyFill="1" applyBorder="1" applyAlignment="1">
      <alignment vertical="center"/>
    </xf>
    <xf numFmtId="167" fontId="49" fillId="0" borderId="33" xfId="70" applyNumberFormat="1" applyFont="1" applyFill="1" applyBorder="1" applyAlignment="1">
      <alignment vertical="center"/>
    </xf>
    <xf numFmtId="0" fontId="48" fillId="0" borderId="0" xfId="79" applyFont="1" applyBorder="1" applyAlignment="1">
      <alignment horizontal="center" vertical="center"/>
    </xf>
    <xf numFmtId="3" fontId="49" fillId="0" borderId="32" xfId="76" applyFont="1" applyFill="1" applyBorder="1" applyAlignment="1">
      <alignment horizontal="left" vertical="center"/>
    </xf>
    <xf numFmtId="164" fontId="16" fillId="0" borderId="32" xfId="69" applyFont="1" applyBorder="1" applyAlignment="1">
      <alignment horizontal="left" vertical="center"/>
    </xf>
    <xf numFmtId="170" fontId="48" fillId="3" borderId="33" xfId="60" applyNumberFormat="1" applyFont="1" applyFill="1" applyBorder="1" applyAlignment="1">
      <alignment vertical="center"/>
    </xf>
    <xf numFmtId="0" fontId="48" fillId="0" borderId="0" xfId="79" applyFont="1" applyFill="1" applyBorder="1" applyAlignment="1">
      <alignment horizontal="left" vertical="center"/>
    </xf>
    <xf numFmtId="0" fontId="48" fillId="0" borderId="0" xfId="79" applyFont="1" applyFill="1" applyBorder="1" applyAlignment="1">
      <alignment horizontal="center" vertical="center"/>
    </xf>
    <xf numFmtId="0" fontId="48" fillId="0" borderId="32" xfId="82" applyFont="1" applyBorder="1" applyAlignment="1">
      <alignment horizontal="left" vertical="center"/>
    </xf>
    <xf numFmtId="0" fontId="49" fillId="0" borderId="0" xfId="79" applyFont="1" applyFill="1" applyBorder="1" applyAlignment="1">
      <alignment horizontal="left" vertical="center"/>
    </xf>
    <xf numFmtId="166" fontId="48" fillId="0" borderId="0" xfId="77" applyNumberFormat="1" applyFont="1" applyFill="1" applyBorder="1" applyAlignment="1">
      <alignment horizontal="center" vertical="center"/>
    </xf>
    <xf numFmtId="166" fontId="48" fillId="0" borderId="33" xfId="77" applyNumberFormat="1" applyFont="1" applyFill="1" applyBorder="1" applyAlignment="1">
      <alignment horizontal="center" vertical="center"/>
    </xf>
    <xf numFmtId="42" fontId="49" fillId="0" borderId="0" xfId="10" applyNumberFormat="1" applyFont="1" applyFill="1" applyBorder="1" applyAlignment="1">
      <alignment horizontal="center" vertical="center"/>
    </xf>
    <xf numFmtId="3" fontId="48" fillId="0" borderId="32" xfId="76" applyFont="1" applyBorder="1" applyAlignment="1">
      <alignment vertical="center"/>
    </xf>
    <xf numFmtId="42" fontId="49" fillId="0" borderId="33" xfId="10" applyNumberFormat="1" applyFont="1" applyFill="1" applyBorder="1" applyAlignment="1">
      <alignment horizontal="center" vertical="center"/>
    </xf>
    <xf numFmtId="3" fontId="48" fillId="0" borderId="34" xfId="76" applyFont="1" applyBorder="1" applyAlignment="1">
      <alignment horizontal="left" vertical="center"/>
    </xf>
    <xf numFmtId="3" fontId="48" fillId="0" borderId="35" xfId="76" applyFont="1" applyBorder="1" applyAlignment="1">
      <alignment vertical="center"/>
    </xf>
    <xf numFmtId="3" fontId="48" fillId="0" borderId="35" xfId="76" applyFont="1" applyBorder="1" applyAlignment="1">
      <alignment horizontal="center" vertical="center"/>
    </xf>
    <xf numFmtId="3" fontId="48" fillId="0" borderId="36" xfId="76" applyFont="1" applyBorder="1" applyAlignment="1">
      <alignment vertical="center"/>
    </xf>
    <xf numFmtId="167" fontId="35" fillId="0" borderId="0" xfId="15" applyNumberFormat="1" applyFont="1" applyFill="1" applyAlignment="1">
      <alignment horizontal="right"/>
    </xf>
    <xf numFmtId="49" fontId="28" fillId="0" borderId="0" xfId="6" applyNumberFormat="1" applyFont="1" applyFill="1" applyBorder="1" applyAlignment="1">
      <alignment horizontal="left" vertical="center"/>
    </xf>
    <xf numFmtId="41" fontId="28" fillId="0" borderId="0" xfId="0" applyNumberFormat="1" applyFont="1" applyFill="1" applyBorder="1" applyAlignment="1">
      <alignment horizontal="center" vertical="center"/>
    </xf>
    <xf numFmtId="164" fontId="33" fillId="0" borderId="0" xfId="6" applyFont="1" applyFill="1" applyAlignment="1">
      <alignment vertical="center"/>
    </xf>
    <xf numFmtId="167" fontId="28" fillId="0" borderId="0" xfId="6" applyNumberFormat="1" applyFont="1" applyBorder="1" applyAlignment="1">
      <alignment vertical="center"/>
    </xf>
    <xf numFmtId="0" fontId="40" fillId="14" borderId="0" xfId="67" applyFont="1" applyFill="1" applyAlignment="1">
      <alignment horizontal="left"/>
    </xf>
    <xf numFmtId="0" fontId="80" fillId="14" borderId="0" xfId="14" applyFont="1" applyFill="1"/>
    <xf numFmtId="169" fontId="30" fillId="14" borderId="0" xfId="14" applyNumberFormat="1" applyFont="1" applyFill="1" applyBorder="1" applyAlignment="1">
      <alignment horizontal="center"/>
    </xf>
    <xf numFmtId="0" fontId="28" fillId="14" borderId="0" xfId="14" applyFont="1" applyFill="1"/>
    <xf numFmtId="0" fontId="30" fillId="31" borderId="0" xfId="67" applyFont="1" applyFill="1" applyAlignment="1">
      <alignment horizontal="left"/>
    </xf>
    <xf numFmtId="0" fontId="28" fillId="31" borderId="0" xfId="14" applyFont="1" applyFill="1"/>
    <xf numFmtId="0" fontId="80" fillId="12" borderId="0" xfId="14" applyFont="1" applyFill="1"/>
    <xf numFmtId="0" fontId="28" fillId="12" borderId="0" xfId="14" applyFont="1" applyFill="1"/>
    <xf numFmtId="0" fontId="80" fillId="9" borderId="0" xfId="14" applyFont="1" applyFill="1"/>
    <xf numFmtId="0" fontId="28" fillId="9" borderId="0" xfId="14" applyFont="1" applyFill="1"/>
    <xf numFmtId="0" fontId="30" fillId="12" borderId="0" xfId="67" applyFont="1" applyFill="1" applyAlignment="1">
      <alignment horizontal="left"/>
    </xf>
    <xf numFmtId="0" fontId="35" fillId="12" borderId="0" xfId="14" applyFont="1" applyFill="1"/>
    <xf numFmtId="165" fontId="44" fillId="32" borderId="0" xfId="38" applyNumberFormat="1" applyFont="1" applyFill="1" applyBorder="1" applyAlignment="1">
      <alignment horizontal="center" vertical="center"/>
    </xf>
    <xf numFmtId="164" fontId="5" fillId="32" borderId="0" xfId="37" applyFont="1" applyFill="1"/>
    <xf numFmtId="167" fontId="5" fillId="32" borderId="0" xfId="37" applyNumberFormat="1" applyFont="1" applyFill="1"/>
    <xf numFmtId="167" fontId="58" fillId="32" borderId="2" xfId="37" applyNumberFormat="1" applyFont="1" applyFill="1" applyBorder="1"/>
    <xf numFmtId="167" fontId="46" fillId="32" borderId="0" xfId="37" applyNumberFormat="1" applyFont="1" applyFill="1"/>
    <xf numFmtId="6" fontId="48" fillId="32" borderId="0" xfId="37" applyNumberFormat="1" applyFont="1" applyFill="1"/>
    <xf numFmtId="167" fontId="52" fillId="32" borderId="11" xfId="37" applyNumberFormat="1" applyFont="1" applyFill="1" applyBorder="1"/>
    <xf numFmtId="167" fontId="46" fillId="32" borderId="0" xfId="37" applyNumberFormat="1" applyFont="1" applyFill="1" applyBorder="1"/>
    <xf numFmtId="167" fontId="48" fillId="33" borderId="0" xfId="37" applyNumberFormat="1" applyFont="1" applyFill="1"/>
    <xf numFmtId="164" fontId="48" fillId="32" borderId="0" xfId="37" applyFont="1" applyFill="1"/>
    <xf numFmtId="167" fontId="49" fillId="32" borderId="0" xfId="37" quotePrefix="1" applyNumberFormat="1" applyFont="1" applyFill="1"/>
    <xf numFmtId="166" fontId="48" fillId="32" borderId="0" xfId="2" applyNumberFormat="1" applyFont="1" applyFill="1"/>
    <xf numFmtId="179" fontId="27" fillId="5" borderId="0" xfId="0" applyNumberFormat="1" applyFont="1" applyFill="1"/>
    <xf numFmtId="0" fontId="98" fillId="22" borderId="3" xfId="14" applyFont="1" applyFill="1" applyBorder="1"/>
    <xf numFmtId="0" fontId="40" fillId="22" borderId="3" xfId="67" applyFont="1" applyFill="1" applyBorder="1" applyAlignment="1">
      <alignment horizontal="left" indent="4"/>
    </xf>
    <xf numFmtId="0" fontId="29" fillId="22" borderId="3" xfId="14" applyFont="1" applyFill="1" applyBorder="1"/>
    <xf numFmtId="167" fontId="40" fillId="22" borderId="3" xfId="71" applyNumberFormat="1" applyFont="1" applyFill="1" applyBorder="1"/>
    <xf numFmtId="6" fontId="81" fillId="0" borderId="28" xfId="74" applyNumberFormat="1" applyFont="1" applyFill="1" applyBorder="1" applyAlignment="1">
      <alignment horizontal="center"/>
    </xf>
    <xf numFmtId="6" fontId="81" fillId="0" borderId="47" xfId="74" applyNumberFormat="1" applyFont="1" applyFill="1" applyBorder="1" applyAlignment="1">
      <alignment horizontal="center"/>
    </xf>
    <xf numFmtId="167" fontId="26" fillId="0" borderId="33" xfId="1" applyNumberFormat="1" applyFont="1" applyFill="1" applyBorder="1" applyAlignment="1">
      <alignment horizontal="right"/>
    </xf>
    <xf numFmtId="0" fontId="77" fillId="0" borderId="32" xfId="4" applyFont="1" applyFill="1" applyBorder="1"/>
    <xf numFmtId="177" fontId="77" fillId="0" borderId="33" xfId="71" applyNumberFormat="1" applyFont="1" applyFill="1" applyBorder="1"/>
    <xf numFmtId="4" fontId="30" fillId="9" borderId="32" xfId="0" applyNumberFormat="1" applyFont="1" applyFill="1" applyBorder="1" applyAlignment="1">
      <alignment horizontal="left" vertical="center"/>
    </xf>
    <xf numFmtId="4" fontId="30" fillId="9" borderId="34" xfId="0" applyNumberFormat="1" applyFont="1" applyFill="1" applyBorder="1" applyAlignment="1">
      <alignment horizontal="left" vertical="center"/>
    </xf>
    <xf numFmtId="167" fontId="26" fillId="0" borderId="35" xfId="1" applyNumberFormat="1" applyFont="1" applyFill="1" applyBorder="1" applyAlignment="1">
      <alignment horizontal="right"/>
    </xf>
    <xf numFmtId="167" fontId="26" fillId="0" borderId="36" xfId="1" applyNumberFormat="1" applyFont="1" applyFill="1" applyBorder="1" applyAlignment="1">
      <alignment horizontal="right"/>
    </xf>
    <xf numFmtId="6" fontId="81" fillId="0" borderId="48" xfId="74" applyNumberFormat="1" applyFont="1" applyFill="1" applyBorder="1" applyAlignment="1">
      <alignment horizontal="center"/>
    </xf>
    <xf numFmtId="6" fontId="81" fillId="0" borderId="49" xfId="74" applyNumberFormat="1" applyFont="1" applyFill="1" applyBorder="1" applyAlignment="1">
      <alignment horizontal="center"/>
    </xf>
    <xf numFmtId="167" fontId="112" fillId="0" borderId="30" xfId="1" applyNumberFormat="1" applyFont="1" applyFill="1" applyBorder="1" applyAlignment="1">
      <alignment horizontal="right"/>
    </xf>
    <xf numFmtId="167" fontId="112" fillId="0" borderId="31" xfId="1" applyNumberFormat="1" applyFont="1" applyFill="1" applyBorder="1" applyAlignment="1">
      <alignment horizontal="right"/>
    </xf>
    <xf numFmtId="3" fontId="26" fillId="0" borderId="13" xfId="4" applyNumberFormat="1" applyFont="1" applyBorder="1"/>
    <xf numFmtId="3" fontId="26" fillId="0" borderId="46" xfId="4" applyNumberFormat="1" applyFont="1" applyBorder="1"/>
    <xf numFmtId="0" fontId="49" fillId="20" borderId="26" xfId="79" applyFont="1" applyFill="1" applyBorder="1" applyAlignment="1">
      <alignment horizontal="center" vertical="center"/>
    </xf>
    <xf numFmtId="0" fontId="49" fillId="20" borderId="27" xfId="79" applyFont="1" applyFill="1" applyBorder="1" applyAlignment="1">
      <alignment horizontal="center" vertical="center"/>
    </xf>
    <xf numFmtId="1" fontId="29" fillId="0" borderId="0" xfId="65" applyNumberFormat="1" applyFont="1"/>
    <xf numFmtId="168" fontId="29" fillId="0" borderId="0" xfId="65" applyNumberFormat="1" applyFont="1"/>
    <xf numFmtId="3" fontId="26" fillId="0" borderId="25" xfId="4" applyNumberFormat="1" applyFont="1" applyBorder="1"/>
    <xf numFmtId="3" fontId="26" fillId="0" borderId="50" xfId="4" applyNumberFormat="1" applyFont="1" applyBorder="1"/>
    <xf numFmtId="0" fontId="30" fillId="34" borderId="0" xfId="79" applyFont="1" applyFill="1" applyAlignment="1">
      <alignment horizontal="left" vertical="center"/>
    </xf>
    <xf numFmtId="0" fontId="30" fillId="34" borderId="24" xfId="79" applyFont="1" applyFill="1" applyBorder="1" applyAlignment="1">
      <alignment horizontal="left" vertical="center"/>
    </xf>
    <xf numFmtId="0" fontId="30" fillId="34" borderId="32" xfId="79" applyFont="1" applyFill="1" applyBorder="1" applyAlignment="1">
      <alignment horizontal="left" vertical="center"/>
    </xf>
    <xf numFmtId="0" fontId="92" fillId="0" borderId="14" xfId="0" applyFont="1" applyBorder="1" applyAlignment="1">
      <alignment horizontal="center"/>
    </xf>
    <xf numFmtId="0" fontId="92" fillId="0" borderId="6" xfId="0" applyFont="1" applyBorder="1" applyAlignment="1">
      <alignment horizontal="center" vertical="center" wrapText="1"/>
    </xf>
    <xf numFmtId="9" fontId="90" fillId="0" borderId="9" xfId="2" applyFont="1" applyBorder="1" applyAlignment="1">
      <alignment horizontal="center" vertical="center"/>
    </xf>
    <xf numFmtId="9" fontId="92" fillId="0" borderId="9" xfId="2" applyFont="1" applyBorder="1" applyAlignment="1">
      <alignment horizontal="center" vertical="center"/>
    </xf>
    <xf numFmtId="9" fontId="90" fillId="0" borderId="8" xfId="2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 wrapText="1"/>
    </xf>
    <xf numFmtId="9" fontId="90" fillId="0" borderId="48" xfId="2" applyFont="1" applyBorder="1" applyAlignment="1">
      <alignment horizontal="center" vertical="center"/>
    </xf>
    <xf numFmtId="9" fontId="92" fillId="0" borderId="48" xfId="2" applyFont="1" applyBorder="1" applyAlignment="1">
      <alignment horizontal="center" vertical="center"/>
    </xf>
    <xf numFmtId="9" fontId="90" fillId="0" borderId="13" xfId="2" applyFont="1" applyBorder="1" applyAlignment="1">
      <alignment horizontal="center" vertical="center"/>
    </xf>
    <xf numFmtId="0" fontId="90" fillId="0" borderId="10" xfId="0" applyFont="1" applyBorder="1" applyAlignment="1">
      <alignment horizontal="left"/>
    </xf>
    <xf numFmtId="0" fontId="92" fillId="0" borderId="10" xfId="0" applyFont="1" applyBorder="1" applyAlignment="1">
      <alignment horizontal="left"/>
    </xf>
    <xf numFmtId="0" fontId="90" fillId="0" borderId="1" xfId="0" applyFont="1" applyBorder="1" applyAlignment="1">
      <alignment horizontal="left"/>
    </xf>
    <xf numFmtId="0" fontId="113" fillId="0" borderId="0" xfId="0" applyFont="1" applyBorder="1" applyAlignment="1">
      <alignment horizontal="center" wrapText="1"/>
    </xf>
    <xf numFmtId="0" fontId="113" fillId="0" borderId="0" xfId="0" applyFont="1" applyAlignment="1">
      <alignment horizontal="center" wrapText="1"/>
    </xf>
    <xf numFmtId="0" fontId="114" fillId="0" borderId="0" xfId="0" applyFont="1"/>
    <xf numFmtId="0" fontId="114" fillId="0" borderId="3" xfId="0" applyFont="1" applyBorder="1"/>
    <xf numFmtId="0" fontId="114" fillId="0" borderId="3" xfId="0" applyFont="1" applyFill="1" applyBorder="1" applyAlignment="1">
      <alignment horizontal="right"/>
    </xf>
    <xf numFmtId="170" fontId="114" fillId="0" borderId="3" xfId="36" applyNumberFormat="1" applyFont="1" applyFill="1" applyBorder="1"/>
    <xf numFmtId="179" fontId="114" fillId="0" borderId="3" xfId="0" applyNumberFormat="1" applyFont="1" applyBorder="1"/>
    <xf numFmtId="8" fontId="114" fillId="0" borderId="3" xfId="0" applyNumberFormat="1" applyFont="1" applyBorder="1"/>
    <xf numFmtId="0" fontId="114" fillId="0" borderId="0" xfId="0" applyFont="1" applyFill="1" applyBorder="1"/>
    <xf numFmtId="3" fontId="77" fillId="0" borderId="0" xfId="0" applyNumberFormat="1" applyFont="1" applyAlignment="1">
      <alignment horizontal="left"/>
    </xf>
    <xf numFmtId="0" fontId="0" fillId="0" borderId="0" xfId="0" applyAlignment="1">
      <alignment wrapText="1"/>
    </xf>
    <xf numFmtId="165" fontId="49" fillId="0" borderId="0" xfId="10" applyNumberFormat="1" applyFont="1" applyFill="1" applyBorder="1" applyAlignment="1">
      <alignment horizontal="center" vertical="center"/>
    </xf>
    <xf numFmtId="165" fontId="49" fillId="0" borderId="33" xfId="10" applyNumberFormat="1" applyFont="1" applyFill="1" applyBorder="1" applyAlignment="1">
      <alignment horizontal="center" vertical="center"/>
    </xf>
    <xf numFmtId="170" fontId="16" fillId="0" borderId="0" xfId="81" applyNumberFormat="1" applyFont="1" applyFill="1" applyBorder="1" applyAlignment="1">
      <alignment vertical="center"/>
    </xf>
    <xf numFmtId="170" fontId="16" fillId="0" borderId="33" xfId="81" applyNumberFormat="1" applyFont="1" applyFill="1" applyBorder="1" applyAlignment="1">
      <alignment vertical="center"/>
    </xf>
    <xf numFmtId="4" fontId="49" fillId="0" borderId="32" xfId="0" applyNumberFormat="1" applyFont="1" applyFill="1" applyBorder="1" applyAlignment="1">
      <alignment horizontal="left" vertical="center"/>
    </xf>
    <xf numFmtId="4" fontId="30" fillId="34" borderId="24" xfId="0" applyNumberFormat="1" applyFont="1" applyFill="1" applyBorder="1" applyAlignment="1">
      <alignment horizontal="left" vertical="center"/>
    </xf>
    <xf numFmtId="0" fontId="49" fillId="34" borderId="30" xfId="79" applyFont="1" applyFill="1" applyBorder="1" applyAlignment="1">
      <alignment horizontal="left" vertical="center"/>
    </xf>
    <xf numFmtId="0" fontId="49" fillId="34" borderId="30" xfId="79" applyFont="1" applyFill="1" applyBorder="1" applyAlignment="1">
      <alignment horizontal="center" vertical="center"/>
    </xf>
    <xf numFmtId="1" fontId="48" fillId="34" borderId="30" xfId="80" applyNumberFormat="1" applyFont="1" applyFill="1" applyBorder="1" applyAlignment="1">
      <alignment vertical="center"/>
    </xf>
    <xf numFmtId="1" fontId="48" fillId="34" borderId="31" xfId="80" applyNumberFormat="1" applyFont="1" applyFill="1" applyBorder="1" applyAlignment="1">
      <alignment vertical="center"/>
    </xf>
    <xf numFmtId="1" fontId="48" fillId="0" borderId="0" xfId="80" applyNumberFormat="1" applyFont="1" applyFill="1" applyBorder="1" applyAlignment="1">
      <alignment vertical="center"/>
    </xf>
    <xf numFmtId="1" fontId="48" fillId="0" borderId="33" xfId="80" applyNumberFormat="1" applyFont="1" applyFill="1" applyBorder="1" applyAlignment="1">
      <alignment vertical="center"/>
    </xf>
    <xf numFmtId="4" fontId="40" fillId="0" borderId="32" xfId="0" applyNumberFormat="1" applyFont="1" applyFill="1" applyBorder="1" applyAlignment="1">
      <alignment horizontal="left" vertical="center"/>
    </xf>
    <xf numFmtId="0" fontId="49" fillId="0" borderId="0" xfId="79" applyFont="1" applyFill="1" applyBorder="1" applyAlignment="1">
      <alignment horizontal="center" vertical="center"/>
    </xf>
    <xf numFmtId="4" fontId="44" fillId="14" borderId="24" xfId="0" applyNumberFormat="1" applyFont="1" applyFill="1" applyBorder="1" applyAlignment="1">
      <alignment horizontal="left" vertical="center"/>
    </xf>
    <xf numFmtId="4" fontId="48" fillId="14" borderId="30" xfId="0" applyNumberFormat="1" applyFont="1" applyFill="1" applyBorder="1" applyAlignment="1">
      <alignment horizontal="left" vertical="center"/>
    </xf>
    <xf numFmtId="4" fontId="48" fillId="14" borderId="30" xfId="0" applyNumberFormat="1" applyFont="1" applyFill="1" applyBorder="1" applyAlignment="1">
      <alignment horizontal="center" vertical="center"/>
    </xf>
    <xf numFmtId="0" fontId="49" fillId="14" borderId="30" xfId="79" applyFont="1" applyFill="1" applyBorder="1" applyAlignment="1">
      <alignment horizontal="left" vertical="center"/>
    </xf>
    <xf numFmtId="0" fontId="49" fillId="14" borderId="31" xfId="79" applyFont="1" applyFill="1" applyBorder="1" applyAlignment="1">
      <alignment horizontal="left" vertical="center"/>
    </xf>
    <xf numFmtId="167" fontId="49" fillId="5" borderId="2" xfId="70" applyNumberFormat="1" applyFont="1" applyFill="1" applyBorder="1" applyAlignment="1">
      <alignment vertical="center"/>
    </xf>
    <xf numFmtId="3" fontId="48" fillId="0" borderId="35" xfId="76" applyFont="1" applyBorder="1" applyAlignment="1">
      <alignment horizontal="left" vertical="center"/>
    </xf>
    <xf numFmtId="4" fontId="30" fillId="9" borderId="24" xfId="0" applyNumberFormat="1" applyFont="1" applyFill="1" applyBorder="1" applyAlignment="1">
      <alignment horizontal="left" vertical="center"/>
    </xf>
    <xf numFmtId="4" fontId="48" fillId="9" borderId="30" xfId="0" applyNumberFormat="1" applyFont="1" applyFill="1" applyBorder="1" applyAlignment="1">
      <alignment horizontal="left" vertical="center"/>
    </xf>
    <xf numFmtId="4" fontId="48" fillId="9" borderId="30" xfId="0" applyNumberFormat="1" applyFont="1" applyFill="1" applyBorder="1" applyAlignment="1">
      <alignment horizontal="center" vertical="center"/>
    </xf>
    <xf numFmtId="0" fontId="49" fillId="9" borderId="30" xfId="79" applyFont="1" applyFill="1" applyBorder="1" applyAlignment="1">
      <alignment horizontal="left" vertical="center"/>
    </xf>
    <xf numFmtId="0" fontId="49" fillId="9" borderId="31" xfId="79" applyFont="1" applyFill="1" applyBorder="1" applyAlignment="1">
      <alignment horizontal="left" vertical="center"/>
    </xf>
    <xf numFmtId="0" fontId="49" fillId="30" borderId="30" xfId="79" applyFont="1" applyFill="1" applyBorder="1" applyAlignment="1">
      <alignment horizontal="left" vertical="center"/>
    </xf>
    <xf numFmtId="0" fontId="49" fillId="30" borderId="31" xfId="79" applyFont="1" applyFill="1" applyBorder="1" applyAlignment="1">
      <alignment horizontal="left" vertical="center"/>
    </xf>
    <xf numFmtId="167" fontId="49" fillId="0" borderId="0" xfId="79" applyNumberFormat="1" applyFont="1" applyFill="1" applyAlignment="1">
      <alignment horizontal="left" vertical="center"/>
    </xf>
    <xf numFmtId="167" fontId="48" fillId="0" borderId="0" xfId="79" applyNumberFormat="1" applyFont="1" applyFill="1" applyAlignment="1">
      <alignment horizontal="left" vertical="center"/>
    </xf>
    <xf numFmtId="6" fontId="81" fillId="0" borderId="0" xfId="74" applyNumberFormat="1" applyFont="1" applyFill="1" applyBorder="1" applyAlignment="1">
      <alignment horizontal="center"/>
    </xf>
    <xf numFmtId="4" fontId="30" fillId="8" borderId="0" xfId="0" applyNumberFormat="1" applyFont="1" applyFill="1" applyAlignment="1">
      <alignment horizontal="left" vertical="center"/>
    </xf>
    <xf numFmtId="4" fontId="30" fillId="8" borderId="32" xfId="0" applyNumberFormat="1" applyFont="1" applyFill="1" applyBorder="1" applyAlignment="1">
      <alignment horizontal="left" vertical="center"/>
    </xf>
    <xf numFmtId="6" fontId="81" fillId="0" borderId="13" xfId="74" applyNumberFormat="1" applyFont="1" applyFill="1" applyBorder="1" applyAlignment="1">
      <alignment horizontal="center"/>
    </xf>
    <xf numFmtId="6" fontId="81" fillId="0" borderId="55" xfId="74" applyNumberFormat="1" applyFont="1" applyFill="1" applyBorder="1" applyAlignment="1">
      <alignment horizontal="center"/>
    </xf>
    <xf numFmtId="0" fontId="111" fillId="0" borderId="0" xfId="4" applyFont="1" applyFill="1" applyBorder="1"/>
    <xf numFmtId="0" fontId="30" fillId="34" borderId="9" xfId="79" applyFont="1" applyFill="1" applyBorder="1" applyAlignment="1">
      <alignment horizontal="left" vertical="center"/>
    </xf>
    <xf numFmtId="9" fontId="35" fillId="0" borderId="0" xfId="2" applyNumberFormat="1" applyFont="1" applyBorder="1" applyAlignment="1">
      <alignment horizontal="right" vertical="center"/>
    </xf>
    <xf numFmtId="0" fontId="49" fillId="20" borderId="52" xfId="79" applyFont="1" applyFill="1" applyBorder="1" applyAlignment="1">
      <alignment horizontal="center" vertical="center"/>
    </xf>
    <xf numFmtId="0" fontId="49" fillId="20" borderId="53" xfId="79" applyFont="1" applyFill="1" applyBorder="1" applyAlignment="1">
      <alignment horizontal="center" vertical="center"/>
    </xf>
    <xf numFmtId="0" fontId="49" fillId="20" borderId="54" xfId="79" applyFont="1" applyFill="1" applyBorder="1" applyAlignment="1">
      <alignment horizontal="center" vertical="center"/>
    </xf>
    <xf numFmtId="4" fontId="30" fillId="8" borderId="9" xfId="0" applyNumberFormat="1" applyFont="1" applyFill="1" applyBorder="1" applyAlignment="1">
      <alignment horizontal="left" vertical="center"/>
    </xf>
    <xf numFmtId="0" fontId="48" fillId="13" borderId="32" xfId="82" applyFont="1" applyFill="1" applyBorder="1" applyAlignment="1">
      <alignment horizontal="left" vertical="center"/>
    </xf>
    <xf numFmtId="0" fontId="48" fillId="13" borderId="0" xfId="79" applyFont="1" applyFill="1" applyBorder="1" applyAlignment="1">
      <alignment horizontal="left" vertical="center"/>
    </xf>
    <xf numFmtId="0" fontId="48" fillId="13" borderId="0" xfId="79" applyFont="1" applyFill="1" applyBorder="1" applyAlignment="1">
      <alignment horizontal="center" vertical="center"/>
    </xf>
    <xf numFmtId="0" fontId="49" fillId="13" borderId="0" xfId="79" applyFont="1" applyFill="1" applyBorder="1" applyAlignment="1">
      <alignment horizontal="left" vertical="center"/>
    </xf>
    <xf numFmtId="41" fontId="48" fillId="13" borderId="0" xfId="77" applyNumberFormat="1" applyFont="1" applyFill="1" applyBorder="1" applyAlignment="1">
      <alignment horizontal="center" vertical="center"/>
    </xf>
    <xf numFmtId="41" fontId="48" fillId="13" borderId="33" xfId="77" applyNumberFormat="1" applyFont="1" applyFill="1" applyBorder="1" applyAlignment="1">
      <alignment horizontal="center" vertical="center"/>
    </xf>
    <xf numFmtId="0" fontId="40" fillId="0" borderId="51" xfId="79" applyFont="1" applyBorder="1" applyAlignment="1">
      <alignment horizontal="left" vertical="center"/>
    </xf>
    <xf numFmtId="0" fontId="40" fillId="0" borderId="3" xfId="79" applyFont="1" applyBorder="1" applyAlignment="1">
      <alignment horizontal="left" vertical="center"/>
    </xf>
    <xf numFmtId="9" fontId="35" fillId="0" borderId="3" xfId="79" applyNumberFormat="1" applyFont="1" applyFill="1" applyBorder="1" applyAlignment="1">
      <alignment horizontal="center" vertical="center"/>
    </xf>
    <xf numFmtId="167" fontId="40" fillId="5" borderId="3" xfId="70" applyNumberFormat="1" applyFont="1" applyFill="1" applyBorder="1" applyAlignment="1">
      <alignment vertical="center"/>
    </xf>
    <xf numFmtId="167" fontId="40" fillId="0" borderId="3" xfId="70" applyNumberFormat="1" applyFont="1" applyFill="1" applyBorder="1" applyAlignment="1">
      <alignment vertical="center"/>
    </xf>
    <xf numFmtId="167" fontId="40" fillId="0" borderId="43" xfId="70" applyNumberFormat="1" applyFont="1" applyFill="1" applyBorder="1" applyAlignment="1">
      <alignment vertical="center"/>
    </xf>
    <xf numFmtId="3" fontId="35" fillId="0" borderId="0" xfId="76" applyFont="1" applyAlignment="1">
      <alignment vertical="center"/>
    </xf>
    <xf numFmtId="9" fontId="35" fillId="0" borderId="3" xfId="79" applyNumberFormat="1" applyFont="1" applyBorder="1" applyAlignment="1">
      <alignment horizontal="center" vertical="center"/>
    </xf>
    <xf numFmtId="6" fontId="81" fillId="0" borderId="9" xfId="74" applyNumberFormat="1" applyFont="1" applyFill="1" applyBorder="1" applyAlignment="1">
      <alignment horizontal="center"/>
    </xf>
    <xf numFmtId="6" fontId="81" fillId="0" borderId="57" xfId="74" applyNumberFormat="1" applyFont="1" applyFill="1" applyBorder="1" applyAlignment="1">
      <alignment horizontal="center"/>
    </xf>
    <xf numFmtId="6" fontId="81" fillId="0" borderId="58" xfId="74" applyNumberFormat="1" applyFont="1" applyFill="1" applyBorder="1" applyAlignment="1">
      <alignment horizontal="center"/>
    </xf>
    <xf numFmtId="44" fontId="35" fillId="0" borderId="0" xfId="14" applyNumberFormat="1" applyFont="1"/>
    <xf numFmtId="44" fontId="35" fillId="0" borderId="0" xfId="71" applyNumberFormat="1" applyFont="1" applyBorder="1"/>
    <xf numFmtId="167" fontId="49" fillId="0" borderId="3" xfId="70" applyNumberFormat="1" applyFont="1" applyBorder="1" applyAlignment="1">
      <alignment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103" fillId="0" borderId="0" xfId="0" applyFont="1" applyFill="1" applyAlignment="1">
      <alignment vertical="center"/>
    </xf>
    <xf numFmtId="2" fontId="0" fillId="0" borderId="0" xfId="0" applyNumberFormat="1" applyAlignment="1">
      <alignment vertical="center"/>
    </xf>
    <xf numFmtId="179" fontId="0" fillId="0" borderId="0" xfId="0" applyNumberFormat="1" applyFill="1" applyAlignment="1">
      <alignment vertical="center"/>
    </xf>
    <xf numFmtId="185" fontId="0" fillId="0" borderId="0" xfId="0" applyNumberFormat="1" applyAlignment="1">
      <alignment vertical="center"/>
    </xf>
    <xf numFmtId="186" fontId="0" fillId="0" borderId="0" xfId="0" applyNumberFormat="1" applyAlignment="1">
      <alignment vertical="center"/>
    </xf>
    <xf numFmtId="0" fontId="0" fillId="0" borderId="0" xfId="0" applyFont="1" applyAlignment="1"/>
    <xf numFmtId="0" fontId="115" fillId="0" borderId="59" xfId="0" applyFont="1" applyBorder="1" applyAlignment="1">
      <alignment horizontal="left" readingOrder="1"/>
    </xf>
    <xf numFmtId="0" fontId="116" fillId="0" borderId="59" xfId="0" applyFont="1" applyBorder="1" applyAlignment="1">
      <alignment horizontal="left" readingOrder="1"/>
    </xf>
    <xf numFmtId="0" fontId="51" fillId="0" borderId="59" xfId="0" applyFont="1" applyBorder="1" applyAlignment="1">
      <alignment horizontal="left" readingOrder="1"/>
    </xf>
    <xf numFmtId="6" fontId="51" fillId="0" borderId="60" xfId="0" applyNumberFormat="1" applyFont="1" applyBorder="1" applyAlignment="1">
      <alignment horizontal="right" readingOrder="1"/>
    </xf>
    <xf numFmtId="6" fontId="51" fillId="0" borderId="61" xfId="0" applyNumberFormat="1" applyFont="1" applyBorder="1" applyAlignment="1">
      <alignment horizontal="right" readingOrder="1"/>
    </xf>
    <xf numFmtId="6" fontId="116" fillId="0" borderId="62" xfId="0" applyNumberFormat="1" applyFont="1" applyBorder="1" applyAlignment="1">
      <alignment horizontal="right" readingOrder="1"/>
    </xf>
    <xf numFmtId="6" fontId="116" fillId="0" borderId="60" xfId="0" applyNumberFormat="1" applyFont="1" applyBorder="1" applyAlignment="1">
      <alignment horizontal="right" readingOrder="1"/>
    </xf>
    <xf numFmtId="0" fontId="82" fillId="0" borderId="60" xfId="0" applyFont="1" applyBorder="1" applyAlignment="1">
      <alignment horizontal="right" vertical="center"/>
    </xf>
    <xf numFmtId="0" fontId="82" fillId="0" borderId="59" xfId="0" applyFont="1" applyBorder="1" applyAlignment="1"/>
    <xf numFmtId="0" fontId="82" fillId="0" borderId="60" xfId="0" applyFont="1" applyBorder="1" applyAlignment="1"/>
    <xf numFmtId="166" fontId="0" fillId="0" borderId="0" xfId="2" applyNumberFormat="1" applyFont="1" applyAlignment="1"/>
    <xf numFmtId="0" fontId="0" fillId="0" borderId="0" xfId="0" applyFont="1" applyAlignment="1">
      <alignment horizontal="center" vertical="center"/>
    </xf>
    <xf numFmtId="0" fontId="117" fillId="35" borderId="63" xfId="0" applyFont="1" applyFill="1" applyBorder="1" applyAlignment="1">
      <alignment horizontal="center" vertical="center" wrapText="1" readingOrder="1"/>
    </xf>
    <xf numFmtId="0" fontId="117" fillId="35" borderId="64" xfId="0" applyFont="1" applyFill="1" applyBorder="1" applyAlignment="1">
      <alignment horizontal="center" vertical="center" wrapText="1" readingOrder="1"/>
    </xf>
    <xf numFmtId="8" fontId="51" fillId="0" borderId="65" xfId="0" applyNumberFormat="1" applyFont="1" applyBorder="1" applyAlignment="1">
      <alignment horizontal="center" vertical="center" wrapText="1" readingOrder="1"/>
    </xf>
    <xf numFmtId="0" fontId="51" fillId="0" borderId="60" xfId="0" applyFont="1" applyBorder="1" applyAlignment="1">
      <alignment horizontal="center" vertical="center" wrapText="1" readingOrder="1"/>
    </xf>
    <xf numFmtId="8" fontId="51" fillId="0" borderId="60" xfId="0" applyNumberFormat="1" applyFont="1" applyBorder="1" applyAlignment="1">
      <alignment horizontal="center" vertical="center" wrapText="1" readingOrder="1"/>
    </xf>
    <xf numFmtId="0" fontId="116" fillId="0" borderId="65" xfId="0" applyFont="1" applyBorder="1" applyAlignment="1">
      <alignment horizontal="left" vertical="center" readingOrder="1"/>
    </xf>
    <xf numFmtId="0" fontId="116" fillId="0" borderId="60" xfId="0" applyFont="1" applyBorder="1" applyAlignment="1">
      <alignment horizontal="left" vertical="center" readingOrder="1"/>
    </xf>
    <xf numFmtId="179" fontId="51" fillId="0" borderId="60" xfId="0" applyNumberFormat="1" applyFont="1" applyBorder="1" applyAlignment="1">
      <alignment horizontal="center" vertical="center" wrapText="1" readingOrder="1"/>
    </xf>
    <xf numFmtId="3" fontId="0" fillId="0" borderId="0" xfId="36" applyNumberFormat="1" applyFont="1" applyAlignment="1">
      <alignment horizontal="center"/>
    </xf>
    <xf numFmtId="3" fontId="0" fillId="0" borderId="0" xfId="36" applyNumberFormat="1" applyFont="1" applyAlignment="1">
      <alignment horizontal="center" vertical="center"/>
    </xf>
    <xf numFmtId="179" fontId="0" fillId="0" borderId="0" xfId="0" applyNumberFormat="1" applyFont="1" applyAlignment="1">
      <alignment vertical="center"/>
    </xf>
    <xf numFmtId="166" fontId="0" fillId="0" borderId="0" xfId="2" applyNumberFormat="1" applyFont="1" applyAlignment="1">
      <alignment horizontal="center" vertical="center"/>
    </xf>
    <xf numFmtId="166" fontId="0" fillId="0" borderId="0" xfId="2" applyNumberFormat="1" applyFont="1" applyAlignment="1">
      <alignment vertical="center"/>
    </xf>
    <xf numFmtId="9" fontId="88" fillId="0" borderId="0" xfId="2" applyFont="1" applyAlignment="1">
      <alignment vertical="center"/>
    </xf>
    <xf numFmtId="166" fontId="88" fillId="0" borderId="0" xfId="2" applyNumberFormat="1" applyFont="1" applyAlignment="1">
      <alignment vertical="center"/>
    </xf>
    <xf numFmtId="165" fontId="44" fillId="2" borderId="7" xfId="38" applyNumberFormat="1" applyFont="1" applyFill="1" applyBorder="1" applyAlignment="1">
      <alignment horizontal="center" vertical="center"/>
    </xf>
    <xf numFmtId="165" fontId="44" fillId="2" borderId="2" xfId="38" applyNumberFormat="1" applyFont="1" applyFill="1" applyBorder="1" applyAlignment="1">
      <alignment horizontal="center" vertical="center"/>
    </xf>
    <xf numFmtId="165" fontId="44" fillId="2" borderId="5" xfId="38" applyNumberFormat="1" applyFont="1" applyFill="1" applyBorder="1" applyAlignment="1">
      <alignment horizontal="center" vertical="center"/>
    </xf>
    <xf numFmtId="165" fontId="44" fillId="2" borderId="9" xfId="38" applyNumberFormat="1" applyFont="1" applyFill="1" applyBorder="1" applyAlignment="1">
      <alignment horizontal="center" vertical="center"/>
    </xf>
    <xf numFmtId="1" fontId="0" fillId="13" borderId="10" xfId="0" applyNumberFormat="1" applyFill="1" applyBorder="1" applyAlignment="1">
      <alignment horizontal="center" vertical="center"/>
    </xf>
    <xf numFmtId="179" fontId="0" fillId="13" borderId="0" xfId="0" applyNumberFormat="1" applyFill="1" applyBorder="1" applyAlignment="1">
      <alignment vertical="center"/>
    </xf>
    <xf numFmtId="166" fontId="0" fillId="13" borderId="9" xfId="2" applyNumberFormat="1" applyFont="1" applyFill="1" applyBorder="1" applyAlignment="1">
      <alignment vertical="center"/>
    </xf>
    <xf numFmtId="1" fontId="0" fillId="13" borderId="1" xfId="0" applyNumberFormat="1" applyFill="1" applyBorder="1" applyAlignment="1">
      <alignment horizontal="center" vertical="center"/>
    </xf>
    <xf numFmtId="179" fontId="0" fillId="13" borderId="4" xfId="0" applyNumberFormat="1" applyFill="1" applyBorder="1" applyAlignment="1">
      <alignment vertical="center"/>
    </xf>
    <xf numFmtId="166" fontId="0" fillId="13" borderId="8" xfId="2" applyNumberFormat="1" applyFont="1" applyFill="1" applyBorder="1" applyAlignment="1">
      <alignment vertical="center"/>
    </xf>
    <xf numFmtId="1" fontId="0" fillId="13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79" fontId="0" fillId="0" borderId="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center" vertical="center"/>
    </xf>
    <xf numFmtId="166" fontId="0" fillId="0" borderId="9" xfId="2" applyNumberFormat="1" applyFont="1" applyFill="1" applyBorder="1" applyAlignment="1">
      <alignment vertical="center"/>
    </xf>
    <xf numFmtId="0" fontId="0" fillId="13" borderId="1" xfId="0" applyFill="1" applyBorder="1" applyAlignment="1">
      <alignment vertical="center"/>
    </xf>
    <xf numFmtId="0" fontId="0" fillId="13" borderId="4" xfId="0" applyFill="1" applyBorder="1" applyAlignment="1">
      <alignment vertical="center"/>
    </xf>
    <xf numFmtId="0" fontId="0" fillId="13" borderId="8" xfId="0" applyFill="1" applyBorder="1" applyAlignment="1">
      <alignment vertical="center"/>
    </xf>
    <xf numFmtId="165" fontId="44" fillId="36" borderId="2" xfId="38" applyNumberFormat="1" applyFont="1" applyFill="1" applyBorder="1" applyAlignment="1">
      <alignment horizontal="center" vertical="center"/>
    </xf>
    <xf numFmtId="165" fontId="44" fillId="36" borderId="0" xfId="38" applyNumberFormat="1" applyFont="1" applyFill="1" applyBorder="1" applyAlignment="1">
      <alignment horizontal="center" vertical="center"/>
    </xf>
    <xf numFmtId="165" fontId="44" fillId="37" borderId="7" xfId="38" applyNumberFormat="1" applyFont="1" applyFill="1" applyBorder="1" applyAlignment="1">
      <alignment horizontal="center" vertical="center"/>
    </xf>
    <xf numFmtId="165" fontId="44" fillId="37" borderId="2" xfId="38" applyNumberFormat="1" applyFont="1" applyFill="1" applyBorder="1" applyAlignment="1">
      <alignment horizontal="center" vertical="center"/>
    </xf>
    <xf numFmtId="165" fontId="44" fillId="37" borderId="5" xfId="38" applyNumberFormat="1" applyFont="1" applyFill="1" applyBorder="1" applyAlignment="1">
      <alignment horizontal="center" vertical="center"/>
    </xf>
    <xf numFmtId="165" fontId="44" fillId="37" borderId="10" xfId="38" applyNumberFormat="1" applyFont="1" applyFill="1" applyBorder="1" applyAlignment="1">
      <alignment horizontal="center" vertical="center"/>
    </xf>
    <xf numFmtId="165" fontId="44" fillId="37" borderId="0" xfId="38" applyNumberFormat="1" applyFont="1" applyFill="1" applyBorder="1" applyAlignment="1">
      <alignment horizontal="center" vertical="center"/>
    </xf>
    <xf numFmtId="165" fontId="44" fillId="37" borderId="9" xfId="38" applyNumberFormat="1" applyFont="1" applyFill="1" applyBorder="1" applyAlignment="1">
      <alignment horizontal="center" vertical="center"/>
    </xf>
    <xf numFmtId="165" fontId="44" fillId="36" borderId="5" xfId="38" applyNumberFormat="1" applyFont="1" applyFill="1" applyBorder="1" applyAlignment="1">
      <alignment horizontal="center" vertical="center"/>
    </xf>
    <xf numFmtId="165" fontId="44" fillId="36" borderId="9" xfId="38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79" fontId="0" fillId="0" borderId="4" xfId="0" applyNumberFormat="1" applyFill="1" applyBorder="1" applyAlignment="1">
      <alignment vertical="center"/>
    </xf>
    <xf numFmtId="166" fontId="0" fillId="0" borderId="8" xfId="2" applyNumberFormat="1" applyFont="1" applyFill="1" applyBorder="1" applyAlignment="1">
      <alignment vertical="center"/>
    </xf>
    <xf numFmtId="1" fontId="0" fillId="0" borderId="4" xfId="0" applyNumberFormat="1" applyFill="1" applyBorder="1" applyAlignment="1">
      <alignment horizontal="center" vertical="center"/>
    </xf>
    <xf numFmtId="9" fontId="5" fillId="0" borderId="0" xfId="2" applyFont="1"/>
    <xf numFmtId="166" fontId="5" fillId="0" borderId="0" xfId="2" applyNumberFormat="1" applyFont="1"/>
    <xf numFmtId="0" fontId="117" fillId="35" borderId="63" xfId="0" applyFont="1" applyFill="1" applyBorder="1" applyAlignment="1">
      <alignment horizontal="center" vertical="center" wrapText="1" readingOrder="1"/>
    </xf>
    <xf numFmtId="0" fontId="117" fillId="35" borderId="64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horizontal="center" vertical="center"/>
    </xf>
    <xf numFmtId="14" fontId="29" fillId="0" borderId="0" xfId="65" applyNumberFormat="1" applyFont="1"/>
    <xf numFmtId="1" fontId="28" fillId="0" borderId="0" xfId="65" applyNumberFormat="1" applyFont="1" applyBorder="1"/>
    <xf numFmtId="0" fontId="111" fillId="38" borderId="42" xfId="4" applyFont="1" applyFill="1" applyBorder="1"/>
    <xf numFmtId="0" fontId="111" fillId="38" borderId="44" xfId="4" applyFont="1" applyFill="1" applyBorder="1"/>
    <xf numFmtId="0" fontId="111" fillId="38" borderId="56" xfId="4" applyFont="1" applyFill="1" applyBorder="1"/>
    <xf numFmtId="0" fontId="111" fillId="38" borderId="32" xfId="4" applyFont="1" applyFill="1" applyBorder="1"/>
    <xf numFmtId="0" fontId="30" fillId="38" borderId="34" xfId="79" applyFont="1" applyFill="1" applyBorder="1" applyAlignment="1">
      <alignment horizontal="left" vertical="center"/>
    </xf>
    <xf numFmtId="4" fontId="30" fillId="0" borderId="0" xfId="0" applyNumberFormat="1" applyFont="1" applyFill="1" applyBorder="1" applyAlignment="1">
      <alignment horizontal="left" vertical="center"/>
    </xf>
    <xf numFmtId="0" fontId="81" fillId="0" borderId="29" xfId="4" applyFont="1" applyFill="1" applyBorder="1"/>
    <xf numFmtId="10" fontId="77" fillId="0" borderId="29" xfId="74" applyNumberFormat="1" applyFont="1" applyFill="1" applyBorder="1" applyAlignment="1">
      <alignment horizontal="right"/>
    </xf>
    <xf numFmtId="6" fontId="82" fillId="0" borderId="29" xfId="74" applyNumberFormat="1" applyFont="1" applyFill="1" applyBorder="1" applyAlignment="1">
      <alignment horizontal="center"/>
    </xf>
    <xf numFmtId="6" fontId="82" fillId="0" borderId="0" xfId="74" applyNumberFormat="1" applyFont="1" applyFill="1" applyBorder="1" applyAlignment="1">
      <alignment horizontal="center"/>
    </xf>
    <xf numFmtId="6" fontId="82" fillId="0" borderId="13" xfId="74" applyNumberFormat="1" applyFont="1" applyFill="1" applyBorder="1" applyAlignment="1">
      <alignment horizontal="center"/>
    </xf>
    <xf numFmtId="6" fontId="82" fillId="0" borderId="28" xfId="74" applyNumberFormat="1" applyFont="1" applyFill="1" applyBorder="1" applyAlignment="1">
      <alignment horizontal="center"/>
    </xf>
    <xf numFmtId="166" fontId="26" fillId="0" borderId="0" xfId="2" applyNumberFormat="1" applyFont="1"/>
    <xf numFmtId="8" fontId="0" fillId="0" borderId="0" xfId="0" applyNumberFormat="1" applyFont="1" applyAlignment="1"/>
    <xf numFmtId="179" fontId="82" fillId="0" borderId="0" xfId="0" applyNumberFormat="1" applyFont="1" applyAlignment="1">
      <alignment vertical="center"/>
    </xf>
    <xf numFmtId="41" fontId="28" fillId="0" borderId="0" xfId="12" applyNumberFormat="1" applyFont="1" applyAlignment="1">
      <alignment horizontal="center"/>
    </xf>
    <xf numFmtId="167" fontId="26" fillId="0" borderId="0" xfId="4" applyNumberFormat="1" applyFont="1"/>
    <xf numFmtId="10" fontId="27" fillId="0" borderId="0" xfId="2" applyNumberFormat="1" applyFont="1"/>
    <xf numFmtId="10" fontId="27" fillId="0" borderId="0" xfId="0" applyNumberFormat="1" applyFont="1"/>
    <xf numFmtId="2" fontId="88" fillId="0" borderId="0" xfId="5" applyNumberFormat="1" applyFont="1" applyAlignment="1">
      <alignment vertical="center"/>
    </xf>
    <xf numFmtId="1" fontId="88" fillId="0" borderId="0" xfId="5" applyNumberFormat="1" applyFont="1" applyAlignment="1">
      <alignment vertical="center"/>
    </xf>
    <xf numFmtId="9" fontId="27" fillId="11" borderId="0" xfId="2" applyFont="1" applyFill="1" applyAlignment="1">
      <alignment vertical="center"/>
    </xf>
    <xf numFmtId="2" fontId="88" fillId="0" borderId="0" xfId="5" applyNumberFormat="1" applyFont="1" applyBorder="1" applyAlignment="1">
      <alignment vertical="center"/>
    </xf>
    <xf numFmtId="179" fontId="114" fillId="0" borderId="0" xfId="0" applyNumberFormat="1" applyFont="1"/>
    <xf numFmtId="0" fontId="113" fillId="0" borderId="0" xfId="0" applyFont="1"/>
    <xf numFmtId="0" fontId="113" fillId="0" borderId="0" xfId="0" applyFont="1" applyAlignment="1">
      <alignment horizontal="right"/>
    </xf>
    <xf numFmtId="0" fontId="114" fillId="0" borderId="0" xfId="0" applyFont="1" applyAlignment="1">
      <alignment horizontal="right"/>
    </xf>
    <xf numFmtId="0" fontId="118" fillId="0" borderId="0" xfId="0" applyFont="1" applyFill="1"/>
    <xf numFmtId="165" fontId="118" fillId="0" borderId="0" xfId="38" applyNumberFormat="1" applyFont="1" applyFill="1" applyBorder="1" applyAlignment="1">
      <alignment horizontal="center" vertical="center"/>
    </xf>
    <xf numFmtId="179" fontId="114" fillId="0" borderId="0" xfId="0" applyNumberFormat="1" applyFont="1" applyAlignment="1">
      <alignment horizontal="right"/>
    </xf>
    <xf numFmtId="2" fontId="28" fillId="0" borderId="12" xfId="65" applyNumberFormat="1" applyFont="1" applyBorder="1"/>
    <xf numFmtId="3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37" fontId="21" fillId="0" borderId="0" xfId="0" applyNumberFormat="1" applyFont="1" applyAlignment="1">
      <alignment vertical="center"/>
    </xf>
    <xf numFmtId="10" fontId="21" fillId="0" borderId="0" xfId="2" applyNumberFormat="1" applyFont="1" applyAlignment="1">
      <alignment vertical="center"/>
    </xf>
    <xf numFmtId="179" fontId="0" fillId="0" borderId="0" xfId="0" applyNumberFormat="1" applyFont="1" applyAlignment="1"/>
    <xf numFmtId="1" fontId="0" fillId="0" borderId="0" xfId="0" applyNumberFormat="1" applyFont="1" applyAlignment="1"/>
    <xf numFmtId="0" fontId="111" fillId="0" borderId="0" xfId="0" applyFont="1" applyFill="1" applyAlignment="1">
      <alignment horizontal="center"/>
    </xf>
    <xf numFmtId="0" fontId="111" fillId="0" borderId="0" xfId="0" applyFont="1" applyFill="1" applyAlignment="1">
      <alignment horizontal="center" wrapText="1"/>
    </xf>
    <xf numFmtId="0" fontId="0" fillId="0" borderId="29" xfId="0" applyBorder="1"/>
    <xf numFmtId="3" fontId="82" fillId="0" borderId="29" xfId="0" applyNumberFormat="1" applyFont="1" applyFill="1" applyBorder="1" applyAlignment="1">
      <alignment horizontal="right" wrapText="1"/>
    </xf>
    <xf numFmtId="0" fontId="0" fillId="0" borderId="29" xfId="0" applyFont="1" applyBorder="1" applyAlignment="1"/>
    <xf numFmtId="179" fontId="0" fillId="0" borderId="29" xfId="0" applyNumberFormat="1" applyFont="1" applyBorder="1" applyAlignment="1"/>
    <xf numFmtId="0" fontId="111" fillId="31" borderId="29" xfId="0" applyFont="1" applyFill="1" applyBorder="1" applyAlignment="1">
      <alignment horizontal="center" wrapText="1"/>
    </xf>
    <xf numFmtId="0" fontId="0" fillId="0" borderId="14" xfId="0" applyBorder="1"/>
    <xf numFmtId="0" fontId="111" fillId="31" borderId="29" xfId="0" applyFont="1" applyFill="1" applyBorder="1" applyAlignment="1">
      <alignment horizontal="center"/>
    </xf>
    <xf numFmtId="1" fontId="25" fillId="0" borderId="12" xfId="65" applyNumberFormat="1" applyFont="1" applyBorder="1" applyAlignment="1">
      <alignment horizontal="right"/>
    </xf>
    <xf numFmtId="1" fontId="46" fillId="0" borderId="12" xfId="42" applyNumberFormat="1" applyFont="1" applyBorder="1" applyAlignment="1">
      <alignment horizontal="right"/>
    </xf>
    <xf numFmtId="164" fontId="44" fillId="2" borderId="2" xfId="42" applyFont="1" applyFill="1" applyBorder="1" applyAlignment="1">
      <alignment horizontal="center" vertical="center"/>
    </xf>
    <xf numFmtId="164" fontId="44" fillId="2" borderId="5" xfId="42" applyFont="1" applyFill="1" applyBorder="1" applyAlignment="1">
      <alignment horizontal="center" vertical="center"/>
    </xf>
    <xf numFmtId="0" fontId="49" fillId="0" borderId="0" xfId="93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6" fillId="0" borderId="4" xfId="0" applyFont="1" applyBorder="1" applyAlignment="1">
      <alignment horizontal="center"/>
    </xf>
    <xf numFmtId="1" fontId="29" fillId="0" borderId="0" xfId="6" applyNumberFormat="1" applyFont="1" applyBorder="1" applyAlignment="1">
      <alignment horizontal="right" vertical="center"/>
    </xf>
    <xf numFmtId="165" fontId="30" fillId="2" borderId="0" xfId="5" applyNumberFormat="1" applyFont="1" applyFill="1" applyBorder="1" applyAlignment="1">
      <alignment horizontal="center" vertical="center" wrapText="1"/>
    </xf>
    <xf numFmtId="0" fontId="85" fillId="20" borderId="14" xfId="0" applyFont="1" applyFill="1" applyBorder="1" applyAlignment="1">
      <alignment horizontal="center" vertical="center"/>
    </xf>
    <xf numFmtId="0" fontId="85" fillId="20" borderId="3" xfId="0" applyFont="1" applyFill="1" applyBorder="1" applyAlignment="1">
      <alignment horizontal="center" vertical="center"/>
    </xf>
    <xf numFmtId="0" fontId="85" fillId="20" borderId="6" xfId="0" applyFont="1" applyFill="1" applyBorder="1" applyAlignment="1">
      <alignment horizontal="center" vertical="center"/>
    </xf>
    <xf numFmtId="0" fontId="55" fillId="25" borderId="0" xfId="0" applyFont="1" applyFill="1" applyAlignment="1">
      <alignment horizontal="center"/>
    </xf>
    <xf numFmtId="0" fontId="55" fillId="21" borderId="0" xfId="0" applyFont="1" applyFill="1" applyAlignment="1">
      <alignment horizontal="center"/>
    </xf>
    <xf numFmtId="172" fontId="30" fillId="10" borderId="0" xfId="45" applyNumberFormat="1" applyFont="1" applyFill="1" applyBorder="1" applyAlignment="1">
      <alignment horizontal="center" vertical="center"/>
    </xf>
    <xf numFmtId="0" fontId="30" fillId="12" borderId="17" xfId="57" applyFont="1" applyFill="1" applyBorder="1" applyAlignment="1">
      <alignment horizontal="center" wrapText="1"/>
    </xf>
    <xf numFmtId="0" fontId="30" fillId="12" borderId="18" xfId="57" applyFont="1" applyFill="1" applyBorder="1" applyAlignment="1">
      <alignment horizontal="center" wrapText="1"/>
    </xf>
    <xf numFmtId="0" fontId="30" fillId="12" borderId="19" xfId="57" applyFont="1" applyFill="1" applyBorder="1" applyAlignment="1">
      <alignment horizontal="center" wrapText="1"/>
    </xf>
    <xf numFmtId="0" fontId="74" fillId="0" borderId="0" xfId="61" applyAlignment="1">
      <alignment horizontal="center"/>
    </xf>
    <xf numFmtId="0" fontId="74" fillId="0" borderId="0" xfId="61" applyFill="1" applyAlignment="1">
      <alignment horizontal="center"/>
    </xf>
    <xf numFmtId="0" fontId="30" fillId="12" borderId="0" xfId="57" applyFont="1" applyFill="1" applyBorder="1" applyAlignment="1">
      <alignment horizontal="center" wrapText="1"/>
    </xf>
    <xf numFmtId="0" fontId="30" fillId="12" borderId="15" xfId="57" applyFont="1" applyFill="1" applyBorder="1" applyAlignment="1">
      <alignment horizontal="center" wrapText="1"/>
    </xf>
    <xf numFmtId="0" fontId="30" fillId="12" borderId="16" xfId="57" applyFont="1" applyFill="1" applyBorder="1" applyAlignment="1">
      <alignment horizontal="center"/>
    </xf>
    <xf numFmtId="0" fontId="30" fillId="12" borderId="15" xfId="57" applyFont="1" applyFill="1" applyBorder="1" applyAlignment="1">
      <alignment horizontal="center"/>
    </xf>
    <xf numFmtId="0" fontId="30" fillId="12" borderId="0" xfId="57" applyFont="1" applyFill="1" applyBorder="1" applyAlignment="1">
      <alignment horizontal="center"/>
    </xf>
    <xf numFmtId="164" fontId="89" fillId="0" borderId="0" xfId="5" applyFont="1" applyBorder="1" applyAlignment="1">
      <alignment horizontal="center" vertical="center"/>
    </xf>
    <xf numFmtId="164" fontId="89" fillId="0" borderId="4" xfId="5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left" wrapText="1"/>
    </xf>
    <xf numFmtId="0" fontId="119" fillId="31" borderId="14" xfId="0" applyFont="1" applyFill="1" applyBorder="1" applyAlignment="1">
      <alignment horizontal="center"/>
    </xf>
    <xf numFmtId="0" fontId="119" fillId="31" borderId="3" xfId="0" applyFont="1" applyFill="1" applyBorder="1" applyAlignment="1">
      <alignment horizontal="center"/>
    </xf>
    <xf numFmtId="0" fontId="119" fillId="31" borderId="6" xfId="0" applyFont="1" applyFill="1" applyBorder="1" applyAlignment="1">
      <alignment horizontal="center"/>
    </xf>
    <xf numFmtId="0" fontId="117" fillId="35" borderId="63" xfId="0" applyFont="1" applyFill="1" applyBorder="1" applyAlignment="1">
      <alignment horizontal="center" vertical="center" readingOrder="1"/>
    </xf>
    <xf numFmtId="0" fontId="117" fillId="35" borderId="64" xfId="0" applyFont="1" applyFill="1" applyBorder="1" applyAlignment="1">
      <alignment horizontal="center" vertical="center" readingOrder="1"/>
    </xf>
    <xf numFmtId="0" fontId="117" fillId="35" borderId="63" xfId="0" applyFont="1" applyFill="1" applyBorder="1" applyAlignment="1">
      <alignment horizontal="center" vertical="center" wrapText="1" readingOrder="1"/>
    </xf>
    <xf numFmtId="0" fontId="117" fillId="35" borderId="64" xfId="0" applyFont="1" applyFill="1" applyBorder="1" applyAlignment="1">
      <alignment horizontal="center" vertical="center" wrapText="1" readingOrder="1"/>
    </xf>
  </cellXfs>
  <cellStyles count="98">
    <cellStyle name="Comma" xfId="36" builtinId="3"/>
    <cellStyle name="Comma 10" xfId="60"/>
    <cellStyle name="Comma 166" xfId="52"/>
    <cellStyle name="Comma 2" xfId="84"/>
    <cellStyle name="Comma 2 2 2 15" xfId="55"/>
    <cellStyle name="Comma 2 30" xfId="20"/>
    <cellStyle name="Comma 3 5" xfId="26"/>
    <cellStyle name="Comma 3 5 2" xfId="51"/>
    <cellStyle name="Comma 3 5 3" xfId="72"/>
    <cellStyle name="Comma 3 5 4" xfId="81"/>
    <cellStyle name="Comma 3 5 5" xfId="91"/>
    <cellStyle name="Currency" xfId="1" builtinId="4"/>
    <cellStyle name="Currency 10" xfId="70"/>
    <cellStyle name="Currency 11" xfId="15"/>
    <cellStyle name="Currency 2" xfId="86"/>
    <cellStyle name="Currency 2 2 15" xfId="7"/>
    <cellStyle name="Currency 2 2 15 2" xfId="28"/>
    <cellStyle name="Currency 2 2 15 3" xfId="40"/>
    <cellStyle name="Currency 2 2 15 4" xfId="46"/>
    <cellStyle name="Currency 2 2 15 5" xfId="71"/>
    <cellStyle name="Currency 2 2 15 6" xfId="78"/>
    <cellStyle name="Currency 2 2 15 7" xfId="89"/>
    <cellStyle name="Currency 3 16" xfId="22"/>
    <cellStyle name="Currency 5 3" xfId="17"/>
    <cellStyle name="Hyperlink 12 2" xfId="56"/>
    <cellStyle name="Hyperlink 13" xfId="66"/>
    <cellStyle name="Hyperlink 13 2" xfId="61"/>
    <cellStyle name="Hyperlink 2 3" xfId="11"/>
    <cellStyle name="Hyperlink 2 3 3" xfId="63"/>
    <cellStyle name="Hyperlink 7 2" xfId="9"/>
    <cellStyle name="Hyperlink_Frederick County Model 03-04-08" xfId="54"/>
    <cellStyle name="Normal" xfId="0" builtinId="0"/>
    <cellStyle name="Normal 10 2" xfId="3"/>
    <cellStyle name="Normal 10 2 10" xfId="97"/>
    <cellStyle name="Normal 10 2 2" xfId="6"/>
    <cellStyle name="Normal 10 2 3" xfId="24"/>
    <cellStyle name="Normal 10 2 4" xfId="37"/>
    <cellStyle name="Normal 10 2 5" xfId="41"/>
    <cellStyle name="Normal 10 2 6" xfId="44"/>
    <cellStyle name="Normal 10 2 7" xfId="65"/>
    <cellStyle name="Normal 10 2 8" xfId="75"/>
    <cellStyle name="Normal 10 2 9" xfId="94"/>
    <cellStyle name="Normal 10 4" xfId="10"/>
    <cellStyle name="Normal 10 4 2" xfId="14"/>
    <cellStyle name="Normal 10 4 3" xfId="69"/>
    <cellStyle name="Normal 10 6 2" xfId="13"/>
    <cellStyle name="Normal 10 6 2 2" xfId="48"/>
    <cellStyle name="Normal 10 6 2 3" xfId="67"/>
    <cellStyle name="Normal 10 6 2 4" xfId="82"/>
    <cellStyle name="Normal 10 6 2 5" xfId="92"/>
    <cellStyle name="Normal 100" xfId="45"/>
    <cellStyle name="Normal 1076 3" xfId="57"/>
    <cellStyle name="Normal 11 2 2 2 2 2" xfId="59"/>
    <cellStyle name="Normal 12 2 3" xfId="58"/>
    <cellStyle name="Normal 128" xfId="35"/>
    <cellStyle name="Normal 129" xfId="31"/>
    <cellStyle name="Normal 130" xfId="30"/>
    <cellStyle name="Normal 132" xfId="29"/>
    <cellStyle name="Normal 133" xfId="32"/>
    <cellStyle name="Normal 134" xfId="33"/>
    <cellStyle name="Normal 135" xfId="34"/>
    <cellStyle name="Normal 16 2 2 2 3" xfId="64"/>
    <cellStyle name="Normal 1631" xfId="12"/>
    <cellStyle name="Normal 2" xfId="5"/>
    <cellStyle name="Normal 2 2" xfId="25"/>
    <cellStyle name="Normal 2 2 25" xfId="8"/>
    <cellStyle name="Normal 2 25" xfId="18"/>
    <cellStyle name="Normal 2 26 2" xfId="47"/>
    <cellStyle name="Normal 2 3" xfId="38"/>
    <cellStyle name="Normal 2 30" xfId="76"/>
    <cellStyle name="Normal 2 4" xfId="42"/>
    <cellStyle name="Normal 2 5" xfId="96"/>
    <cellStyle name="Normal 3" xfId="21"/>
    <cellStyle name="Normal 3 2" xfId="23"/>
    <cellStyle name="Normal 4" xfId="85"/>
    <cellStyle name="Normal 6 2 10" xfId="16"/>
    <cellStyle name="Normal 94" xfId="53"/>
    <cellStyle name="Normal 96" xfId="90"/>
    <cellStyle name="Normal 96 2" xfId="79"/>
    <cellStyle name="Normal 97 2" xfId="4"/>
    <cellStyle name="Normal 97 2 2" xfId="83"/>
    <cellStyle name="Normal_Frederick County Model 03-04-08" xfId="49"/>
    <cellStyle name="Normal_Morton Grove Model 2-24-08.xls" xfId="68"/>
    <cellStyle name="Normal_Westminster Model 03-24-08" xfId="80"/>
    <cellStyle name="Normal_ws indirect expense allocation" xfId="93"/>
    <cellStyle name="Percent" xfId="2" builtinId="5"/>
    <cellStyle name="Percent 10" xfId="19"/>
    <cellStyle name="Percent 11" xfId="95"/>
    <cellStyle name="Percent 2" xfId="27"/>
    <cellStyle name="Percent 2 2" xfId="39"/>
    <cellStyle name="Percent 2 2 2" xfId="62"/>
    <cellStyle name="Percent 2 3" xfId="43"/>
    <cellStyle name="Percent 2 4" xfId="50"/>
    <cellStyle name="Percent 2 5" xfId="73"/>
    <cellStyle name="Percent 2 6" xfId="77"/>
    <cellStyle name="Percent 2 7" xfId="88"/>
    <cellStyle name="Percent 3" xfId="87"/>
    <cellStyle name="Percent 52 2" xfId="74"/>
  </cellStyles>
  <dxfs count="150"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0000FF"/>
      </font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b/>
        <i val="0"/>
        <color theme="9" tint="-0.24994659260841701"/>
      </font>
      <fill>
        <patternFill>
          <bgColor rgb="FFFFEAA7"/>
        </patternFill>
      </fill>
    </dxf>
  </dxfs>
  <tableStyles count="0" defaultTableStyle="TableStyleMedium2" defaultPivotStyle="PivotStyleLight16"/>
  <colors>
    <mruColors>
      <color rgb="FF0000A2"/>
      <color rgb="FF0066FF"/>
      <color rgb="FF0000FF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Total System Revenue Requirements vs. Revenues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Dashboard!$B$140</c:f>
              <c:strCache>
                <c:ptCount val="1"/>
                <c:pt idx="0">
                  <c:v>Total Rate Revenue Generated</c:v>
                </c:pt>
              </c:strCache>
            </c:strRef>
          </c:tx>
          <c:invertIfNegative val="0"/>
          <c:cat>
            <c:strRef>
              <c:f>Dashboard!$C$38:$G$38</c:f>
              <c:strCache>
                <c:ptCount val="5"/>
                <c:pt idx="0">
                  <c:v>FY 2016</c:v>
                </c:pt>
                <c:pt idx="1">
                  <c:v>FY 2017</c:v>
                </c:pt>
                <c:pt idx="2">
                  <c:v>FY 2018</c:v>
                </c:pt>
                <c:pt idx="3">
                  <c:v>FY 2019</c:v>
                </c:pt>
                <c:pt idx="4">
                  <c:v>FY 2020</c:v>
                </c:pt>
              </c:strCache>
            </c:strRef>
          </c:cat>
          <c:val>
            <c:numRef>
              <c:f>Dashboard!$C$140:$G$140</c:f>
              <c:numCache>
                <c:formatCode>"$"#,##0_);[Red]\("$"#,##0\)</c:formatCode>
                <c:ptCount val="5"/>
                <c:pt idx="0">
                  <c:v>19976879.150041129</c:v>
                </c:pt>
                <c:pt idx="1">
                  <c:v>21629528.598265294</c:v>
                </c:pt>
                <c:pt idx="2">
                  <c:v>22666396.525167271</c:v>
                </c:pt>
                <c:pt idx="3">
                  <c:v>23718445.048267376</c:v>
                </c:pt>
                <c:pt idx="4">
                  <c:v>24820122.644711792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3-4006-BEDE-3D30DD70F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769536"/>
        <c:axId val="161371264"/>
      </c:barChart>
      <c:lineChart>
        <c:grouping val="standard"/>
        <c:varyColors val="0"/>
        <c:ser>
          <c:idx val="0"/>
          <c:order val="0"/>
          <c:tx>
            <c:strRef>
              <c:f>Dashboard!$B$139</c:f>
              <c:strCache>
                <c:ptCount val="1"/>
                <c:pt idx="0">
                  <c:v>Total Net Revenue Requirements</c:v>
                </c:pt>
              </c:strCache>
            </c:strRef>
          </c:tx>
          <c:cat>
            <c:strRef>
              <c:f>Dashboard!$C$38:$S$38</c:f>
              <c:strCache>
                <c:ptCount val="5"/>
                <c:pt idx="0">
                  <c:v>FY 2016</c:v>
                </c:pt>
                <c:pt idx="1">
                  <c:v>FY 2017</c:v>
                </c:pt>
                <c:pt idx="2">
                  <c:v>FY 2018</c:v>
                </c:pt>
                <c:pt idx="3">
                  <c:v>FY 2019</c:v>
                </c:pt>
                <c:pt idx="4">
                  <c:v>FY 2020</c:v>
                </c:pt>
              </c:strCache>
            </c:strRef>
          </c:cat>
          <c:val>
            <c:numRef>
              <c:f>Dashboard!$C$139:$G$139</c:f>
              <c:numCache>
                <c:formatCode>"$"#,##0_);[Red]\("$"#,##0\)</c:formatCode>
                <c:ptCount val="5"/>
                <c:pt idx="0">
                  <c:v>18976545.41122146</c:v>
                </c:pt>
                <c:pt idx="1">
                  <c:v>20040046.333223961</c:v>
                </c:pt>
                <c:pt idx="2">
                  <c:v>25494425.401384089</c:v>
                </c:pt>
                <c:pt idx="3">
                  <c:v>24402869.37838576</c:v>
                </c:pt>
                <c:pt idx="4">
                  <c:v>23514524.984530129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3-4006-BEDE-3D30DD70F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69536"/>
        <c:axId val="161371264"/>
      </c:lineChart>
      <c:catAx>
        <c:axId val="1587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71264"/>
        <c:crosses val="autoZero"/>
        <c:auto val="1"/>
        <c:lblAlgn val="ctr"/>
        <c:lblOffset val="100"/>
        <c:noMultiLvlLbl val="0"/>
      </c:catAx>
      <c:valAx>
        <c:axId val="1613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7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Total System Cash Balance Projections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7928443155131925E-2"/>
          <c:y val="0.15888622491108581"/>
          <c:w val="0.88277331123083302"/>
          <c:h val="0.63558824027215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Flows and Cash Balances'!$B$150</c:f>
              <c:strCache>
                <c:ptCount val="1"/>
                <c:pt idx="0">
                  <c:v>Ending 3R Reserve Cash Balance</c:v>
                </c:pt>
              </c:strCache>
            </c:strRef>
          </c:tx>
          <c:invertIfNegative val="0"/>
          <c:dLbls>
            <c:delete val="1"/>
          </c:dLbls>
          <c:cat>
            <c:strRef>
              <c:f>Dashboard!$C$38:$S$38</c:f>
              <c:strCache>
                <c:ptCount val="5"/>
                <c:pt idx="0">
                  <c:v>FY 2016</c:v>
                </c:pt>
                <c:pt idx="1">
                  <c:v>FY 2017</c:v>
                </c:pt>
                <c:pt idx="2">
                  <c:v>FY 2018</c:v>
                </c:pt>
                <c:pt idx="3">
                  <c:v>FY 2019</c:v>
                </c:pt>
                <c:pt idx="4">
                  <c:v>FY 2020</c:v>
                </c:pt>
              </c:strCache>
            </c:strRef>
          </c:cat>
          <c:val>
            <c:numRef>
              <c:f>'Cash Flows and Cash Balances'!$F$150:$J$150</c:f>
              <c:numCache>
                <c:formatCode>_("$"* #,##0_);_("$"* \(#,##0\);_("$"* "-"??_);_(@_)</c:formatCode>
                <c:ptCount val="5"/>
                <c:pt idx="0">
                  <c:v>2916529.8281214614</c:v>
                </c:pt>
                <c:pt idx="1">
                  <c:v>3381876.8900063056</c:v>
                </c:pt>
                <c:pt idx="2">
                  <c:v>4087820.1986357281</c:v>
                </c:pt>
                <c:pt idx="3">
                  <c:v>5198480.7528278669</c:v>
                </c:pt>
                <c:pt idx="4">
                  <c:v>6196725.2306835437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9-4780-BF84-AA48108C5484}"/>
            </c:ext>
          </c:extLst>
        </c:ser>
        <c:ser>
          <c:idx val="1"/>
          <c:order val="1"/>
          <c:tx>
            <c:strRef>
              <c:f>'Cash Flows and Cash Balances'!$B$155</c:f>
              <c:strCache>
                <c:ptCount val="1"/>
                <c:pt idx="0">
                  <c:v>Ending Operating Cash Balance</c:v>
                </c:pt>
              </c:strCache>
            </c:strRef>
          </c:tx>
          <c:invertIfNegative val="0"/>
          <c:dLbls>
            <c:delete val="1"/>
          </c:dLbls>
          <c:cat>
            <c:strRef>
              <c:f>Dashboard!$C$38:$S$38</c:f>
              <c:strCache>
                <c:ptCount val="5"/>
                <c:pt idx="0">
                  <c:v>FY 2016</c:v>
                </c:pt>
                <c:pt idx="1">
                  <c:v>FY 2017</c:v>
                </c:pt>
                <c:pt idx="2">
                  <c:v>FY 2018</c:v>
                </c:pt>
                <c:pt idx="3">
                  <c:v>FY 2019</c:v>
                </c:pt>
                <c:pt idx="4">
                  <c:v>FY 2020</c:v>
                </c:pt>
              </c:strCache>
            </c:strRef>
          </c:cat>
          <c:val>
            <c:numRef>
              <c:f>'Cash Flows and Cash Balances'!$F$155:$J$155</c:f>
              <c:numCache>
                <c:formatCode>_("$"* #,##0_);_("$"* \(#,##0\);_("$"* "-"??_);_(@_)</c:formatCode>
                <c:ptCount val="5"/>
                <c:pt idx="0">
                  <c:v>5302636.7388196699</c:v>
                </c:pt>
                <c:pt idx="1">
                  <c:v>6892119.0038610045</c:v>
                </c:pt>
                <c:pt idx="2">
                  <c:v>4064090.1276441878</c:v>
                </c:pt>
                <c:pt idx="3">
                  <c:v>3379665.7975258054</c:v>
                </c:pt>
                <c:pt idx="4">
                  <c:v>4685263.4577074721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9-4780-BF84-AA48108C54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72907520"/>
        <c:axId val="172938752"/>
      </c:barChart>
      <c:lineChart>
        <c:grouping val="standard"/>
        <c:varyColors val="0"/>
        <c:ser>
          <c:idx val="2"/>
          <c:order val="2"/>
          <c:tx>
            <c:strRef>
              <c:f>'Cash Flows and Cash Balances'!$B$142</c:f>
              <c:strCache>
                <c:ptCount val="1"/>
                <c:pt idx="0">
                  <c:v>Minimum Cash Reserves</c:v>
                </c:pt>
              </c:strCache>
            </c:strRef>
          </c:tx>
          <c:marker>
            <c:symbol val="none"/>
          </c:marker>
          <c:cat>
            <c:strRef>
              <c:f>Dashboard!$C$38:$G$38</c:f>
              <c:strCache>
                <c:ptCount val="5"/>
                <c:pt idx="0">
                  <c:v>FY 2016</c:v>
                </c:pt>
                <c:pt idx="1">
                  <c:v>FY 2017</c:v>
                </c:pt>
                <c:pt idx="2">
                  <c:v>FY 2018</c:v>
                </c:pt>
                <c:pt idx="3">
                  <c:v>FY 2019</c:v>
                </c:pt>
                <c:pt idx="4">
                  <c:v>FY 2020</c:v>
                </c:pt>
              </c:strCache>
            </c:strRef>
          </c:cat>
          <c:val>
            <c:numRef>
              <c:f>'Cash Flows and Cash Balances'!$F$142:$J$142</c:f>
              <c:numCache>
                <c:formatCode>_(* #,##0_);_(* \(#,##0\);_(* "-"??_);_(@_)</c:formatCode>
                <c:ptCount val="5"/>
                <c:pt idx="0">
                  <c:v>6671400</c:v>
                </c:pt>
                <c:pt idx="1">
                  <c:v>7246900</c:v>
                </c:pt>
                <c:pt idx="2">
                  <c:v>8079300</c:v>
                </c:pt>
                <c:pt idx="3">
                  <c:v>9321000</c:v>
                </c:pt>
                <c:pt idx="4">
                  <c:v>10455000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9-4780-BF84-AA48108C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07520"/>
        <c:axId val="172938752"/>
      </c:lineChart>
      <c:catAx>
        <c:axId val="1729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938752"/>
        <c:crossesAt val="0"/>
        <c:auto val="1"/>
        <c:lblAlgn val="ctr"/>
        <c:lblOffset val="100"/>
        <c:noMultiLvlLbl val="0"/>
      </c:catAx>
      <c:valAx>
        <c:axId val="1729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90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0"/>
              <a:t>Average Orland Park Water</a:t>
            </a:r>
            <a:r>
              <a:rPr lang="en-US" b="0" baseline="0"/>
              <a:t> </a:t>
            </a:r>
            <a:r>
              <a:rPr lang="en-US" b="0"/>
              <a:t>Consumption - Gallons per Day per Account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'Presentation Charts'!$C$4</c:f>
              <c:strCache>
                <c:ptCount val="1"/>
                <c:pt idx="0">
                  <c:v>Gallons per Day per Account</c:v>
                </c:pt>
              </c:strCache>
            </c:strRef>
          </c:tx>
          <c:spPr>
            <a:effectLst/>
          </c:spPr>
          <c:marker>
            <c:symbol val="square"/>
            <c:size val="5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'Presentation Charts'!$H$2:$Q$2</c:f>
              <c:strCache>
                <c:ptCount val="10"/>
                <c:pt idx="0">
                  <c:v>FY 2006</c:v>
                </c:pt>
                <c:pt idx="1">
                  <c:v>FY 2007</c:v>
                </c:pt>
                <c:pt idx="2">
                  <c:v>FY 2008</c:v>
                </c:pt>
                <c:pt idx="3">
                  <c:v>FY 2009</c:v>
                </c:pt>
                <c:pt idx="4">
                  <c:v>FY 2010</c:v>
                </c:pt>
                <c:pt idx="5">
                  <c:v>FY 2011</c:v>
                </c:pt>
                <c:pt idx="6">
                  <c:v>FY 2012</c:v>
                </c:pt>
                <c:pt idx="7">
                  <c:v>FY 2013</c:v>
                </c:pt>
                <c:pt idx="8">
                  <c:v>FY 2014</c:v>
                </c:pt>
                <c:pt idx="9">
                  <c:v>FY 2015</c:v>
                </c:pt>
              </c:strCache>
            </c:strRef>
          </c:cat>
          <c:val>
            <c:numRef>
              <c:f>'Presentation Charts'!$H$12:$Q$12</c:f>
              <c:numCache>
                <c:formatCode>#,##0</c:formatCode>
                <c:ptCount val="10"/>
                <c:pt idx="0">
                  <c:v>307.10623145040387</c:v>
                </c:pt>
                <c:pt idx="1">
                  <c:v>284.02719047942503</c:v>
                </c:pt>
                <c:pt idx="2">
                  <c:v>279.51760701325844</c:v>
                </c:pt>
                <c:pt idx="3">
                  <c:v>268.83814206815015</c:v>
                </c:pt>
                <c:pt idx="4">
                  <c:v>253.16607370651511</c:v>
                </c:pt>
                <c:pt idx="5">
                  <c:v>244.92037864430878</c:v>
                </c:pt>
                <c:pt idx="6">
                  <c:v>265.93356113931486</c:v>
                </c:pt>
                <c:pt idx="7">
                  <c:v>245.63776697854203</c:v>
                </c:pt>
                <c:pt idx="8">
                  <c:v>217.30579256692525</c:v>
                </c:pt>
                <c:pt idx="9">
                  <c:v>210.9216808276978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8-4E6D-831B-3D5C08F8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03712"/>
        <c:axId val="132005248"/>
      </c:lineChart>
      <c:catAx>
        <c:axId val="1320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05248"/>
        <c:crosses val="autoZero"/>
        <c:auto val="1"/>
        <c:lblAlgn val="ctr"/>
        <c:lblOffset val="100"/>
        <c:noMultiLvlLbl val="0"/>
      </c:catAx>
      <c:valAx>
        <c:axId val="13200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0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Projected Customer Growth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'Presentation Charts'!$L$36</c:f>
              <c:strCache>
                <c:ptCount val="1"/>
                <c:pt idx="0">
                  <c:v>Incorporated Customers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'Presentation Charts'!$M$35:$U$35</c:f>
              <c:strCache>
                <c:ptCount val="9"/>
                <c:pt idx="0">
                  <c:v>FY 2014</c:v>
                </c:pt>
                <c:pt idx="1">
                  <c:v>FY 2015</c:v>
                </c:pt>
                <c:pt idx="2">
                  <c:v>FY 2016</c:v>
                </c:pt>
                <c:pt idx="3">
                  <c:v>FY 2017</c:v>
                </c:pt>
                <c:pt idx="4">
                  <c:v>FY 2018</c:v>
                </c:pt>
                <c:pt idx="5">
                  <c:v>FY 2019</c:v>
                </c:pt>
                <c:pt idx="6">
                  <c:v>FY 2021</c:v>
                </c:pt>
                <c:pt idx="7">
                  <c:v>FY 2024</c:v>
                </c:pt>
                <c:pt idx="8">
                  <c:v>FY 2025</c:v>
                </c:pt>
              </c:strCache>
            </c:strRef>
          </c:cat>
          <c:val>
            <c:numRef>
              <c:f>'Presentation Charts'!$M$36:$U$36</c:f>
              <c:numCache>
                <c:formatCode>#,##0</c:formatCode>
                <c:ptCount val="9"/>
                <c:pt idx="0">
                  <c:v>22778</c:v>
                </c:pt>
                <c:pt idx="1">
                  <c:v>22808</c:v>
                </c:pt>
                <c:pt idx="2">
                  <c:v>22911</c:v>
                </c:pt>
                <c:pt idx="3">
                  <c:v>23020</c:v>
                </c:pt>
                <c:pt idx="4">
                  <c:v>23126</c:v>
                </c:pt>
                <c:pt idx="5">
                  <c:v>23232</c:v>
                </c:pt>
                <c:pt idx="6">
                  <c:v>23338</c:v>
                </c:pt>
                <c:pt idx="7">
                  <c:v>23338</c:v>
                </c:pt>
                <c:pt idx="8">
                  <c:v>23338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2-4DDE-A6F1-62AB36FDDF4A}"/>
            </c:ext>
          </c:extLst>
        </c:ser>
        <c:ser>
          <c:idx val="1"/>
          <c:order val="1"/>
          <c:tx>
            <c:strRef>
              <c:f>'Presentation Charts'!$L$37</c:f>
              <c:strCache>
                <c:ptCount val="1"/>
                <c:pt idx="0">
                  <c:v>Unincorporated Customers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'Presentation Charts'!$M$35:$U$35</c:f>
              <c:strCache>
                <c:ptCount val="9"/>
                <c:pt idx="0">
                  <c:v>FY 2014</c:v>
                </c:pt>
                <c:pt idx="1">
                  <c:v>FY 2015</c:v>
                </c:pt>
                <c:pt idx="2">
                  <c:v>FY 2016</c:v>
                </c:pt>
                <c:pt idx="3">
                  <c:v>FY 2017</c:v>
                </c:pt>
                <c:pt idx="4">
                  <c:v>FY 2018</c:v>
                </c:pt>
                <c:pt idx="5">
                  <c:v>FY 2019</c:v>
                </c:pt>
                <c:pt idx="6">
                  <c:v>FY 2021</c:v>
                </c:pt>
                <c:pt idx="7">
                  <c:v>FY 2024</c:v>
                </c:pt>
                <c:pt idx="8">
                  <c:v>FY 2025</c:v>
                </c:pt>
              </c:strCache>
            </c:strRef>
          </c:cat>
          <c:val>
            <c:numRef>
              <c:f>'Presentation Charts'!$M$37:$U$37</c:f>
              <c:numCache>
                <c:formatCode>#,##0</c:formatCode>
                <c:ptCount val="9"/>
                <c:pt idx="0">
                  <c:v>1327</c:v>
                </c:pt>
                <c:pt idx="1">
                  <c:v>1339</c:v>
                </c:pt>
                <c:pt idx="2">
                  <c:v>1339</c:v>
                </c:pt>
                <c:pt idx="3">
                  <c:v>1339</c:v>
                </c:pt>
                <c:pt idx="4">
                  <c:v>1339</c:v>
                </c:pt>
                <c:pt idx="5">
                  <c:v>1339</c:v>
                </c:pt>
                <c:pt idx="6">
                  <c:v>1339</c:v>
                </c:pt>
                <c:pt idx="7">
                  <c:v>1339</c:v>
                </c:pt>
                <c:pt idx="8">
                  <c:v>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2-4DDE-A6F1-62AB36FDDF4A}"/>
            </c:ext>
          </c:extLst>
        </c:ser>
        <c:ser>
          <c:idx val="2"/>
          <c:order val="2"/>
          <c:tx>
            <c:strRef>
              <c:f>'Presentation Charts'!$L$38</c:f>
              <c:strCache>
                <c:ptCount val="1"/>
                <c:pt idx="0">
                  <c:v>Bulk Customers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'Presentation Charts'!$M$35:$U$35</c:f>
              <c:strCache>
                <c:ptCount val="9"/>
                <c:pt idx="0">
                  <c:v>FY 2014</c:v>
                </c:pt>
                <c:pt idx="1">
                  <c:v>FY 2015</c:v>
                </c:pt>
                <c:pt idx="2">
                  <c:v>FY 2016</c:v>
                </c:pt>
                <c:pt idx="3">
                  <c:v>FY 2017</c:v>
                </c:pt>
                <c:pt idx="4">
                  <c:v>FY 2018</c:v>
                </c:pt>
                <c:pt idx="5">
                  <c:v>FY 2019</c:v>
                </c:pt>
                <c:pt idx="6">
                  <c:v>FY 2021</c:v>
                </c:pt>
                <c:pt idx="7">
                  <c:v>FY 2024</c:v>
                </c:pt>
                <c:pt idx="8">
                  <c:v>FY 2025</c:v>
                </c:pt>
              </c:strCache>
            </c:strRef>
          </c:cat>
          <c:val>
            <c:numRef>
              <c:f>'Presentation Charts'!$M$38:$U$38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2-4DDE-A6F1-62AB36FD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35712"/>
        <c:axId val="132037248"/>
      </c:barChart>
      <c:lineChart>
        <c:grouping val="stacke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% Increase</a:t>
                    </a:r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2-4DDE-A6F1-62AB36FDD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'Presentation Charts'!$M$40:$U$40</c:f>
              <c:numCache>
                <c:formatCode>0.0%</c:formatCode>
                <c:ptCount val="9"/>
                <c:pt idx="1">
                  <c:v>1.7422325465632389E-3</c:v>
                </c:pt>
                <c:pt idx="2">
                  <c:v>4.2651869642635308E-3</c:v>
                </c:pt>
                <c:pt idx="3">
                  <c:v>4.4944746825004121E-3</c:v>
                </c:pt>
                <c:pt idx="4">
                  <c:v>4.3512171093140675E-3</c:v>
                </c:pt>
                <c:pt idx="5">
                  <c:v>4.3323660440593454E-3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'Presentation Charts'!$M$39:$U$39</c:f>
              <c:numCache>
                <c:formatCode>#,##0</c:formatCode>
                <c:ptCount val="9"/>
                <c:pt idx="0">
                  <c:v>24107</c:v>
                </c:pt>
                <c:pt idx="1">
                  <c:v>24149</c:v>
                </c:pt>
                <c:pt idx="2">
                  <c:v>24252</c:v>
                </c:pt>
                <c:pt idx="3">
                  <c:v>24361</c:v>
                </c:pt>
                <c:pt idx="4">
                  <c:v>24467</c:v>
                </c:pt>
                <c:pt idx="5">
                  <c:v>24573</c:v>
                </c:pt>
                <c:pt idx="6">
                  <c:v>24679</c:v>
                </c:pt>
                <c:pt idx="7">
                  <c:v>24679</c:v>
                </c:pt>
                <c:pt idx="8">
                  <c:v>24679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2-4DDE-A6F1-62AB36FD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44672"/>
        <c:axId val="132043136"/>
      </c:lineChart>
      <c:catAx>
        <c:axId val="1320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37248"/>
        <c:crosses val="autoZero"/>
        <c:auto val="1"/>
        <c:lblAlgn val="ctr"/>
        <c:lblOffset val="100"/>
        <c:noMultiLvlLbl val="0"/>
      </c:catAx>
      <c:valAx>
        <c:axId val="13203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035712"/>
        <c:crosses val="autoZero"/>
        <c:crossBetween val="between"/>
      </c:valAx>
      <c:valAx>
        <c:axId val="13204313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32044672"/>
        <c:crosses val="max"/>
        <c:crossBetween val="between"/>
      </c:valAx>
      <c:catAx>
        <c:axId val="13204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2043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Average</a:t>
            </a:r>
            <a:r>
              <a:rPr lang="en-US" baseline="0"/>
              <a:t> </a:t>
            </a:r>
            <a:r>
              <a:rPr lang="en-US"/>
              <a:t>Customer Bill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'March 7 Charts'!$I$71</c:f>
              <c:strCache>
                <c:ptCount val="1"/>
                <c:pt idx="0">
                  <c:v>Average Customer Bill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6D6-4D0C-B694-470A61C76A1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'March 7 Charts'!$J$68:$M$69</c:f>
              <c:multiLvlStrCache>
                <c:ptCount val="4"/>
                <c:lvl>
                  <c:pt idx="0">
                    <c:v>13,000 Gallons</c:v>
                  </c:pt>
                  <c:pt idx="1">
                    <c:v>13,000 Gallons </c:v>
                  </c:pt>
                  <c:pt idx="2">
                    <c:v>12,000 Gallons </c:v>
                  </c:pt>
                  <c:pt idx="3">
                    <c:v>11,000 Gallons </c:v>
                  </c:pt>
                </c:lvl>
                <c:lvl>
                  <c:pt idx="0">
                    <c:v>FY2015 Rates</c:v>
                  </c:pt>
                  <c:pt idx="1">
                    <c:v>Proposed FY2016 Rates</c:v>
                  </c:pt>
                </c:lvl>
              </c:multiLvlStrCache>
            </c:multiLvlStrRef>
          </c:cat>
          <c:val>
            <c:numRef>
              <c:f>'March 7 Charts'!$J$71:$M$71</c:f>
              <c:numCache>
                <c:formatCode>"$"#,##0.00</c:formatCode>
                <c:ptCount val="4"/>
                <c:pt idx="0">
                  <c:v>112.92999999999999</c:v>
                </c:pt>
                <c:pt idx="1">
                  <c:v>128.45069464140758</c:v>
                </c:pt>
                <c:pt idx="2">
                  <c:v>117.19455620329835</c:v>
                </c:pt>
                <c:pt idx="3">
                  <c:v>107.35310750487396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6-4D0C-B694-470A61C76A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5531904"/>
        <c:axId val="135541888"/>
      </c:barChart>
      <c:catAx>
        <c:axId val="13553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crossAx val="135541888"/>
        <c:crosses val="autoZero"/>
        <c:auto val="1"/>
        <c:lblAlgn val="ctr"/>
        <c:lblOffset val="100"/>
        <c:noMultiLvlLbl val="0"/>
      </c:catAx>
      <c:valAx>
        <c:axId val="135541888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extTo"/>
        <c:crossAx val="135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829236</xdr:colOff>
      <xdr:row>3</xdr:row>
      <xdr:rowOff>156883</xdr:rowOff>
    </xdr:from>
    <xdr:to>
      <xdr:col>6</xdr:col>
      <xdr:colOff>963706</xdr:colOff>
      <xdr:row>19</xdr:row>
      <xdr:rowOff>33619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818029</xdr:colOff>
      <xdr:row>20</xdr:row>
      <xdr:rowOff>44823</xdr:rowOff>
    </xdr:from>
    <xdr:to>
      <xdr:col>6</xdr:col>
      <xdr:colOff>952500</xdr:colOff>
      <xdr:row>35</xdr:row>
      <xdr:rowOff>134471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4</xdr:row>
      <xdr:rowOff>12700</xdr:rowOff>
    </xdr:from>
    <xdr:to>
      <xdr:col>7</xdr:col>
      <xdr:colOff>0</xdr:colOff>
      <xdr:row>16</xdr:row>
      <xdr:rowOff>189484</xdr:rowOff>
    </xdr:to>
    <xdr:sp macro="" textlink="">
      <xdr:nvSpPr>
        <xdr:cNvPr id="2" name="TextBox 1"/>
        <xdr:cNvSpPr txBox="1"/>
      </xdr:nvSpPr>
      <xdr:spPr>
        <a:xfrm>
          <a:off x="1981200" y="800100"/>
          <a:ext cx="3581400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+mn-lt"/>
              <a:cs typeface="Arial" pitchFamily="34" charset="0"/>
            </a:rPr>
            <a:t>The </a:t>
          </a:r>
          <a:r>
            <a:rPr lang="en-US" sz="1100" b="1">
              <a:latin typeface="+mn-lt"/>
              <a:cs typeface="Arial" pitchFamily="34" charset="0"/>
            </a:rPr>
            <a:t>BCI [Building Cost Index] </a:t>
          </a:r>
          <a:r>
            <a:rPr lang="en-US" sz="1100" b="0">
              <a:latin typeface="+mn-lt"/>
              <a:cs typeface="Arial" pitchFamily="34" charset="0"/>
            </a:rPr>
            <a:t>consists</a:t>
          </a:r>
          <a:r>
            <a:rPr lang="en-US" sz="1100" b="0" baseline="0">
              <a:latin typeface="+mn-lt"/>
              <a:cs typeface="Arial" pitchFamily="34" charset="0"/>
            </a:rPr>
            <a:t> of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68.38 hours of skilled labor at the 20-city average of bricklayers, carpenters and structural ironworkers rates, plus 25 cwt of standard structural steel shapes at the mill price prior to 1996 and the fabricated 20-city price from 1996, plus 1.128 tons of portland cement at the 20-city price, plus 1,088 board-ft of 2 x 4 lumber at the 20-city price.</a:t>
          </a:r>
          <a:r>
            <a:rPr lang="en-US" sz="1100">
              <a:latin typeface="+mn-lt"/>
              <a:cs typeface="Arial" pitchFamily="34" charset="0"/>
            </a:rPr>
            <a:t>. </a:t>
          </a:r>
        </a:p>
        <a:p>
          <a:r>
            <a:rPr lang="en-US" sz="1100">
              <a:latin typeface="+mn-lt"/>
              <a:cs typeface="Arial" pitchFamily="34" charset="0"/>
            </a:rPr>
            <a:t>The </a:t>
          </a:r>
          <a:r>
            <a:rPr lang="en-US" sz="1100" b="1">
              <a:latin typeface="+mn-lt"/>
              <a:cs typeface="Arial" pitchFamily="34" charset="0"/>
            </a:rPr>
            <a:t>CCI [Construction</a:t>
          </a:r>
          <a:r>
            <a:rPr lang="en-US" sz="1100" b="1" baseline="0">
              <a:latin typeface="+mn-lt"/>
              <a:cs typeface="Arial" pitchFamily="34" charset="0"/>
            </a:rPr>
            <a:t> </a:t>
          </a:r>
          <a:r>
            <a:rPr lang="en-US" sz="1100" b="1">
              <a:latin typeface="+mn-lt"/>
              <a:cs typeface="Arial" pitchFamily="34" charset="0"/>
            </a:rPr>
            <a:t>Cost Index]</a:t>
          </a:r>
          <a:r>
            <a:rPr lang="en-US" sz="1100" b="0">
              <a:latin typeface="+mn-lt"/>
              <a:cs typeface="Arial" pitchFamily="34" charset="0"/>
            </a:rPr>
            <a:t> consists of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200 hours of common labor at the 20-city average of common labor rates, plus 25 cwt of standard structural steel shapes at the mill price prior to 1996 and the fabricated 20-city price from 1996, plus 1.128 tons of portland cement at the 20-city price, plus 1,088 board-ft of 2 x 4 lumber at the 20-city price.</a:t>
          </a:r>
          <a:endParaRPr lang="en-US" sz="1100"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9</xdr:col>
      <xdr:colOff>38100</xdr:colOff>
      <xdr:row>4</xdr:row>
      <xdr:rowOff>12700</xdr:rowOff>
    </xdr:from>
    <xdr:to>
      <xdr:col>16</xdr:col>
      <xdr:colOff>787400</xdr:colOff>
      <xdr:row>16</xdr:row>
      <xdr:rowOff>190500</xdr:rowOff>
    </xdr:to>
    <xdr:sp macro="" textlink="">
      <xdr:nvSpPr>
        <xdr:cNvPr id="3" name="TextBox 2"/>
        <xdr:cNvSpPr txBox="1"/>
      </xdr:nvSpPr>
      <xdr:spPr>
        <a:xfrm>
          <a:off x="7448550" y="800100"/>
          <a:ext cx="7216775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The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MCI [Municipal Cost Index]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developed by American City &amp; County is designed to show the effects of inflation on the cost of providing municipal services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(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changes in the cost of materials and supplies, wages and contracted-for services). It is a weighted average of the more detailed price indexes measuring consumer cost fluctuations, industrial commodity wholesale prices, and construction contract costs.  It is a fixed-weighted type of index, reflecting only changes in price over specific periods of time at the national level.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Major indicators used include the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CPI [Consumer Price Index],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 the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PPI [Producer Price Index]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and the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CCI [construction cost indexes]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published by the U.S. Department of Commerce, respectively.</a:t>
          </a:r>
        </a:p>
      </xdr:txBody>
    </xdr:sp>
    <xdr:clientData/>
  </xdr:twoCellAnchor>
  <xdr:twoCellAnchor>
    <xdr:from>
      <xdr:col>7</xdr:col>
      <xdr:colOff>127000</xdr:colOff>
      <xdr:row>4</xdr:row>
      <xdr:rowOff>12700</xdr:rowOff>
    </xdr:from>
    <xdr:to>
      <xdr:col>8</xdr:col>
      <xdr:colOff>838200</xdr:colOff>
      <xdr:row>16</xdr:row>
      <xdr:rowOff>190500</xdr:rowOff>
    </xdr:to>
    <xdr:sp macro="" textlink="">
      <xdr:nvSpPr>
        <xdr:cNvPr id="4" name="TextBox 3"/>
        <xdr:cNvSpPr txBox="1"/>
      </xdr:nvSpPr>
      <xdr:spPr>
        <a:xfrm>
          <a:off x="5689600" y="800100"/>
          <a:ext cx="1635125" cy="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International Monetary Fund </a:t>
          </a:r>
          <a:r>
            <a:rPr lang="en-US" sz="1100" b="1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Commodity Fuel (energy) Index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Arial" pitchFamily="34" charset="0"/>
            </a:rPr>
            <a:t>, 2005 = 100, includes Crude oil (petroleum), Natural Gas, and Coal Price Indices. PNRG_Index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15</xdr:row>
      <xdr:rowOff>76200</xdr:rowOff>
    </xdr:from>
    <xdr:to>
      <xdr:col>13</xdr:col>
      <xdr:colOff>523875</xdr:colOff>
      <xdr:row>31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176211</xdr:colOff>
      <xdr:row>41</xdr:row>
      <xdr:rowOff>9525</xdr:rowOff>
    </xdr:from>
    <xdr:to>
      <xdr:col>19</xdr:col>
      <xdr:colOff>0</xdr:colOff>
      <xdr:row>56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466726</xdr:colOff>
      <xdr:row>73</xdr:row>
      <xdr:rowOff>109536</xdr:rowOff>
    </xdr:from>
    <xdr:to>
      <xdr:col>13</xdr:col>
      <xdr:colOff>571501</xdr:colOff>
      <xdr:row>89</xdr:row>
      <xdr:rowOff>38099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0.34452</cdr:x>
      <cdr:y>0.32725</cdr:y>
    </cdr:from>
    <cdr:to>
      <cdr:x>0.41873</cdr:x>
      <cdr:y>0.51598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57374" y="1023939"/>
          <a:ext cx="4000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cure\CB%20FY2016\Salaries%20FY2016%20-%20Budget%20Schedu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ovhserver\finance\Users\ecallocchia\Dropbox\City%20of%20Batavia\Models\City%20of%20Batavia%20Water%20and%20Sewer%20Rate%20Study%20Model%2011-26-20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%20Callocchia\AppData\Local\Microsoft\Windows\INetCache\Content.Outlook\11JMCNMN\Orland%20Park%20Model%20FY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hana Comments"/>
      <sheetName val="Budget Projections"/>
      <sheetName val="Insurance Projections"/>
      <sheetName val=" Insurance Cost"/>
      <sheetName val="Longevity"/>
      <sheetName val="Other Incentives"/>
      <sheetName val="Passwords"/>
      <sheetName val="1100"/>
      <sheetName val="1600"/>
      <sheetName val="1200"/>
      <sheetName val="1201"/>
      <sheetName val="1400"/>
      <sheetName val="Tax Rebate"/>
      <sheetName val="1500"/>
      <sheetName val="2001"/>
      <sheetName val="2002"/>
      <sheetName val="2003"/>
      <sheetName val="2004"/>
      <sheetName val="1700"/>
      <sheetName val="3500"/>
      <sheetName val="4001"/>
      <sheetName val="4002"/>
      <sheetName val="4003"/>
      <sheetName val="4005"/>
      <sheetName val="4007"/>
      <sheetName val="4008"/>
      <sheetName val="5001"/>
      <sheetName val="5002"/>
      <sheetName val="5003"/>
      <sheetName val="5006"/>
      <sheetName val="6001"/>
      <sheetName val="Police"/>
      <sheetName val="1800"/>
      <sheetName val="Total Salary Budget"/>
      <sheetName val="Full Time Staffing Summary"/>
      <sheetName val=" Employee Count"/>
      <sheetName val="Position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AS7">
            <v>87268</v>
          </cell>
        </row>
        <row r="8">
          <cell r="AS8">
            <v>136994</v>
          </cell>
        </row>
        <row r="9">
          <cell r="AS9">
            <v>132381</v>
          </cell>
        </row>
        <row r="11">
          <cell r="AS11">
            <v>114629</v>
          </cell>
        </row>
      </sheetData>
      <sheetData sheetId="9" refreshError="1"/>
      <sheetData sheetId="10" refreshError="1"/>
      <sheetData sheetId="11">
        <row r="7">
          <cell r="AS7">
            <v>194120.10920000001</v>
          </cell>
        </row>
        <row r="8">
          <cell r="AS8">
            <v>172207.10920000001</v>
          </cell>
        </row>
        <row r="10">
          <cell r="AS10">
            <v>147789.10920000001</v>
          </cell>
        </row>
        <row r="11">
          <cell r="AS11">
            <v>115467.7092</v>
          </cell>
        </row>
        <row r="12">
          <cell r="AS12">
            <v>118841.0692</v>
          </cell>
        </row>
        <row r="14">
          <cell r="AS14">
            <v>98914.52</v>
          </cell>
        </row>
        <row r="15">
          <cell r="AS15">
            <v>73810.12</v>
          </cell>
        </row>
        <row r="16">
          <cell r="AS16">
            <v>104085</v>
          </cell>
        </row>
        <row r="17">
          <cell r="AS17">
            <v>105948</v>
          </cell>
        </row>
        <row r="25">
          <cell r="AS25">
            <v>98992</v>
          </cell>
        </row>
      </sheetData>
      <sheetData sheetId="12" refreshError="1"/>
      <sheetData sheetId="13" refreshError="1"/>
      <sheetData sheetId="14">
        <row r="8">
          <cell r="AS8">
            <v>116252.8692</v>
          </cell>
        </row>
        <row r="14">
          <cell r="AS14">
            <v>235127</v>
          </cell>
        </row>
      </sheetData>
      <sheetData sheetId="15">
        <row r="18">
          <cell r="AS18">
            <v>19303</v>
          </cell>
        </row>
      </sheetData>
      <sheetData sheetId="16" refreshError="1"/>
      <sheetData sheetId="17">
        <row r="7">
          <cell r="AS7">
            <v>174213.10920000001</v>
          </cell>
        </row>
        <row r="10">
          <cell r="AS10">
            <v>131153.70920000001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8">
          <cell r="AS8">
            <v>148447</v>
          </cell>
        </row>
        <row r="28">
          <cell r="AS28">
            <v>19183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>
        <row r="7">
          <cell r="AS7">
            <v>163371</v>
          </cell>
        </row>
        <row r="8">
          <cell r="AS8">
            <v>132092</v>
          </cell>
        </row>
        <row r="10">
          <cell r="AS10">
            <v>114796</v>
          </cell>
        </row>
        <row r="11">
          <cell r="AS11">
            <v>104422</v>
          </cell>
        </row>
        <row r="12">
          <cell r="AS12">
            <v>115652</v>
          </cell>
        </row>
        <row r="13">
          <cell r="AS13">
            <v>105860</v>
          </cell>
        </row>
        <row r="14">
          <cell r="AS14">
            <v>106549</v>
          </cell>
        </row>
        <row r="15">
          <cell r="AS15">
            <v>87866</v>
          </cell>
        </row>
        <row r="16">
          <cell r="AS16">
            <v>101753</v>
          </cell>
        </row>
        <row r="17">
          <cell r="AS17">
            <v>92673</v>
          </cell>
        </row>
        <row r="18">
          <cell r="AS18">
            <v>79153</v>
          </cell>
        </row>
        <row r="19">
          <cell r="AS19">
            <v>103696</v>
          </cell>
        </row>
        <row r="20">
          <cell r="AS20">
            <v>100310</v>
          </cell>
        </row>
        <row r="21">
          <cell r="AS21">
            <v>113002</v>
          </cell>
        </row>
        <row r="22">
          <cell r="AS22">
            <v>134131</v>
          </cell>
        </row>
        <row r="23">
          <cell r="AS23">
            <v>106347</v>
          </cell>
        </row>
        <row r="24">
          <cell r="AS24">
            <v>108147</v>
          </cell>
        </row>
        <row r="25">
          <cell r="AS25">
            <v>115652</v>
          </cell>
        </row>
        <row r="26">
          <cell r="AS26">
            <v>113002</v>
          </cell>
        </row>
        <row r="27">
          <cell r="AS27">
            <v>108551</v>
          </cell>
        </row>
        <row r="28">
          <cell r="AS28">
            <v>89525</v>
          </cell>
        </row>
        <row r="29">
          <cell r="AS29">
            <v>67802</v>
          </cell>
        </row>
        <row r="32">
          <cell r="AS32">
            <v>4620</v>
          </cell>
        </row>
        <row r="33">
          <cell r="AS33">
            <v>4620</v>
          </cell>
        </row>
        <row r="34">
          <cell r="AS34">
            <v>4620</v>
          </cell>
        </row>
        <row r="35">
          <cell r="AS35">
            <v>4890</v>
          </cell>
        </row>
        <row r="36">
          <cell r="AS36">
            <v>4890</v>
          </cell>
        </row>
        <row r="37">
          <cell r="AS37">
            <v>4890</v>
          </cell>
        </row>
        <row r="38">
          <cell r="AS38">
            <v>4890</v>
          </cell>
        </row>
        <row r="39">
          <cell r="AS39">
            <v>5158</v>
          </cell>
        </row>
        <row r="40">
          <cell r="AS40">
            <v>5428</v>
          </cell>
        </row>
      </sheetData>
      <sheetData sheetId="28" refreshError="1"/>
      <sheetData sheetId="29">
        <row r="7">
          <cell r="AS7">
            <v>147212</v>
          </cell>
        </row>
        <row r="9">
          <cell r="AS9">
            <v>71892</v>
          </cell>
        </row>
        <row r="10">
          <cell r="AS10">
            <v>64952</v>
          </cell>
        </row>
        <row r="11">
          <cell r="AS11">
            <v>124984</v>
          </cell>
        </row>
        <row r="12">
          <cell r="AS12">
            <v>104331</v>
          </cell>
        </row>
        <row r="13">
          <cell r="AS13">
            <v>97421</v>
          </cell>
        </row>
        <row r="14">
          <cell r="AS14">
            <v>115179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) Control Panel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2 O&amp;M Expenses"/>
      <sheetName val="2A Indirect Allocation"/>
      <sheetName val="Public Works"/>
      <sheetName val="MIS"/>
      <sheetName val="Finance Salaries"/>
      <sheetName val="3 Debt Service"/>
      <sheetName val="4 Capital Improvements"/>
      <sheetName val="11 Revenue Requirement"/>
      <sheetName val="20 Connection Fee Cash Flow"/>
      <sheetName val="14 Rate Projections"/>
      <sheetName val="8B Cons-Cust Projections"/>
      <sheetName val="BE Rate Analysis"/>
      <sheetName val="13A Rate Analysis"/>
      <sheetName val="BE Rate Summary"/>
      <sheetName val="User Def Rate Analysis"/>
      <sheetName val="17a Oper CF - BE Rates"/>
      <sheetName val="5A User CIP Cash"/>
      <sheetName val="5B User CIP Bond"/>
      <sheetName val="6A Projected User Debt"/>
      <sheetName val="6B Projected Growth Debt"/>
      <sheetName val="5C Growth CIP Cash"/>
      <sheetName val="5D Growth CIP Bond"/>
      <sheetName val="7A O&amp;M Reserve"/>
      <sheetName val="7B 3R Reserve"/>
      <sheetName val="8A Consumption-Customers"/>
      <sheetName val="21 Fund Balance"/>
      <sheetName val="10 Misc Revenue"/>
      <sheetName val="12) Current Rates"/>
      <sheetName val="13B Stormwater Rates"/>
      <sheetName val="15) Sample Bills"/>
      <sheetName val="17 Oper CF - Current Rates"/>
      <sheetName val="18 Water Connection Fee"/>
      <sheetName val="19 Sewer Connection Fee"/>
      <sheetName val="Subdivisions"/>
      <sheetName val="8C Cons-Cust Charts"/>
      <sheetName val="System Investment"/>
      <sheetName val="Presentation"/>
      <sheetName val="1A Operating Exec Snapshot "/>
      <sheetName val="1B Capital Exec Snapsho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33">
          <cell r="AS133">
            <v>1334157.902605131</v>
          </cell>
        </row>
      </sheetData>
      <sheetData sheetId="11" refreshError="1">
        <row r="150">
          <cell r="G150">
            <v>2408905.91</v>
          </cell>
          <cell r="H150">
            <v>2380833.9700000002</v>
          </cell>
          <cell r="I150">
            <v>2873752.98</v>
          </cell>
          <cell r="J150">
            <v>2210555</v>
          </cell>
          <cell r="K150">
            <v>2122758</v>
          </cell>
          <cell r="L150">
            <v>2377727.4300000002</v>
          </cell>
          <cell r="M150">
            <v>2204336.69</v>
          </cell>
        </row>
        <row r="151">
          <cell r="G151">
            <v>2362533.91</v>
          </cell>
          <cell r="H151">
            <v>2336653.9900000002</v>
          </cell>
          <cell r="I151">
            <v>2824651.98</v>
          </cell>
          <cell r="J151">
            <v>2125514</v>
          </cell>
          <cell r="K151">
            <v>2060040</v>
          </cell>
          <cell r="L151">
            <v>2240180.4400000004</v>
          </cell>
          <cell r="M151">
            <v>2070377.5699999998</v>
          </cell>
          <cell r="N151">
            <v>1867589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3">
          <cell r="G33">
            <v>2528960.4899999998</v>
          </cell>
        </row>
        <row r="34">
          <cell r="G34">
            <v>32794</v>
          </cell>
        </row>
        <row r="35">
          <cell r="G35">
            <v>996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hyperlink" Target="http://www.imf.org/external/np/res/commod/index.asp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www.imf.org/external/np/res/commod/index.asp" TargetMode="External"/><Relationship Id="rId1" Type="http://schemas.openxmlformats.org/officeDocument/2006/relationships/hyperlink" Target="http://enr.construction.com/economics/historical_indices/Baltimore.asp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http://enr.construction.com/economics/historical_indices" TargetMode="External"/><Relationship Id="rId4" Type="http://schemas.openxmlformats.org/officeDocument/2006/relationships/hyperlink" Target="http://americancityandcounty.com/mciarchive" TargetMode="External"/><Relationship Id="rId9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0"/>
  <sheetViews>
    <sheetView showGridLines="0" topLeftCell="A50" zoomScale="85" zoomScaleNormal="85" zoomScaleSheetLayoutView="70" workbookViewId="0">
      <selection activeCell="D102" sqref="D102"/>
    </sheetView>
  </sheetViews>
  <sheetFormatPr defaultColWidth="9" defaultRowHeight="15.6" x14ac:dyDescent="0.3"/>
  <cols>
    <col min="1" max="1" width="6.09765625" style="455" customWidth="1"/>
    <col min="2" max="2" width="45.69921875" style="455" bestFit="1" customWidth="1"/>
    <col min="3" max="3" width="13.69921875" style="455" customWidth="1"/>
    <col min="4" max="11" width="13" style="455" customWidth="1"/>
    <col min="12" max="12" width="13.5" style="455" customWidth="1"/>
    <col min="13" max="13" width="7.69921875" style="455" customWidth="1"/>
    <col min="14" max="14" width="8" style="455" customWidth="1"/>
    <col min="15" max="19" width="0" style="455" hidden="1" customWidth="1"/>
    <col min="20" max="16384" width="9" style="455"/>
  </cols>
  <sheetData>
    <row r="1" spans="1:12" s="451" customFormat="1" x14ac:dyDescent="0.3">
      <c r="A1" s="2"/>
    </row>
    <row r="2" spans="1:12" s="451" customFormat="1" ht="16.2" thickBot="1" x14ac:dyDescent="0.35">
      <c r="B2" s="452" t="s">
        <v>1946</v>
      </c>
      <c r="C2" s="453"/>
      <c r="D2" s="454"/>
      <c r="E2" s="454"/>
      <c r="F2" s="1300" t="s">
        <v>1595</v>
      </c>
      <c r="G2" s="1300"/>
      <c r="H2" s="1253"/>
      <c r="I2" s="1253"/>
      <c r="J2" s="1253"/>
    </row>
    <row r="3" spans="1:12" ht="6.75" customHeight="1" x14ac:dyDescent="0.3">
      <c r="B3" s="456"/>
    </row>
    <row r="4" spans="1:12" x14ac:dyDescent="0.3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2" x14ac:dyDescent="0.3"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</row>
    <row r="6" spans="1:12" x14ac:dyDescent="0.3">
      <c r="B6" s="457"/>
      <c r="C6" s="457"/>
      <c r="D6" s="457"/>
      <c r="E6" s="457"/>
      <c r="F6" s="457"/>
      <c r="G6" s="457"/>
      <c r="H6" s="457"/>
      <c r="I6" s="457"/>
      <c r="J6" s="457"/>
      <c r="K6" s="457"/>
      <c r="L6" s="457"/>
    </row>
    <row r="7" spans="1:12" x14ac:dyDescent="0.3">
      <c r="B7" s="457"/>
      <c r="C7" s="457"/>
      <c r="D7" s="457"/>
      <c r="E7" s="457"/>
      <c r="F7" s="457"/>
      <c r="G7" s="457"/>
      <c r="H7" s="457"/>
      <c r="I7" s="457"/>
      <c r="J7" s="457"/>
      <c r="K7" s="457"/>
      <c r="L7" s="457"/>
    </row>
    <row r="8" spans="1:12" x14ac:dyDescent="0.3">
      <c r="B8" s="457"/>
      <c r="C8" s="457"/>
      <c r="D8" s="457"/>
      <c r="E8" s="457"/>
      <c r="F8" s="457"/>
      <c r="G8" s="457"/>
      <c r="H8" s="457"/>
      <c r="I8" s="457"/>
      <c r="J8" s="457"/>
      <c r="K8" s="457"/>
      <c r="L8" s="457"/>
    </row>
    <row r="9" spans="1:12" x14ac:dyDescent="0.3"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</row>
    <row r="10" spans="1:12" x14ac:dyDescent="0.3"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</row>
    <row r="11" spans="1:12" x14ac:dyDescent="0.3"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</row>
    <row r="12" spans="1:12" x14ac:dyDescent="0.3"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</row>
    <row r="13" spans="1:12" x14ac:dyDescent="0.3">
      <c r="B13" s="457"/>
      <c r="C13" s="457"/>
      <c r="D13" s="457"/>
      <c r="E13" s="457"/>
      <c r="F13" s="457"/>
      <c r="G13" s="457"/>
      <c r="H13" s="457"/>
      <c r="I13" s="457"/>
      <c r="J13" s="457"/>
      <c r="K13" s="457"/>
      <c r="L13" s="457"/>
    </row>
    <row r="14" spans="1:12" x14ac:dyDescent="0.3"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</row>
    <row r="15" spans="1:12" x14ac:dyDescent="0.3"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</row>
    <row r="16" spans="1:12" x14ac:dyDescent="0.3">
      <c r="B16" s="457"/>
      <c r="C16" s="457"/>
      <c r="D16" s="457"/>
      <c r="E16" s="457"/>
      <c r="F16" s="457"/>
      <c r="G16" s="457"/>
      <c r="H16" s="457"/>
      <c r="I16" s="457"/>
      <c r="J16" s="457"/>
      <c r="K16" s="457"/>
      <c r="L16" s="457"/>
    </row>
    <row r="17" spans="2:12" x14ac:dyDescent="0.3">
      <c r="B17" s="457"/>
      <c r="C17" s="457"/>
      <c r="D17" s="457"/>
      <c r="E17" s="457"/>
      <c r="F17" s="457"/>
      <c r="G17" s="457"/>
      <c r="H17" s="457"/>
      <c r="I17" s="457"/>
      <c r="J17" s="457"/>
      <c r="K17" s="457"/>
      <c r="L17" s="457"/>
    </row>
    <row r="18" spans="2:12" x14ac:dyDescent="0.3"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</row>
    <row r="19" spans="2:12" x14ac:dyDescent="0.3"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</row>
    <row r="20" spans="2:12" x14ac:dyDescent="0.3">
      <c r="B20" s="457"/>
      <c r="C20" s="457"/>
      <c r="D20" s="457"/>
      <c r="E20" s="457"/>
      <c r="F20" s="457"/>
      <c r="G20" s="457"/>
      <c r="H20" s="457"/>
      <c r="I20" s="457"/>
      <c r="J20" s="457"/>
      <c r="K20" s="457"/>
      <c r="L20" s="457"/>
    </row>
    <row r="21" spans="2:12" x14ac:dyDescent="0.3"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</row>
    <row r="22" spans="2:12" x14ac:dyDescent="0.3"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</row>
    <row r="23" spans="2:12" x14ac:dyDescent="0.3"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</row>
    <row r="24" spans="2:12" x14ac:dyDescent="0.3"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7"/>
    </row>
    <row r="25" spans="2:12" x14ac:dyDescent="0.3"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</row>
    <row r="26" spans="2:12" x14ac:dyDescent="0.3"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</row>
    <row r="27" spans="2:12" x14ac:dyDescent="0.3"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</row>
    <row r="28" spans="2:12" x14ac:dyDescent="0.3"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</row>
    <row r="29" spans="2:12" x14ac:dyDescent="0.3"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</row>
    <row r="30" spans="2:12" x14ac:dyDescent="0.3"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</row>
    <row r="31" spans="2:12" x14ac:dyDescent="0.3">
      <c r="B31" s="457"/>
      <c r="C31" s="457"/>
      <c r="D31" s="457"/>
      <c r="E31" s="457"/>
      <c r="F31" s="457"/>
      <c r="G31" s="457"/>
      <c r="H31" s="457"/>
      <c r="I31" s="457"/>
      <c r="J31" s="457"/>
      <c r="K31" s="457"/>
      <c r="L31" s="457"/>
    </row>
    <row r="32" spans="2:12" x14ac:dyDescent="0.3"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</row>
    <row r="33" spans="2:19" x14ac:dyDescent="0.3"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</row>
    <row r="34" spans="2:19" x14ac:dyDescent="0.3"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</row>
    <row r="35" spans="2:19" x14ac:dyDescent="0.3">
      <c r="B35" s="457"/>
      <c r="C35" s="457"/>
      <c r="D35" s="457"/>
      <c r="E35" s="457"/>
      <c r="F35" s="457"/>
      <c r="G35" s="457"/>
      <c r="H35" s="457"/>
      <c r="I35" s="457"/>
      <c r="J35" s="457"/>
      <c r="K35" s="457"/>
      <c r="L35" s="457"/>
    </row>
    <row r="36" spans="2:19" x14ac:dyDescent="0.3">
      <c r="B36" s="457"/>
      <c r="C36" s="457"/>
      <c r="D36" s="457"/>
      <c r="E36" s="457"/>
      <c r="F36" s="457"/>
      <c r="G36" s="457"/>
      <c r="H36" s="457"/>
      <c r="I36" s="457"/>
      <c r="J36" s="457"/>
      <c r="K36" s="457"/>
      <c r="L36" s="457"/>
    </row>
    <row r="37" spans="2:19" x14ac:dyDescent="0.3">
      <c r="B37" s="457"/>
      <c r="C37" s="457"/>
      <c r="D37" s="457"/>
      <c r="E37" s="457"/>
      <c r="F37" s="457"/>
      <c r="G37" s="457"/>
      <c r="H37" s="457"/>
      <c r="I37" s="457"/>
      <c r="J37" s="457"/>
      <c r="K37" s="457"/>
      <c r="L37" s="457"/>
    </row>
    <row r="38" spans="2:19" x14ac:dyDescent="0.3">
      <c r="B38" s="457"/>
      <c r="C38" s="458" t="s">
        <v>1596</v>
      </c>
      <c r="D38" s="458" t="s">
        <v>1597</v>
      </c>
      <c r="E38" s="458" t="s">
        <v>1598</v>
      </c>
      <c r="F38" s="458" t="s">
        <v>1599</v>
      </c>
      <c r="G38" s="458" t="s">
        <v>1600</v>
      </c>
      <c r="O38" s="458" t="s">
        <v>1601</v>
      </c>
      <c r="P38" s="458" t="s">
        <v>1602</v>
      </c>
      <c r="Q38" s="458" t="s">
        <v>1603</v>
      </c>
      <c r="R38" s="458" t="s">
        <v>1604</v>
      </c>
      <c r="S38" s="458" t="s">
        <v>1605</v>
      </c>
    </row>
    <row r="39" spans="2:19" hidden="1" x14ac:dyDescent="0.3">
      <c r="B39" s="1254" t="s">
        <v>2172</v>
      </c>
      <c r="C39" s="1090">
        <f>'Customers and Consumption'!H51</f>
        <v>24252</v>
      </c>
      <c r="D39" s="1090">
        <f>'Customers and Consumption'!I51</f>
        <v>24361</v>
      </c>
      <c r="E39" s="1090">
        <f>'Customers and Consumption'!J51</f>
        <v>24467</v>
      </c>
      <c r="F39" s="1090">
        <f>'Customers and Consumption'!K51</f>
        <v>24573</v>
      </c>
      <c r="G39" s="1090">
        <f>'Customers and Consumption'!L51</f>
        <v>24679</v>
      </c>
      <c r="O39" s="1090">
        <f>'Customers and Consumption'!M51</f>
        <v>24679</v>
      </c>
      <c r="P39" s="1090">
        <f>'Customers and Consumption'!N51</f>
        <v>24679</v>
      </c>
      <c r="Q39" s="1090">
        <f>'Customers and Consumption'!O51</f>
        <v>24679</v>
      </c>
      <c r="R39" s="1090">
        <f>'Customers and Consumption'!P51</f>
        <v>24679</v>
      </c>
      <c r="S39" s="1091">
        <f>'Customers and Consumption'!Q51</f>
        <v>24679</v>
      </c>
    </row>
    <row r="40" spans="2:19" hidden="1" x14ac:dyDescent="0.3">
      <c r="B40" s="1255" t="s">
        <v>1693</v>
      </c>
      <c r="C40" s="1084">
        <f>'Customers and Consumption'!H70</f>
        <v>1840504.9308386443</v>
      </c>
      <c r="D40" s="1084">
        <f>'Customers and Consumption'!I70</f>
        <v>1839383.4551381757</v>
      </c>
      <c r="E40" s="1084">
        <f>'Customers and Consumption'!J70</f>
        <v>1838005.8794510115</v>
      </c>
      <c r="F40" s="1084">
        <f>'Customers and Consumption'!K70</f>
        <v>1836596.0949343401</v>
      </c>
      <c r="G40" s="1084">
        <f>'Customers and Consumption'!L70</f>
        <v>1835154.4581158494</v>
      </c>
      <c r="O40" s="1084">
        <f>'Customers and Consumption'!M70</f>
        <v>1825978.6858252701</v>
      </c>
      <c r="P40" s="1084">
        <f>'Customers and Consumption'!N70</f>
        <v>1816848.7923961435</v>
      </c>
      <c r="Q40" s="1084">
        <f>'Customers and Consumption'!O70</f>
        <v>1807764.548434163</v>
      </c>
      <c r="R40" s="1084">
        <f>'Customers and Consumption'!P70</f>
        <v>1798725.7256919921</v>
      </c>
      <c r="S40" s="1085">
        <f>'Customers and Consumption'!Q70</f>
        <v>1789732.0970635321</v>
      </c>
    </row>
    <row r="41" spans="2:19" s="457" customFormat="1" ht="9" customHeight="1" x14ac:dyDescent="0.3">
      <c r="B41" s="1153"/>
      <c r="C41" s="1148"/>
      <c r="D41" s="1148"/>
      <c r="E41" s="1148"/>
      <c r="F41" s="1148"/>
      <c r="G41" s="1148"/>
      <c r="O41" s="1148"/>
      <c r="P41" s="1148"/>
      <c r="Q41" s="1148"/>
      <c r="R41" s="1148"/>
      <c r="S41" s="1148"/>
    </row>
    <row r="42" spans="2:19" hidden="1" x14ac:dyDescent="0.3">
      <c r="B42" s="1256" t="s">
        <v>2272</v>
      </c>
      <c r="C42" s="1262">
        <f>C140-C139</f>
        <v>1000333.7388196699</v>
      </c>
      <c r="D42" s="1262">
        <f>D140-D139</f>
        <v>1589482.2650413327</v>
      </c>
      <c r="E42" s="1262">
        <f>E140-E139</f>
        <v>-2828028.8762168176</v>
      </c>
      <c r="F42" s="1262">
        <f>F140-F139</f>
        <v>-684424.33011838421</v>
      </c>
      <c r="G42" s="1262">
        <f>G140-G139</f>
        <v>1305597.6601816639</v>
      </c>
      <c r="O42" s="824">
        <f>O140-O139</f>
        <v>680578.71577883884</v>
      </c>
      <c r="P42" s="824">
        <f>P140-P139</f>
        <v>-246803.39032530785</v>
      </c>
      <c r="Q42" s="824">
        <f>Q140-Q139</f>
        <v>-1172075.9731585644</v>
      </c>
      <c r="R42" s="824">
        <f>R140-R139</f>
        <v>-1802402.5438622795</v>
      </c>
      <c r="S42" s="826">
        <f>S140-S139</f>
        <v>-3366520.7393264174</v>
      </c>
    </row>
    <row r="43" spans="2:19" hidden="1" x14ac:dyDescent="0.3">
      <c r="B43" s="1255" t="s">
        <v>2239</v>
      </c>
      <c r="C43" s="1264">
        <f>'Cash Flows and Cash Balances'!F148</f>
        <v>724782.82812146132</v>
      </c>
      <c r="D43" s="1264">
        <f>'Cash Flows and Cash Balances'!G148</f>
        <v>465347.06188484438</v>
      </c>
      <c r="E43" s="1264">
        <f>'Cash Flows and Cash Balances'!H148</f>
        <v>705943.30862942233</v>
      </c>
      <c r="F43" s="1264">
        <f>'Cash Flows and Cash Balances'!I148</f>
        <v>1110660.5541921388</v>
      </c>
      <c r="G43" s="1264">
        <f>'Cash Flows and Cash Balances'!J148</f>
        <v>998244.47785567644</v>
      </c>
      <c r="O43" s="1151">
        <f>'Cash Flows and Cash Balances'!K148</f>
        <v>905326.40984892799</v>
      </c>
      <c r="P43" s="1151">
        <f>'Cash Flows and Cash Balances'!L148</f>
        <v>952794.11639742239</v>
      </c>
      <c r="Q43" s="1151">
        <f>'Cash Flows and Cash Balances'!M148</f>
        <v>1004032.8442075893</v>
      </c>
      <c r="R43" s="1151">
        <f>'Cash Flows and Cash Balances'!N148</f>
        <v>917151.32108664815</v>
      </c>
      <c r="S43" s="1152">
        <f>'Cash Flows and Cash Balances'!O148</f>
        <v>1676738.6639325635</v>
      </c>
    </row>
    <row r="44" spans="2:19" hidden="1" x14ac:dyDescent="0.3">
      <c r="B44" s="1255" t="s">
        <v>2268</v>
      </c>
      <c r="C44" s="1264">
        <f>'Cash Flows and Cash Balances'!F149</f>
        <v>0</v>
      </c>
      <c r="D44" s="1264">
        <f>'Cash Flows and Cash Balances'!G149</f>
        <v>0</v>
      </c>
      <c r="E44" s="1264">
        <f>'Cash Flows and Cash Balances'!H149</f>
        <v>0</v>
      </c>
      <c r="F44" s="1264">
        <f>'Cash Flows and Cash Balances'!I149</f>
        <v>0</v>
      </c>
      <c r="G44" s="1264">
        <f>'Cash Flows and Cash Balances'!J149</f>
        <v>0</v>
      </c>
      <c r="O44" s="1151">
        <f>'Cash Flows and Cash Balances'!K149</f>
        <v>0</v>
      </c>
      <c r="P44" s="1151">
        <f>'Cash Flows and Cash Balances'!L149</f>
        <v>0</v>
      </c>
      <c r="Q44" s="1151">
        <f>'Cash Flows and Cash Balances'!M149</f>
        <v>0</v>
      </c>
      <c r="R44" s="1151">
        <f>'Cash Flows and Cash Balances'!N149</f>
        <v>0</v>
      </c>
      <c r="S44" s="1152">
        <f>'Cash Flows and Cash Balances'!O149</f>
        <v>0</v>
      </c>
    </row>
    <row r="45" spans="2:19" hidden="1" x14ac:dyDescent="0.3">
      <c r="B45" s="1255" t="s">
        <v>2267</v>
      </c>
      <c r="C45" s="824">
        <f>C42+C43+C44</f>
        <v>1725116.5669411314</v>
      </c>
      <c r="D45" s="824">
        <f t="shared" ref="D45:G45" si="0">D42+D43+D44</f>
        <v>2054829.3269261771</v>
      </c>
      <c r="E45" s="824">
        <f t="shared" si="0"/>
        <v>-2122085.5675873952</v>
      </c>
      <c r="F45" s="824">
        <f t="shared" si="0"/>
        <v>426236.22407375462</v>
      </c>
      <c r="G45" s="824">
        <f t="shared" si="0"/>
        <v>2303842.1380373402</v>
      </c>
      <c r="O45" s="824">
        <f>O42+O43+O44</f>
        <v>1585905.1256277668</v>
      </c>
      <c r="P45" s="824">
        <f>P42+P43+P44</f>
        <v>705990.72607211454</v>
      </c>
      <c r="Q45" s="824">
        <f>Q42+Q43+Q44</f>
        <v>-168043.12895097514</v>
      </c>
      <c r="R45" s="824">
        <f>R42+R43+R44</f>
        <v>-885251.22277563135</v>
      </c>
      <c r="S45" s="826">
        <f>S42+S43+S44</f>
        <v>-1689782.0753938539</v>
      </c>
    </row>
    <row r="46" spans="2:19" s="457" customFormat="1" ht="9" hidden="1" customHeight="1" x14ac:dyDescent="0.3">
      <c r="B46" s="1153"/>
      <c r="C46" s="1263"/>
      <c r="D46" s="1263"/>
      <c r="E46" s="1263"/>
      <c r="F46" s="1263"/>
      <c r="G46" s="1263"/>
      <c r="O46" s="1148"/>
      <c r="P46" s="1148"/>
      <c r="Q46" s="1148"/>
      <c r="R46" s="1148"/>
      <c r="S46" s="1148"/>
    </row>
    <row r="47" spans="2:19" x14ac:dyDescent="0.3">
      <c r="B47" s="1256" t="s">
        <v>2330</v>
      </c>
      <c r="C47" s="824">
        <f>'Cash Flows and Cash Balances'!F140</f>
        <v>8219166.5669411309</v>
      </c>
      <c r="D47" s="824">
        <f>'Cash Flows and Cash Balances'!G140</f>
        <v>10273995.89386731</v>
      </c>
      <c r="E47" s="824">
        <f>'Cash Flows and Cash Balances'!H140</f>
        <v>8151910.3262799159</v>
      </c>
      <c r="F47" s="824">
        <f>'Cash Flows and Cash Balances'!I140</f>
        <v>8578146.5503536724</v>
      </c>
      <c r="G47" s="824">
        <f>'Cash Flows and Cash Balances'!J140</f>
        <v>10881988.688391015</v>
      </c>
      <c r="O47" s="824">
        <f>'Cash Flows and Cash Balances'!K140</f>
        <v>12467893.814018782</v>
      </c>
      <c r="P47" s="824">
        <f>'Cash Flows and Cash Balances'!L140</f>
        <v>13173884.540090896</v>
      </c>
      <c r="Q47" s="824">
        <f>'Cash Flows and Cash Balances'!M140</f>
        <v>13005841.41113992</v>
      </c>
      <c r="R47" s="824">
        <f>'Cash Flows and Cash Balances'!N140</f>
        <v>12120590.18836429</v>
      </c>
      <c r="S47" s="826">
        <f>'Cash Flows and Cash Balances'!O140</f>
        <v>10430808.112970438</v>
      </c>
    </row>
    <row r="48" spans="2:19" ht="16.2" thickBot="1" x14ac:dyDescent="0.35">
      <c r="B48" s="1257" t="s">
        <v>2331</v>
      </c>
      <c r="C48" s="1174">
        <f>'Cash Flows and Cash Balances'!F142</f>
        <v>6671400</v>
      </c>
      <c r="D48" s="1080">
        <f>'Cash Flows and Cash Balances'!G142</f>
        <v>7246900</v>
      </c>
      <c r="E48" s="1080">
        <f>'Cash Flows and Cash Balances'!H142</f>
        <v>8079300</v>
      </c>
      <c r="F48" s="1080">
        <f>'Cash Flows and Cash Balances'!I142</f>
        <v>9321000</v>
      </c>
      <c r="G48" s="1080">
        <f>'Cash Flows and Cash Balances'!J142</f>
        <v>10455000</v>
      </c>
      <c r="O48" s="1080">
        <f>'Cash Flows and Cash Balances'!K142</f>
        <v>11490000</v>
      </c>
      <c r="P48" s="1080">
        <f>'Cash Flows and Cash Balances'!L142</f>
        <v>12577100</v>
      </c>
      <c r="Q48" s="1080">
        <f>'Cash Flows and Cash Balances'!M142</f>
        <v>13720200</v>
      </c>
      <c r="R48" s="1080">
        <f>'Cash Flows and Cash Balances'!N142</f>
        <v>14781500</v>
      </c>
      <c r="S48" s="1081">
        <f>'Cash Flows and Cash Balances'!O142</f>
        <v>16607500</v>
      </c>
    </row>
    <row r="49" spans="2:19" ht="16.2" thickBot="1" x14ac:dyDescent="0.35">
      <c r="B49" s="1258" t="s">
        <v>2226</v>
      </c>
      <c r="C49" s="1156" t="str">
        <f>'Cash Flows and Cash Balances'!F143</f>
        <v>YES</v>
      </c>
      <c r="D49" s="1157" t="str">
        <f>'Cash Flows and Cash Balances'!G143</f>
        <v>YES</v>
      </c>
      <c r="E49" s="1157" t="str">
        <f>'Cash Flows and Cash Balances'!H143</f>
        <v>YES</v>
      </c>
      <c r="F49" s="1157" t="str">
        <f>'Cash Flows and Cash Balances'!I143</f>
        <v>NO</v>
      </c>
      <c r="G49" s="1157" t="str">
        <f>'Cash Flows and Cash Balances'!J143</f>
        <v>YES</v>
      </c>
      <c r="O49" s="1157" t="str">
        <f>'Cash Flows and Cash Balances'!K143</f>
        <v>YES</v>
      </c>
      <c r="P49" s="1157" t="str">
        <f>'Cash Flows and Cash Balances'!L143</f>
        <v>YES</v>
      </c>
      <c r="Q49" s="1157" t="str">
        <f>'Cash Flows and Cash Balances'!M143</f>
        <v>NO</v>
      </c>
      <c r="R49" s="1157" t="str">
        <f>'Cash Flows and Cash Balances'!N143</f>
        <v>NO</v>
      </c>
      <c r="S49" s="1158" t="str">
        <f>'Cash Flows and Cash Balances'!O143</f>
        <v>NO</v>
      </c>
    </row>
    <row r="50" spans="2:19" x14ac:dyDescent="0.3">
      <c r="B50" s="979"/>
      <c r="C50" s="980"/>
      <c r="D50" s="980"/>
      <c r="E50" s="980"/>
      <c r="F50" s="980"/>
      <c r="G50" s="980"/>
      <c r="O50" s="980"/>
      <c r="P50" s="980"/>
      <c r="Q50" s="980"/>
      <c r="R50" s="980"/>
      <c r="S50" s="980"/>
    </row>
    <row r="51" spans="2:19" hidden="1" x14ac:dyDescent="0.3">
      <c r="B51" s="1092" t="s">
        <v>1611</v>
      </c>
      <c r="C51" s="465">
        <f>'Cash Flows and Cash Balances'!F29</f>
        <v>0</v>
      </c>
      <c r="D51" s="465">
        <f>'Cash Flows and Cash Balances'!G29</f>
        <v>0</v>
      </c>
      <c r="E51" s="465">
        <f>'Cash Flows and Cash Balances'!H29</f>
        <v>1.4850639176859092E-2</v>
      </c>
      <c r="F51" s="465">
        <f>'Cash Flows and Cash Balances'!I29</f>
        <v>5.9683591271933421E-2</v>
      </c>
      <c r="G51" s="465">
        <f>'Cash Flows and Cash Balances'!J29</f>
        <v>0</v>
      </c>
      <c r="M51" s="466"/>
      <c r="O51" s="465">
        <f>'Cash Flows and Cash Balances'!K29</f>
        <v>0</v>
      </c>
      <c r="P51" s="465">
        <f>'Cash Flows and Cash Balances'!L29</f>
        <v>0</v>
      </c>
      <c r="Q51" s="465">
        <f>'Cash Flows and Cash Balances'!M29</f>
        <v>2.1791729926557705E-2</v>
      </c>
      <c r="R51" s="465">
        <f>'Cash Flows and Cash Balances'!N29</f>
        <v>9.1379867075090299E-2</v>
      </c>
      <c r="S51" s="601">
        <f>'Cash Flows and Cash Balances'!O29</f>
        <v>0.24800103291191153</v>
      </c>
    </row>
    <row r="52" spans="2:19" x14ac:dyDescent="0.3">
      <c r="B52" s="1092" t="s">
        <v>1612</v>
      </c>
      <c r="C52" s="823">
        <v>0.08</v>
      </c>
      <c r="D52" s="823">
        <v>0.05</v>
      </c>
      <c r="E52" s="823">
        <v>0.05</v>
      </c>
      <c r="F52" s="823">
        <v>0.05</v>
      </c>
      <c r="G52" s="823">
        <v>0.05</v>
      </c>
      <c r="O52" s="823">
        <v>0</v>
      </c>
      <c r="P52" s="823">
        <v>0</v>
      </c>
      <c r="Q52" s="823">
        <v>0</v>
      </c>
      <c r="R52" s="823">
        <v>0</v>
      </c>
      <c r="S52" s="825">
        <v>0</v>
      </c>
    </row>
    <row r="53" spans="2:19" s="457" customFormat="1" ht="9" customHeight="1" x14ac:dyDescent="0.3">
      <c r="B53" s="1153"/>
      <c r="C53" s="1148"/>
      <c r="D53" s="1148"/>
      <c r="E53" s="1148"/>
      <c r="F53" s="1148"/>
      <c r="G53" s="1148"/>
      <c r="O53" s="1148"/>
      <c r="P53" s="1148"/>
      <c r="Q53" s="1148"/>
      <c r="R53" s="1148"/>
      <c r="S53" s="1148"/>
    </row>
    <row r="54" spans="2:19" x14ac:dyDescent="0.3">
      <c r="B54" s="1092" t="s">
        <v>2265</v>
      </c>
      <c r="C54" s="1262">
        <f>'Revenue Requirements'!F21</f>
        <v>12719940.353558363</v>
      </c>
      <c r="D54" s="1262">
        <f>'Revenue Requirements'!G21</f>
        <v>15953408.310669996</v>
      </c>
      <c r="E54" s="1262">
        <f>'Revenue Requirements'!H21</f>
        <v>20281426.104136117</v>
      </c>
      <c r="F54" s="1262">
        <f>'Revenue Requirements'!I21</f>
        <v>18583952.01443183</v>
      </c>
      <c r="G54" s="1262">
        <f>'Revenue Requirements'!J21</f>
        <v>17491963.274803374</v>
      </c>
      <c r="O54" s="824">
        <f>'Revenue Requirements'!K21</f>
        <v>18055560.82282488</v>
      </c>
      <c r="P54" s="824">
        <f>'Revenue Requirements'!L21</f>
        <v>18653757.58620974</v>
      </c>
      <c r="Q54" s="824">
        <f>'Revenue Requirements'!M21</f>
        <v>19241508.247378465</v>
      </c>
      <c r="R54" s="824">
        <f>'Revenue Requirements'!N21</f>
        <v>19588396.931605034</v>
      </c>
      <c r="S54" s="826">
        <f>'Revenue Requirements'!O21</f>
        <v>21084754.096259061</v>
      </c>
    </row>
    <row r="55" spans="2:19" x14ac:dyDescent="0.3">
      <c r="B55" s="1154" t="s">
        <v>2219</v>
      </c>
      <c r="C55" s="1262">
        <f>'Cash Flows and Cash Balances'!F8</f>
        <v>15283782.596261144</v>
      </c>
      <c r="D55" s="1262">
        <f>'Cash Flows and Cash Balances'!G8</f>
        <v>16226583.971539626</v>
      </c>
      <c r="E55" s="1262">
        <f>'Cash Flows and Cash Balances'!H8</f>
        <v>17030943.334708843</v>
      </c>
      <c r="F55" s="1262">
        <f>'Cash Flows and Cash Balances'!I8</f>
        <v>17874902.610271629</v>
      </c>
      <c r="G55" s="1262">
        <f>'Cash Flows and Cash Balances'!J8</f>
        <v>18760400.609326657</v>
      </c>
      <c r="O55" s="824">
        <f>'Cash Flows and Cash Balances'!K8</f>
        <v>18674732.424525429</v>
      </c>
      <c r="P55" s="824">
        <f>'Cash Flows and Cash Balances'!L8</f>
        <v>18589492.580648202</v>
      </c>
      <c r="Q55" s="824">
        <f>'Cash Flows and Cash Balances'!M8</f>
        <v>18504678.935990363</v>
      </c>
      <c r="R55" s="824">
        <f>'Cash Flows and Cash Balances'!N8</f>
        <v>18420289.359555814</v>
      </c>
      <c r="S55" s="826">
        <f>'Cash Flows and Cash Balances'!O8</f>
        <v>18336321.731003437</v>
      </c>
    </row>
    <row r="56" spans="2:19" s="457" customFormat="1" ht="9" hidden="1" customHeight="1" x14ac:dyDescent="0.3">
      <c r="B56" s="1153"/>
      <c r="C56" s="1263"/>
      <c r="D56" s="1263"/>
      <c r="E56" s="1263"/>
      <c r="F56" s="1263"/>
      <c r="G56" s="1263"/>
      <c r="O56" s="1148"/>
      <c r="P56" s="1148"/>
      <c r="Q56" s="1148"/>
      <c r="R56" s="1148"/>
      <c r="S56" s="1148"/>
    </row>
    <row r="57" spans="2:19" s="464" customFormat="1" ht="15" customHeight="1" x14ac:dyDescent="0.3">
      <c r="B57" s="1092" t="s">
        <v>2309</v>
      </c>
      <c r="C57" s="1262">
        <f>C55-C54</f>
        <v>2563842.2427027803</v>
      </c>
      <c r="D57" s="1262">
        <f t="shared" ref="D57:G57" si="1">D55-D54</f>
        <v>273175.66086963005</v>
      </c>
      <c r="E57" s="1262">
        <f t="shared" si="1"/>
        <v>-3250482.7694272734</v>
      </c>
      <c r="F57" s="1262">
        <f t="shared" si="1"/>
        <v>-709049.40416020155</v>
      </c>
      <c r="G57" s="1262">
        <f t="shared" si="1"/>
        <v>1268437.3345232829</v>
      </c>
      <c r="O57" s="824">
        <f>O55-O54</f>
        <v>619171.60170054808</v>
      </c>
      <c r="P57" s="824">
        <f>P55-P54</f>
        <v>-64265.005561538041</v>
      </c>
      <c r="Q57" s="824">
        <f>Q55-Q54</f>
        <v>-736829.31138810143</v>
      </c>
      <c r="R57" s="824">
        <f>R55-R54</f>
        <v>-1168107.5720492192</v>
      </c>
      <c r="S57" s="826">
        <f>S55-S54</f>
        <v>-2748432.3652556241</v>
      </c>
    </row>
    <row r="58" spans="2:19" s="464" customFormat="1" ht="15" customHeight="1" x14ac:dyDescent="0.3">
      <c r="B58" s="1092" t="s">
        <v>2236</v>
      </c>
      <c r="C58" s="1265">
        <f>'Cash Flows and Cash Balances'!F35</f>
        <v>175564.83938836635</v>
      </c>
      <c r="D58" s="1265">
        <f>'Cash Flows and Cash Balances'!G35</f>
        <v>223478.33215200171</v>
      </c>
      <c r="E58" s="1265">
        <f>'Cash Flows and Cash Balances'!H35</f>
        <v>303866.30000919307</v>
      </c>
      <c r="F58" s="1265">
        <f>'Cash Flows and Cash Balances'!I35</f>
        <v>517631.41704842728</v>
      </c>
      <c r="G58" s="1265">
        <f>'Cash Flows and Cash Balances'!J35</f>
        <v>404545.88344526291</v>
      </c>
      <c r="O58" s="1071">
        <f>'Cash Flows and Cash Balances'!K35</f>
        <v>494766.81233799411</v>
      </c>
      <c r="P58" s="1071">
        <f>'Cash Flows and Cash Balances'!L35</f>
        <v>539581.43392954359</v>
      </c>
      <c r="Q58" s="1071">
        <f>'Cash Flows and Cash Balances'!M35</f>
        <v>587580.66667931119</v>
      </c>
      <c r="R58" s="1071">
        <f>'Cash Flows and Cash Balances'!N35</f>
        <v>511912.94463906897</v>
      </c>
      <c r="S58" s="1072">
        <f>'Cash Flows and Cash Balances'!O35</f>
        <v>1447749.2293225508</v>
      </c>
    </row>
    <row r="59" spans="2:19" s="464" customFormat="1" ht="15" customHeight="1" x14ac:dyDescent="0.3">
      <c r="B59" s="1092" t="s">
        <v>2269</v>
      </c>
      <c r="C59" s="1071">
        <f>'Cash Flows and Cash Balances'!F24</f>
        <v>0</v>
      </c>
      <c r="D59" s="1071">
        <f>'Cash Flows and Cash Balances'!G24</f>
        <v>0</v>
      </c>
      <c r="E59" s="1071">
        <f>'Cash Flows and Cash Balances'!H24</f>
        <v>0</v>
      </c>
      <c r="F59" s="1071">
        <f>'Cash Flows and Cash Balances'!I24</f>
        <v>0</v>
      </c>
      <c r="G59" s="1071">
        <f>'Cash Flows and Cash Balances'!J24</f>
        <v>0</v>
      </c>
      <c r="O59" s="1071">
        <f>'Cash Flows and Cash Balances'!K24</f>
        <v>0</v>
      </c>
      <c r="P59" s="1071">
        <f>'Cash Flows and Cash Balances'!L24</f>
        <v>0</v>
      </c>
      <c r="Q59" s="1071">
        <f>'Cash Flows and Cash Balances'!M24</f>
        <v>0</v>
      </c>
      <c r="R59" s="1071">
        <f>'Cash Flows and Cash Balances'!N24</f>
        <v>0</v>
      </c>
      <c r="S59" s="1072">
        <f>'Cash Flows and Cash Balances'!O24</f>
        <v>0</v>
      </c>
    </row>
    <row r="60" spans="2:19" s="464" customFormat="1" ht="15" customHeight="1" x14ac:dyDescent="0.3">
      <c r="B60" s="1092" t="s">
        <v>2273</v>
      </c>
      <c r="C60" s="824">
        <f>C57+C58+C59</f>
        <v>2739407.0820911466</v>
      </c>
      <c r="D60" s="824">
        <f t="shared" ref="D60:G60" si="2">D57+D58+D59</f>
        <v>496653.99302163173</v>
      </c>
      <c r="E60" s="824">
        <f t="shared" si="2"/>
        <v>-2946616.4694180805</v>
      </c>
      <c r="F60" s="824">
        <f t="shared" si="2"/>
        <v>-191417.98711177427</v>
      </c>
      <c r="G60" s="824">
        <f t="shared" si="2"/>
        <v>1672983.2179685459</v>
      </c>
      <c r="O60" s="824">
        <f>O57+O58+O59</f>
        <v>1113938.4140385422</v>
      </c>
      <c r="P60" s="824">
        <f>P57+P58+P59</f>
        <v>475316.42836800555</v>
      </c>
      <c r="Q60" s="824">
        <f>Q57+Q58+Q59</f>
        <v>-149248.64470879023</v>
      </c>
      <c r="R60" s="824">
        <f>R57+R58+R59</f>
        <v>-656194.62741015013</v>
      </c>
      <c r="S60" s="826">
        <f>S57+S58+S59</f>
        <v>-1300683.1359330732</v>
      </c>
    </row>
    <row r="61" spans="2:19" s="457" customFormat="1" ht="9" customHeight="1" x14ac:dyDescent="0.3">
      <c r="B61" s="1153"/>
      <c r="C61" s="1148"/>
      <c r="D61" s="1148"/>
      <c r="E61" s="1148"/>
      <c r="F61" s="1148"/>
      <c r="G61" s="1148"/>
      <c r="O61" s="1148"/>
      <c r="P61" s="1148"/>
      <c r="Q61" s="1148"/>
      <c r="R61" s="1148"/>
      <c r="S61" s="1148"/>
    </row>
    <row r="62" spans="2:19" s="464" customFormat="1" ht="15" customHeight="1" x14ac:dyDescent="0.3">
      <c r="B62" s="1092" t="s">
        <v>2310</v>
      </c>
      <c r="C62" s="824">
        <f>'Cash Flows and Cash Balances'!F25</f>
        <v>7285242.0820911471</v>
      </c>
      <c r="D62" s="824">
        <f>'Cash Flows and Cash Balances'!G25</f>
        <v>7781896.0751127806</v>
      </c>
      <c r="E62" s="824">
        <f>'Cash Flows and Cash Balances'!H25</f>
        <v>4835279.6056947056</v>
      </c>
      <c r="F62" s="824">
        <f>'Cash Flows and Cash Balances'!I25</f>
        <v>4643861.6185829323</v>
      </c>
      <c r="G62" s="824">
        <f>'Cash Flows and Cash Balances'!J25</f>
        <v>6316844.8365514781</v>
      </c>
      <c r="O62" s="824">
        <f>'Cash Flows and Cash Balances'!K25</f>
        <v>7430783.2505900245</v>
      </c>
      <c r="P62" s="824">
        <f>'Cash Flows and Cash Balances'!L25</f>
        <v>7906099.6789580267</v>
      </c>
      <c r="Q62" s="824">
        <f>'Cash Flows and Cash Balances'!M25</f>
        <v>7756851.0342492368</v>
      </c>
      <c r="R62" s="824">
        <f>'Cash Flows and Cash Balances'!N25</f>
        <v>7100656.4068390895</v>
      </c>
      <c r="S62" s="826">
        <f>'Cash Flows and Cash Balances'!O25</f>
        <v>5799973.2709060181</v>
      </c>
    </row>
    <row r="63" spans="2:19" s="464" customFormat="1" ht="15" customHeight="1" thickBot="1" x14ac:dyDescent="0.35">
      <c r="B63" s="1092" t="s">
        <v>2304</v>
      </c>
      <c r="C63" s="1175">
        <f>'Cash Flows and Cash Balances'!F27</f>
        <v>4360900</v>
      </c>
      <c r="D63" s="1175">
        <f>'Cash Flows and Cash Balances'!G27</f>
        <v>4682800</v>
      </c>
      <c r="E63" s="1175">
        <f>'Cash Flows and Cash Balances'!H27</f>
        <v>5088200</v>
      </c>
      <c r="F63" s="1175">
        <f>'Cash Flows and Cash Balances'!I27</f>
        <v>5710700</v>
      </c>
      <c r="G63" s="1175">
        <f>'Cash Flows and Cash Balances'!J27</f>
        <v>6223800</v>
      </c>
      <c r="O63" s="1175">
        <f>'Cash Flows and Cash Balances'!K27</f>
        <v>6819900</v>
      </c>
      <c r="P63" s="1175">
        <f>'Cash Flows and Cash Balances'!L27</f>
        <v>7464300</v>
      </c>
      <c r="Q63" s="1175">
        <f>'Cash Flows and Cash Balances'!M27</f>
        <v>8160100</v>
      </c>
      <c r="R63" s="1175">
        <f>'Cash Flows and Cash Balances'!N27</f>
        <v>8783900</v>
      </c>
      <c r="S63" s="1176">
        <f>'Cash Flows and Cash Balances'!O27</f>
        <v>10347400</v>
      </c>
    </row>
    <row r="64" spans="2:19" s="464" customFormat="1" ht="15" customHeight="1" thickBot="1" x14ac:dyDescent="0.35">
      <c r="B64" s="1092" t="s">
        <v>2226</v>
      </c>
      <c r="C64" s="1086" t="str">
        <f>'Cash Flows and Cash Balances'!F28</f>
        <v>YES</v>
      </c>
      <c r="D64" s="1086" t="str">
        <f>'Cash Flows and Cash Balances'!G28</f>
        <v>YES</v>
      </c>
      <c r="E64" s="1086" t="str">
        <f>'Cash Flows and Cash Balances'!H28</f>
        <v>NO</v>
      </c>
      <c r="F64" s="1086" t="str">
        <f>'Cash Flows and Cash Balances'!I28</f>
        <v>NO</v>
      </c>
      <c r="G64" s="1086" t="str">
        <f>'Cash Flows and Cash Balances'!J28</f>
        <v>YES</v>
      </c>
      <c r="O64" s="1086" t="str">
        <f>'Cash Flows and Cash Balances'!K28</f>
        <v>YES</v>
      </c>
      <c r="P64" s="1086" t="str">
        <f>'Cash Flows and Cash Balances'!L28</f>
        <v>YES</v>
      </c>
      <c r="Q64" s="1086" t="str">
        <f>'Cash Flows and Cash Balances'!M28</f>
        <v>NO</v>
      </c>
      <c r="R64" s="1086" t="str">
        <f>'Cash Flows and Cash Balances'!N28</f>
        <v>NO</v>
      </c>
      <c r="S64" s="1087" t="str">
        <f>'Cash Flows and Cash Balances'!O28</f>
        <v>NO</v>
      </c>
    </row>
    <row r="65" spans="2:19" s="464" customFormat="1" x14ac:dyDescent="0.3">
      <c r="B65" s="460"/>
      <c r="C65" s="463"/>
      <c r="D65" s="463"/>
      <c r="E65" s="463"/>
      <c r="F65" s="463"/>
      <c r="G65" s="463"/>
      <c r="O65" s="463"/>
      <c r="P65" s="463"/>
      <c r="Q65" s="463"/>
      <c r="R65" s="822"/>
      <c r="S65" s="463"/>
    </row>
    <row r="66" spans="2:19" hidden="1" x14ac:dyDescent="0.3">
      <c r="B66" s="1149" t="s">
        <v>2303</v>
      </c>
      <c r="C66" s="465">
        <f>'Cash Flows and Cash Balances'!F68</f>
        <v>0.10153523224531946</v>
      </c>
      <c r="D66" s="465">
        <f>'Cash Flows and Cash Balances'!G68</f>
        <v>8.7632265587122629E-2</v>
      </c>
      <c r="E66" s="465">
        <f>'Cash Flows and Cash Balances'!H68</f>
        <v>4.313722397814946E-2</v>
      </c>
      <c r="F66" s="465">
        <f>'Cash Flows and Cash Balances'!I68</f>
        <v>0</v>
      </c>
      <c r="G66" s="465">
        <f>'Cash Flows and Cash Balances'!J68</f>
        <v>0</v>
      </c>
      <c r="O66" s="465">
        <f>'Cash Flows and Cash Balances'!K68</f>
        <v>0</v>
      </c>
      <c r="P66" s="465">
        <f>'Cash Flows and Cash Balances'!L68</f>
        <v>0</v>
      </c>
      <c r="Q66" s="465">
        <f>'Cash Flows and Cash Balances'!M68</f>
        <v>0</v>
      </c>
      <c r="R66" s="465">
        <f>'Cash Flows and Cash Balances'!N68</f>
        <v>0</v>
      </c>
      <c r="S66" s="601">
        <f>'Cash Flows and Cash Balances'!O68</f>
        <v>0</v>
      </c>
    </row>
    <row r="67" spans="2:19" x14ac:dyDescent="0.3">
      <c r="B67" s="1149" t="s">
        <v>1613</v>
      </c>
      <c r="C67" s="823">
        <v>0.2</v>
      </c>
      <c r="D67" s="823">
        <v>0.05</v>
      </c>
      <c r="E67" s="823">
        <v>0.05</v>
      </c>
      <c r="F67" s="823">
        <v>0.05</v>
      </c>
      <c r="G67" s="823">
        <v>0.05</v>
      </c>
      <c r="O67" s="823">
        <v>0</v>
      </c>
      <c r="P67" s="823">
        <v>0</v>
      </c>
      <c r="Q67" s="823">
        <v>0</v>
      </c>
      <c r="R67" s="823">
        <v>0</v>
      </c>
      <c r="S67" s="825">
        <v>0</v>
      </c>
    </row>
    <row r="68" spans="2:19" s="457" customFormat="1" ht="9" hidden="1" customHeight="1" x14ac:dyDescent="0.3">
      <c r="B68" s="1153"/>
      <c r="C68" s="1148"/>
      <c r="D68" s="1148"/>
      <c r="E68" s="1148"/>
      <c r="F68" s="1148"/>
      <c r="G68" s="1148"/>
      <c r="O68" s="1148"/>
      <c r="P68" s="1148"/>
      <c r="Q68" s="1148"/>
      <c r="R68" s="1148"/>
      <c r="S68" s="1148"/>
    </row>
    <row r="69" spans="2:19" ht="15.75" hidden="1" customHeight="1" x14ac:dyDescent="0.3">
      <c r="B69" s="1149" t="s">
        <v>2274</v>
      </c>
      <c r="C69" s="1262">
        <f>'Revenue Requirements'!F48</f>
        <v>2237390.1501223161</v>
      </c>
      <c r="D69" s="1262">
        <f>'Revenue Requirements'!G48</f>
        <v>2075547.9382862225</v>
      </c>
      <c r="E69" s="1262">
        <f>'Revenue Requirements'!H48</f>
        <v>2084892.5526823176</v>
      </c>
      <c r="F69" s="1262">
        <f>'Revenue Requirements'!I48</f>
        <v>2142899.4824414272</v>
      </c>
      <c r="G69" s="1262">
        <f>'Revenue Requirements'!J48</f>
        <v>2161702.7175924224</v>
      </c>
      <c r="O69" s="824">
        <f>'Revenue Requirements'!K48</f>
        <v>2198258.8871684503</v>
      </c>
      <c r="P69" s="824">
        <f>'Revenue Requirements'!L48</f>
        <v>2300529.1979797478</v>
      </c>
      <c r="Q69" s="824">
        <f>'Revenue Requirements'!M48</f>
        <v>2467856.9655548846</v>
      </c>
      <c r="R69" s="824">
        <f>'Revenue Requirements'!N48</f>
        <v>2401508.5092777144</v>
      </c>
      <c r="S69" s="826">
        <f>'Revenue Requirements'!O48</f>
        <v>2414679.1020995164</v>
      </c>
    </row>
    <row r="70" spans="2:19" ht="15.75" hidden="1" customHeight="1" x14ac:dyDescent="0.3">
      <c r="B70" s="1159" t="s">
        <v>2220</v>
      </c>
      <c r="C70" s="1262">
        <f>'Cash Flows and Cash Balances'!F47</f>
        <v>1917964.7504212153</v>
      </c>
      <c r="D70" s="1262">
        <f>'Cash Flows and Cash Balances'!G47</f>
        <v>2087251.3610777338</v>
      </c>
      <c r="E70" s="1262">
        <f>'Cash Flows and Cash Balances'!H47</f>
        <v>2189345.6501801237</v>
      </c>
      <c r="F70" s="1262">
        <f>'Cash Flows and Cash Balances'!I47</f>
        <v>2296397.5268534091</v>
      </c>
      <c r="G70" s="1262">
        <f>'Cash Flows and Cash Balances'!J47</f>
        <v>2408646.2449903651</v>
      </c>
      <c r="O70" s="824">
        <f>'Cash Flows and Cash Balances'!K47</f>
        <v>2396603.0137654133</v>
      </c>
      <c r="P70" s="824">
        <f>'Cash Flows and Cash Balances'!L47</f>
        <v>2384619.9986965861</v>
      </c>
      <c r="Q70" s="824">
        <f>'Cash Flows and Cash Balances'!M47</f>
        <v>2372696.898703103</v>
      </c>
      <c r="R70" s="824">
        <f>'Cash Flows and Cash Balances'!N47</f>
        <v>2360833.4142095875</v>
      </c>
      <c r="S70" s="826">
        <f>'Cash Flows and Cash Balances'!O47</f>
        <v>2349029.2471385398</v>
      </c>
    </row>
    <row r="71" spans="2:19" s="457" customFormat="1" ht="9" hidden="1" customHeight="1" x14ac:dyDescent="0.3">
      <c r="B71" s="1153"/>
      <c r="C71" s="1263"/>
      <c r="D71" s="1263"/>
      <c r="E71" s="1263"/>
      <c r="F71" s="1263"/>
      <c r="G71" s="1263"/>
      <c r="O71" s="1148"/>
      <c r="P71" s="1148"/>
      <c r="Q71" s="1148"/>
      <c r="R71" s="1148"/>
      <c r="S71" s="1148"/>
    </row>
    <row r="72" spans="2:19" ht="15.75" hidden="1" customHeight="1" x14ac:dyDescent="0.3">
      <c r="B72" s="991" t="s">
        <v>2308</v>
      </c>
      <c r="C72" s="1262">
        <f>C70-C69</f>
        <v>-319425.39970110077</v>
      </c>
      <c r="D72" s="1262">
        <f t="shared" ref="D72:G72" si="3">D70-D69</f>
        <v>11703.422791511286</v>
      </c>
      <c r="E72" s="1262">
        <f t="shared" si="3"/>
        <v>104453.09749780619</v>
      </c>
      <c r="F72" s="1262">
        <f t="shared" si="3"/>
        <v>153498.04441198194</v>
      </c>
      <c r="G72" s="1262">
        <f t="shared" si="3"/>
        <v>246943.52739794273</v>
      </c>
      <c r="O72" s="824">
        <f>O70-O69</f>
        <v>198344.12659696303</v>
      </c>
      <c r="P72" s="824">
        <f>P70-P69</f>
        <v>84090.800716838334</v>
      </c>
      <c r="Q72" s="824">
        <f>Q70-Q69</f>
        <v>-95160.066851781681</v>
      </c>
      <c r="R72" s="824">
        <f>R70-R69</f>
        <v>-40675.095068126917</v>
      </c>
      <c r="S72" s="826">
        <f>S70-S69</f>
        <v>-65649.854960976634</v>
      </c>
    </row>
    <row r="73" spans="2:19" ht="15.75" hidden="1" customHeight="1" x14ac:dyDescent="0.3">
      <c r="B73" s="1149" t="s">
        <v>2237</v>
      </c>
      <c r="C73" s="1265">
        <f>'Cash Flows and Cash Balances'!F74</f>
        <v>540376.52065731643</v>
      </c>
      <c r="D73" s="1265">
        <f>'Cash Flows and Cash Balances'!G74</f>
        <v>166115.1967486683</v>
      </c>
      <c r="E73" s="1265">
        <f>'Cash Flows and Cash Balances'!H74</f>
        <v>231210.10886322736</v>
      </c>
      <c r="F73" s="1265">
        <f>'Cash Flows and Cash Balances'!I74</f>
        <v>243041.60579554609</v>
      </c>
      <c r="G73" s="1265">
        <f>'Cash Flows and Cash Balances'!J74</f>
        <v>193642.42458893757</v>
      </c>
      <c r="O73" s="1071">
        <f>'Cash Flows and Cash Balances'!K74</f>
        <v>199861.35888163125</v>
      </c>
      <c r="P73" s="1071">
        <f>'Cash Flows and Cash Balances'!L74</f>
        <v>199544.68732496237</v>
      </c>
      <c r="Q73" s="1071">
        <f>'Cash Flows and Cash Balances'!M74</f>
        <v>211913.14982731611</v>
      </c>
      <c r="R73" s="1071">
        <f>'Cash Flows and Cash Balances'!N74</f>
        <v>188102.23954438968</v>
      </c>
      <c r="S73" s="1072">
        <f>'Cash Flows and Cash Balances'!O74</f>
        <v>141167.49649500952</v>
      </c>
    </row>
    <row r="74" spans="2:19" ht="15.75" hidden="1" customHeight="1" x14ac:dyDescent="0.3">
      <c r="B74" s="1149" t="s">
        <v>2270</v>
      </c>
      <c r="C74" s="824">
        <f>'Cash Flows and Cash Balances'!F63</f>
        <v>0</v>
      </c>
      <c r="D74" s="824">
        <f>'Cash Flows and Cash Balances'!G63</f>
        <v>0</v>
      </c>
      <c r="E74" s="824">
        <f>'Cash Flows and Cash Balances'!H63</f>
        <v>0</v>
      </c>
      <c r="F74" s="824">
        <f>'Cash Flows and Cash Balances'!I63</f>
        <v>0</v>
      </c>
      <c r="G74" s="824">
        <f>'Cash Flows and Cash Balances'!J63</f>
        <v>0</v>
      </c>
      <c r="O74" s="824">
        <f>'Cash Flows and Cash Balances'!K63</f>
        <v>0</v>
      </c>
      <c r="P74" s="824">
        <f>'Cash Flows and Cash Balances'!L63</f>
        <v>0</v>
      </c>
      <c r="Q74" s="824">
        <f>'Cash Flows and Cash Balances'!M63</f>
        <v>0</v>
      </c>
      <c r="R74" s="824">
        <f>'Cash Flows and Cash Balances'!N63</f>
        <v>0</v>
      </c>
      <c r="S74" s="826">
        <f>'Cash Flows and Cash Balances'!O63</f>
        <v>0</v>
      </c>
    </row>
    <row r="75" spans="2:19" s="464" customFormat="1" ht="15" hidden="1" customHeight="1" x14ac:dyDescent="0.3">
      <c r="B75" s="1149" t="s">
        <v>2278</v>
      </c>
      <c r="C75" s="824">
        <f>C72+C73+C74</f>
        <v>220951.12095621566</v>
      </c>
      <c r="D75" s="824">
        <f t="shared" ref="D75:G75" si="4">D72+D73+D74</f>
        <v>177818.61954017958</v>
      </c>
      <c r="E75" s="824">
        <f t="shared" si="4"/>
        <v>335663.20636103355</v>
      </c>
      <c r="F75" s="824">
        <f t="shared" si="4"/>
        <v>396539.65020752803</v>
      </c>
      <c r="G75" s="824">
        <f t="shared" si="4"/>
        <v>440585.95198688027</v>
      </c>
      <c r="O75" s="824">
        <f>O72+O73+O74</f>
        <v>398205.48547859432</v>
      </c>
      <c r="P75" s="824">
        <f>P72+P73+P74</f>
        <v>283635.48804180068</v>
      </c>
      <c r="Q75" s="824">
        <f>Q72+Q73+Q74</f>
        <v>116753.08297553443</v>
      </c>
      <c r="R75" s="824">
        <f>R72+R73+R74</f>
        <v>147427.14447626277</v>
      </c>
      <c r="S75" s="826">
        <f>S72+S73+S74</f>
        <v>75517.641534032882</v>
      </c>
    </row>
    <row r="76" spans="2:19" s="457" customFormat="1" ht="9" hidden="1" customHeight="1" x14ac:dyDescent="0.3">
      <c r="B76" s="1153"/>
      <c r="C76" s="1148"/>
      <c r="D76" s="1148"/>
      <c r="E76" s="1148"/>
      <c r="F76" s="1148"/>
      <c r="G76" s="1148"/>
      <c r="O76" s="1148"/>
      <c r="P76" s="1148"/>
      <c r="Q76" s="1148"/>
      <c r="R76" s="1148"/>
      <c r="S76" s="1148"/>
    </row>
    <row r="77" spans="2:19" x14ac:dyDescent="0.3">
      <c r="B77" s="1149" t="s">
        <v>2311</v>
      </c>
      <c r="C77" s="824">
        <f>'Cash Flows and Cash Balances'!F64</f>
        <v>1195058.6209562153</v>
      </c>
      <c r="D77" s="824">
        <f>'Cash Flows and Cash Balances'!G64</f>
        <v>1372877.2404963949</v>
      </c>
      <c r="E77" s="824">
        <f>'Cash Flows and Cash Balances'!H64</f>
        <v>1708540.4468574279</v>
      </c>
      <c r="F77" s="824">
        <f>'Cash Flows and Cash Balances'!I64</f>
        <v>2105080.0970649561</v>
      </c>
      <c r="G77" s="824">
        <f>'Cash Flows and Cash Balances'!J64</f>
        <v>2545666.0490518366</v>
      </c>
      <c r="O77" s="824">
        <f>'Cash Flows and Cash Balances'!K64</f>
        <v>2943871.534530431</v>
      </c>
      <c r="P77" s="824">
        <f>'Cash Flows and Cash Balances'!L64</f>
        <v>3227507.0225722315</v>
      </c>
      <c r="Q77" s="824">
        <f>'Cash Flows and Cash Balances'!M64</f>
        <v>3344260.1055477662</v>
      </c>
      <c r="R77" s="824">
        <f>'Cash Flows and Cash Balances'!N64</f>
        <v>3491687.2500240286</v>
      </c>
      <c r="S77" s="826">
        <f>'Cash Flows and Cash Balances'!O64</f>
        <v>3567204.8915580614</v>
      </c>
    </row>
    <row r="78" spans="2:19" ht="16.2" thickBot="1" x14ac:dyDescent="0.35">
      <c r="B78" s="1149" t="s">
        <v>2305</v>
      </c>
      <c r="C78" s="1175">
        <f>'Cash Flows and Cash Balances'!F66</f>
        <v>1399600</v>
      </c>
      <c r="D78" s="1175">
        <f>'Cash Flows and Cash Balances'!G66</f>
        <v>1564500</v>
      </c>
      <c r="E78" s="1175">
        <f>'Cash Flows and Cash Balances'!H66</f>
        <v>1807400</v>
      </c>
      <c r="F78" s="1175">
        <f>'Cash Flows and Cash Balances'!I66</f>
        <v>2062600</v>
      </c>
      <c r="G78" s="1175">
        <f>'Cash Flows and Cash Balances'!J66</f>
        <v>2268900</v>
      </c>
      <c r="O78" s="1175">
        <f>'Cash Flows and Cash Balances'!K66</f>
        <v>2482000</v>
      </c>
      <c r="P78" s="1175">
        <f>'Cash Flows and Cash Balances'!L66</f>
        <v>2695300</v>
      </c>
      <c r="Q78" s="1175">
        <f>'Cash Flows and Cash Balances'!M66</f>
        <v>2921600</v>
      </c>
      <c r="R78" s="1175">
        <f>'Cash Flows and Cash Balances'!N66</f>
        <v>3124800</v>
      </c>
      <c r="S78" s="1176">
        <f>'Cash Flows and Cash Balances'!O66</f>
        <v>3281700</v>
      </c>
    </row>
    <row r="79" spans="2:19" ht="16.2" thickBot="1" x14ac:dyDescent="0.35">
      <c r="B79" s="1149" t="s">
        <v>2226</v>
      </c>
      <c r="C79" s="1086" t="str">
        <f>'Cash Flows and Cash Balances'!F67</f>
        <v>NO</v>
      </c>
      <c r="D79" s="1086" t="str">
        <f>'Cash Flows and Cash Balances'!G67</f>
        <v>NO</v>
      </c>
      <c r="E79" s="1086" t="str">
        <f>'Cash Flows and Cash Balances'!H67</f>
        <v>NO</v>
      </c>
      <c r="F79" s="1086" t="str">
        <f>'Cash Flows and Cash Balances'!I67</f>
        <v>YES</v>
      </c>
      <c r="G79" s="1086" t="str">
        <f>'Cash Flows and Cash Balances'!J67</f>
        <v>YES</v>
      </c>
      <c r="O79" s="1086" t="str">
        <f>'Cash Flows and Cash Balances'!K67</f>
        <v>YES</v>
      </c>
      <c r="P79" s="1086" t="str">
        <f>'Cash Flows and Cash Balances'!L67</f>
        <v>YES</v>
      </c>
      <c r="Q79" s="1086" t="str">
        <f>'Cash Flows and Cash Balances'!M67</f>
        <v>YES</v>
      </c>
      <c r="R79" s="1086" t="str">
        <f>'Cash Flows and Cash Balances'!N67</f>
        <v>YES</v>
      </c>
      <c r="S79" s="1087" t="str">
        <f>'Cash Flows and Cash Balances'!O67</f>
        <v>YES</v>
      </c>
    </row>
    <row r="80" spans="2:19" x14ac:dyDescent="0.3">
      <c r="B80" s="467"/>
      <c r="C80" s="467"/>
      <c r="D80" s="467"/>
      <c r="E80" s="467"/>
      <c r="F80" s="467"/>
      <c r="G80" s="467"/>
      <c r="O80" s="467"/>
      <c r="P80" s="467"/>
      <c r="Q80" s="467"/>
      <c r="R80" s="467"/>
      <c r="S80" s="467"/>
    </row>
    <row r="81" spans="2:19" hidden="1" x14ac:dyDescent="0.3">
      <c r="B81" s="992" t="s">
        <v>1614</v>
      </c>
      <c r="C81" s="465">
        <f>'Cash Flows and Cash Balances'!F107</f>
        <v>0.42237061846488999</v>
      </c>
      <c r="D81" s="465">
        <f>'Cash Flows and Cash Balances'!G107</f>
        <v>0</v>
      </c>
      <c r="E81" s="465">
        <f>'Cash Flows and Cash Balances'!H107</f>
        <v>0</v>
      </c>
      <c r="F81" s="465">
        <f>'Cash Flows and Cash Balances'!I107</f>
        <v>0</v>
      </c>
      <c r="G81" s="465">
        <f>'Cash Flows and Cash Balances'!J107</f>
        <v>0</v>
      </c>
      <c r="O81" s="465">
        <f>'Cash Flows and Cash Balances'!K107</f>
        <v>2.6139737269302587E-2</v>
      </c>
      <c r="P81" s="465">
        <f>'Cash Flows and Cash Balances'!L107</f>
        <v>0.10438673255314343</v>
      </c>
      <c r="Q81" s="465">
        <f>'Cash Flows and Cash Balances'!M107</f>
        <v>0.20404637484432139</v>
      </c>
      <c r="R81" s="465">
        <f>'Cash Flows and Cash Balances'!N107</f>
        <v>0.37574845642211713</v>
      </c>
      <c r="S81" s="601">
        <f>'Cash Flows and Cash Balances'!O107</f>
        <v>0.53780611243391863</v>
      </c>
    </row>
    <row r="82" spans="2:19" x14ac:dyDescent="0.3">
      <c r="B82" s="992" t="s">
        <v>1615</v>
      </c>
      <c r="C82" s="823">
        <v>1</v>
      </c>
      <c r="D82" s="823">
        <v>0.05</v>
      </c>
      <c r="E82" s="823">
        <v>0.04</v>
      </c>
      <c r="F82" s="823">
        <v>0.03</v>
      </c>
      <c r="G82" s="823">
        <v>0.03</v>
      </c>
      <c r="O82" s="823">
        <v>0</v>
      </c>
      <c r="P82" s="823">
        <v>0</v>
      </c>
      <c r="Q82" s="823">
        <v>0</v>
      </c>
      <c r="R82" s="823">
        <v>0</v>
      </c>
      <c r="S82" s="825">
        <v>0</v>
      </c>
    </row>
    <row r="83" spans="2:19" s="457" customFormat="1" ht="9" hidden="1" customHeight="1" x14ac:dyDescent="0.3">
      <c r="B83" s="1153"/>
      <c r="C83" s="1148"/>
      <c r="D83" s="1148"/>
      <c r="E83" s="1148"/>
      <c r="F83" s="1148"/>
      <c r="G83" s="1148"/>
      <c r="O83" s="1148"/>
      <c r="P83" s="1148"/>
      <c r="Q83" s="1148"/>
      <c r="R83" s="1148"/>
      <c r="S83" s="1148"/>
    </row>
    <row r="84" spans="2:19" hidden="1" x14ac:dyDescent="0.3">
      <c r="B84" s="992" t="s">
        <v>2277</v>
      </c>
      <c r="C84" s="1262">
        <f>'Revenue Requirements'!F75</f>
        <v>4019214.9075407786</v>
      </c>
      <c r="D84" s="1262">
        <f>'Revenue Requirements'!G75</f>
        <v>2011090.0842677434</v>
      </c>
      <c r="E84" s="1262">
        <f>'Revenue Requirements'!H75</f>
        <v>3128106.7445656583</v>
      </c>
      <c r="F84" s="1262">
        <f>'Revenue Requirements'!I75</f>
        <v>3676017.8815125036</v>
      </c>
      <c r="G84" s="1262">
        <f>'Revenue Requirements'!J75</f>
        <v>3860858.9921343299</v>
      </c>
      <c r="O84" s="824">
        <f>'Revenue Requirements'!K75</f>
        <v>3769757.423961475</v>
      </c>
      <c r="P84" s="824">
        <f>'Revenue Requirements'!L75</f>
        <v>3881285.4948661909</v>
      </c>
      <c r="Q84" s="824">
        <f>'Revenue Requirements'!M75</f>
        <v>3936669.6227573436</v>
      </c>
      <c r="R84" s="824">
        <f>'Revenue Requirements'!N75</f>
        <v>4172219.9894443983</v>
      </c>
      <c r="S84" s="826">
        <f>'Revenue Requirements'!O75</f>
        <v>4113145.6312457798</v>
      </c>
    </row>
    <row r="85" spans="2:19" hidden="1" x14ac:dyDescent="0.3">
      <c r="B85" s="992" t="s">
        <v>2221</v>
      </c>
      <c r="C85" s="1262">
        <f>'Cash Flows and Cash Balances'!F86</f>
        <v>2775131.8033587704</v>
      </c>
      <c r="D85" s="1262">
        <f>'Cash Flows and Cash Balances'!G86</f>
        <v>3315693.2656479338</v>
      </c>
      <c r="E85" s="1262">
        <f>'Cash Flows and Cash Balances'!H86</f>
        <v>3446107.5402783034</v>
      </c>
      <c r="F85" s="1262">
        <f>'Cash Flows and Cash Balances'!I86</f>
        <v>3547144.9111423367</v>
      </c>
      <c r="G85" s="1262">
        <f>'Cash Flows and Cash Balances'!J86</f>
        <v>3651075.7903947723</v>
      </c>
      <c r="O85" s="824">
        <f>'Cash Flows and Cash Balances'!K86</f>
        <v>3632820.4114427986</v>
      </c>
      <c r="P85" s="824">
        <f>'Cash Flows and Cash Balances'!L86</f>
        <v>3614656.3093855842</v>
      </c>
      <c r="Q85" s="824">
        <f>'Cash Flows and Cash Balances'!M86</f>
        <v>3596583.0278386562</v>
      </c>
      <c r="R85" s="824">
        <f>'Cash Flows and Cash Balances'!N86</f>
        <v>3578600.1126994626</v>
      </c>
      <c r="S85" s="826">
        <f>'Cash Flows and Cash Balances'!O86</f>
        <v>3560707.1121359654</v>
      </c>
    </row>
    <row r="86" spans="2:19" s="457" customFormat="1" ht="9" hidden="1" customHeight="1" x14ac:dyDescent="0.3">
      <c r="B86" s="1153"/>
      <c r="C86" s="1263"/>
      <c r="D86" s="1263"/>
      <c r="E86" s="1263"/>
      <c r="F86" s="1263"/>
      <c r="G86" s="1263"/>
      <c r="O86" s="1148"/>
      <c r="P86" s="1148"/>
      <c r="Q86" s="1148"/>
      <c r="R86" s="1148"/>
      <c r="S86" s="1148"/>
    </row>
    <row r="87" spans="2:19" hidden="1" x14ac:dyDescent="0.3">
      <c r="B87" s="992" t="s">
        <v>2307</v>
      </c>
      <c r="C87" s="1262">
        <f>C85-C84</f>
        <v>-1244083.1041820082</v>
      </c>
      <c r="D87" s="1262">
        <f t="shared" ref="D87:G87" si="5">D85-D84</f>
        <v>1304603.1813801904</v>
      </c>
      <c r="E87" s="1262">
        <f t="shared" si="5"/>
        <v>318000.79571264517</v>
      </c>
      <c r="F87" s="1262">
        <f t="shared" si="5"/>
        <v>-128872.97037016694</v>
      </c>
      <c r="G87" s="1262">
        <f t="shared" si="5"/>
        <v>-209783.20173955755</v>
      </c>
      <c r="O87" s="824">
        <f>O85-O84</f>
        <v>-136937.01251867646</v>
      </c>
      <c r="P87" s="824">
        <f>P85-P84</f>
        <v>-266629.18548060674</v>
      </c>
      <c r="Q87" s="824">
        <f>Q85-Q84</f>
        <v>-340086.59491868736</v>
      </c>
      <c r="R87" s="824">
        <f>R85-R84</f>
        <v>-593619.87674493575</v>
      </c>
      <c r="S87" s="826">
        <f>S85-S84</f>
        <v>-552438.51910981443</v>
      </c>
    </row>
    <row r="88" spans="2:19" hidden="1" x14ac:dyDescent="0.3">
      <c r="B88" s="992" t="s">
        <v>2238</v>
      </c>
      <c r="C88" s="1265">
        <f>'Cash Flows and Cash Balances'!F111</f>
        <v>8841.4680757785773</v>
      </c>
      <c r="D88" s="1265">
        <f>'Cash Flows and Cash Balances'!G111</f>
        <v>75753.532984174395</v>
      </c>
      <c r="E88" s="1265">
        <f>'Cash Flows and Cash Balances'!H111</f>
        <v>170866.8997570019</v>
      </c>
      <c r="F88" s="1265">
        <f>'Cash Flows and Cash Balances'!I111</f>
        <v>349987.53134816542</v>
      </c>
      <c r="G88" s="1265">
        <f>'Cash Flows and Cash Balances'!J111</f>
        <v>400056.16982147598</v>
      </c>
      <c r="O88" s="1071">
        <f>'Cash Flows and Cash Balances'!K111</f>
        <v>210698.23862930259</v>
      </c>
      <c r="P88" s="1071">
        <f>'Cash Flows and Cash Balances'!L111</f>
        <v>213667.99514291642</v>
      </c>
      <c r="Q88" s="1071">
        <f>'Cash Flows and Cash Balances'!M111</f>
        <v>204539.02770096203</v>
      </c>
      <c r="R88" s="1071">
        <f>'Cash Flows and Cash Balances'!N111</f>
        <v>217136.1369031895</v>
      </c>
      <c r="S88" s="1072">
        <f>'Cash Flows and Cash Balances'!O111</f>
        <v>87821.938115003199</v>
      </c>
    </row>
    <row r="89" spans="2:19" hidden="1" x14ac:dyDescent="0.3">
      <c r="B89" s="992" t="s">
        <v>2271</v>
      </c>
      <c r="C89" s="1071">
        <f>'Cash Flows and Cash Balances'!F102</f>
        <v>0</v>
      </c>
      <c r="D89" s="1071">
        <f>'Cash Flows and Cash Balances'!G102</f>
        <v>0</v>
      </c>
      <c r="E89" s="1071">
        <f>'Cash Flows and Cash Balances'!H102</f>
        <v>0</v>
      </c>
      <c r="F89" s="1071">
        <f>'Cash Flows and Cash Balances'!I102</f>
        <v>0</v>
      </c>
      <c r="G89" s="1071">
        <f>'Cash Flows and Cash Balances'!J102</f>
        <v>0</v>
      </c>
      <c r="O89" s="1071">
        <f>'Cash Flows and Cash Balances'!K102</f>
        <v>0</v>
      </c>
      <c r="P89" s="1071">
        <f>'Cash Flows and Cash Balances'!L102</f>
        <v>0</v>
      </c>
      <c r="Q89" s="1071">
        <f>'Cash Flows and Cash Balances'!M102</f>
        <v>0</v>
      </c>
      <c r="R89" s="1071">
        <f>'Cash Flows and Cash Balances'!N102</f>
        <v>0</v>
      </c>
      <c r="S89" s="1072">
        <f>'Cash Flows and Cash Balances'!O102</f>
        <v>0</v>
      </c>
    </row>
    <row r="90" spans="2:19" s="464" customFormat="1" ht="15" hidden="1" customHeight="1" x14ac:dyDescent="0.3">
      <c r="B90" s="992" t="s">
        <v>2279</v>
      </c>
      <c r="C90" s="824">
        <f>C87+C88+C89</f>
        <v>-1235241.6361062296</v>
      </c>
      <c r="D90" s="824">
        <f t="shared" ref="D90:G90" si="6">D87+D88+D89</f>
        <v>1380356.7143643647</v>
      </c>
      <c r="E90" s="824">
        <f t="shared" si="6"/>
        <v>488867.69546964706</v>
      </c>
      <c r="F90" s="824">
        <f t="shared" si="6"/>
        <v>221114.56097799848</v>
      </c>
      <c r="G90" s="824">
        <f t="shared" si="6"/>
        <v>190272.96808191843</v>
      </c>
      <c r="O90" s="824">
        <f>O87+O88+O89</f>
        <v>73761.226110626129</v>
      </c>
      <c r="P90" s="824">
        <f>P87+P88+P89</f>
        <v>-52961.190337690321</v>
      </c>
      <c r="Q90" s="824">
        <f>Q87+Q88+Q89</f>
        <v>-135547.56721772533</v>
      </c>
      <c r="R90" s="824">
        <f>R87+R88+R89</f>
        <v>-376483.73984174628</v>
      </c>
      <c r="S90" s="826">
        <f>S87+S88+S89</f>
        <v>-464616.58099481126</v>
      </c>
    </row>
    <row r="91" spans="2:19" s="457" customFormat="1" ht="9" hidden="1" customHeight="1" x14ac:dyDescent="0.3">
      <c r="B91" s="1153"/>
      <c r="C91" s="1148"/>
      <c r="D91" s="1148"/>
      <c r="E91" s="1148"/>
      <c r="F91" s="1148"/>
      <c r="G91" s="1148"/>
      <c r="O91" s="1148"/>
      <c r="P91" s="1148"/>
      <c r="Q91" s="1148"/>
      <c r="R91" s="1148"/>
      <c r="S91" s="1148"/>
    </row>
    <row r="92" spans="2:19" x14ac:dyDescent="0.3">
      <c r="B92" s="992" t="s">
        <v>2312</v>
      </c>
      <c r="C92" s="824">
        <f>'Cash Flows and Cash Balances'!F103</f>
        <v>-261134.13610622939</v>
      </c>
      <c r="D92" s="824">
        <f>'Cash Flows and Cash Balances'!G103</f>
        <v>1119222.5782581356</v>
      </c>
      <c r="E92" s="824">
        <f>'Cash Flows and Cash Balances'!H103</f>
        <v>1608090.2737277828</v>
      </c>
      <c r="F92" s="824">
        <f>'Cash Flows and Cash Balances'!I103</f>
        <v>1829204.834705781</v>
      </c>
      <c r="G92" s="824">
        <f>'Cash Flows and Cash Balances'!J103</f>
        <v>2019477.8027876995</v>
      </c>
      <c r="O92" s="824">
        <f>'Cash Flows and Cash Balances'!K103</f>
        <v>2093239.0288983255</v>
      </c>
      <c r="P92" s="824">
        <f>'Cash Flows and Cash Balances'!L103</f>
        <v>2040277.8385606345</v>
      </c>
      <c r="Q92" s="824">
        <f>'Cash Flows and Cash Balances'!M103</f>
        <v>1904730.2713429092</v>
      </c>
      <c r="R92" s="824">
        <f>'Cash Flows and Cash Balances'!N103</f>
        <v>1528246.5315011626</v>
      </c>
      <c r="S92" s="826">
        <f>'Cash Flows and Cash Balances'!O103</f>
        <v>1063629.9505063512</v>
      </c>
    </row>
    <row r="93" spans="2:19" ht="16.2" thickBot="1" x14ac:dyDescent="0.35">
      <c r="B93" s="992" t="s">
        <v>2306</v>
      </c>
      <c r="C93" s="1175">
        <f>'Cash Flows and Cash Balances'!F105</f>
        <v>911000</v>
      </c>
      <c r="D93" s="1175">
        <f>'Cash Flows and Cash Balances'!G105</f>
        <v>999600</v>
      </c>
      <c r="E93" s="1175">
        <f>'Cash Flows and Cash Balances'!H105</f>
        <v>1183900</v>
      </c>
      <c r="F93" s="1175">
        <f>'Cash Flows and Cash Balances'!I105</f>
        <v>1547800</v>
      </c>
      <c r="G93" s="1175">
        <f>'Cash Flows and Cash Balances'!J105</f>
        <v>1962400</v>
      </c>
      <c r="O93" s="1175">
        <f>'Cash Flows and Cash Balances'!K105</f>
        <v>2188200</v>
      </c>
      <c r="P93" s="1175">
        <f>'Cash Flows and Cash Balances'!L105</f>
        <v>2417600</v>
      </c>
      <c r="Q93" s="1175">
        <f>'Cash Flows and Cash Balances'!M105</f>
        <v>2638600</v>
      </c>
      <c r="R93" s="1175">
        <f>'Cash Flows and Cash Balances'!N105</f>
        <v>2872900</v>
      </c>
      <c r="S93" s="1176">
        <f>'Cash Flows and Cash Balances'!O105</f>
        <v>2978600</v>
      </c>
    </row>
    <row r="94" spans="2:19" ht="16.2" thickBot="1" x14ac:dyDescent="0.35">
      <c r="B94" s="992" t="s">
        <v>2226</v>
      </c>
      <c r="C94" s="1086" t="str">
        <f>'Cash Flows and Cash Balances'!F106</f>
        <v>NO</v>
      </c>
      <c r="D94" s="1086" t="str">
        <f>'Cash Flows and Cash Balances'!G106</f>
        <v>YES</v>
      </c>
      <c r="E94" s="1086" t="str">
        <f>'Cash Flows and Cash Balances'!H106</f>
        <v>YES</v>
      </c>
      <c r="F94" s="1086" t="str">
        <f>'Cash Flows and Cash Balances'!I106</f>
        <v>YES</v>
      </c>
      <c r="G94" s="1086" t="str">
        <f>'Cash Flows and Cash Balances'!J106</f>
        <v>YES</v>
      </c>
      <c r="O94" s="1086" t="str">
        <f>'Cash Flows and Cash Balances'!K106</f>
        <v>NO</v>
      </c>
      <c r="P94" s="1086" t="str">
        <f>'Cash Flows and Cash Balances'!L106</f>
        <v>NO</v>
      </c>
      <c r="Q94" s="1086" t="str">
        <f>'Cash Flows and Cash Balances'!M106</f>
        <v>NO</v>
      </c>
      <c r="R94" s="1086" t="str">
        <f>'Cash Flows and Cash Balances'!N106</f>
        <v>NO</v>
      </c>
      <c r="S94" s="1087" t="str">
        <f>'Cash Flows and Cash Balances'!O106</f>
        <v>NO</v>
      </c>
    </row>
    <row r="95" spans="2:19" x14ac:dyDescent="0.3">
      <c r="C95" s="983"/>
    </row>
    <row r="96" spans="2:19" x14ac:dyDescent="0.3">
      <c r="B96" s="457"/>
      <c r="C96" s="458" t="s">
        <v>1596</v>
      </c>
      <c r="D96" s="458" t="s">
        <v>1597</v>
      </c>
      <c r="E96" s="458" t="s">
        <v>1598</v>
      </c>
      <c r="F96" s="458" t="s">
        <v>1599</v>
      </c>
      <c r="G96" s="458" t="s">
        <v>1600</v>
      </c>
      <c r="O96" s="458" t="s">
        <v>1601</v>
      </c>
      <c r="P96" s="458" t="s">
        <v>1602</v>
      </c>
      <c r="Q96" s="458" t="s">
        <v>1603</v>
      </c>
      <c r="R96" s="458" t="s">
        <v>1604</v>
      </c>
      <c r="S96" s="458" t="s">
        <v>1605</v>
      </c>
    </row>
    <row r="97" spans="2:19" x14ac:dyDescent="0.3">
      <c r="B97" s="468" t="s">
        <v>1849</v>
      </c>
      <c r="C97" s="469">
        <f>'Sample Bills'!F70</f>
        <v>92.466694641407585</v>
      </c>
      <c r="D97" s="469">
        <f>'Sample Bills'!G62</f>
        <v>101.95038000000001</v>
      </c>
      <c r="E97" s="469">
        <f>'Sample Bills'!H62</f>
        <v>107.047899</v>
      </c>
      <c r="F97" s="469">
        <f>'Sample Bills'!I62</f>
        <v>112.40029395000001</v>
      </c>
      <c r="G97" s="469">
        <f>'Sample Bills'!J62</f>
        <v>118.02030864750003</v>
      </c>
      <c r="O97" s="469">
        <f>'Sample Bills'!K62</f>
        <v>118.02030864750003</v>
      </c>
      <c r="P97" s="469">
        <f>'Sample Bills'!L62</f>
        <v>118.02030864750003</v>
      </c>
      <c r="Q97" s="469">
        <f>'Sample Bills'!M62</f>
        <v>118.02030864750003</v>
      </c>
      <c r="R97" s="469">
        <f>'Sample Bills'!N62</f>
        <v>118.02030864750003</v>
      </c>
      <c r="S97" s="469">
        <f>'Sample Bills'!O62</f>
        <v>118.02030864750003</v>
      </c>
    </row>
    <row r="98" spans="2:19" x14ac:dyDescent="0.3">
      <c r="B98" s="468" t="s">
        <v>1850</v>
      </c>
      <c r="C98" s="469">
        <f>'Sample Bills'!F78</f>
        <v>13.103999999999999</v>
      </c>
      <c r="D98" s="469">
        <f>'Sample Bills'!G78</f>
        <v>13.7592</v>
      </c>
      <c r="E98" s="469">
        <f>'Sample Bills'!H78</f>
        <v>14.44716</v>
      </c>
      <c r="F98" s="469">
        <f>'Sample Bills'!I78</f>
        <v>15.169518000000002</v>
      </c>
      <c r="G98" s="469">
        <f>'Sample Bills'!J78</f>
        <v>15.927993900000002</v>
      </c>
      <c r="O98" s="469">
        <f>'Sample Bills'!K78</f>
        <v>15.927993900000002</v>
      </c>
      <c r="P98" s="469">
        <f>'Sample Bills'!L78</f>
        <v>15.927993900000002</v>
      </c>
      <c r="Q98" s="469">
        <f>'Sample Bills'!M78</f>
        <v>15.927993900000002</v>
      </c>
      <c r="R98" s="469">
        <f>'Sample Bills'!N78</f>
        <v>15.927993900000002</v>
      </c>
      <c r="S98" s="469">
        <f>'Sample Bills'!O78</f>
        <v>15.927993900000002</v>
      </c>
    </row>
    <row r="99" spans="2:19" x14ac:dyDescent="0.3">
      <c r="B99" s="468" t="s">
        <v>1851</v>
      </c>
      <c r="C99" s="469">
        <f>'Sample Bills'!F85</f>
        <v>22.88</v>
      </c>
      <c r="D99" s="469">
        <f>'Sample Bills'!G85</f>
        <v>24.024000000000001</v>
      </c>
      <c r="E99" s="469">
        <f>'Sample Bills'!H85</f>
        <v>24.984960000000001</v>
      </c>
      <c r="F99" s="469">
        <f>'Sample Bills'!I85</f>
        <v>25.7345088</v>
      </c>
      <c r="G99" s="469">
        <f>'Sample Bills'!J85</f>
        <v>26.506544064</v>
      </c>
      <c r="O99" s="469">
        <f>'Sample Bills'!K85</f>
        <v>26.506544064</v>
      </c>
      <c r="P99" s="469">
        <f>'Sample Bills'!L85</f>
        <v>26.506544064</v>
      </c>
      <c r="Q99" s="469">
        <f>'Sample Bills'!M85</f>
        <v>26.506544064</v>
      </c>
      <c r="R99" s="469">
        <f>'Sample Bills'!N85</f>
        <v>26.506544064</v>
      </c>
      <c r="S99" s="469">
        <f>'Sample Bills'!O85</f>
        <v>26.506544064</v>
      </c>
    </row>
    <row r="100" spans="2:19" s="472" customFormat="1" x14ac:dyDescent="0.3">
      <c r="B100" s="470" t="s">
        <v>1852</v>
      </c>
      <c r="C100" s="471">
        <f>SUM(C97:C99)</f>
        <v>128.45069464140758</v>
      </c>
      <c r="D100" s="471">
        <f t="shared" ref="D100:G100" si="7">SUM(D97:D99)</f>
        <v>139.73358000000002</v>
      </c>
      <c r="E100" s="471">
        <f t="shared" si="7"/>
        <v>146.480019</v>
      </c>
      <c r="F100" s="471">
        <f t="shared" si="7"/>
        <v>153.30432074999999</v>
      </c>
      <c r="G100" s="471">
        <f t="shared" si="7"/>
        <v>160.45484661150002</v>
      </c>
      <c r="M100" s="466"/>
      <c r="N100" s="455"/>
      <c r="O100" s="471">
        <f>SUM(O97:O99)</f>
        <v>160.45484661150002</v>
      </c>
      <c r="P100" s="471">
        <f>SUM(P97:P99)</f>
        <v>160.45484661150002</v>
      </c>
      <c r="Q100" s="471">
        <f>SUM(Q97:Q99)</f>
        <v>160.45484661150002</v>
      </c>
      <c r="R100" s="471">
        <f>SUM(R97:R99)</f>
        <v>160.45484661150002</v>
      </c>
      <c r="S100" s="471">
        <f>SUM(S97:S99)</f>
        <v>160.45484661150002</v>
      </c>
    </row>
    <row r="101" spans="2:19" x14ac:dyDescent="0.3">
      <c r="B101" s="667" t="s">
        <v>1854</v>
      </c>
      <c r="C101" s="473">
        <f>C100-'Sample Bills'!D93</f>
        <v>15.520694641407587</v>
      </c>
      <c r="D101" s="473">
        <f>D100-C100</f>
        <v>11.282885358592438</v>
      </c>
      <c r="E101" s="473">
        <f>E100-D100</f>
        <v>6.746438999999981</v>
      </c>
      <c r="F101" s="473">
        <f>F100-E100</f>
        <v>6.8243017499999894</v>
      </c>
      <c r="G101" s="473">
        <f>G100-F100</f>
        <v>7.1505258615000287</v>
      </c>
      <c r="O101" s="473">
        <f>O100-G100</f>
        <v>0</v>
      </c>
      <c r="P101" s="473">
        <f>P100-O100</f>
        <v>0</v>
      </c>
      <c r="Q101" s="473">
        <f>Q100-P100</f>
        <v>0</v>
      </c>
      <c r="R101" s="473">
        <f>R100-Q100</f>
        <v>0</v>
      </c>
      <c r="S101" s="473">
        <f>S100-R100</f>
        <v>0</v>
      </c>
    </row>
    <row r="102" spans="2:19" x14ac:dyDescent="0.3">
      <c r="B102" s="1260" t="s">
        <v>1853</v>
      </c>
      <c r="C102" s="1261">
        <f>C101/'Sample Bills'!D93</f>
        <v>0.13743641761628964</v>
      </c>
      <c r="D102" s="1261">
        <f>D101/C100</f>
        <v>8.7838258797202862E-2</v>
      </c>
      <c r="E102" s="1261">
        <f>E101/D100</f>
        <v>4.8280728225813578E-2</v>
      </c>
      <c r="F102" s="1261">
        <f>F101/E100</f>
        <v>4.6588618683890186E-2</v>
      </c>
      <c r="G102" s="1261">
        <f>G101/F100</f>
        <v>4.6642689694054364E-2</v>
      </c>
      <c r="O102" s="474">
        <f>O101/G100</f>
        <v>0</v>
      </c>
      <c r="P102" s="474">
        <f>P101/O100</f>
        <v>0</v>
      </c>
      <c r="Q102" s="474">
        <f>Q101/P100</f>
        <v>0</v>
      </c>
      <c r="R102" s="474">
        <f>R101/Q100</f>
        <v>0</v>
      </c>
      <c r="S102" s="474">
        <f>S101/R100</f>
        <v>0</v>
      </c>
    </row>
    <row r="103" spans="2:19" s="451" customFormat="1" ht="16.2" thickBot="1" x14ac:dyDescent="0.35">
      <c r="B103" s="475"/>
      <c r="C103" s="1284"/>
      <c r="D103" s="476"/>
      <c r="E103" s="454"/>
      <c r="F103" s="454"/>
      <c r="G103" s="454"/>
      <c r="O103" s="454"/>
      <c r="P103" s="454"/>
      <c r="Q103" s="454"/>
      <c r="R103" s="454"/>
      <c r="S103" s="454"/>
    </row>
    <row r="104" spans="2:19" s="459" customFormat="1" hidden="1" x14ac:dyDescent="0.3">
      <c r="B104" s="1093" t="s">
        <v>1606</v>
      </c>
      <c r="C104" s="1082">
        <f>'Capital Improvement Plan'!G25</f>
        <v>326000</v>
      </c>
      <c r="D104" s="1082">
        <f>'Capital Improvement Plan'!H25</f>
        <v>4664000</v>
      </c>
      <c r="E104" s="1082">
        <f>'Capital Improvement Plan'!I25</f>
        <v>7117500</v>
      </c>
      <c r="F104" s="1082">
        <f>'Capital Improvement Plan'!J25</f>
        <v>4037500</v>
      </c>
      <c r="G104" s="1083">
        <f>'Capital Improvement Plan'!K25</f>
        <v>2500000</v>
      </c>
      <c r="O104" s="1082">
        <f>'Capital Improvement Plan'!L25</f>
        <v>2447000</v>
      </c>
      <c r="P104" s="1082">
        <f>'Capital Improvement Plan'!M25</f>
        <v>2467000</v>
      </c>
      <c r="Q104" s="1082">
        <f>'Capital Improvement Plan'!N25</f>
        <v>2452000</v>
      </c>
      <c r="R104" s="1082">
        <f>'Capital Improvement Plan'!O25</f>
        <v>2312000</v>
      </c>
      <c r="S104" s="1083">
        <f>'Capital Improvement Plan'!P25</f>
        <v>2292000</v>
      </c>
    </row>
    <row r="105" spans="2:19" ht="16.5" hidden="1" customHeight="1" x14ac:dyDescent="0.3">
      <c r="B105" s="1094" t="s">
        <v>1607</v>
      </c>
      <c r="C105" s="461">
        <f>'Capital Improvement Plan'!G28</f>
        <v>0</v>
      </c>
      <c r="D105" s="461">
        <f>'Capital Improvement Plan'!H28</f>
        <v>1900000</v>
      </c>
      <c r="E105" s="461">
        <f>'Capital Improvement Plan'!I28</f>
        <v>1900000</v>
      </c>
      <c r="F105" s="461">
        <f>'Capital Improvement Plan'!J28</f>
        <v>2000000</v>
      </c>
      <c r="G105" s="1073">
        <f>'Capital Improvement Plan'!K28</f>
        <v>2000000</v>
      </c>
      <c r="H105" s="1270">
        <f>SUM(C105:G105)</f>
        <v>7800000</v>
      </c>
      <c r="O105" s="461">
        <f>'Capital Improvement Plan'!L28</f>
        <v>2000000</v>
      </c>
      <c r="P105" s="461">
        <f>'Capital Improvement Plan'!M28</f>
        <v>2000000</v>
      </c>
      <c r="Q105" s="461">
        <f>'Capital Improvement Plan'!N28</f>
        <v>2000000</v>
      </c>
      <c r="R105" s="461">
        <f>'Capital Improvement Plan'!O28</f>
        <v>2000000</v>
      </c>
      <c r="S105" s="1073">
        <f>'Capital Improvement Plan'!P28</f>
        <v>2000000</v>
      </c>
    </row>
    <row r="106" spans="2:19" ht="16.5" hidden="1" customHeight="1" x14ac:dyDescent="0.3">
      <c r="B106" s="1094" t="s">
        <v>2168</v>
      </c>
      <c r="C106" s="461">
        <f>'Capital Improvement Plan'!G30</f>
        <v>0</v>
      </c>
      <c r="D106" s="461">
        <f>'Capital Improvement Plan'!H30</f>
        <v>0</v>
      </c>
      <c r="E106" s="461">
        <f>'Capital Improvement Plan'!I30</f>
        <v>0</v>
      </c>
      <c r="F106" s="461">
        <f>'Capital Improvement Plan'!J30</f>
        <v>0</v>
      </c>
      <c r="G106" s="1073">
        <f>'Capital Improvement Plan'!K30</f>
        <v>0</v>
      </c>
      <c r="O106" s="461">
        <f>'Capital Improvement Plan'!L30</f>
        <v>0</v>
      </c>
      <c r="P106" s="461">
        <f>'Capital Improvement Plan'!M30</f>
        <v>0</v>
      </c>
      <c r="Q106" s="461">
        <f>'Capital Improvement Plan'!N30</f>
        <v>0</v>
      </c>
      <c r="R106" s="461">
        <f>'Capital Improvement Plan'!O30</f>
        <v>0</v>
      </c>
      <c r="S106" s="1073">
        <f>'Capital Improvement Plan'!P30</f>
        <v>0</v>
      </c>
    </row>
    <row r="107" spans="2:19" hidden="1" x14ac:dyDescent="0.3">
      <c r="B107" s="1094" t="s">
        <v>1608</v>
      </c>
      <c r="C107" s="461">
        <f>'Capital Improvement Plan'!G29</f>
        <v>326000</v>
      </c>
      <c r="D107" s="461">
        <f>'Capital Improvement Plan'!H29</f>
        <v>2764000</v>
      </c>
      <c r="E107" s="461">
        <f>'Capital Improvement Plan'!I29</f>
        <v>5217500</v>
      </c>
      <c r="F107" s="461">
        <f>'Capital Improvement Plan'!J29</f>
        <v>2037500</v>
      </c>
      <c r="G107" s="1073">
        <f>'Capital Improvement Plan'!K29</f>
        <v>500000</v>
      </c>
      <c r="O107" s="461">
        <f>'Capital Improvement Plan'!L29</f>
        <v>447000</v>
      </c>
      <c r="P107" s="461">
        <f>'Capital Improvement Plan'!M29</f>
        <v>467000</v>
      </c>
      <c r="Q107" s="461">
        <f>'Capital Improvement Plan'!N29</f>
        <v>452000</v>
      </c>
      <c r="R107" s="461">
        <f>'Capital Improvement Plan'!O29</f>
        <v>312000</v>
      </c>
      <c r="S107" s="1073">
        <f>'Capital Improvement Plan'!P29</f>
        <v>292000</v>
      </c>
    </row>
    <row r="108" spans="2:19" ht="16.5" hidden="1" customHeight="1" thickBot="1" x14ac:dyDescent="0.35">
      <c r="B108" s="1074"/>
      <c r="C108" s="462"/>
      <c r="D108" s="462"/>
      <c r="E108" s="462"/>
      <c r="F108" s="462"/>
      <c r="G108" s="1075"/>
      <c r="O108" s="462"/>
      <c r="P108" s="462"/>
      <c r="Q108" s="462"/>
      <c r="R108" s="462"/>
      <c r="S108" s="1075"/>
    </row>
    <row r="109" spans="2:19" s="459" customFormat="1" ht="16.5" hidden="1" customHeight="1" x14ac:dyDescent="0.3">
      <c r="B109" s="1150" t="s">
        <v>1609</v>
      </c>
      <c r="C109" s="1082">
        <f>'Capital Improvement Plan'!G61</f>
        <v>530000</v>
      </c>
      <c r="D109" s="1082">
        <f>'Capital Improvement Plan'!H61</f>
        <v>750000</v>
      </c>
      <c r="E109" s="1082">
        <f>'Capital Improvement Plan'!I61</f>
        <v>650000</v>
      </c>
      <c r="F109" s="1082">
        <f>'Capital Improvement Plan'!J61</f>
        <v>650000</v>
      </c>
      <c r="G109" s="1083">
        <f>'Capital Improvement Plan'!K61</f>
        <v>670000</v>
      </c>
      <c r="O109" s="1082">
        <f>'Capital Improvement Plan'!L61</f>
        <v>650000</v>
      </c>
      <c r="P109" s="1082">
        <f>'Capital Improvement Plan'!M61</f>
        <v>700000</v>
      </c>
      <c r="Q109" s="1082">
        <f>'Capital Improvement Plan'!N61</f>
        <v>800000</v>
      </c>
      <c r="R109" s="1082">
        <f>'Capital Improvement Plan'!O61</f>
        <v>700000</v>
      </c>
      <c r="S109" s="1083">
        <f>'Capital Improvement Plan'!P61</f>
        <v>700000</v>
      </c>
    </row>
    <row r="110" spans="2:19" hidden="1" x14ac:dyDescent="0.3">
      <c r="B110" s="1150" t="s">
        <v>1610</v>
      </c>
      <c r="C110" s="461">
        <f>'Capital Improvement Plan'!G64</f>
        <v>0</v>
      </c>
      <c r="D110" s="461">
        <f>'Capital Improvement Plan'!H64</f>
        <v>0</v>
      </c>
      <c r="E110" s="461">
        <f>'Capital Improvement Plan'!I64</f>
        <v>0</v>
      </c>
      <c r="F110" s="461">
        <f>'Capital Improvement Plan'!J64</f>
        <v>0</v>
      </c>
      <c r="G110" s="1073">
        <f>'Capital Improvement Plan'!K64</f>
        <v>0</v>
      </c>
      <c r="H110" s="1270">
        <f>SUM(C110:G110)</f>
        <v>0</v>
      </c>
      <c r="O110" s="461">
        <f>'Capital Improvement Plan'!L64</f>
        <v>0</v>
      </c>
      <c r="P110" s="461">
        <f>'Capital Improvement Plan'!M64</f>
        <v>0</v>
      </c>
      <c r="Q110" s="461">
        <f>'Capital Improvement Plan'!N64</f>
        <v>0</v>
      </c>
      <c r="R110" s="461">
        <f>'Capital Improvement Plan'!O64</f>
        <v>0</v>
      </c>
      <c r="S110" s="1073">
        <f>'Capital Improvement Plan'!P64</f>
        <v>0</v>
      </c>
    </row>
    <row r="111" spans="2:19" hidden="1" x14ac:dyDescent="0.3">
      <c r="B111" s="1150" t="s">
        <v>2168</v>
      </c>
      <c r="C111" s="461">
        <f>'Capital Improvement Plan'!G66</f>
        <v>0</v>
      </c>
      <c r="D111" s="461">
        <f>'Capital Improvement Plan'!H66</f>
        <v>0</v>
      </c>
      <c r="E111" s="461">
        <f>'Capital Improvement Plan'!I66</f>
        <v>0</v>
      </c>
      <c r="F111" s="461">
        <f>'Capital Improvement Plan'!J66</f>
        <v>0</v>
      </c>
      <c r="G111" s="1073">
        <f>'Capital Improvement Plan'!K66</f>
        <v>0</v>
      </c>
      <c r="O111" s="461">
        <f>'Capital Improvement Plan'!L66</f>
        <v>0</v>
      </c>
      <c r="P111" s="461">
        <f>'Capital Improvement Plan'!M66</f>
        <v>0</v>
      </c>
      <c r="Q111" s="461">
        <f>'Capital Improvement Plan'!N66</f>
        <v>0</v>
      </c>
      <c r="R111" s="461">
        <f>'Capital Improvement Plan'!O66</f>
        <v>0</v>
      </c>
      <c r="S111" s="1073">
        <f>'Capital Improvement Plan'!P66</f>
        <v>0</v>
      </c>
    </row>
    <row r="112" spans="2:19" hidden="1" x14ac:dyDescent="0.3">
      <c r="B112" s="1150" t="s">
        <v>1608</v>
      </c>
      <c r="C112" s="461">
        <f>'Capital Improvement Plan'!G65</f>
        <v>530000</v>
      </c>
      <c r="D112" s="461">
        <f>'Capital Improvement Plan'!H65</f>
        <v>750000</v>
      </c>
      <c r="E112" s="461">
        <f>'Capital Improvement Plan'!I65</f>
        <v>650000</v>
      </c>
      <c r="F112" s="461">
        <f>'Capital Improvement Plan'!J65</f>
        <v>650000</v>
      </c>
      <c r="G112" s="1073">
        <f>'Capital Improvement Plan'!K65</f>
        <v>670000</v>
      </c>
      <c r="O112" s="461">
        <f>'Capital Improvement Plan'!L65</f>
        <v>650000</v>
      </c>
      <c r="P112" s="461">
        <f>'Capital Improvement Plan'!M65</f>
        <v>700000</v>
      </c>
      <c r="Q112" s="461">
        <f>'Capital Improvement Plan'!N65</f>
        <v>800000</v>
      </c>
      <c r="R112" s="461">
        <f>'Capital Improvement Plan'!O65</f>
        <v>700000</v>
      </c>
      <c r="S112" s="1073">
        <f>'Capital Improvement Plan'!P65</f>
        <v>700000</v>
      </c>
    </row>
    <row r="113" spans="2:19" ht="16.2" hidden="1" thickBot="1" x14ac:dyDescent="0.35">
      <c r="B113" s="1074"/>
      <c r="C113" s="461"/>
      <c r="D113" s="461"/>
      <c r="E113" s="461"/>
      <c r="F113" s="461"/>
      <c r="G113" s="1073"/>
      <c r="O113" s="461"/>
      <c r="P113" s="461"/>
      <c r="Q113" s="461"/>
      <c r="R113" s="461"/>
      <c r="S113" s="1073"/>
    </row>
    <row r="114" spans="2:19" hidden="1" x14ac:dyDescent="0.3">
      <c r="B114" s="1076" t="s">
        <v>1634</v>
      </c>
      <c r="C114" s="1082">
        <f>'Capital Improvement Plan'!G96</f>
        <v>2589127</v>
      </c>
      <c r="D114" s="1082">
        <f>'Capital Improvement Plan'!H96</f>
        <v>3745400</v>
      </c>
      <c r="E114" s="1082">
        <f>'Capital Improvement Plan'!I96</f>
        <v>4250000</v>
      </c>
      <c r="F114" s="1082">
        <f>'Capital Improvement Plan'!J96</f>
        <v>1500000</v>
      </c>
      <c r="G114" s="1083">
        <f>'Capital Improvement Plan'!K96</f>
        <v>1000000</v>
      </c>
      <c r="O114" s="1082">
        <f>'Capital Improvement Plan'!L96</f>
        <v>1100000</v>
      </c>
      <c r="P114" s="1082">
        <f>'Capital Improvement Plan'!M96</f>
        <v>500000</v>
      </c>
      <c r="Q114" s="1082">
        <f>'Capital Improvement Plan'!N96</f>
        <v>2500000</v>
      </c>
      <c r="R114" s="1082">
        <f>'Capital Improvement Plan'!O96</f>
        <v>500000</v>
      </c>
      <c r="S114" s="1083">
        <f>'Capital Improvement Plan'!P96</f>
        <v>500000</v>
      </c>
    </row>
    <row r="115" spans="2:19" hidden="1" x14ac:dyDescent="0.3">
      <c r="B115" s="1076" t="s">
        <v>1920</v>
      </c>
      <c r="C115" s="461">
        <f>'Capital Improvement Plan'!G99</f>
        <v>0</v>
      </c>
      <c r="D115" s="461">
        <f>'Capital Improvement Plan'!H99</f>
        <v>3245400</v>
      </c>
      <c r="E115" s="461">
        <f>'Capital Improvement Plan'!I99</f>
        <v>3750000</v>
      </c>
      <c r="F115" s="461">
        <f>'Capital Improvement Plan'!J99</f>
        <v>1000000</v>
      </c>
      <c r="G115" s="1073">
        <f>'Capital Improvement Plan'!K99</f>
        <v>500000</v>
      </c>
      <c r="H115" s="1270">
        <f>SUM(C115:G115)</f>
        <v>8495400</v>
      </c>
      <c r="O115" s="461">
        <f>'Capital Improvement Plan'!L99</f>
        <v>600000</v>
      </c>
      <c r="P115" s="461">
        <f>'Capital Improvement Plan'!M99</f>
        <v>0</v>
      </c>
      <c r="Q115" s="461">
        <f>'Capital Improvement Plan'!N99</f>
        <v>2000000</v>
      </c>
      <c r="R115" s="461">
        <f>'Capital Improvement Plan'!O99</f>
        <v>0</v>
      </c>
      <c r="S115" s="1073">
        <f>'Capital Improvement Plan'!P99</f>
        <v>0</v>
      </c>
    </row>
    <row r="116" spans="2:19" hidden="1" x14ac:dyDescent="0.3">
      <c r="B116" s="1076" t="s">
        <v>2168</v>
      </c>
      <c r="C116" s="461">
        <f>'Capital Improvement Plan'!G101</f>
        <v>0</v>
      </c>
      <c r="D116" s="461">
        <f>'Capital Improvement Plan'!H101</f>
        <v>0</v>
      </c>
      <c r="E116" s="461">
        <f>'Capital Improvement Plan'!I101</f>
        <v>0</v>
      </c>
      <c r="F116" s="461">
        <f>'Capital Improvement Plan'!J101</f>
        <v>0</v>
      </c>
      <c r="G116" s="1073">
        <f>'Capital Improvement Plan'!K101</f>
        <v>0</v>
      </c>
      <c r="O116" s="461">
        <f>'Capital Improvement Plan'!L101</f>
        <v>0</v>
      </c>
      <c r="P116" s="461">
        <f>'Capital Improvement Plan'!M101</f>
        <v>0</v>
      </c>
      <c r="Q116" s="461">
        <f>'Capital Improvement Plan'!N101</f>
        <v>0</v>
      </c>
      <c r="R116" s="461">
        <f>'Capital Improvement Plan'!O101</f>
        <v>0</v>
      </c>
      <c r="S116" s="1073">
        <f>'Capital Improvement Plan'!P101</f>
        <v>0</v>
      </c>
    </row>
    <row r="117" spans="2:19" ht="16.2" hidden="1" thickBot="1" x14ac:dyDescent="0.35">
      <c r="B117" s="1077" t="s">
        <v>1608</v>
      </c>
      <c r="C117" s="1078">
        <f>'Capital Improvement Plan'!G100</f>
        <v>2589127</v>
      </c>
      <c r="D117" s="1078">
        <f>'Capital Improvement Plan'!H100</f>
        <v>500000</v>
      </c>
      <c r="E117" s="1078">
        <f>'Capital Improvement Plan'!I100</f>
        <v>500000</v>
      </c>
      <c r="F117" s="1078">
        <f>'Capital Improvement Plan'!J100</f>
        <v>500000</v>
      </c>
      <c r="G117" s="1079">
        <f>'Capital Improvement Plan'!K100</f>
        <v>500000</v>
      </c>
      <c r="O117" s="1078">
        <f>'Capital Improvement Plan'!L100</f>
        <v>500000</v>
      </c>
      <c r="P117" s="1078">
        <f>'Capital Improvement Plan'!M100</f>
        <v>500000</v>
      </c>
      <c r="Q117" s="1078">
        <f>'Capital Improvement Plan'!N100</f>
        <v>500000</v>
      </c>
      <c r="R117" s="1078">
        <f>'Capital Improvement Plan'!O100</f>
        <v>500000</v>
      </c>
      <c r="S117" s="1079">
        <f>'Capital Improvement Plan'!P100</f>
        <v>500000</v>
      </c>
    </row>
    <row r="118" spans="2:19" hidden="1" x14ac:dyDescent="0.3">
      <c r="B118" s="1259"/>
      <c r="C118" s="461"/>
      <c r="D118" s="461"/>
      <c r="E118" s="461"/>
      <c r="F118" s="461"/>
      <c r="G118" s="461"/>
      <c r="H118" s="1270">
        <f>SUM(H104:H117)</f>
        <v>16295400</v>
      </c>
      <c r="O118" s="461"/>
      <c r="P118" s="461"/>
      <c r="Q118" s="461"/>
      <c r="R118" s="461"/>
      <c r="S118" s="461"/>
    </row>
    <row r="119" spans="2:19" s="464" customFormat="1" hidden="1" x14ac:dyDescent="0.3">
      <c r="B119" s="460"/>
      <c r="C119" s="463"/>
      <c r="D119" s="463"/>
      <c r="E119" s="463"/>
      <c r="F119" s="463"/>
      <c r="G119" s="463"/>
      <c r="O119" s="463"/>
      <c r="P119" s="463"/>
      <c r="Q119" s="463"/>
      <c r="R119" s="463"/>
      <c r="S119" s="463"/>
    </row>
    <row r="120" spans="2:19" s="451" customFormat="1" x14ac:dyDescent="0.3">
      <c r="B120" s="1088" t="s">
        <v>1484</v>
      </c>
      <c r="G120" s="1252">
        <f ca="1">TODAY()</f>
        <v>44456</v>
      </c>
      <c r="S120" s="1089">
        <f ca="1">NOW()</f>
        <v>44456.345775000002</v>
      </c>
    </row>
    <row r="122" spans="2:19" hidden="1" x14ac:dyDescent="0.3">
      <c r="B122" s="978" t="s">
        <v>2169</v>
      </c>
      <c r="C122" s="983">
        <f>'O&amp;M'!S461</f>
        <v>-314052.41689999774</v>
      </c>
      <c r="D122" s="978"/>
    </row>
    <row r="123" spans="2:19" hidden="1" x14ac:dyDescent="0.3">
      <c r="B123" s="978" t="s">
        <v>2170</v>
      </c>
      <c r="C123" s="455" t="b">
        <f>'Existing Debt'!I48</f>
        <v>1</v>
      </c>
      <c r="D123" s="455" t="b">
        <f>'Existing Debt'!J48</f>
        <v>1</v>
      </c>
      <c r="E123" s="455" t="b">
        <f>'Existing Debt'!K48</f>
        <v>1</v>
      </c>
      <c r="F123" s="455" t="b">
        <f>'Existing Debt'!L48</f>
        <v>1</v>
      </c>
      <c r="G123" s="455" t="b">
        <f>'Existing Debt'!M48</f>
        <v>1</v>
      </c>
      <c r="O123" s="455" t="b">
        <f>'Existing Debt'!N48</f>
        <v>1</v>
      </c>
      <c r="P123" s="455" t="b">
        <f>'Existing Debt'!O48</f>
        <v>1</v>
      </c>
      <c r="Q123" s="455" t="b">
        <f>'Existing Debt'!P48</f>
        <v>1</v>
      </c>
      <c r="R123" s="455" t="b">
        <f>'Existing Debt'!Q48</f>
        <v>1</v>
      </c>
      <c r="S123" s="455" t="b">
        <f>'Existing Debt'!R48</f>
        <v>1</v>
      </c>
    </row>
    <row r="124" spans="2:19" hidden="1" x14ac:dyDescent="0.3">
      <c r="B124" s="978" t="s">
        <v>2171</v>
      </c>
      <c r="C124" s="455" t="b">
        <f>'Capital Improvement Plan'!G110</f>
        <v>1</v>
      </c>
      <c r="D124" s="455" t="b">
        <f>'Capital Improvement Plan'!H110</f>
        <v>1</v>
      </c>
      <c r="E124" s="455" t="b">
        <f>'Capital Improvement Plan'!I110</f>
        <v>1</v>
      </c>
      <c r="F124" s="455" t="b">
        <f>'Capital Improvement Plan'!J110</f>
        <v>1</v>
      </c>
      <c r="G124" s="455" t="b">
        <f>'Capital Improvement Plan'!K110</f>
        <v>1</v>
      </c>
      <c r="O124" s="455" t="b">
        <f>'Capital Improvement Plan'!L110</f>
        <v>1</v>
      </c>
      <c r="P124" s="455" t="b">
        <f>'Capital Improvement Plan'!M110</f>
        <v>1</v>
      </c>
      <c r="Q124" s="455" t="b">
        <f>'Capital Improvement Plan'!N110</f>
        <v>1</v>
      </c>
      <c r="R124" s="455" t="b">
        <f>'Capital Improvement Plan'!O110</f>
        <v>1</v>
      </c>
      <c r="S124" s="455" t="b">
        <f>'Capital Improvement Plan'!P110</f>
        <v>1</v>
      </c>
    </row>
    <row r="125" spans="2:19" hidden="1" x14ac:dyDescent="0.3">
      <c r="B125" s="978" t="s">
        <v>2228</v>
      </c>
      <c r="C125" s="455" t="b">
        <f>'Projected Debt'!C26</f>
        <v>1</v>
      </c>
      <c r="D125" s="455" t="b">
        <f>'Projected Debt'!D26</f>
        <v>1</v>
      </c>
      <c r="E125" s="455" t="b">
        <f>'Projected Debt'!E26</f>
        <v>1</v>
      </c>
      <c r="F125" s="455" t="b">
        <f>'Projected Debt'!F26</f>
        <v>1</v>
      </c>
      <c r="G125" s="455" t="b">
        <f>'Projected Debt'!G26</f>
        <v>1</v>
      </c>
      <c r="O125" s="455" t="b">
        <f>'Projected Debt'!H26</f>
        <v>1</v>
      </c>
      <c r="P125" s="455" t="b">
        <f>'Projected Debt'!I26</f>
        <v>1</v>
      </c>
      <c r="Q125" s="455" t="b">
        <f>'Projected Debt'!J26</f>
        <v>1</v>
      </c>
      <c r="R125" s="455" t="b">
        <f>'Projected Debt'!K26</f>
        <v>1</v>
      </c>
      <c r="S125" s="455" t="b">
        <f>'Projected Debt'!L26</f>
        <v>1</v>
      </c>
    </row>
    <row r="126" spans="2:19" x14ac:dyDescent="0.3">
      <c r="B126" s="978"/>
    </row>
    <row r="127" spans="2:19" x14ac:dyDescent="0.3">
      <c r="B127" s="978"/>
    </row>
    <row r="128" spans="2:19" x14ac:dyDescent="0.3">
      <c r="B128" s="978"/>
    </row>
    <row r="129" spans="2:19" x14ac:dyDescent="0.3">
      <c r="B129" s="978"/>
    </row>
    <row r="130" spans="2:19" x14ac:dyDescent="0.3">
      <c r="B130" s="978"/>
    </row>
    <row r="131" spans="2:19" x14ac:dyDescent="0.3">
      <c r="B131" s="978"/>
    </row>
    <row r="132" spans="2:19" x14ac:dyDescent="0.3">
      <c r="B132" s="978"/>
    </row>
    <row r="133" spans="2:19" x14ac:dyDescent="0.3">
      <c r="B133" s="978"/>
    </row>
    <row r="134" spans="2:19" x14ac:dyDescent="0.3">
      <c r="B134" s="978"/>
    </row>
    <row r="135" spans="2:19" x14ac:dyDescent="0.3">
      <c r="B135" s="978"/>
    </row>
    <row r="136" spans="2:19" x14ac:dyDescent="0.3">
      <c r="B136" s="978"/>
    </row>
    <row r="137" spans="2:19" x14ac:dyDescent="0.3">
      <c r="B137" s="978"/>
      <c r="C137" s="458" t="s">
        <v>1596</v>
      </c>
      <c r="D137" s="458" t="s">
        <v>1597</v>
      </c>
      <c r="E137" s="458" t="s">
        <v>1598</v>
      </c>
      <c r="F137" s="458" t="s">
        <v>1599</v>
      </c>
      <c r="G137" s="458" t="s">
        <v>1600</v>
      </c>
    </row>
    <row r="138" spans="2:19" ht="7.5" customHeight="1" x14ac:dyDescent="0.3"/>
    <row r="139" spans="2:19" x14ac:dyDescent="0.3">
      <c r="B139" s="1260" t="s">
        <v>2222</v>
      </c>
      <c r="C139" s="1262">
        <f>'Revenue Requirements'!F102</f>
        <v>18976545.41122146</v>
      </c>
      <c r="D139" s="1262">
        <f>'Revenue Requirements'!G102</f>
        <v>20040046.333223961</v>
      </c>
      <c r="E139" s="1262">
        <f>'Revenue Requirements'!H102</f>
        <v>25494425.401384089</v>
      </c>
      <c r="F139" s="1262">
        <f>'Revenue Requirements'!I102</f>
        <v>24402869.37838576</v>
      </c>
      <c r="G139" s="1262">
        <f>'Revenue Requirements'!J102</f>
        <v>23514524.984530129</v>
      </c>
      <c r="O139" s="824">
        <f>'Revenue Requirements'!K102</f>
        <v>24023577.133954801</v>
      </c>
      <c r="P139" s="824">
        <f>'Revenue Requirements'!L102</f>
        <v>24835572.279055681</v>
      </c>
      <c r="Q139" s="824">
        <f>'Revenue Requirements'!M102</f>
        <v>25646034.835690688</v>
      </c>
      <c r="R139" s="824">
        <f>'Revenue Requirements'!N102</f>
        <v>26162125.430327144</v>
      </c>
      <c r="S139" s="826">
        <f>'Revenue Requirements'!O102</f>
        <v>27612578.829604357</v>
      </c>
    </row>
    <row r="140" spans="2:19" x14ac:dyDescent="0.3">
      <c r="B140" s="1260" t="s">
        <v>2223</v>
      </c>
      <c r="C140" s="1262">
        <f>'Cash Flows and Cash Balances'!F123</f>
        <v>19976879.150041129</v>
      </c>
      <c r="D140" s="1262">
        <f>'Cash Flows and Cash Balances'!G123</f>
        <v>21629528.598265294</v>
      </c>
      <c r="E140" s="1262">
        <f>'Cash Flows and Cash Balances'!H123</f>
        <v>22666396.525167271</v>
      </c>
      <c r="F140" s="1262">
        <f>'Cash Flows and Cash Balances'!I123</f>
        <v>23718445.048267376</v>
      </c>
      <c r="G140" s="1262">
        <f>'Cash Flows and Cash Balances'!J123</f>
        <v>24820122.644711792</v>
      </c>
      <c r="I140" s="1266"/>
      <c r="J140" s="1266"/>
      <c r="K140" s="1266"/>
      <c r="L140" s="1266"/>
      <c r="M140" s="1266"/>
      <c r="O140" s="824">
        <f>'Cash Flows and Cash Balances'!K123</f>
        <v>24704155.84973364</v>
      </c>
      <c r="P140" s="824">
        <f>'Cash Flows and Cash Balances'!L123</f>
        <v>24588768.888730373</v>
      </c>
      <c r="Q140" s="824">
        <f>'Cash Flows and Cash Balances'!M123</f>
        <v>24473958.862532124</v>
      </c>
      <c r="R140" s="824">
        <f>'Cash Flows and Cash Balances'!N123</f>
        <v>24359722.886464864</v>
      </c>
      <c r="S140" s="826">
        <f>'Cash Flows and Cash Balances'!O123</f>
        <v>24246058.09027794</v>
      </c>
    </row>
  </sheetData>
  <mergeCells count="1">
    <mergeCell ref="F2:G2"/>
  </mergeCells>
  <conditionalFormatting sqref="C51:G51 O51:S51 C66:G66 O66:S66 C81:G81 O81:S81">
    <cfRule type="cellIs" dxfId="149" priority="17" operator="greaterThan">
      <formula>0</formula>
    </cfRule>
  </conditionalFormatting>
  <conditionalFormatting sqref="C49:G49 O49:S49 C64:G64 O64:S64 C79:G79 O79:S79 C94:G94 O94:S94">
    <cfRule type="cellIs" dxfId="148" priority="11" operator="equal">
      <formula>"NO"</formula>
    </cfRule>
  </conditionalFormatting>
  <printOptions horizontalCentered="1"/>
  <pageMargins left="0.2" right="0.2" top="0.2" bottom="0.2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3"/>
  <sheetViews>
    <sheetView showGridLines="0" topLeftCell="O1" zoomScale="85" zoomScaleNormal="85" workbookViewId="0">
      <selection activeCell="V10" sqref="V10"/>
    </sheetView>
  </sheetViews>
  <sheetFormatPr defaultColWidth="9" defaultRowHeight="14.4" outlineLevelCol="1" x14ac:dyDescent="0.3"/>
  <cols>
    <col min="1" max="1" width="2.8984375" style="78" customWidth="1"/>
    <col min="2" max="2" width="6.69921875" style="78" customWidth="1"/>
    <col min="3" max="3" width="18.19921875" style="78" customWidth="1"/>
    <col min="4" max="4" width="37" style="78" bestFit="1" customWidth="1"/>
    <col min="5" max="14" width="7.09765625" style="78" hidden="1" customWidth="1" outlineLevel="1"/>
    <col min="15" max="15" width="17.19921875" style="78" customWidth="1" collapsed="1"/>
    <col min="16" max="17" width="12.3984375" style="78" bestFit="1" customWidth="1"/>
    <col min="18" max="26" width="12.5" style="78" customWidth="1"/>
    <col min="27" max="28" width="12.5" style="80" customWidth="1"/>
    <col min="29" max="16384" width="9" style="80"/>
  </cols>
  <sheetData>
    <row r="1" spans="1:31" s="73" customFormat="1" x14ac:dyDescent="0.3">
      <c r="A1" s="72"/>
    </row>
    <row r="2" spans="1:31" s="74" customFormat="1" x14ac:dyDescent="0.3">
      <c r="B2" s="75" t="s">
        <v>1956</v>
      </c>
      <c r="I2" s="76"/>
      <c r="J2" s="76"/>
      <c r="K2" s="76"/>
      <c r="L2" s="76"/>
      <c r="M2" s="76"/>
      <c r="N2" s="76"/>
      <c r="O2" s="76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6"/>
      <c r="AC2" s="77"/>
      <c r="AD2" s="77"/>
      <c r="AE2" s="77"/>
    </row>
    <row r="3" spans="1:31" s="74" customFormat="1" x14ac:dyDescent="0.3">
      <c r="B3" s="109" t="s">
        <v>345</v>
      </c>
      <c r="I3" s="76"/>
      <c r="J3" s="76"/>
      <c r="K3" s="76"/>
      <c r="L3" s="76"/>
      <c r="M3" s="76"/>
      <c r="N3" s="76"/>
      <c r="O3" s="76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6"/>
      <c r="AC3" s="77"/>
      <c r="AD3" s="77"/>
      <c r="AE3" s="77"/>
    </row>
    <row r="4" spans="1:31" x14ac:dyDescent="0.3">
      <c r="B4" s="79" t="s">
        <v>14</v>
      </c>
    </row>
    <row r="5" spans="1:31" x14ac:dyDescent="0.3">
      <c r="A5" s="80"/>
      <c r="B5" s="81"/>
      <c r="C5" s="82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4">
        <v>2013</v>
      </c>
      <c r="Q5" s="84">
        <v>2014</v>
      </c>
      <c r="R5" s="84">
        <v>2015</v>
      </c>
      <c r="S5" s="84">
        <v>2016</v>
      </c>
      <c r="T5" s="84">
        <v>2017</v>
      </c>
      <c r="U5" s="84">
        <v>2018</v>
      </c>
      <c r="V5" s="84">
        <v>2019</v>
      </c>
      <c r="W5" s="84">
        <v>2020</v>
      </c>
      <c r="X5" s="84">
        <v>2021</v>
      </c>
      <c r="Y5" s="84">
        <v>2022</v>
      </c>
      <c r="Z5" s="84">
        <v>2023</v>
      </c>
      <c r="AA5" s="84">
        <v>2024</v>
      </c>
      <c r="AB5" s="84">
        <v>2025</v>
      </c>
    </row>
    <row r="6" spans="1:31" x14ac:dyDescent="0.3">
      <c r="A6" s="80"/>
      <c r="B6" s="85"/>
      <c r="C6" s="86" t="s">
        <v>53</v>
      </c>
      <c r="D6" s="87" t="s">
        <v>54</v>
      </c>
      <c r="E6" s="88">
        <v>2016</v>
      </c>
      <c r="F6" s="88">
        <v>2017</v>
      </c>
      <c r="G6" s="88">
        <v>2018</v>
      </c>
      <c r="H6" s="88">
        <v>2019</v>
      </c>
      <c r="I6" s="88">
        <v>2020</v>
      </c>
      <c r="J6" s="88">
        <v>2021</v>
      </c>
      <c r="K6" s="88">
        <v>2022</v>
      </c>
      <c r="L6" s="88">
        <v>2023</v>
      </c>
      <c r="M6" s="88">
        <v>2024</v>
      </c>
      <c r="N6" s="88">
        <v>2025</v>
      </c>
      <c r="O6" s="88" t="s">
        <v>3</v>
      </c>
      <c r="P6" s="89" t="s">
        <v>0</v>
      </c>
      <c r="Q6" s="89" t="s">
        <v>0</v>
      </c>
      <c r="R6" s="90" t="s">
        <v>51</v>
      </c>
      <c r="S6" s="89" t="s">
        <v>1</v>
      </c>
      <c r="T6" s="89" t="s">
        <v>2</v>
      </c>
      <c r="U6" s="89" t="s">
        <v>2</v>
      </c>
      <c r="V6" s="89" t="s">
        <v>2</v>
      </c>
      <c r="W6" s="89" t="s">
        <v>2</v>
      </c>
      <c r="X6" s="89" t="s">
        <v>2</v>
      </c>
      <c r="Y6" s="89" t="s">
        <v>2</v>
      </c>
      <c r="Z6" s="89" t="s">
        <v>2</v>
      </c>
      <c r="AA6" s="89" t="s">
        <v>2</v>
      </c>
      <c r="AB6" s="89" t="s">
        <v>2</v>
      </c>
    </row>
    <row r="7" spans="1:31" x14ac:dyDescent="0.3">
      <c r="B7" s="85"/>
      <c r="C7" s="91" t="s">
        <v>52</v>
      </c>
      <c r="D7" s="91" t="s">
        <v>37</v>
      </c>
      <c r="E7" s="821">
        <f>INDEX('Control Panel'!$C$7:$N$25,MATCH($O7,Indicies,0),MATCH(E$6,'Control Panel'!$C$6:$N$6,0))</f>
        <v>0.03</v>
      </c>
      <c r="F7" s="821">
        <f>INDEX('Control Panel'!$C$7:$N$25,MATCH($O7,Indicies,0),MATCH(F$6,'Control Panel'!$C$6:$N$6,0))</f>
        <v>0.03</v>
      </c>
      <c r="G7" s="821">
        <f>INDEX('Control Panel'!$C$7:$N$25,MATCH($O7,Indicies,0),MATCH(G$6,'Control Panel'!$C$6:$N$6,0))</f>
        <v>0.03</v>
      </c>
      <c r="H7" s="821">
        <f>INDEX('Control Panel'!$C$7:$N$25,MATCH($O7,Indicies,0),MATCH(H$6,'Control Panel'!$C$6:$N$6,0))</f>
        <v>0.03</v>
      </c>
      <c r="I7" s="821">
        <f>INDEX('Control Panel'!$C$7:$N$25,MATCH($O7,Indicies,0),MATCH(I$6,'Control Panel'!$C$6:$N$6,0))</f>
        <v>0.03</v>
      </c>
      <c r="J7" s="821">
        <f>INDEX('Control Panel'!$C$7:$N$25,MATCH($O7,Indicies,0),MATCH(J$6,'Control Panel'!$C$6:$N$6,0))</f>
        <v>0.03</v>
      </c>
      <c r="K7" s="821">
        <f>INDEX('Control Panel'!$C$7:$N$25,MATCH($O7,Indicies,0),MATCH(K$6,'Control Panel'!$C$6:$N$6,0))</f>
        <v>0.03</v>
      </c>
      <c r="L7" s="821">
        <f>INDEX('Control Panel'!$C$7:$N$25,MATCH($O7,Indicies,0),MATCH(L$6,'Control Panel'!$C$6:$N$6,0))</f>
        <v>0.03</v>
      </c>
      <c r="M7" s="821">
        <f>INDEX('Control Panel'!$C$7:$N$25,MATCH($O7,Indicies,0),MATCH(M$6,'Control Panel'!$C$6:$N$6,0))</f>
        <v>0.03</v>
      </c>
      <c r="N7" s="821">
        <f>INDEX('Control Panel'!$C$7:$N$25,MATCH($O7,Indicies,0),MATCH(N$6,'Control Panel'!$C$6:$N$6,0))</f>
        <v>0.03</v>
      </c>
      <c r="O7" s="126" t="s">
        <v>7</v>
      </c>
      <c r="P7" s="128">
        <v>256186.18</v>
      </c>
      <c r="Q7" s="128">
        <v>305378</v>
      </c>
      <c r="R7" s="128">
        <v>571511</v>
      </c>
      <c r="S7" s="206">
        <v>705310</v>
      </c>
      <c r="T7" s="206">
        <f>S7*(1+F7)</f>
        <v>726469.3</v>
      </c>
      <c r="U7" s="206">
        <f t="shared" ref="U7:AB14" si="0">T7*(1+G7)</f>
        <v>748263.37900000007</v>
      </c>
      <c r="V7" s="206">
        <f t="shared" si="0"/>
        <v>770711.28037000005</v>
      </c>
      <c r="W7" s="206">
        <f t="shared" si="0"/>
        <v>793832.61878110003</v>
      </c>
      <c r="X7" s="206">
        <f t="shared" si="0"/>
        <v>817647.59734453307</v>
      </c>
      <c r="Y7" s="206">
        <f t="shared" si="0"/>
        <v>842177.02526486909</v>
      </c>
      <c r="Z7" s="206">
        <f t="shared" si="0"/>
        <v>867442.3360228152</v>
      </c>
      <c r="AA7" s="206">
        <f t="shared" si="0"/>
        <v>893465.60610349965</v>
      </c>
      <c r="AB7" s="206">
        <f t="shared" si="0"/>
        <v>920269.57428660465</v>
      </c>
    </row>
    <row r="8" spans="1:31" x14ac:dyDescent="0.3">
      <c r="B8" s="85"/>
      <c r="C8" s="91" t="s">
        <v>58</v>
      </c>
      <c r="D8" s="91" t="s">
        <v>41</v>
      </c>
      <c r="E8" s="821">
        <v>0</v>
      </c>
      <c r="F8" s="821">
        <v>0</v>
      </c>
      <c r="G8" s="821">
        <v>0</v>
      </c>
      <c r="H8" s="821">
        <v>0</v>
      </c>
      <c r="I8" s="821">
        <v>0</v>
      </c>
      <c r="J8" s="821">
        <v>0</v>
      </c>
      <c r="K8" s="821">
        <v>0</v>
      </c>
      <c r="L8" s="821">
        <v>0</v>
      </c>
      <c r="M8" s="821">
        <v>0</v>
      </c>
      <c r="N8" s="821">
        <v>0</v>
      </c>
      <c r="O8" s="126" t="s">
        <v>7</v>
      </c>
      <c r="P8" s="128">
        <v>63528.480000000003</v>
      </c>
      <c r="Q8" s="128">
        <v>50725.98</v>
      </c>
      <c r="R8" s="128">
        <v>54413</v>
      </c>
      <c r="S8" s="128">
        <v>60145</v>
      </c>
      <c r="T8" s="206">
        <f t="shared" ref="T8:T14" si="1">S8*(1+F8)</f>
        <v>60145</v>
      </c>
      <c r="U8" s="206">
        <f t="shared" si="0"/>
        <v>60145</v>
      </c>
      <c r="V8" s="206">
        <f t="shared" si="0"/>
        <v>60145</v>
      </c>
      <c r="W8" s="206">
        <f t="shared" si="0"/>
        <v>60145</v>
      </c>
      <c r="X8" s="206">
        <f t="shared" si="0"/>
        <v>60145</v>
      </c>
      <c r="Y8" s="206">
        <f t="shared" si="0"/>
        <v>60145</v>
      </c>
      <c r="Z8" s="206">
        <f t="shared" si="0"/>
        <v>60145</v>
      </c>
      <c r="AA8" s="206">
        <f t="shared" si="0"/>
        <v>60145</v>
      </c>
      <c r="AB8" s="206">
        <f t="shared" si="0"/>
        <v>60145</v>
      </c>
    </row>
    <row r="9" spans="1:31" x14ac:dyDescent="0.3">
      <c r="B9" s="85"/>
      <c r="C9" s="91" t="s">
        <v>59</v>
      </c>
      <c r="D9" s="91" t="s">
        <v>42</v>
      </c>
      <c r="E9" s="821">
        <v>0</v>
      </c>
      <c r="F9" s="821">
        <v>0</v>
      </c>
      <c r="G9" s="821">
        <v>0</v>
      </c>
      <c r="H9" s="821">
        <v>0</v>
      </c>
      <c r="I9" s="821">
        <v>0</v>
      </c>
      <c r="J9" s="821">
        <v>0</v>
      </c>
      <c r="K9" s="821">
        <v>0</v>
      </c>
      <c r="L9" s="821">
        <v>0</v>
      </c>
      <c r="M9" s="821">
        <v>0</v>
      </c>
      <c r="N9" s="821">
        <v>0</v>
      </c>
      <c r="O9" s="126" t="s">
        <v>7</v>
      </c>
      <c r="P9" s="128">
        <v>9745.6</v>
      </c>
      <c r="Q9" s="128">
        <v>11329.2</v>
      </c>
      <c r="R9" s="128">
        <v>2419</v>
      </c>
      <c r="S9" s="128">
        <v>11300</v>
      </c>
      <c r="T9" s="206">
        <f t="shared" si="1"/>
        <v>11300</v>
      </c>
      <c r="U9" s="206">
        <f t="shared" si="0"/>
        <v>11300</v>
      </c>
      <c r="V9" s="206">
        <f>U9*(1+H9)</f>
        <v>11300</v>
      </c>
      <c r="W9" s="206">
        <f t="shared" si="0"/>
        <v>11300</v>
      </c>
      <c r="X9" s="206">
        <f t="shared" si="0"/>
        <v>11300</v>
      </c>
      <c r="Y9" s="206">
        <f t="shared" si="0"/>
        <v>11300</v>
      </c>
      <c r="Z9" s="206">
        <f t="shared" si="0"/>
        <v>11300</v>
      </c>
      <c r="AA9" s="206">
        <f t="shared" si="0"/>
        <v>11300</v>
      </c>
      <c r="AB9" s="206">
        <f t="shared" si="0"/>
        <v>11300</v>
      </c>
    </row>
    <row r="10" spans="1:31" x14ac:dyDescent="0.3">
      <c r="B10" s="85"/>
      <c r="C10" s="91" t="s">
        <v>65</v>
      </c>
      <c r="D10" s="91" t="s">
        <v>48</v>
      </c>
      <c r="E10" s="821">
        <f>INDEX('Control Panel'!$C$7:$N$25,MATCH($O10,Indicies,0),MATCH(E$6,'Control Panel'!$C$6:$N$6,0))</f>
        <v>0.03</v>
      </c>
      <c r="F10" s="821">
        <f>INDEX('Control Panel'!$C$7:$N$25,MATCH($O10,Indicies,0),MATCH(F$6,'Control Panel'!$C$6:$N$6,0))</f>
        <v>0.03</v>
      </c>
      <c r="G10" s="821">
        <f>INDEX('Control Panel'!$C$7:$N$25,MATCH($O10,Indicies,0),MATCH(G$6,'Control Panel'!$C$6:$N$6,0))</f>
        <v>0.03</v>
      </c>
      <c r="H10" s="821">
        <f>INDEX('Control Panel'!$C$7:$N$25,MATCH($O10,Indicies,0),MATCH(H$6,'Control Panel'!$C$6:$N$6,0))</f>
        <v>0.03</v>
      </c>
      <c r="I10" s="821">
        <f>INDEX('Control Panel'!$C$7:$N$25,MATCH($O10,Indicies,0),MATCH(I$6,'Control Panel'!$C$6:$N$6,0))</f>
        <v>0.03</v>
      </c>
      <c r="J10" s="821">
        <f>INDEX('Control Panel'!$C$7:$N$25,MATCH($O10,Indicies,0),MATCH(J$6,'Control Panel'!$C$6:$N$6,0))</f>
        <v>0.03</v>
      </c>
      <c r="K10" s="821">
        <f>INDEX('Control Panel'!$C$7:$N$25,MATCH($O10,Indicies,0),MATCH(K$6,'Control Panel'!$C$6:$N$6,0))</f>
        <v>0.03</v>
      </c>
      <c r="L10" s="821">
        <f>INDEX('Control Panel'!$C$7:$N$25,MATCH($O10,Indicies,0),MATCH(L$6,'Control Panel'!$C$6:$N$6,0))</f>
        <v>0.03</v>
      </c>
      <c r="M10" s="821">
        <f>INDEX('Control Panel'!$C$7:$N$25,MATCH($O10,Indicies,0),MATCH(M$6,'Control Panel'!$C$6:$N$6,0))</f>
        <v>0.03</v>
      </c>
      <c r="N10" s="821">
        <f>INDEX('Control Panel'!$C$7:$N$25,MATCH($O10,Indicies,0),MATCH(N$6,'Control Panel'!$C$6:$N$6,0))</f>
        <v>0.03</v>
      </c>
      <c r="O10" s="126" t="s">
        <v>7</v>
      </c>
      <c r="P10" s="128">
        <f>220801.01+14637.5+1175+2377.38+2730.66+1676.7</f>
        <v>243398.25000000003</v>
      </c>
      <c r="Q10" s="128">
        <f>220328.74-300+1000</f>
        <v>221028.74</v>
      </c>
      <c r="R10" s="128">
        <v>203310</v>
      </c>
      <c r="S10" s="206">
        <v>219330</v>
      </c>
      <c r="T10" s="206">
        <f t="shared" si="1"/>
        <v>225909.9</v>
      </c>
      <c r="U10" s="206">
        <f t="shared" si="0"/>
        <v>232687.19699999999</v>
      </c>
      <c r="V10" s="206">
        <f t="shared" si="0"/>
        <v>239667.81290999998</v>
      </c>
      <c r="W10" s="206">
        <f t="shared" si="0"/>
        <v>246857.84729729997</v>
      </c>
      <c r="X10" s="206">
        <f t="shared" si="0"/>
        <v>254263.58271621898</v>
      </c>
      <c r="Y10" s="206">
        <f t="shared" si="0"/>
        <v>261891.49019770557</v>
      </c>
      <c r="Z10" s="206">
        <f t="shared" si="0"/>
        <v>269748.23490363674</v>
      </c>
      <c r="AA10" s="206">
        <f t="shared" si="0"/>
        <v>277840.68195074587</v>
      </c>
      <c r="AB10" s="206">
        <f t="shared" si="0"/>
        <v>286175.90240926825</v>
      </c>
    </row>
    <row r="11" spans="1:31" x14ac:dyDescent="0.3">
      <c r="B11" s="85"/>
      <c r="C11" s="91" t="s">
        <v>66</v>
      </c>
      <c r="D11" s="91" t="s">
        <v>49</v>
      </c>
      <c r="E11" s="821">
        <f>INDEX('Control Panel'!$C$7:$N$25,MATCH($O11,Indicies,0),MATCH(E$6,'Control Panel'!$C$6:$N$6,0))</f>
        <v>0.03</v>
      </c>
      <c r="F11" s="821">
        <f>INDEX('Control Panel'!$C$7:$N$25,MATCH($O11,Indicies,0),MATCH(F$6,'Control Panel'!$C$6:$N$6,0))</f>
        <v>0.03</v>
      </c>
      <c r="G11" s="821">
        <f>INDEX('Control Panel'!$C$7:$N$25,MATCH($O11,Indicies,0),MATCH(G$6,'Control Panel'!$C$6:$N$6,0))</f>
        <v>0.03</v>
      </c>
      <c r="H11" s="821">
        <f>INDEX('Control Panel'!$C$7:$N$25,MATCH($O11,Indicies,0),MATCH(H$6,'Control Panel'!$C$6:$N$6,0))</f>
        <v>0.03</v>
      </c>
      <c r="I11" s="821">
        <f>INDEX('Control Panel'!$C$7:$N$25,MATCH($O11,Indicies,0),MATCH(I$6,'Control Panel'!$C$6:$N$6,0))</f>
        <v>0.03</v>
      </c>
      <c r="J11" s="821">
        <f>INDEX('Control Panel'!$C$7:$N$25,MATCH($O11,Indicies,0),MATCH(J$6,'Control Panel'!$C$6:$N$6,0))</f>
        <v>0.03</v>
      </c>
      <c r="K11" s="821">
        <f>INDEX('Control Panel'!$C$7:$N$25,MATCH($O11,Indicies,0),MATCH(K$6,'Control Panel'!$C$6:$N$6,0))</f>
        <v>0.03</v>
      </c>
      <c r="L11" s="821">
        <f>INDEX('Control Panel'!$C$7:$N$25,MATCH($O11,Indicies,0),MATCH(L$6,'Control Panel'!$C$6:$N$6,0))</f>
        <v>0.03</v>
      </c>
      <c r="M11" s="821">
        <f>INDEX('Control Panel'!$C$7:$N$25,MATCH($O11,Indicies,0),MATCH(M$6,'Control Panel'!$C$6:$N$6,0))</f>
        <v>0.03</v>
      </c>
      <c r="N11" s="821">
        <f>INDEX('Control Panel'!$C$7:$N$25,MATCH($O11,Indicies,0),MATCH(N$6,'Control Panel'!$C$6:$N$6,0))</f>
        <v>0.03</v>
      </c>
      <c r="O11" s="126" t="s">
        <v>7</v>
      </c>
      <c r="P11" s="128">
        <v>1966.17</v>
      </c>
      <c r="Q11" s="128">
        <v>226335.13</v>
      </c>
      <c r="R11" s="128">
        <v>0</v>
      </c>
      <c r="S11" s="206">
        <v>875</v>
      </c>
      <c r="T11" s="206">
        <f t="shared" si="1"/>
        <v>901.25</v>
      </c>
      <c r="U11" s="206">
        <f t="shared" si="0"/>
        <v>928.28750000000002</v>
      </c>
      <c r="V11" s="206">
        <f t="shared" si="0"/>
        <v>956.13612499999999</v>
      </c>
      <c r="W11" s="206">
        <f t="shared" si="0"/>
        <v>984.82020875000001</v>
      </c>
      <c r="X11" s="206">
        <f t="shared" si="0"/>
        <v>1014.3648150125</v>
      </c>
      <c r="Y11" s="206">
        <f t="shared" si="0"/>
        <v>1044.7957594628751</v>
      </c>
      <c r="Z11" s="206">
        <f t="shared" si="0"/>
        <v>1076.1396322467615</v>
      </c>
      <c r="AA11" s="206">
        <f t="shared" si="0"/>
        <v>1108.4238212141643</v>
      </c>
      <c r="AB11" s="206">
        <f t="shared" si="0"/>
        <v>1141.6765358505893</v>
      </c>
    </row>
    <row r="12" spans="1:31" x14ac:dyDescent="0.3">
      <c r="B12" s="85"/>
      <c r="C12" s="91" t="s">
        <v>67</v>
      </c>
      <c r="D12" s="91" t="s">
        <v>50</v>
      </c>
      <c r="E12" s="821">
        <f>INDEX('Control Panel'!$C$7:$N$25,MATCH($O12,Indicies,0),MATCH(E$6,'Control Panel'!$C$6:$N$6,0))</f>
        <v>0.03</v>
      </c>
      <c r="F12" s="821">
        <f>INDEX('Control Panel'!$C$7:$N$25,MATCH($O12,Indicies,0),MATCH(F$6,'Control Panel'!$C$6:$N$6,0))</f>
        <v>0.03</v>
      </c>
      <c r="G12" s="821">
        <f>INDEX('Control Panel'!$C$7:$N$25,MATCH($O12,Indicies,0),MATCH(G$6,'Control Panel'!$C$6:$N$6,0))</f>
        <v>0.03</v>
      </c>
      <c r="H12" s="821">
        <f>INDEX('Control Panel'!$C$7:$N$25,MATCH($O12,Indicies,0),MATCH(H$6,'Control Panel'!$C$6:$N$6,0))</f>
        <v>0.03</v>
      </c>
      <c r="I12" s="821">
        <f>INDEX('Control Panel'!$C$7:$N$25,MATCH($O12,Indicies,0),MATCH(I$6,'Control Panel'!$C$6:$N$6,0))</f>
        <v>0.03</v>
      </c>
      <c r="J12" s="821">
        <f>INDEX('Control Panel'!$C$7:$N$25,MATCH($O12,Indicies,0),MATCH(J$6,'Control Panel'!$C$6:$N$6,0))</f>
        <v>0.03</v>
      </c>
      <c r="K12" s="821">
        <f>INDEX('Control Panel'!$C$7:$N$25,MATCH($O12,Indicies,0),MATCH(K$6,'Control Panel'!$C$6:$N$6,0))</f>
        <v>0.03</v>
      </c>
      <c r="L12" s="821">
        <f>INDEX('Control Panel'!$C$7:$N$25,MATCH($O12,Indicies,0),MATCH(L$6,'Control Panel'!$C$6:$N$6,0))</f>
        <v>0.03</v>
      </c>
      <c r="M12" s="821">
        <f>INDEX('Control Panel'!$C$7:$N$25,MATCH($O12,Indicies,0),MATCH(M$6,'Control Panel'!$C$6:$N$6,0))</f>
        <v>0.03</v>
      </c>
      <c r="N12" s="821">
        <f>INDEX('Control Panel'!$C$7:$N$25,MATCH($O12,Indicies,0),MATCH(N$6,'Control Panel'!$C$6:$N$6,0))</f>
        <v>0.03</v>
      </c>
      <c r="O12" s="126" t="s">
        <v>7</v>
      </c>
      <c r="P12" s="128">
        <v>26588.81</v>
      </c>
      <c r="Q12" s="128">
        <v>14405.79</v>
      </c>
      <c r="R12" s="128">
        <v>109152</v>
      </c>
      <c r="S12" s="206">
        <v>66749</v>
      </c>
      <c r="T12" s="206">
        <f t="shared" si="1"/>
        <v>68751.47</v>
      </c>
      <c r="U12" s="206">
        <f t="shared" si="0"/>
        <v>70814.0141</v>
      </c>
      <c r="V12" s="206">
        <f t="shared" si="0"/>
        <v>72938.434523000004</v>
      </c>
      <c r="W12" s="206">
        <f t="shared" si="0"/>
        <v>75126.587558690007</v>
      </c>
      <c r="X12" s="206">
        <f t="shared" si="0"/>
        <v>77380.385185450708</v>
      </c>
      <c r="Y12" s="206">
        <f t="shared" si="0"/>
        <v>79701.79674101423</v>
      </c>
      <c r="Z12" s="206">
        <f t="shared" si="0"/>
        <v>82092.850643244659</v>
      </c>
      <c r="AA12" s="206">
        <f t="shared" si="0"/>
        <v>84555.636162541996</v>
      </c>
      <c r="AB12" s="206">
        <f t="shared" si="0"/>
        <v>87092.305247418262</v>
      </c>
    </row>
    <row r="13" spans="1:31" x14ac:dyDescent="0.3">
      <c r="B13" s="85"/>
      <c r="C13" s="91" t="s">
        <v>1910</v>
      </c>
      <c r="D13" s="91" t="s">
        <v>1911</v>
      </c>
      <c r="E13" s="821">
        <f>INDEX('Control Panel'!$C$7:$N$25,MATCH($O13,Indicies,0),MATCH(E$6,'Control Panel'!$C$6:$N$6,0))</f>
        <v>0.03</v>
      </c>
      <c r="F13" s="821">
        <f>INDEX('Control Panel'!$C$7:$N$25,MATCH($O13,Indicies,0),MATCH(F$6,'Control Panel'!$C$6:$N$6,0))</f>
        <v>0.03</v>
      </c>
      <c r="G13" s="821">
        <f>INDEX('Control Panel'!$C$7:$N$25,MATCH($O13,Indicies,0),MATCH(G$6,'Control Panel'!$C$6:$N$6,0))</f>
        <v>0.03</v>
      </c>
      <c r="H13" s="821">
        <f>INDEX('Control Panel'!$C$7:$N$25,MATCH($O13,Indicies,0),MATCH(H$6,'Control Panel'!$C$6:$N$6,0))</f>
        <v>0.03</v>
      </c>
      <c r="I13" s="821">
        <f>INDEX('Control Panel'!$C$7:$N$25,MATCH($O13,Indicies,0),MATCH(I$6,'Control Panel'!$C$6:$N$6,0))</f>
        <v>0.03</v>
      </c>
      <c r="J13" s="821">
        <f>INDEX('Control Panel'!$C$7:$N$25,MATCH($O13,Indicies,0),MATCH(J$6,'Control Panel'!$C$6:$N$6,0))</f>
        <v>0.03</v>
      </c>
      <c r="K13" s="821">
        <f>INDEX('Control Panel'!$C$7:$N$25,MATCH($O13,Indicies,0),MATCH(K$6,'Control Panel'!$C$6:$N$6,0))</f>
        <v>0.03</v>
      </c>
      <c r="L13" s="821">
        <f>INDEX('Control Panel'!$C$7:$N$25,MATCH($O13,Indicies,0),MATCH(L$6,'Control Panel'!$C$6:$N$6,0))</f>
        <v>0.03</v>
      </c>
      <c r="M13" s="821">
        <f>INDEX('Control Panel'!$C$7:$N$25,MATCH($O13,Indicies,0),MATCH(M$6,'Control Panel'!$C$6:$N$6,0))</f>
        <v>0.03</v>
      </c>
      <c r="N13" s="821">
        <f>INDEX('Control Panel'!$C$7:$N$25,MATCH($O13,Indicies,0),MATCH(N$6,'Control Panel'!$C$6:$N$6,0))</f>
        <v>0.03</v>
      </c>
      <c r="O13" s="126" t="s">
        <v>7</v>
      </c>
      <c r="P13" s="128">
        <v>0</v>
      </c>
      <c r="Q13" s="128">
        <v>0</v>
      </c>
      <c r="R13" s="128">
        <v>0</v>
      </c>
      <c r="S13" s="206">
        <v>29000</v>
      </c>
      <c r="T13" s="206">
        <f t="shared" si="1"/>
        <v>29870</v>
      </c>
      <c r="U13" s="206">
        <f t="shared" si="0"/>
        <v>30766.100000000002</v>
      </c>
      <c r="V13" s="206">
        <f t="shared" si="0"/>
        <v>31689.083000000002</v>
      </c>
      <c r="W13" s="206">
        <f t="shared" si="0"/>
        <v>32639.755490000003</v>
      </c>
      <c r="X13" s="206">
        <f t="shared" si="0"/>
        <v>33618.948154700003</v>
      </c>
      <c r="Y13" s="206">
        <f t="shared" si="0"/>
        <v>34627.516599341005</v>
      </c>
      <c r="Z13" s="206">
        <f t="shared" si="0"/>
        <v>35666.342097321234</v>
      </c>
      <c r="AA13" s="206">
        <f t="shared" si="0"/>
        <v>36736.332360240871</v>
      </c>
      <c r="AB13" s="206">
        <f t="shared" si="0"/>
        <v>37838.422331048096</v>
      </c>
    </row>
    <row r="14" spans="1:31" x14ac:dyDescent="0.3">
      <c r="B14" s="85"/>
      <c r="C14" s="91" t="s">
        <v>68</v>
      </c>
      <c r="D14" s="91" t="s">
        <v>69</v>
      </c>
      <c r="E14" s="821">
        <f>INDEX('Control Panel'!$C$7:$N$25,MATCH($O14,Indicies,0),MATCH(E$6,'Control Panel'!$C$6:$N$6,0))</f>
        <v>0.03</v>
      </c>
      <c r="F14" s="821">
        <f>INDEX('Control Panel'!$C$7:$N$25,MATCH($O14,Indicies,0),MATCH(F$6,'Control Panel'!$C$6:$N$6,0))</f>
        <v>0.03</v>
      </c>
      <c r="G14" s="821">
        <f>INDEX('Control Panel'!$C$7:$N$25,MATCH($O14,Indicies,0),MATCH(G$6,'Control Panel'!$C$6:$N$6,0))</f>
        <v>0.03</v>
      </c>
      <c r="H14" s="821">
        <f>INDEX('Control Panel'!$C$7:$N$25,MATCH($O14,Indicies,0),MATCH(H$6,'Control Panel'!$C$6:$N$6,0))</f>
        <v>0.03</v>
      </c>
      <c r="I14" s="821">
        <f>INDEX('Control Panel'!$C$7:$N$25,MATCH($O14,Indicies,0),MATCH(I$6,'Control Panel'!$C$6:$N$6,0))</f>
        <v>0.03</v>
      </c>
      <c r="J14" s="821">
        <f>INDEX('Control Panel'!$C$7:$N$25,MATCH($O14,Indicies,0),MATCH(J$6,'Control Panel'!$C$6:$N$6,0))</f>
        <v>0.03</v>
      </c>
      <c r="K14" s="821">
        <f>INDEX('Control Panel'!$C$7:$N$25,MATCH($O14,Indicies,0),MATCH(K$6,'Control Panel'!$C$6:$N$6,0))</f>
        <v>0.03</v>
      </c>
      <c r="L14" s="821">
        <f>INDEX('Control Panel'!$C$7:$N$25,MATCH($O14,Indicies,0),MATCH(L$6,'Control Panel'!$C$6:$N$6,0))</f>
        <v>0.03</v>
      </c>
      <c r="M14" s="821">
        <f>INDEX('Control Panel'!$C$7:$N$25,MATCH($O14,Indicies,0),MATCH(M$6,'Control Panel'!$C$6:$N$6,0))</f>
        <v>0.03</v>
      </c>
      <c r="N14" s="821">
        <f>INDEX('Control Panel'!$C$7:$N$25,MATCH($O14,Indicies,0),MATCH(N$6,'Control Panel'!$C$6:$N$6,0))</f>
        <v>0.03</v>
      </c>
      <c r="O14" s="126" t="s">
        <v>7</v>
      </c>
      <c r="P14" s="128">
        <v>303654.96000000002</v>
      </c>
      <c r="Q14" s="128">
        <v>360984.96</v>
      </c>
      <c r="R14" s="128">
        <v>366182</v>
      </c>
      <c r="S14" s="206">
        <v>365037</v>
      </c>
      <c r="T14" s="206">
        <f t="shared" si="1"/>
        <v>375988.11</v>
      </c>
      <c r="U14" s="206">
        <f t="shared" si="0"/>
        <v>387267.75329999998</v>
      </c>
      <c r="V14" s="206">
        <f t="shared" si="0"/>
        <v>398885.78589900001</v>
      </c>
      <c r="W14" s="206">
        <f t="shared" si="0"/>
        <v>410852.35947597004</v>
      </c>
      <c r="X14" s="206">
        <f t="shared" si="0"/>
        <v>423177.93026024912</v>
      </c>
      <c r="Y14" s="206">
        <f t="shared" si="0"/>
        <v>435873.26816805662</v>
      </c>
      <c r="Z14" s="206">
        <f t="shared" si="0"/>
        <v>448949.46621309832</v>
      </c>
      <c r="AA14" s="206">
        <f t="shared" si="0"/>
        <v>462417.95019949129</v>
      </c>
      <c r="AB14" s="206">
        <f t="shared" si="0"/>
        <v>476290.48870547605</v>
      </c>
    </row>
    <row r="15" spans="1:31" s="98" customFormat="1" x14ac:dyDescent="0.3">
      <c r="A15" s="93"/>
      <c r="B15" s="94"/>
      <c r="C15" s="95"/>
      <c r="D15" s="96" t="s">
        <v>1491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205">
        <f t="shared" ref="P15:AB15" si="2">SUM(P7:P14)</f>
        <v>905068.45000000019</v>
      </c>
      <c r="Q15" s="205">
        <f t="shared" si="2"/>
        <v>1190187.8</v>
      </c>
      <c r="R15" s="205">
        <f t="shared" si="2"/>
        <v>1306987</v>
      </c>
      <c r="S15" s="205">
        <f t="shared" si="2"/>
        <v>1457746</v>
      </c>
      <c r="T15" s="205">
        <f t="shared" si="2"/>
        <v>1499335.0300000003</v>
      </c>
      <c r="U15" s="205">
        <f>SUM(U7:U14)</f>
        <v>1542171.7309000003</v>
      </c>
      <c r="V15" s="205">
        <f t="shared" si="2"/>
        <v>1586293.5328270001</v>
      </c>
      <c r="W15" s="205">
        <f t="shared" si="2"/>
        <v>1631738.9888118098</v>
      </c>
      <c r="X15" s="205">
        <f t="shared" si="2"/>
        <v>1678547.8084761645</v>
      </c>
      <c r="Y15" s="205">
        <f t="shared" si="2"/>
        <v>1726760.8927304493</v>
      </c>
      <c r="Z15" s="205">
        <f t="shared" si="2"/>
        <v>1776420.3695123629</v>
      </c>
      <c r="AA15" s="205">
        <f t="shared" si="2"/>
        <v>1827569.6305977339</v>
      </c>
      <c r="AB15" s="205">
        <f t="shared" si="2"/>
        <v>1880253.369515666</v>
      </c>
    </row>
    <row r="16" spans="1:31" x14ac:dyDescent="0.3">
      <c r="B16" s="79" t="s">
        <v>16</v>
      </c>
      <c r="AA16" s="78"/>
      <c r="AB16" s="78"/>
    </row>
    <row r="17" spans="1:28" x14ac:dyDescent="0.3">
      <c r="B17" s="80"/>
      <c r="C17" s="86" t="s">
        <v>53</v>
      </c>
      <c r="D17" s="87" t="s">
        <v>54</v>
      </c>
      <c r="P17" s="84">
        <v>2013</v>
      </c>
      <c r="Q17" s="84">
        <v>2014</v>
      </c>
      <c r="R17" s="84">
        <v>2015</v>
      </c>
      <c r="S17" s="84">
        <v>2016</v>
      </c>
      <c r="T17" s="84">
        <v>2017</v>
      </c>
      <c r="U17" s="84">
        <v>2018</v>
      </c>
      <c r="V17" s="84">
        <v>2019</v>
      </c>
      <c r="W17" s="84">
        <v>2020</v>
      </c>
      <c r="X17" s="84">
        <v>2021</v>
      </c>
      <c r="Y17" s="84">
        <v>2022</v>
      </c>
      <c r="Z17" s="84">
        <v>2023</v>
      </c>
      <c r="AA17" s="84">
        <v>2024</v>
      </c>
      <c r="AB17" s="84">
        <v>2025</v>
      </c>
    </row>
    <row r="18" spans="1:28" x14ac:dyDescent="0.3">
      <c r="B18" s="522">
        <v>1</v>
      </c>
      <c r="C18" s="91" t="s">
        <v>52</v>
      </c>
      <c r="D18" s="91" t="s">
        <v>37</v>
      </c>
      <c r="P18" s="128">
        <f t="shared" ref="P18:S24" si="3">P7*$B18</f>
        <v>256186.18</v>
      </c>
      <c r="Q18" s="128">
        <f t="shared" ref="Q18:AB18" si="4">Q7*$B18</f>
        <v>305378</v>
      </c>
      <c r="R18" s="128">
        <f t="shared" si="4"/>
        <v>571511</v>
      </c>
      <c r="S18" s="128">
        <f t="shared" si="4"/>
        <v>705310</v>
      </c>
      <c r="T18" s="128">
        <f t="shared" si="4"/>
        <v>726469.3</v>
      </c>
      <c r="U18" s="128">
        <f t="shared" si="4"/>
        <v>748263.37900000007</v>
      </c>
      <c r="V18" s="128">
        <f t="shared" si="4"/>
        <v>770711.28037000005</v>
      </c>
      <c r="W18" s="128">
        <f t="shared" si="4"/>
        <v>793832.61878110003</v>
      </c>
      <c r="X18" s="128">
        <f t="shared" si="4"/>
        <v>817647.59734453307</v>
      </c>
      <c r="Y18" s="128">
        <f t="shared" si="4"/>
        <v>842177.02526486909</v>
      </c>
      <c r="Z18" s="128">
        <f t="shared" si="4"/>
        <v>867442.3360228152</v>
      </c>
      <c r="AA18" s="128">
        <f t="shared" si="4"/>
        <v>893465.60610349965</v>
      </c>
      <c r="AB18" s="128">
        <f t="shared" si="4"/>
        <v>920269.57428660465</v>
      </c>
    </row>
    <row r="19" spans="1:28" x14ac:dyDescent="0.3">
      <c r="B19" s="522">
        <v>1</v>
      </c>
      <c r="C19" s="91" t="s">
        <v>58</v>
      </c>
      <c r="D19" s="91" t="s">
        <v>41</v>
      </c>
      <c r="P19" s="128">
        <f t="shared" si="3"/>
        <v>63528.480000000003</v>
      </c>
      <c r="Q19" s="128">
        <f t="shared" ref="Q19:AB19" si="5">Q8*$B19</f>
        <v>50725.98</v>
      </c>
      <c r="R19" s="128">
        <f t="shared" si="5"/>
        <v>54413</v>
      </c>
      <c r="S19" s="128">
        <f t="shared" si="5"/>
        <v>60145</v>
      </c>
      <c r="T19" s="128">
        <f t="shared" si="5"/>
        <v>60145</v>
      </c>
      <c r="U19" s="128">
        <f t="shared" si="5"/>
        <v>60145</v>
      </c>
      <c r="V19" s="128">
        <f t="shared" si="5"/>
        <v>60145</v>
      </c>
      <c r="W19" s="128">
        <f t="shared" si="5"/>
        <v>60145</v>
      </c>
      <c r="X19" s="128">
        <f t="shared" si="5"/>
        <v>60145</v>
      </c>
      <c r="Y19" s="128">
        <f t="shared" si="5"/>
        <v>60145</v>
      </c>
      <c r="Z19" s="128">
        <f t="shared" si="5"/>
        <v>60145</v>
      </c>
      <c r="AA19" s="128">
        <f t="shared" si="5"/>
        <v>60145</v>
      </c>
      <c r="AB19" s="128">
        <f t="shared" si="5"/>
        <v>60145</v>
      </c>
    </row>
    <row r="20" spans="1:28" x14ac:dyDescent="0.3">
      <c r="B20" s="522">
        <v>1</v>
      </c>
      <c r="C20" s="91" t="s">
        <v>59</v>
      </c>
      <c r="D20" s="91" t="s">
        <v>42</v>
      </c>
      <c r="P20" s="128">
        <f t="shared" si="3"/>
        <v>9745.6</v>
      </c>
      <c r="Q20" s="128">
        <f t="shared" ref="Q20:AB20" si="6">Q9*$B20</f>
        <v>11329.2</v>
      </c>
      <c r="R20" s="128">
        <f t="shared" si="6"/>
        <v>2419</v>
      </c>
      <c r="S20" s="128">
        <f t="shared" si="6"/>
        <v>11300</v>
      </c>
      <c r="T20" s="128">
        <f t="shared" si="6"/>
        <v>11300</v>
      </c>
      <c r="U20" s="128">
        <f t="shared" si="6"/>
        <v>11300</v>
      </c>
      <c r="V20" s="128">
        <f t="shared" si="6"/>
        <v>11300</v>
      </c>
      <c r="W20" s="128">
        <f t="shared" si="6"/>
        <v>11300</v>
      </c>
      <c r="X20" s="128">
        <f t="shared" si="6"/>
        <v>11300</v>
      </c>
      <c r="Y20" s="128">
        <f t="shared" si="6"/>
        <v>11300</v>
      </c>
      <c r="Z20" s="128">
        <f t="shared" si="6"/>
        <v>11300</v>
      </c>
      <c r="AA20" s="128">
        <f t="shared" si="6"/>
        <v>11300</v>
      </c>
      <c r="AB20" s="128">
        <f t="shared" si="6"/>
        <v>11300</v>
      </c>
    </row>
    <row r="21" spans="1:28" x14ac:dyDescent="0.3">
      <c r="B21" s="522">
        <v>0.75</v>
      </c>
      <c r="C21" s="91" t="s">
        <v>65</v>
      </c>
      <c r="D21" s="91" t="s">
        <v>48</v>
      </c>
      <c r="P21" s="128">
        <f t="shared" si="3"/>
        <v>182548.68750000003</v>
      </c>
      <c r="Q21" s="128">
        <f t="shared" ref="Q21:AB21" si="7">Q10*$B21</f>
        <v>165771.55499999999</v>
      </c>
      <c r="R21" s="128">
        <f t="shared" si="7"/>
        <v>152482.5</v>
      </c>
      <c r="S21" s="128">
        <f t="shared" si="7"/>
        <v>164497.5</v>
      </c>
      <c r="T21" s="128">
        <f t="shared" si="7"/>
        <v>169432.42499999999</v>
      </c>
      <c r="U21" s="128">
        <f t="shared" si="7"/>
        <v>174515.39775</v>
      </c>
      <c r="V21" s="128">
        <f t="shared" si="7"/>
        <v>179750.85968249998</v>
      </c>
      <c r="W21" s="128">
        <f t="shared" si="7"/>
        <v>185143.38547297497</v>
      </c>
      <c r="X21" s="128">
        <f t="shared" si="7"/>
        <v>190697.68703716423</v>
      </c>
      <c r="Y21" s="128">
        <f t="shared" si="7"/>
        <v>196418.61764827918</v>
      </c>
      <c r="Z21" s="128">
        <f t="shared" si="7"/>
        <v>202311.17617772755</v>
      </c>
      <c r="AA21" s="128">
        <f t="shared" si="7"/>
        <v>208380.5114630594</v>
      </c>
      <c r="AB21" s="128">
        <f t="shared" si="7"/>
        <v>214631.92680695117</v>
      </c>
    </row>
    <row r="22" spans="1:28" x14ac:dyDescent="0.3">
      <c r="B22" s="522">
        <v>0.75</v>
      </c>
      <c r="C22" s="91" t="s">
        <v>66</v>
      </c>
      <c r="D22" s="91" t="s">
        <v>49</v>
      </c>
      <c r="P22" s="128">
        <f t="shared" si="3"/>
        <v>1474.6275000000001</v>
      </c>
      <c r="Q22" s="128">
        <f t="shared" ref="Q22:AB22" si="8">Q11*$B22</f>
        <v>169751.3475</v>
      </c>
      <c r="R22" s="128">
        <f t="shared" si="8"/>
        <v>0</v>
      </c>
      <c r="S22" s="128">
        <f t="shared" si="8"/>
        <v>656.25</v>
      </c>
      <c r="T22" s="128">
        <f t="shared" si="8"/>
        <v>675.9375</v>
      </c>
      <c r="U22" s="128">
        <f>U11*$B22</f>
        <v>696.21562500000005</v>
      </c>
      <c r="V22" s="128">
        <f t="shared" si="8"/>
        <v>717.10209374999999</v>
      </c>
      <c r="W22" s="128">
        <f t="shared" si="8"/>
        <v>738.61515656250003</v>
      </c>
      <c r="X22" s="128">
        <f t="shared" si="8"/>
        <v>760.773611259375</v>
      </c>
      <c r="Y22" s="128">
        <f t="shared" si="8"/>
        <v>783.59681959715635</v>
      </c>
      <c r="Z22" s="128">
        <f t="shared" si="8"/>
        <v>807.10472418507106</v>
      </c>
      <c r="AA22" s="128">
        <f t="shared" si="8"/>
        <v>831.31786591062314</v>
      </c>
      <c r="AB22" s="128">
        <f t="shared" si="8"/>
        <v>856.25740188794202</v>
      </c>
    </row>
    <row r="23" spans="1:28" x14ac:dyDescent="0.3">
      <c r="B23" s="522">
        <v>0.78</v>
      </c>
      <c r="C23" s="91" t="s">
        <v>67</v>
      </c>
      <c r="D23" s="91" t="s">
        <v>50</v>
      </c>
      <c r="P23" s="128">
        <f t="shared" si="3"/>
        <v>20739.271800000002</v>
      </c>
      <c r="Q23" s="128">
        <f>Q12*$B23</f>
        <v>11236.516200000002</v>
      </c>
      <c r="R23" s="128">
        <f>R12*$B23</f>
        <v>85138.559999999998</v>
      </c>
      <c r="S23" s="128">
        <f>S12*$B23</f>
        <v>52064.22</v>
      </c>
      <c r="T23" s="128">
        <f>T12*$B23</f>
        <v>53626.1466</v>
      </c>
      <c r="U23" s="128">
        <f t="shared" ref="U23:AB23" si="9">U12*$B23</f>
        <v>55234.930998000003</v>
      </c>
      <c r="V23" s="128">
        <f t="shared" si="9"/>
        <v>56891.978927940007</v>
      </c>
      <c r="W23" s="128">
        <f t="shared" si="9"/>
        <v>58598.73829577821</v>
      </c>
      <c r="X23" s="128">
        <f t="shared" si="9"/>
        <v>60356.700444651557</v>
      </c>
      <c r="Y23" s="128">
        <f t="shared" si="9"/>
        <v>62167.401457991102</v>
      </c>
      <c r="Z23" s="128">
        <f t="shared" si="9"/>
        <v>64032.423501730838</v>
      </c>
      <c r="AA23" s="128">
        <f t="shared" si="9"/>
        <v>65953.396206782752</v>
      </c>
      <c r="AB23" s="128">
        <f t="shared" si="9"/>
        <v>67931.99809298625</v>
      </c>
    </row>
    <row r="24" spans="1:28" x14ac:dyDescent="0.3">
      <c r="B24" s="522">
        <v>0.78</v>
      </c>
      <c r="C24" s="91" t="s">
        <v>1910</v>
      </c>
      <c r="D24" s="91" t="s">
        <v>1911</v>
      </c>
      <c r="P24" s="128">
        <f t="shared" si="3"/>
        <v>0</v>
      </c>
      <c r="Q24" s="128">
        <f t="shared" si="3"/>
        <v>0</v>
      </c>
      <c r="R24" s="128">
        <f t="shared" si="3"/>
        <v>0</v>
      </c>
      <c r="S24" s="128">
        <f t="shared" si="3"/>
        <v>22620</v>
      </c>
      <c r="T24" s="128">
        <f>T13*$B24</f>
        <v>23298.600000000002</v>
      </c>
      <c r="U24" s="128">
        <f t="shared" ref="U24:AB24" si="10">U13*$B24</f>
        <v>23997.558000000001</v>
      </c>
      <c r="V24" s="128">
        <f t="shared" si="10"/>
        <v>24717.484740000004</v>
      </c>
      <c r="W24" s="128">
        <f t="shared" si="10"/>
        <v>25459.009282200004</v>
      </c>
      <c r="X24" s="128">
        <f t="shared" si="10"/>
        <v>26222.779560666004</v>
      </c>
      <c r="Y24" s="128">
        <f t="shared" si="10"/>
        <v>27009.462947485983</v>
      </c>
      <c r="Z24" s="128">
        <f t="shared" si="10"/>
        <v>27819.746835910562</v>
      </c>
      <c r="AA24" s="128">
        <f t="shared" si="10"/>
        <v>28654.33924098788</v>
      </c>
      <c r="AB24" s="128">
        <f t="shared" si="10"/>
        <v>29513.969418217515</v>
      </c>
    </row>
    <row r="25" spans="1:28" x14ac:dyDescent="0.3">
      <c r="B25" s="522">
        <v>0.78</v>
      </c>
      <c r="C25" s="91" t="s">
        <v>68</v>
      </c>
      <c r="D25" s="91" t="s">
        <v>69</v>
      </c>
      <c r="P25" s="128">
        <f t="shared" ref="P25:AB25" si="11">P14*$B25</f>
        <v>236850.86880000003</v>
      </c>
      <c r="Q25" s="128">
        <f t="shared" si="11"/>
        <v>281568.26880000002</v>
      </c>
      <c r="R25" s="128">
        <f t="shared" si="11"/>
        <v>285621.96000000002</v>
      </c>
      <c r="S25" s="128">
        <f t="shared" si="11"/>
        <v>284728.86</v>
      </c>
      <c r="T25" s="128">
        <f t="shared" si="11"/>
        <v>293270.72580000001</v>
      </c>
      <c r="U25" s="128">
        <f t="shared" si="11"/>
        <v>302068.84757400001</v>
      </c>
      <c r="V25" s="128">
        <f t="shared" si="11"/>
        <v>311130.91300122003</v>
      </c>
      <c r="W25" s="128">
        <f t="shared" si="11"/>
        <v>320464.84039125661</v>
      </c>
      <c r="X25" s="128">
        <f t="shared" si="11"/>
        <v>330078.78560299432</v>
      </c>
      <c r="Y25" s="128">
        <f t="shared" si="11"/>
        <v>339981.14917108417</v>
      </c>
      <c r="Z25" s="128">
        <f t="shared" si="11"/>
        <v>350180.58364621672</v>
      </c>
      <c r="AA25" s="128">
        <f t="shared" si="11"/>
        <v>360686.00115560321</v>
      </c>
      <c r="AB25" s="128">
        <f t="shared" si="11"/>
        <v>371506.5811902713</v>
      </c>
    </row>
    <row r="26" spans="1:28" x14ac:dyDescent="0.3">
      <c r="B26" s="99"/>
      <c r="C26" s="95"/>
      <c r="D26" s="96" t="s">
        <v>1491</v>
      </c>
      <c r="P26" s="205">
        <f t="shared" ref="P26:AB26" si="12">SUM(P18:P25)</f>
        <v>771073.71560000011</v>
      </c>
      <c r="Q26" s="205">
        <f t="shared" si="12"/>
        <v>995760.86749999993</v>
      </c>
      <c r="R26" s="205">
        <f t="shared" si="12"/>
        <v>1151586.02</v>
      </c>
      <c r="S26" s="205">
        <f t="shared" si="12"/>
        <v>1301321.83</v>
      </c>
      <c r="T26" s="205">
        <f t="shared" si="12"/>
        <v>1338218.1348999999</v>
      </c>
      <c r="U26" s="205">
        <f>SUM(U18:U25)</f>
        <v>1376221.328947</v>
      </c>
      <c r="V26" s="205">
        <f t="shared" si="12"/>
        <v>1415364.61881541</v>
      </c>
      <c r="W26" s="205">
        <f t="shared" si="12"/>
        <v>1455682.2073798722</v>
      </c>
      <c r="X26" s="205">
        <f t="shared" si="12"/>
        <v>1497209.3236012687</v>
      </c>
      <c r="Y26" s="205">
        <f t="shared" si="12"/>
        <v>1539982.2533093067</v>
      </c>
      <c r="Z26" s="205">
        <f t="shared" si="12"/>
        <v>1584038.3709085858</v>
      </c>
      <c r="AA26" s="205">
        <f t="shared" si="12"/>
        <v>1629416.1720358434</v>
      </c>
      <c r="AB26" s="205">
        <f t="shared" si="12"/>
        <v>1676155.3071969186</v>
      </c>
    </row>
    <row r="27" spans="1:28" x14ac:dyDescent="0.3">
      <c r="B27" s="99"/>
      <c r="C27" s="100"/>
      <c r="D27" s="80"/>
      <c r="P27" s="92"/>
      <c r="Q27" s="92"/>
      <c r="R27" s="92"/>
      <c r="S27" s="92"/>
      <c r="T27" s="92"/>
      <c r="U27" s="92"/>
      <c r="V27" s="92"/>
      <c r="W27" s="92"/>
      <c r="X27" s="92"/>
      <c r="AA27" s="78"/>
    </row>
    <row r="28" spans="1:28" x14ac:dyDescent="0.3">
      <c r="B28" s="79" t="s">
        <v>24</v>
      </c>
      <c r="AA28" s="78"/>
    </row>
    <row r="29" spans="1:28" x14ac:dyDescent="0.3">
      <c r="A29" s="80"/>
      <c r="B29" s="522"/>
      <c r="C29" s="82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4">
        <v>2013</v>
      </c>
      <c r="Q29" s="84">
        <v>2014</v>
      </c>
      <c r="R29" s="84">
        <v>2015</v>
      </c>
      <c r="S29" s="84">
        <v>2016</v>
      </c>
      <c r="T29" s="84">
        <v>2017</v>
      </c>
      <c r="U29" s="84">
        <v>2018</v>
      </c>
      <c r="V29" s="84">
        <v>2019</v>
      </c>
      <c r="W29" s="84">
        <v>2020</v>
      </c>
      <c r="X29" s="84">
        <v>2021</v>
      </c>
      <c r="Y29" s="84">
        <v>2022</v>
      </c>
      <c r="Z29" s="84">
        <v>2023</v>
      </c>
      <c r="AA29" s="84">
        <v>2024</v>
      </c>
      <c r="AB29" s="84">
        <v>2025</v>
      </c>
    </row>
    <row r="30" spans="1:28" x14ac:dyDescent="0.3">
      <c r="B30" s="522">
        <v>0</v>
      </c>
      <c r="C30" s="91" t="s">
        <v>52</v>
      </c>
      <c r="D30" s="91" t="s">
        <v>37</v>
      </c>
      <c r="P30" s="128">
        <f>P7*$B30</f>
        <v>0</v>
      </c>
      <c r="Q30" s="128">
        <f t="shared" ref="Q30:AB30" si="13">Q7*$B30</f>
        <v>0</v>
      </c>
      <c r="R30" s="128">
        <f t="shared" si="13"/>
        <v>0</v>
      </c>
      <c r="S30" s="128">
        <f t="shared" si="13"/>
        <v>0</v>
      </c>
      <c r="T30" s="128">
        <f t="shared" si="13"/>
        <v>0</v>
      </c>
      <c r="U30" s="128">
        <f t="shared" si="13"/>
        <v>0</v>
      </c>
      <c r="V30" s="128">
        <f t="shared" si="13"/>
        <v>0</v>
      </c>
      <c r="W30" s="128">
        <f t="shared" si="13"/>
        <v>0</v>
      </c>
      <c r="X30" s="128">
        <f t="shared" si="13"/>
        <v>0</v>
      </c>
      <c r="Y30" s="128">
        <f t="shared" si="13"/>
        <v>0</v>
      </c>
      <c r="Z30" s="128">
        <f t="shared" si="13"/>
        <v>0</v>
      </c>
      <c r="AA30" s="128">
        <f t="shared" si="13"/>
        <v>0</v>
      </c>
      <c r="AB30" s="128">
        <f t="shared" si="13"/>
        <v>0</v>
      </c>
    </row>
    <row r="31" spans="1:28" x14ac:dyDescent="0.3">
      <c r="B31" s="522">
        <v>0</v>
      </c>
      <c r="C31" s="91" t="s">
        <v>58</v>
      </c>
      <c r="D31" s="91" t="s">
        <v>41</v>
      </c>
      <c r="P31" s="128">
        <f>P8*$B31</f>
        <v>0</v>
      </c>
      <c r="Q31" s="128">
        <f t="shared" ref="Q31:AB31" si="14">Q8*$B31</f>
        <v>0</v>
      </c>
      <c r="R31" s="128">
        <f t="shared" si="14"/>
        <v>0</v>
      </c>
      <c r="S31" s="128">
        <f t="shared" si="14"/>
        <v>0</v>
      </c>
      <c r="T31" s="128">
        <f t="shared" si="14"/>
        <v>0</v>
      </c>
      <c r="U31" s="128">
        <f>U8*$B31</f>
        <v>0</v>
      </c>
      <c r="V31" s="128">
        <f t="shared" si="14"/>
        <v>0</v>
      </c>
      <c r="W31" s="128">
        <f t="shared" si="14"/>
        <v>0</v>
      </c>
      <c r="X31" s="128">
        <f t="shared" si="14"/>
        <v>0</v>
      </c>
      <c r="Y31" s="128">
        <f t="shared" si="14"/>
        <v>0</v>
      </c>
      <c r="Z31" s="128">
        <f t="shared" si="14"/>
        <v>0</v>
      </c>
      <c r="AA31" s="128">
        <f t="shared" si="14"/>
        <v>0</v>
      </c>
      <c r="AB31" s="128">
        <f t="shared" si="14"/>
        <v>0</v>
      </c>
    </row>
    <row r="32" spans="1:28" x14ac:dyDescent="0.3">
      <c r="B32" s="522">
        <v>0</v>
      </c>
      <c r="C32" s="91" t="s">
        <v>59</v>
      </c>
      <c r="D32" s="91" t="s">
        <v>42</v>
      </c>
      <c r="P32" s="128">
        <f>P9*$B32</f>
        <v>0</v>
      </c>
      <c r="Q32" s="128">
        <f t="shared" ref="Q32:AB32" si="15">Q9*$B32</f>
        <v>0</v>
      </c>
      <c r="R32" s="128">
        <f t="shared" si="15"/>
        <v>0</v>
      </c>
      <c r="S32" s="128">
        <f t="shared" si="15"/>
        <v>0</v>
      </c>
      <c r="T32" s="128">
        <f t="shared" si="15"/>
        <v>0</v>
      </c>
      <c r="U32" s="128">
        <f t="shared" si="15"/>
        <v>0</v>
      </c>
      <c r="V32" s="128">
        <f t="shared" si="15"/>
        <v>0</v>
      </c>
      <c r="W32" s="128">
        <f t="shared" si="15"/>
        <v>0</v>
      </c>
      <c r="X32" s="128">
        <f t="shared" si="15"/>
        <v>0</v>
      </c>
      <c r="Y32" s="128">
        <f t="shared" si="15"/>
        <v>0</v>
      </c>
      <c r="Z32" s="128">
        <f t="shared" si="15"/>
        <v>0</v>
      </c>
      <c r="AA32" s="128">
        <f t="shared" si="15"/>
        <v>0</v>
      </c>
      <c r="AB32" s="128">
        <f t="shared" si="15"/>
        <v>0</v>
      </c>
    </row>
    <row r="33" spans="2:28" x14ac:dyDescent="0.3">
      <c r="B33" s="522">
        <v>0.25</v>
      </c>
      <c r="C33" s="91" t="s">
        <v>65</v>
      </c>
      <c r="D33" s="91" t="s">
        <v>48</v>
      </c>
      <c r="P33" s="128">
        <f>P10*$B33</f>
        <v>60849.562500000007</v>
      </c>
      <c r="Q33" s="128">
        <f t="shared" ref="Q33:AB33" si="16">Q10*$B33</f>
        <v>55257.184999999998</v>
      </c>
      <c r="R33" s="128">
        <f t="shared" si="16"/>
        <v>50827.5</v>
      </c>
      <c r="S33" s="128">
        <f t="shared" si="16"/>
        <v>54832.5</v>
      </c>
      <c r="T33" s="128">
        <f t="shared" si="16"/>
        <v>56477.474999999999</v>
      </c>
      <c r="U33" s="128">
        <f t="shared" si="16"/>
        <v>58171.799249999996</v>
      </c>
      <c r="V33" s="128">
        <f t="shared" si="16"/>
        <v>59916.953227499995</v>
      </c>
      <c r="W33" s="128">
        <f t="shared" si="16"/>
        <v>61714.461824324993</v>
      </c>
      <c r="X33" s="128">
        <f t="shared" si="16"/>
        <v>63565.895679054745</v>
      </c>
      <c r="Y33" s="128">
        <f t="shared" si="16"/>
        <v>65472.872549426393</v>
      </c>
      <c r="Z33" s="128">
        <f t="shared" si="16"/>
        <v>67437.058725909184</v>
      </c>
      <c r="AA33" s="128">
        <f t="shared" si="16"/>
        <v>69460.170487686468</v>
      </c>
      <c r="AB33" s="128">
        <f t="shared" si="16"/>
        <v>71543.975602317063</v>
      </c>
    </row>
    <row r="34" spans="2:28" x14ac:dyDescent="0.3">
      <c r="B34" s="522">
        <v>0.25</v>
      </c>
      <c r="C34" s="91" t="s">
        <v>66</v>
      </c>
      <c r="D34" s="91" t="s">
        <v>49</v>
      </c>
      <c r="P34" s="128">
        <f t="shared" ref="P34:AB34" si="17">P11*$B34</f>
        <v>491.54250000000002</v>
      </c>
      <c r="Q34" s="128">
        <f t="shared" si="17"/>
        <v>56583.782500000001</v>
      </c>
      <c r="R34" s="128">
        <f t="shared" si="17"/>
        <v>0</v>
      </c>
      <c r="S34" s="128">
        <f t="shared" si="17"/>
        <v>218.75</v>
      </c>
      <c r="T34" s="128">
        <f t="shared" si="17"/>
        <v>225.3125</v>
      </c>
      <c r="U34" s="128">
        <f t="shared" si="17"/>
        <v>232.07187500000001</v>
      </c>
      <c r="V34" s="128">
        <f t="shared" si="17"/>
        <v>239.03403125</v>
      </c>
      <c r="W34" s="128">
        <f t="shared" si="17"/>
        <v>246.2050521875</v>
      </c>
      <c r="X34" s="128">
        <f t="shared" si="17"/>
        <v>253.591203753125</v>
      </c>
      <c r="Y34" s="128">
        <f t="shared" si="17"/>
        <v>261.19893986571878</v>
      </c>
      <c r="Z34" s="128">
        <f t="shared" si="17"/>
        <v>269.03490806169037</v>
      </c>
      <c r="AA34" s="128">
        <f t="shared" si="17"/>
        <v>277.10595530354107</v>
      </c>
      <c r="AB34" s="128">
        <f t="shared" si="17"/>
        <v>285.41913396264732</v>
      </c>
    </row>
    <row r="35" spans="2:28" x14ac:dyDescent="0.3">
      <c r="B35" s="522">
        <v>0.09</v>
      </c>
      <c r="C35" s="91" t="s">
        <v>67</v>
      </c>
      <c r="D35" s="91" t="s">
        <v>50</v>
      </c>
      <c r="P35" s="128">
        <f t="shared" ref="P35:R35" si="18">P12*$B35</f>
        <v>2392.9929000000002</v>
      </c>
      <c r="Q35" s="128">
        <f t="shared" si="18"/>
        <v>1296.5210999999999</v>
      </c>
      <c r="R35" s="128">
        <f t="shared" si="18"/>
        <v>9823.68</v>
      </c>
      <c r="S35" s="128">
        <f>S12*$B35</f>
        <v>6007.41</v>
      </c>
      <c r="T35" s="128">
        <f t="shared" ref="T35:AB35" si="19">T12*$B35</f>
        <v>6187.6323000000002</v>
      </c>
      <c r="U35" s="128">
        <f t="shared" si="19"/>
        <v>6373.2612689999996</v>
      </c>
      <c r="V35" s="128">
        <f t="shared" si="19"/>
        <v>6564.4591070699998</v>
      </c>
      <c r="W35" s="128">
        <f t="shared" si="19"/>
        <v>6761.3928802821001</v>
      </c>
      <c r="X35" s="128">
        <f t="shared" si="19"/>
        <v>6964.2346666905632</v>
      </c>
      <c r="Y35" s="128">
        <f t="shared" si="19"/>
        <v>7173.1617066912804</v>
      </c>
      <c r="Z35" s="128">
        <f t="shared" si="19"/>
        <v>7388.3565578920188</v>
      </c>
      <c r="AA35" s="128">
        <f t="shared" si="19"/>
        <v>7610.0072546287793</v>
      </c>
      <c r="AB35" s="128">
        <f t="shared" si="19"/>
        <v>7838.3074722676429</v>
      </c>
    </row>
    <row r="36" spans="2:28" x14ac:dyDescent="0.3">
      <c r="B36" s="522">
        <v>0.09</v>
      </c>
      <c r="C36" s="91" t="s">
        <v>1910</v>
      </c>
      <c r="D36" s="91" t="s">
        <v>1911</v>
      </c>
      <c r="P36" s="128">
        <f t="shared" ref="P36:R36" si="20">P13*$B36</f>
        <v>0</v>
      </c>
      <c r="Q36" s="128">
        <f t="shared" si="20"/>
        <v>0</v>
      </c>
      <c r="R36" s="128">
        <f t="shared" si="20"/>
        <v>0</v>
      </c>
      <c r="S36" s="128">
        <f>S13*$B36</f>
        <v>2610</v>
      </c>
      <c r="T36" s="128">
        <f t="shared" ref="T36:AB36" si="21">T13*$B36</f>
        <v>2688.2999999999997</v>
      </c>
      <c r="U36" s="128">
        <f t="shared" si="21"/>
        <v>2768.9490000000001</v>
      </c>
      <c r="V36" s="128">
        <f t="shared" si="21"/>
        <v>2852.0174700000002</v>
      </c>
      <c r="W36" s="128">
        <f t="shared" si="21"/>
        <v>2937.5779941000001</v>
      </c>
      <c r="X36" s="128">
        <f t="shared" si="21"/>
        <v>3025.7053339230001</v>
      </c>
      <c r="Y36" s="128">
        <f t="shared" si="21"/>
        <v>3116.4764939406905</v>
      </c>
      <c r="Z36" s="128">
        <f t="shared" si="21"/>
        <v>3209.9707887589111</v>
      </c>
      <c r="AA36" s="128">
        <f t="shared" si="21"/>
        <v>3306.2699124216783</v>
      </c>
      <c r="AB36" s="128">
        <f t="shared" si="21"/>
        <v>3405.4580097943285</v>
      </c>
    </row>
    <row r="37" spans="2:28" x14ac:dyDescent="0.3">
      <c r="B37" s="522">
        <v>0.09</v>
      </c>
      <c r="C37" s="91" t="s">
        <v>68</v>
      </c>
      <c r="D37" s="91" t="s">
        <v>69</v>
      </c>
      <c r="P37" s="128">
        <f t="shared" ref="P37:AB37" si="22">P14*$B37</f>
        <v>27328.946400000001</v>
      </c>
      <c r="Q37" s="128">
        <f t="shared" si="22"/>
        <v>32488.646400000001</v>
      </c>
      <c r="R37" s="128">
        <f t="shared" si="22"/>
        <v>32956.379999999997</v>
      </c>
      <c r="S37" s="128">
        <f t="shared" si="22"/>
        <v>32853.33</v>
      </c>
      <c r="T37" s="128">
        <f t="shared" si="22"/>
        <v>33838.929899999996</v>
      </c>
      <c r="U37" s="128">
        <f>U14*$B37</f>
        <v>34854.097796999995</v>
      </c>
      <c r="V37" s="128">
        <f t="shared" si="22"/>
        <v>35899.720730909998</v>
      </c>
      <c r="W37" s="128">
        <f t="shared" si="22"/>
        <v>36976.712352837305</v>
      </c>
      <c r="X37" s="128">
        <f t="shared" si="22"/>
        <v>38086.013723422417</v>
      </c>
      <c r="Y37" s="128">
        <f t="shared" si="22"/>
        <v>39228.594135125095</v>
      </c>
      <c r="Z37" s="128">
        <f t="shared" si="22"/>
        <v>40405.451959178848</v>
      </c>
      <c r="AA37" s="128">
        <f t="shared" si="22"/>
        <v>41617.615517954211</v>
      </c>
      <c r="AB37" s="128">
        <f t="shared" si="22"/>
        <v>42866.143983492846</v>
      </c>
    </row>
    <row r="38" spans="2:28" x14ac:dyDescent="0.3">
      <c r="B38" s="80"/>
      <c r="C38" s="101"/>
      <c r="D38" s="96" t="s">
        <v>1492</v>
      </c>
      <c r="P38" s="205">
        <f t="shared" ref="P38:AB38" si="23">SUM(P30:P37)</f>
        <v>91063.044300000009</v>
      </c>
      <c r="Q38" s="205">
        <f t="shared" si="23"/>
        <v>145626.13500000001</v>
      </c>
      <c r="R38" s="205">
        <f t="shared" si="23"/>
        <v>93607.56</v>
      </c>
      <c r="S38" s="205">
        <f t="shared" si="23"/>
        <v>96521.99</v>
      </c>
      <c r="T38" s="205">
        <f t="shared" si="23"/>
        <v>99417.64969999998</v>
      </c>
      <c r="U38" s="205">
        <f>SUM(U30:U37)</f>
        <v>102400.17919099999</v>
      </c>
      <c r="V38" s="205">
        <f t="shared" si="23"/>
        <v>105472.18456672999</v>
      </c>
      <c r="W38" s="205">
        <f t="shared" si="23"/>
        <v>108636.35010373189</v>
      </c>
      <c r="X38" s="205">
        <f t="shared" si="23"/>
        <v>111895.44060684385</v>
      </c>
      <c r="Y38" s="205">
        <f t="shared" si="23"/>
        <v>115252.30382504918</v>
      </c>
      <c r="Z38" s="205">
        <f t="shared" si="23"/>
        <v>118709.87293980067</v>
      </c>
      <c r="AA38" s="205">
        <f t="shared" si="23"/>
        <v>122271.16912799468</v>
      </c>
      <c r="AB38" s="205">
        <f t="shared" si="23"/>
        <v>125939.30420183451</v>
      </c>
    </row>
    <row r="39" spans="2:28" x14ac:dyDescent="0.3">
      <c r="B39" s="80"/>
      <c r="C39" s="103"/>
      <c r="D39" s="103"/>
      <c r="P39" s="92"/>
      <c r="Q39" s="104"/>
      <c r="R39" s="104"/>
      <c r="S39" s="104"/>
      <c r="T39" s="92"/>
      <c r="U39" s="92"/>
      <c r="V39" s="92"/>
      <c r="W39" s="92"/>
      <c r="X39" s="92"/>
      <c r="Y39" s="92"/>
      <c r="Z39" s="92"/>
      <c r="AA39" s="92"/>
      <c r="AB39" s="92"/>
    </row>
    <row r="40" spans="2:28" x14ac:dyDescent="0.3">
      <c r="B40" s="79" t="s">
        <v>314</v>
      </c>
      <c r="C40" s="82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4">
        <v>2013</v>
      </c>
      <c r="Q40" s="84">
        <v>2014</v>
      </c>
      <c r="R40" s="84">
        <v>2015</v>
      </c>
      <c r="S40" s="84">
        <v>2016</v>
      </c>
      <c r="T40" s="84">
        <v>2017</v>
      </c>
      <c r="U40" s="84">
        <v>2018</v>
      </c>
      <c r="V40" s="84">
        <v>2019</v>
      </c>
      <c r="W40" s="84">
        <v>2020</v>
      </c>
      <c r="X40" s="84">
        <v>2021</v>
      </c>
      <c r="Y40" s="84">
        <v>2022</v>
      </c>
      <c r="Z40" s="84">
        <v>2023</v>
      </c>
      <c r="AA40" s="84">
        <v>2024</v>
      </c>
      <c r="AB40" s="84">
        <v>2025</v>
      </c>
    </row>
    <row r="41" spans="2:28" x14ac:dyDescent="0.3">
      <c r="B41" s="523">
        <f t="shared" ref="B41:B48" si="24">1-B18-B30</f>
        <v>0</v>
      </c>
      <c r="C41" s="91" t="s">
        <v>52</v>
      </c>
      <c r="D41" s="91" t="s">
        <v>37</v>
      </c>
      <c r="P41" s="128">
        <f>P7*$B41</f>
        <v>0</v>
      </c>
      <c r="Q41" s="128">
        <f t="shared" ref="Q41:AB41" si="25">Q7*$B41</f>
        <v>0</v>
      </c>
      <c r="R41" s="128">
        <f t="shared" si="25"/>
        <v>0</v>
      </c>
      <c r="S41" s="128">
        <f t="shared" si="25"/>
        <v>0</v>
      </c>
      <c r="T41" s="128">
        <f t="shared" si="25"/>
        <v>0</v>
      </c>
      <c r="U41" s="128">
        <f t="shared" si="25"/>
        <v>0</v>
      </c>
      <c r="V41" s="128">
        <f t="shared" si="25"/>
        <v>0</v>
      </c>
      <c r="W41" s="128">
        <f t="shared" si="25"/>
        <v>0</v>
      </c>
      <c r="X41" s="128">
        <f t="shared" si="25"/>
        <v>0</v>
      </c>
      <c r="Y41" s="128">
        <f t="shared" si="25"/>
        <v>0</v>
      </c>
      <c r="Z41" s="128">
        <f t="shared" si="25"/>
        <v>0</v>
      </c>
      <c r="AA41" s="128">
        <f t="shared" si="25"/>
        <v>0</v>
      </c>
      <c r="AB41" s="128">
        <f t="shared" si="25"/>
        <v>0</v>
      </c>
    </row>
    <row r="42" spans="2:28" x14ac:dyDescent="0.3">
      <c r="B42" s="523">
        <f t="shared" si="24"/>
        <v>0</v>
      </c>
      <c r="C42" s="91" t="s">
        <v>58</v>
      </c>
      <c r="D42" s="91" t="s">
        <v>41</v>
      </c>
      <c r="P42" s="128">
        <f>P8*$B42</f>
        <v>0</v>
      </c>
      <c r="Q42" s="128">
        <f t="shared" ref="Q42:AB42" si="26">Q8*$B42</f>
        <v>0</v>
      </c>
      <c r="R42" s="128">
        <f t="shared" si="26"/>
        <v>0</v>
      </c>
      <c r="S42" s="128">
        <f t="shared" si="26"/>
        <v>0</v>
      </c>
      <c r="T42" s="128">
        <f t="shared" si="26"/>
        <v>0</v>
      </c>
      <c r="U42" s="128">
        <f t="shared" si="26"/>
        <v>0</v>
      </c>
      <c r="V42" s="128">
        <f t="shared" si="26"/>
        <v>0</v>
      </c>
      <c r="W42" s="128">
        <f t="shared" si="26"/>
        <v>0</v>
      </c>
      <c r="X42" s="128">
        <f t="shared" si="26"/>
        <v>0</v>
      </c>
      <c r="Y42" s="128">
        <f t="shared" si="26"/>
        <v>0</v>
      </c>
      <c r="Z42" s="128">
        <f t="shared" si="26"/>
        <v>0</v>
      </c>
      <c r="AA42" s="128">
        <f t="shared" si="26"/>
        <v>0</v>
      </c>
      <c r="AB42" s="128">
        <f t="shared" si="26"/>
        <v>0</v>
      </c>
    </row>
    <row r="43" spans="2:28" x14ac:dyDescent="0.3">
      <c r="B43" s="523">
        <f t="shared" si="24"/>
        <v>0</v>
      </c>
      <c r="C43" s="91" t="s">
        <v>59</v>
      </c>
      <c r="D43" s="91" t="s">
        <v>42</v>
      </c>
      <c r="P43" s="128">
        <f>P9*$B43</f>
        <v>0</v>
      </c>
      <c r="Q43" s="128">
        <f t="shared" ref="Q43:AB43" si="27">Q9*$B43</f>
        <v>0</v>
      </c>
      <c r="R43" s="128">
        <f t="shared" si="27"/>
        <v>0</v>
      </c>
      <c r="S43" s="128">
        <f t="shared" si="27"/>
        <v>0</v>
      </c>
      <c r="T43" s="128">
        <f t="shared" si="27"/>
        <v>0</v>
      </c>
      <c r="U43" s="128">
        <f t="shared" si="27"/>
        <v>0</v>
      </c>
      <c r="V43" s="128">
        <f t="shared" si="27"/>
        <v>0</v>
      </c>
      <c r="W43" s="128">
        <f t="shared" si="27"/>
        <v>0</v>
      </c>
      <c r="X43" s="128">
        <f t="shared" si="27"/>
        <v>0</v>
      </c>
      <c r="Y43" s="128">
        <f t="shared" si="27"/>
        <v>0</v>
      </c>
      <c r="Z43" s="128">
        <f t="shared" si="27"/>
        <v>0</v>
      </c>
      <c r="AA43" s="128">
        <f t="shared" si="27"/>
        <v>0</v>
      </c>
      <c r="AB43" s="128">
        <f t="shared" si="27"/>
        <v>0</v>
      </c>
    </row>
    <row r="44" spans="2:28" x14ac:dyDescent="0.3">
      <c r="B44" s="523">
        <f t="shared" si="24"/>
        <v>0</v>
      </c>
      <c r="C44" s="91" t="s">
        <v>65</v>
      </c>
      <c r="D44" s="91" t="s">
        <v>48</v>
      </c>
      <c r="P44" s="128">
        <f>P10*$B44</f>
        <v>0</v>
      </c>
      <c r="Q44" s="128">
        <f t="shared" ref="Q44:AB44" si="28">Q10*$B44</f>
        <v>0</v>
      </c>
      <c r="R44" s="128">
        <f t="shared" si="28"/>
        <v>0</v>
      </c>
      <c r="S44" s="128">
        <f t="shared" si="28"/>
        <v>0</v>
      </c>
      <c r="T44" s="128">
        <f t="shared" si="28"/>
        <v>0</v>
      </c>
      <c r="U44" s="128">
        <f t="shared" si="28"/>
        <v>0</v>
      </c>
      <c r="V44" s="128">
        <f t="shared" si="28"/>
        <v>0</v>
      </c>
      <c r="W44" s="128">
        <f t="shared" si="28"/>
        <v>0</v>
      </c>
      <c r="X44" s="128">
        <f t="shared" si="28"/>
        <v>0</v>
      </c>
      <c r="Y44" s="128">
        <f t="shared" si="28"/>
        <v>0</v>
      </c>
      <c r="Z44" s="128">
        <f t="shared" si="28"/>
        <v>0</v>
      </c>
      <c r="AA44" s="128">
        <f t="shared" si="28"/>
        <v>0</v>
      </c>
      <c r="AB44" s="128">
        <f t="shared" si="28"/>
        <v>0</v>
      </c>
    </row>
    <row r="45" spans="2:28" x14ac:dyDescent="0.3">
      <c r="B45" s="523">
        <f t="shared" si="24"/>
        <v>0</v>
      </c>
      <c r="C45" s="91" t="s">
        <v>66</v>
      </c>
      <c r="D45" s="91" t="s">
        <v>49</v>
      </c>
      <c r="P45" s="128">
        <f t="shared" ref="P45:AB45" si="29">P11*$B45</f>
        <v>0</v>
      </c>
      <c r="Q45" s="128">
        <f t="shared" si="29"/>
        <v>0</v>
      </c>
      <c r="R45" s="128">
        <f t="shared" si="29"/>
        <v>0</v>
      </c>
      <c r="S45" s="128">
        <f t="shared" si="29"/>
        <v>0</v>
      </c>
      <c r="T45" s="128">
        <f t="shared" si="29"/>
        <v>0</v>
      </c>
      <c r="U45" s="128">
        <f t="shared" si="29"/>
        <v>0</v>
      </c>
      <c r="V45" s="128">
        <f t="shared" si="29"/>
        <v>0</v>
      </c>
      <c r="W45" s="128">
        <f t="shared" si="29"/>
        <v>0</v>
      </c>
      <c r="X45" s="128">
        <f t="shared" si="29"/>
        <v>0</v>
      </c>
      <c r="Y45" s="128">
        <f t="shared" si="29"/>
        <v>0</v>
      </c>
      <c r="Z45" s="128">
        <f t="shared" si="29"/>
        <v>0</v>
      </c>
      <c r="AA45" s="128">
        <f t="shared" si="29"/>
        <v>0</v>
      </c>
      <c r="AB45" s="128">
        <f t="shared" si="29"/>
        <v>0</v>
      </c>
    </row>
    <row r="46" spans="2:28" x14ac:dyDescent="0.3">
      <c r="B46" s="523">
        <f t="shared" si="24"/>
        <v>0.12999999999999998</v>
      </c>
      <c r="C46" s="91" t="s">
        <v>67</v>
      </c>
      <c r="D46" s="91" t="s">
        <v>50</v>
      </c>
      <c r="P46" s="128">
        <f t="shared" ref="P46:T47" si="30">P12*$B46</f>
        <v>3456.5452999999998</v>
      </c>
      <c r="Q46" s="128">
        <f t="shared" si="30"/>
        <v>1872.7526999999998</v>
      </c>
      <c r="R46" s="128">
        <f t="shared" si="30"/>
        <v>14189.759999999997</v>
      </c>
      <c r="S46" s="128">
        <f t="shared" ref="S46:AB46" si="31">S12*$B46</f>
        <v>8677.369999999999</v>
      </c>
      <c r="T46" s="128">
        <f t="shared" si="30"/>
        <v>8937.6910999999982</v>
      </c>
      <c r="U46" s="128">
        <f>U12*$B46</f>
        <v>9205.8218329999982</v>
      </c>
      <c r="V46" s="128">
        <f t="shared" si="31"/>
        <v>9481.9964879899981</v>
      </c>
      <c r="W46" s="128">
        <f t="shared" si="31"/>
        <v>9766.4563826296999</v>
      </c>
      <c r="X46" s="128">
        <f t="shared" si="31"/>
        <v>10059.45007410859</v>
      </c>
      <c r="Y46" s="128">
        <f t="shared" si="31"/>
        <v>10361.233576331848</v>
      </c>
      <c r="Z46" s="128">
        <f t="shared" si="31"/>
        <v>10672.070583621804</v>
      </c>
      <c r="AA46" s="128">
        <f t="shared" si="31"/>
        <v>10992.232701130457</v>
      </c>
      <c r="AB46" s="128">
        <f t="shared" si="31"/>
        <v>11321.999682164373</v>
      </c>
    </row>
    <row r="47" spans="2:28" x14ac:dyDescent="0.3">
      <c r="B47" s="523">
        <f t="shared" si="24"/>
        <v>0.12999999999999998</v>
      </c>
      <c r="C47" s="91" t="s">
        <v>1910</v>
      </c>
      <c r="D47" s="91" t="s">
        <v>1911</v>
      </c>
      <c r="P47" s="128">
        <f t="shared" si="30"/>
        <v>0</v>
      </c>
      <c r="Q47" s="128">
        <f t="shared" si="30"/>
        <v>0</v>
      </c>
      <c r="R47" s="128">
        <f t="shared" si="30"/>
        <v>0</v>
      </c>
      <c r="S47" s="128">
        <f t="shared" ref="S47:AB47" si="32">S13*$B47</f>
        <v>3769.9999999999995</v>
      </c>
      <c r="T47" s="128">
        <f t="shared" si="30"/>
        <v>3883.0999999999995</v>
      </c>
      <c r="U47" s="128">
        <f t="shared" si="32"/>
        <v>3999.5929999999994</v>
      </c>
      <c r="V47" s="128">
        <f t="shared" si="32"/>
        <v>4119.58079</v>
      </c>
      <c r="W47" s="128">
        <f t="shared" si="32"/>
        <v>4243.1682136999998</v>
      </c>
      <c r="X47" s="128">
        <f t="shared" si="32"/>
        <v>4370.4632601109997</v>
      </c>
      <c r="Y47" s="128">
        <f t="shared" si="32"/>
        <v>4501.5771579143302</v>
      </c>
      <c r="Z47" s="128">
        <f t="shared" si="32"/>
        <v>4636.6244726517598</v>
      </c>
      <c r="AA47" s="128">
        <f t="shared" si="32"/>
        <v>4775.7232068313124</v>
      </c>
      <c r="AB47" s="128">
        <f t="shared" si="32"/>
        <v>4918.9949030362513</v>
      </c>
    </row>
    <row r="48" spans="2:28" x14ac:dyDescent="0.3">
      <c r="B48" s="523">
        <f t="shared" si="24"/>
        <v>0.12999999999999998</v>
      </c>
      <c r="C48" s="91" t="s">
        <v>68</v>
      </c>
      <c r="D48" s="91" t="s">
        <v>69</v>
      </c>
      <c r="P48" s="128">
        <f t="shared" ref="P48:AB48" si="33">P14*$B48</f>
        <v>39475.144799999995</v>
      </c>
      <c r="Q48" s="128">
        <f t="shared" si="33"/>
        <v>46928.044799999996</v>
      </c>
      <c r="R48" s="128">
        <f t="shared" si="33"/>
        <v>47603.659999999989</v>
      </c>
      <c r="S48" s="128">
        <f t="shared" si="33"/>
        <v>47454.80999999999</v>
      </c>
      <c r="T48" s="128">
        <f t="shared" si="33"/>
        <v>48878.45429999999</v>
      </c>
      <c r="U48" s="128">
        <f t="shared" si="33"/>
        <v>50344.807928999988</v>
      </c>
      <c r="V48" s="128">
        <f t="shared" si="33"/>
        <v>51855.152166869993</v>
      </c>
      <c r="W48" s="128">
        <f t="shared" si="33"/>
        <v>53410.806731876095</v>
      </c>
      <c r="X48" s="128">
        <f t="shared" si="33"/>
        <v>55013.130933832377</v>
      </c>
      <c r="Y48" s="128">
        <f t="shared" si="33"/>
        <v>56663.524861847349</v>
      </c>
      <c r="Z48" s="128">
        <f t="shared" si="33"/>
        <v>58363.430607702772</v>
      </c>
      <c r="AA48" s="128">
        <f t="shared" si="33"/>
        <v>60114.333525933856</v>
      </c>
      <c r="AB48" s="128">
        <f t="shared" si="33"/>
        <v>61917.763531711877</v>
      </c>
    </row>
    <row r="49" spans="2:28" x14ac:dyDescent="0.3">
      <c r="B49" s="105"/>
      <c r="C49" s="101"/>
      <c r="D49" s="102" t="s">
        <v>1493</v>
      </c>
      <c r="P49" s="205">
        <f t="shared" ref="P49:AB49" si="34">SUM(P41:P48)</f>
        <v>42931.690099999993</v>
      </c>
      <c r="Q49" s="205">
        <f t="shared" si="34"/>
        <v>48800.797499999993</v>
      </c>
      <c r="R49" s="205">
        <f t="shared" si="34"/>
        <v>61793.419999999984</v>
      </c>
      <c r="S49" s="205">
        <f t="shared" si="34"/>
        <v>59902.179999999993</v>
      </c>
      <c r="T49" s="205">
        <f t="shared" si="34"/>
        <v>61699.245399999985</v>
      </c>
      <c r="U49" s="205">
        <f>SUM(U41:U48)</f>
        <v>63550.222761999983</v>
      </c>
      <c r="V49" s="205">
        <f t="shared" si="34"/>
        <v>65456.729444859993</v>
      </c>
      <c r="W49" s="205">
        <f t="shared" si="34"/>
        <v>67420.431328205799</v>
      </c>
      <c r="X49" s="205">
        <f t="shared" si="34"/>
        <v>69443.044268051963</v>
      </c>
      <c r="Y49" s="205">
        <f t="shared" si="34"/>
        <v>71526.33559609353</v>
      </c>
      <c r="Z49" s="205">
        <f t="shared" si="34"/>
        <v>73672.125663976331</v>
      </c>
      <c r="AA49" s="205">
        <f t="shared" si="34"/>
        <v>75882.289433895625</v>
      </c>
      <c r="AB49" s="205">
        <f t="shared" si="34"/>
        <v>78158.758116912504</v>
      </c>
    </row>
    <row r="50" spans="2:28" x14ac:dyDescent="0.3">
      <c r="C50" s="101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</row>
    <row r="51" spans="2:28" x14ac:dyDescent="0.3">
      <c r="C51" s="106"/>
      <c r="D51" s="107"/>
      <c r="P51" s="92"/>
      <c r="Q51" s="108"/>
      <c r="R51" s="108"/>
      <c r="S51" s="108"/>
      <c r="T51" s="92"/>
      <c r="U51" s="92"/>
      <c r="V51" s="92"/>
      <c r="W51" s="92"/>
      <c r="X51" s="92"/>
      <c r="Y51" s="92"/>
      <c r="Z51" s="92"/>
      <c r="AA51" s="92"/>
      <c r="AB51" s="92"/>
    </row>
    <row r="52" spans="2:28" x14ac:dyDescent="0.3">
      <c r="C52" s="106"/>
      <c r="D52" s="107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</row>
    <row r="53" spans="2:28" x14ac:dyDescent="0.3">
      <c r="C53" s="207" t="s">
        <v>1490</v>
      </c>
      <c r="D53" s="107"/>
      <c r="P53" s="110"/>
      <c r="Q53" s="111"/>
      <c r="R53" s="111"/>
      <c r="S53" s="111"/>
      <c r="T53" s="110"/>
      <c r="U53" s="110"/>
      <c r="V53" s="110"/>
      <c r="W53" s="110"/>
      <c r="X53" s="110"/>
      <c r="Y53" s="110"/>
      <c r="Z53" s="110"/>
      <c r="AA53" s="110"/>
      <c r="AB53" s="110"/>
    </row>
    <row r="54" spans="2:28" x14ac:dyDescent="0.3">
      <c r="B54" s="85"/>
      <c r="C54" s="91" t="s">
        <v>55</v>
      </c>
      <c r="D54" s="91" t="s">
        <v>38</v>
      </c>
      <c r="P54" s="128">
        <v>10503096.210000001</v>
      </c>
      <c r="Q54" s="128">
        <v>10461506.9</v>
      </c>
      <c r="R54" s="128">
        <v>13394548</v>
      </c>
      <c r="S54" s="128">
        <v>10699555</v>
      </c>
      <c r="T54" s="128">
        <f t="shared" ref="T54:AB54" si="35">S54</f>
        <v>10699555</v>
      </c>
      <c r="U54" s="128">
        <f>T54</f>
        <v>10699555</v>
      </c>
      <c r="V54" s="128">
        <f t="shared" si="35"/>
        <v>10699555</v>
      </c>
      <c r="W54" s="128">
        <f t="shared" si="35"/>
        <v>10699555</v>
      </c>
      <c r="X54" s="128">
        <f t="shared" si="35"/>
        <v>10699555</v>
      </c>
      <c r="Y54" s="128">
        <f t="shared" si="35"/>
        <v>10699555</v>
      </c>
      <c r="Z54" s="128">
        <f t="shared" si="35"/>
        <v>10699555</v>
      </c>
      <c r="AA54" s="128">
        <f t="shared" si="35"/>
        <v>10699555</v>
      </c>
      <c r="AB54" s="128">
        <f t="shared" si="35"/>
        <v>10699555</v>
      </c>
    </row>
    <row r="55" spans="2:28" x14ac:dyDescent="0.3">
      <c r="B55" s="85"/>
      <c r="C55" s="91" t="s">
        <v>56</v>
      </c>
      <c r="D55" s="91" t="s">
        <v>39</v>
      </c>
      <c r="P55" s="128">
        <v>1098179.9099999999</v>
      </c>
      <c r="Q55" s="128">
        <v>1094080.19</v>
      </c>
      <c r="R55" s="128">
        <v>1421574</v>
      </c>
      <c r="S55" s="128">
        <v>1141345</v>
      </c>
      <c r="T55" s="128">
        <f t="shared" ref="T55:AB55" si="36">S55</f>
        <v>1141345</v>
      </c>
      <c r="U55" s="128">
        <f>T55</f>
        <v>1141345</v>
      </c>
      <c r="V55" s="128">
        <f t="shared" si="36"/>
        <v>1141345</v>
      </c>
      <c r="W55" s="128">
        <f t="shared" si="36"/>
        <v>1141345</v>
      </c>
      <c r="X55" s="128">
        <f t="shared" si="36"/>
        <v>1141345</v>
      </c>
      <c r="Y55" s="128">
        <f t="shared" si="36"/>
        <v>1141345</v>
      </c>
      <c r="Z55" s="128">
        <f t="shared" si="36"/>
        <v>1141345</v>
      </c>
      <c r="AA55" s="128">
        <f t="shared" si="36"/>
        <v>1141345</v>
      </c>
      <c r="AB55" s="128">
        <f t="shared" si="36"/>
        <v>1141345</v>
      </c>
    </row>
    <row r="56" spans="2:28" x14ac:dyDescent="0.3">
      <c r="B56" s="85"/>
      <c r="C56" s="91" t="s">
        <v>57</v>
      </c>
      <c r="D56" s="91" t="s">
        <v>40</v>
      </c>
      <c r="P56" s="128">
        <v>77771.19</v>
      </c>
      <c r="Q56" s="128">
        <v>88733.99</v>
      </c>
      <c r="R56" s="128">
        <v>109011</v>
      </c>
      <c r="S56" s="128">
        <v>92479</v>
      </c>
      <c r="T56" s="128">
        <f t="shared" ref="T56:AB56" si="37">S56</f>
        <v>92479</v>
      </c>
      <c r="U56" s="128">
        <f t="shared" si="37"/>
        <v>92479</v>
      </c>
      <c r="V56" s="128">
        <f t="shared" si="37"/>
        <v>92479</v>
      </c>
      <c r="W56" s="128">
        <f t="shared" si="37"/>
        <v>92479</v>
      </c>
      <c r="X56" s="128">
        <f t="shared" si="37"/>
        <v>92479</v>
      </c>
      <c r="Y56" s="128">
        <f t="shared" si="37"/>
        <v>92479</v>
      </c>
      <c r="Z56" s="128">
        <f t="shared" si="37"/>
        <v>92479</v>
      </c>
      <c r="AA56" s="128">
        <f t="shared" si="37"/>
        <v>92479</v>
      </c>
      <c r="AB56" s="128">
        <f t="shared" si="37"/>
        <v>92479</v>
      </c>
    </row>
    <row r="57" spans="2:28" x14ac:dyDescent="0.3">
      <c r="B57" s="85"/>
      <c r="C57" s="91" t="s">
        <v>64</v>
      </c>
      <c r="D57" s="91" t="s">
        <v>47</v>
      </c>
      <c r="P57" s="128">
        <v>1170749.04</v>
      </c>
      <c r="Q57" s="128">
        <v>1250365.96</v>
      </c>
      <c r="R57" s="128">
        <v>1262825</v>
      </c>
      <c r="S57" s="128">
        <v>1265400</v>
      </c>
      <c r="T57" s="128">
        <f t="shared" ref="T57:AB57" si="38">S57</f>
        <v>1265400</v>
      </c>
      <c r="U57" s="128">
        <f t="shared" si="38"/>
        <v>1265400</v>
      </c>
      <c r="V57" s="128">
        <f t="shared" si="38"/>
        <v>1265400</v>
      </c>
      <c r="W57" s="128">
        <f t="shared" si="38"/>
        <v>1265400</v>
      </c>
      <c r="X57" s="128">
        <f t="shared" si="38"/>
        <v>1265400</v>
      </c>
      <c r="Y57" s="128">
        <f t="shared" si="38"/>
        <v>1265400</v>
      </c>
      <c r="Z57" s="128">
        <f t="shared" si="38"/>
        <v>1265400</v>
      </c>
      <c r="AA57" s="128">
        <f t="shared" si="38"/>
        <v>1265400</v>
      </c>
      <c r="AB57" s="128">
        <f t="shared" si="38"/>
        <v>1265400</v>
      </c>
    </row>
    <row r="58" spans="2:28" s="73" customFormat="1" x14ac:dyDescent="0.3">
      <c r="B58" s="112"/>
      <c r="C58" s="74"/>
      <c r="D58" s="7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</row>
    <row r="59" spans="2:28" x14ac:dyDescent="0.3">
      <c r="B59" s="85"/>
      <c r="C59" s="91" t="s">
        <v>60</v>
      </c>
      <c r="D59" s="91" t="s">
        <v>43</v>
      </c>
      <c r="P59" s="128">
        <v>1200634.03</v>
      </c>
      <c r="Q59" s="128">
        <v>1351714.34</v>
      </c>
      <c r="R59" s="128">
        <v>1686372</v>
      </c>
      <c r="S59" s="128">
        <v>1338230</v>
      </c>
      <c r="T59" s="128">
        <f t="shared" ref="T59:AB59" si="39">S59</f>
        <v>1338230</v>
      </c>
      <c r="U59" s="128">
        <f t="shared" si="39"/>
        <v>1338230</v>
      </c>
      <c r="V59" s="128">
        <f t="shared" si="39"/>
        <v>1338230</v>
      </c>
      <c r="W59" s="128">
        <f t="shared" si="39"/>
        <v>1338230</v>
      </c>
      <c r="X59" s="128">
        <f t="shared" si="39"/>
        <v>1338230</v>
      </c>
      <c r="Y59" s="128">
        <f t="shared" si="39"/>
        <v>1338230</v>
      </c>
      <c r="Z59" s="128">
        <f t="shared" si="39"/>
        <v>1338230</v>
      </c>
      <c r="AA59" s="128">
        <f t="shared" si="39"/>
        <v>1338230</v>
      </c>
      <c r="AB59" s="128">
        <f t="shared" si="39"/>
        <v>1338230</v>
      </c>
    </row>
    <row r="60" spans="2:28" x14ac:dyDescent="0.3">
      <c r="B60" s="85"/>
      <c r="C60" s="91" t="s">
        <v>61</v>
      </c>
      <c r="D60" s="91" t="s">
        <v>44</v>
      </c>
      <c r="P60" s="128">
        <v>194700.97</v>
      </c>
      <c r="Q60" s="128">
        <v>221505.28</v>
      </c>
      <c r="R60" s="128">
        <v>270239</v>
      </c>
      <c r="S60" s="128">
        <v>220220</v>
      </c>
      <c r="T60" s="128">
        <f t="shared" ref="T60:AB60" si="40">S60</f>
        <v>220220</v>
      </c>
      <c r="U60" s="128">
        <f t="shared" si="40"/>
        <v>220220</v>
      </c>
      <c r="V60" s="128">
        <f t="shared" si="40"/>
        <v>220220</v>
      </c>
      <c r="W60" s="128">
        <f t="shared" si="40"/>
        <v>220220</v>
      </c>
      <c r="X60" s="128">
        <f t="shared" si="40"/>
        <v>220220</v>
      </c>
      <c r="Y60" s="128">
        <f t="shared" si="40"/>
        <v>220220</v>
      </c>
      <c r="Z60" s="128">
        <f t="shared" si="40"/>
        <v>220220</v>
      </c>
      <c r="AA60" s="128">
        <f t="shared" si="40"/>
        <v>220220</v>
      </c>
      <c r="AB60" s="128">
        <f t="shared" si="40"/>
        <v>220220</v>
      </c>
    </row>
    <row r="61" spans="2:28" x14ac:dyDescent="0.3"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</row>
    <row r="62" spans="2:28" x14ac:dyDescent="0.3">
      <c r="B62" s="85"/>
      <c r="C62" s="91" t="s">
        <v>62</v>
      </c>
      <c r="D62" s="91" t="s">
        <v>45</v>
      </c>
      <c r="P62" s="128">
        <v>1562467.46</v>
      </c>
      <c r="Q62" s="128">
        <v>1389634.21</v>
      </c>
      <c r="R62" s="128">
        <v>1690862</v>
      </c>
      <c r="S62" s="128">
        <v>1411900</v>
      </c>
      <c r="T62" s="128">
        <f t="shared" ref="T62:AB62" si="41">S62</f>
        <v>1411900</v>
      </c>
      <c r="U62" s="128">
        <f t="shared" si="41"/>
        <v>1411900</v>
      </c>
      <c r="V62" s="128">
        <f t="shared" si="41"/>
        <v>1411900</v>
      </c>
      <c r="W62" s="128">
        <f t="shared" si="41"/>
        <v>1411900</v>
      </c>
      <c r="X62" s="128">
        <f t="shared" si="41"/>
        <v>1411900</v>
      </c>
      <c r="Y62" s="128">
        <f t="shared" si="41"/>
        <v>1411900</v>
      </c>
      <c r="Z62" s="128">
        <f t="shared" si="41"/>
        <v>1411900</v>
      </c>
      <c r="AA62" s="128">
        <f t="shared" si="41"/>
        <v>1411900</v>
      </c>
      <c r="AB62" s="128">
        <f t="shared" si="41"/>
        <v>1411900</v>
      </c>
    </row>
    <row r="63" spans="2:28" x14ac:dyDescent="0.3">
      <c r="B63" s="85"/>
      <c r="C63" s="91" t="s">
        <v>63</v>
      </c>
      <c r="D63" s="91" t="s">
        <v>46</v>
      </c>
      <c r="P63" s="128">
        <v>84861.57</v>
      </c>
      <c r="Q63" s="128">
        <v>75756.94</v>
      </c>
      <c r="R63" s="128">
        <v>92936</v>
      </c>
      <c r="S63" s="128">
        <v>75970</v>
      </c>
      <c r="T63" s="128">
        <f t="shared" ref="T63:AB63" si="42">S63</f>
        <v>75970</v>
      </c>
      <c r="U63" s="128">
        <f t="shared" si="42"/>
        <v>75970</v>
      </c>
      <c r="V63" s="128">
        <f t="shared" si="42"/>
        <v>75970</v>
      </c>
      <c r="W63" s="128">
        <f t="shared" si="42"/>
        <v>75970</v>
      </c>
      <c r="X63" s="128">
        <f t="shared" si="42"/>
        <v>75970</v>
      </c>
      <c r="Y63" s="128">
        <f t="shared" si="42"/>
        <v>75970</v>
      </c>
      <c r="Z63" s="128">
        <f t="shared" si="42"/>
        <v>75970</v>
      </c>
      <c r="AA63" s="128">
        <f t="shared" si="42"/>
        <v>75970</v>
      </c>
      <c r="AB63" s="128">
        <f t="shared" si="42"/>
        <v>75970</v>
      </c>
    </row>
  </sheetData>
  <dataValidations count="1">
    <dataValidation type="list" allowBlank="1" showInputMessage="1" showErrorMessage="1" sqref="O7:O14">
      <formula1>Indicies</formula1>
    </dataValidation>
  </dataValidations>
  <printOptions horizontalCentered="1"/>
  <pageMargins left="0.2" right="0.2" top="0.2" bottom="0.2" header="0.3" footer="0.3"/>
  <pageSetup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115"/>
  <sheetViews>
    <sheetView showGridLines="0" topLeftCell="A61" zoomScale="90" zoomScaleNormal="90" workbookViewId="0">
      <selection activeCell="Q61" sqref="Q1:AH1048576"/>
    </sheetView>
  </sheetViews>
  <sheetFormatPr defaultColWidth="9" defaultRowHeight="15" customHeight="1" x14ac:dyDescent="0.3"/>
  <cols>
    <col min="1" max="1" width="3.69921875" style="814" customWidth="1"/>
    <col min="2" max="2" width="30.3984375" style="814" bestFit="1" customWidth="1"/>
    <col min="3" max="4" width="13.09765625" style="814" bestFit="1" customWidth="1"/>
    <col min="5" max="8" width="12.59765625" style="814" bestFit="1" customWidth="1"/>
    <col min="9" max="15" width="13.09765625" style="814" bestFit="1" customWidth="1"/>
    <col min="16" max="16384" width="9" style="814"/>
  </cols>
  <sheetData>
    <row r="2" spans="2:16" s="813" customFormat="1" ht="14.4" x14ac:dyDescent="0.3">
      <c r="B2" s="151" t="s">
        <v>1957</v>
      </c>
      <c r="M2" s="152"/>
      <c r="N2" s="152"/>
      <c r="O2" s="152"/>
      <c r="P2" s="153"/>
    </row>
    <row r="4" spans="2:16" ht="15" customHeight="1" x14ac:dyDescent="0.3">
      <c r="B4" s="154"/>
      <c r="C4" s="155">
        <v>2013</v>
      </c>
      <c r="D4" s="155">
        <v>2014</v>
      </c>
      <c r="E4" s="155">
        <v>2015</v>
      </c>
      <c r="F4" s="155">
        <v>2016</v>
      </c>
      <c r="G4" s="155">
        <v>2017</v>
      </c>
      <c r="H4" s="155">
        <v>2018</v>
      </c>
      <c r="I4" s="155">
        <v>2019</v>
      </c>
      <c r="J4" s="155">
        <v>2020</v>
      </c>
      <c r="K4" s="155">
        <v>2021</v>
      </c>
      <c r="L4" s="155">
        <v>2022</v>
      </c>
      <c r="M4" s="155">
        <v>2023</v>
      </c>
      <c r="N4" s="155">
        <v>2024</v>
      </c>
      <c r="O4" s="155">
        <v>2025</v>
      </c>
    </row>
    <row r="5" spans="2:16" ht="15" customHeight="1" x14ac:dyDescent="0.3">
      <c r="B5" s="156" t="s">
        <v>16</v>
      </c>
      <c r="C5" s="1054"/>
      <c r="D5" s="1054"/>
      <c r="E5" s="1054"/>
      <c r="F5" s="157"/>
      <c r="G5" s="157"/>
      <c r="H5" s="157"/>
      <c r="I5" s="157"/>
      <c r="J5" s="157"/>
      <c r="K5" s="157"/>
      <c r="L5" s="157"/>
      <c r="M5" s="157"/>
      <c r="N5" s="157"/>
      <c r="O5" s="157"/>
    </row>
    <row r="6" spans="2:16" ht="15" customHeight="1" x14ac:dyDescent="0.3">
      <c r="B6" s="158" t="s">
        <v>348</v>
      </c>
      <c r="C6" s="1055"/>
      <c r="D6" s="1055"/>
      <c r="E6" s="1055"/>
    </row>
    <row r="7" spans="2:16" ht="15" customHeight="1" x14ac:dyDescent="0.3">
      <c r="B7" s="159" t="s">
        <v>349</v>
      </c>
      <c r="C7" s="1056">
        <f>'O&amp;M'!P126</f>
        <v>11390775.053367343</v>
      </c>
      <c r="D7" s="1056">
        <f>'O&amp;M'!Q126</f>
        <v>11842312.734999999</v>
      </c>
      <c r="E7" s="1056">
        <f>'O&amp;M'!R126</f>
        <v>13076558.800000001</v>
      </c>
      <c r="F7" s="815">
        <f>'O&amp;M'!S126</f>
        <v>12519421.224169997</v>
      </c>
      <c r="G7" s="815">
        <f>'O&amp;M'!T126</f>
        <v>12918559.413494878</v>
      </c>
      <c r="H7" s="815">
        <f>'O&amp;M'!U126</f>
        <v>13330076.727931121</v>
      </c>
      <c r="I7" s="815">
        <f>'O&amp;M'!V126</f>
        <v>13755618.888539981</v>
      </c>
      <c r="J7" s="815">
        <f>'O&amp;M'!W126</f>
        <v>14195754.508831505</v>
      </c>
      <c r="K7" s="815">
        <f>'O&amp;M'!X126</f>
        <v>14606906.19436045</v>
      </c>
      <c r="L7" s="815">
        <f>'O&amp;M'!Y126</f>
        <v>15031687.722448047</v>
      </c>
      <c r="M7" s="815">
        <f>'O&amp;M'!Z126</f>
        <v>15470685.284164215</v>
      </c>
      <c r="N7" s="815">
        <f>'O&amp;M'!AA126</f>
        <v>15924520.514148638</v>
      </c>
      <c r="O7" s="815">
        <f>'O&amp;M'!AB126</f>
        <v>16393853.286241982</v>
      </c>
      <c r="P7" s="816"/>
    </row>
    <row r="8" spans="2:16" ht="15" customHeight="1" x14ac:dyDescent="0.3">
      <c r="B8" s="160" t="s">
        <v>349</v>
      </c>
      <c r="C8" s="1057">
        <f>C7</f>
        <v>11390775.053367343</v>
      </c>
      <c r="D8" s="1057">
        <f t="shared" ref="D8:O8" si="0">D7</f>
        <v>11842312.734999999</v>
      </c>
      <c r="E8" s="1057">
        <f t="shared" si="0"/>
        <v>13076558.800000001</v>
      </c>
      <c r="F8" s="161">
        <f t="shared" si="0"/>
        <v>12519421.224169997</v>
      </c>
      <c r="G8" s="161">
        <f t="shared" si="0"/>
        <v>12918559.413494878</v>
      </c>
      <c r="H8" s="161">
        <f t="shared" si="0"/>
        <v>13330076.727931121</v>
      </c>
      <c r="I8" s="161">
        <f t="shared" si="0"/>
        <v>13755618.888539981</v>
      </c>
      <c r="J8" s="161">
        <f t="shared" si="0"/>
        <v>14195754.508831505</v>
      </c>
      <c r="K8" s="161">
        <f t="shared" si="0"/>
        <v>14606906.19436045</v>
      </c>
      <c r="L8" s="161">
        <f t="shared" si="0"/>
        <v>15031687.722448047</v>
      </c>
      <c r="M8" s="161">
        <f t="shared" si="0"/>
        <v>15470685.284164215</v>
      </c>
      <c r="N8" s="161">
        <f t="shared" si="0"/>
        <v>15924520.514148638</v>
      </c>
      <c r="O8" s="161">
        <f t="shared" si="0"/>
        <v>16393853.286241982</v>
      </c>
      <c r="P8" s="816"/>
    </row>
    <row r="9" spans="2:16" ht="15" customHeight="1" x14ac:dyDescent="0.3">
      <c r="B9" s="162"/>
      <c r="C9" s="1055"/>
      <c r="D9" s="1055"/>
      <c r="E9" s="1055"/>
    </row>
    <row r="10" spans="2:16" ht="15" customHeight="1" x14ac:dyDescent="0.3">
      <c r="B10" s="158" t="s">
        <v>350</v>
      </c>
      <c r="C10" s="1055"/>
      <c r="D10" s="1055"/>
      <c r="E10" s="1055"/>
    </row>
    <row r="11" spans="2:16" ht="15" customHeight="1" x14ac:dyDescent="0.3">
      <c r="B11" s="162" t="s">
        <v>351</v>
      </c>
      <c r="C11" s="1056"/>
      <c r="D11" s="1056"/>
      <c r="E11" s="1056"/>
      <c r="F11" s="815">
        <f>'Capital Improvement Plan'!G29</f>
        <v>326000</v>
      </c>
      <c r="G11" s="815">
        <f>'Capital Improvement Plan'!H29</f>
        <v>2764000</v>
      </c>
      <c r="H11" s="815">
        <f>'Capital Improvement Plan'!I29</f>
        <v>5217500</v>
      </c>
      <c r="I11" s="815">
        <f>'Capital Improvement Plan'!J29</f>
        <v>2037500</v>
      </c>
      <c r="J11" s="815">
        <f>'Capital Improvement Plan'!K29</f>
        <v>500000</v>
      </c>
      <c r="K11" s="815">
        <f>'Capital Improvement Plan'!L29</f>
        <v>447000</v>
      </c>
      <c r="L11" s="815">
        <f>'Capital Improvement Plan'!M29</f>
        <v>467000</v>
      </c>
      <c r="M11" s="815">
        <f>'Capital Improvement Plan'!N29</f>
        <v>452000</v>
      </c>
      <c r="N11" s="815">
        <f>'Capital Improvement Plan'!O29</f>
        <v>312000</v>
      </c>
      <c r="O11" s="815">
        <f>'Capital Improvement Plan'!P29</f>
        <v>292000</v>
      </c>
    </row>
    <row r="12" spans="2:16" ht="15" customHeight="1" x14ac:dyDescent="0.3">
      <c r="B12" s="162" t="s">
        <v>352</v>
      </c>
      <c r="C12" s="1056">
        <f>'Existing Debt'!F22</f>
        <v>947390.95</v>
      </c>
      <c r="D12" s="1056">
        <f>'Existing Debt'!G22</f>
        <v>942943.14</v>
      </c>
      <c r="E12" s="1056">
        <f>'Existing Debt'!H22</f>
        <v>946328.51</v>
      </c>
      <c r="F12" s="815">
        <f>'Existing Debt'!I22</f>
        <v>1000276.12</v>
      </c>
      <c r="G12" s="815">
        <f>'Existing Debt'!J22</f>
        <v>1385588.6999231174</v>
      </c>
      <c r="H12" s="815">
        <f>'Existing Debt'!K22</f>
        <v>2667146.3947200999</v>
      </c>
      <c r="I12" s="815">
        <f>'Existing Debt'!L22</f>
        <v>3390351.8143577846</v>
      </c>
      <c r="J12" s="815">
        <f>'Existing Debt'!M22</f>
        <v>3393479.6321049426</v>
      </c>
      <c r="K12" s="815">
        <f>'Existing Debt'!N22</f>
        <v>3394580.7374256793</v>
      </c>
      <c r="L12" s="815">
        <f>'Existing Debt'!O22</f>
        <v>3390303.3363389433</v>
      </c>
      <c r="M12" s="815">
        <f>'Existing Debt'!P22</f>
        <v>3394462.3761405218</v>
      </c>
      <c r="N12" s="815">
        <f>'Existing Debt'!Q22</f>
        <v>3392910.4090496795</v>
      </c>
      <c r="O12" s="815">
        <f>'Existing Debt'!R22</f>
        <v>3395186.7075874689</v>
      </c>
    </row>
    <row r="13" spans="2:16" ht="15" customHeight="1" x14ac:dyDescent="0.3">
      <c r="B13" s="159" t="s">
        <v>353</v>
      </c>
      <c r="C13" s="1056"/>
      <c r="D13" s="1056"/>
      <c r="E13" s="1056"/>
      <c r="F13" s="815">
        <f>'Projected Debt'!C23</f>
        <v>0</v>
      </c>
      <c r="G13" s="815">
        <f>'Projected Debt'!D23</f>
        <v>0</v>
      </c>
      <c r="H13" s="815">
        <f>'Projected Debt'!E23</f>
        <v>139058.01042270087</v>
      </c>
      <c r="I13" s="815">
        <f>'Projected Debt'!F23</f>
        <v>298214.51330104814</v>
      </c>
      <c r="J13" s="815">
        <f>'Projected Debt'!G23</f>
        <v>453865.45780153637</v>
      </c>
      <c r="K13" s="815">
        <f>'Projected Debt'!H23</f>
        <v>609516.40230202465</v>
      </c>
      <c r="L13" s="815">
        <f>'Projected Debt'!I23</f>
        <v>765167.34680251288</v>
      </c>
      <c r="M13" s="815">
        <f>'Projected Debt'!J23</f>
        <v>920818.29130300111</v>
      </c>
      <c r="N13" s="815">
        <f>'Projected Debt'!K23</f>
        <v>1076469.2358034893</v>
      </c>
      <c r="O13" s="815">
        <f>'Projected Debt'!L23</f>
        <v>1232120.1803039776</v>
      </c>
    </row>
    <row r="14" spans="2:16" ht="15" customHeight="1" x14ac:dyDescent="0.3">
      <c r="B14" s="159" t="s">
        <v>1616</v>
      </c>
      <c r="C14" s="1056"/>
      <c r="D14" s="1056"/>
      <c r="E14" s="1056"/>
      <c r="F14" s="815">
        <f>'Asset Replacement'!D24</f>
        <v>175564.83938836635</v>
      </c>
      <c r="G14" s="815">
        <f>'Asset Replacement'!E24</f>
        <v>223478.33215200171</v>
      </c>
      <c r="H14" s="815">
        <f>'Asset Replacement'!F24</f>
        <v>303866.30000919307</v>
      </c>
      <c r="I14" s="815">
        <f>'Asset Replacement'!G24</f>
        <v>517631.41704842728</v>
      </c>
      <c r="J14" s="815">
        <f>'Asset Replacement'!H24</f>
        <v>404545.88344526291</v>
      </c>
      <c r="K14" s="815">
        <f>'Asset Replacement'!I24</f>
        <v>494766.81233799411</v>
      </c>
      <c r="L14" s="815">
        <f>'Asset Replacement'!J24</f>
        <v>539581.43392954359</v>
      </c>
      <c r="M14" s="815">
        <f>'Asset Replacement'!K24</f>
        <v>587580.66667931119</v>
      </c>
      <c r="N14" s="815">
        <f>'Asset Replacement'!L24</f>
        <v>511912.94463906897</v>
      </c>
      <c r="O14" s="815">
        <f>'Asset Replacement'!M24</f>
        <v>1447749.2293225508</v>
      </c>
    </row>
    <row r="15" spans="2:16" ht="15" customHeight="1" x14ac:dyDescent="0.3">
      <c r="B15" s="160" t="s">
        <v>354</v>
      </c>
      <c r="C15" s="1057">
        <f>SUM(C11:C14)</f>
        <v>947390.95</v>
      </c>
      <c r="D15" s="1057">
        <f t="shared" ref="D15:O15" si="1">SUM(D11:D14)</f>
        <v>942943.14</v>
      </c>
      <c r="E15" s="1057">
        <f t="shared" si="1"/>
        <v>946328.51</v>
      </c>
      <c r="F15" s="161">
        <f t="shared" si="1"/>
        <v>1501840.9593883664</v>
      </c>
      <c r="G15" s="161">
        <f>SUM(G11:G14)</f>
        <v>4373067.0320751192</v>
      </c>
      <c r="H15" s="161">
        <f t="shared" si="1"/>
        <v>8327570.7051519938</v>
      </c>
      <c r="I15" s="161">
        <f t="shared" si="1"/>
        <v>6243697.7447072603</v>
      </c>
      <c r="J15" s="161">
        <f t="shared" si="1"/>
        <v>4751890.9733517421</v>
      </c>
      <c r="K15" s="161">
        <f t="shared" si="1"/>
        <v>4945863.9520656988</v>
      </c>
      <c r="L15" s="161">
        <f t="shared" si="1"/>
        <v>5162052.1170709999</v>
      </c>
      <c r="M15" s="161">
        <f t="shared" si="1"/>
        <v>5354861.3341228347</v>
      </c>
      <c r="N15" s="161">
        <f t="shared" si="1"/>
        <v>5293292.5894922381</v>
      </c>
      <c r="O15" s="161">
        <f t="shared" si="1"/>
        <v>6367056.1172139971</v>
      </c>
    </row>
    <row r="16" spans="2:16" ht="15" customHeight="1" x14ac:dyDescent="0.3">
      <c r="B16" s="162"/>
      <c r="C16" s="1055"/>
      <c r="D16" s="1055"/>
      <c r="E16" s="1055"/>
    </row>
    <row r="17" spans="2:15" ht="15" customHeight="1" x14ac:dyDescent="0.3">
      <c r="B17" s="163" t="s">
        <v>355</v>
      </c>
      <c r="C17" s="1058">
        <f t="shared" ref="C17:O17" si="2">C8+C15</f>
        <v>12338166.003367342</v>
      </c>
      <c r="D17" s="1058">
        <f t="shared" si="2"/>
        <v>12785255.875</v>
      </c>
      <c r="E17" s="1058">
        <f t="shared" si="2"/>
        <v>14022887.310000001</v>
      </c>
      <c r="F17" s="164">
        <f t="shared" si="2"/>
        <v>14021262.183558363</v>
      </c>
      <c r="G17" s="164">
        <f>G8+G15</f>
        <v>17291626.445569996</v>
      </c>
      <c r="H17" s="164">
        <f t="shared" si="2"/>
        <v>21657647.433083117</v>
      </c>
      <c r="I17" s="164">
        <f t="shared" si="2"/>
        <v>19999316.633247241</v>
      </c>
      <c r="J17" s="164">
        <f t="shared" si="2"/>
        <v>18947645.482183248</v>
      </c>
      <c r="K17" s="164">
        <f t="shared" si="2"/>
        <v>19552770.146426149</v>
      </c>
      <c r="L17" s="164">
        <f t="shared" si="2"/>
        <v>20193739.839519046</v>
      </c>
      <c r="M17" s="164">
        <f t="shared" si="2"/>
        <v>20825546.618287049</v>
      </c>
      <c r="N17" s="164">
        <f t="shared" si="2"/>
        <v>21217813.103640877</v>
      </c>
      <c r="O17" s="164">
        <f t="shared" si="2"/>
        <v>22760909.40345598</v>
      </c>
    </row>
    <row r="18" spans="2:15" ht="15" customHeight="1" x14ac:dyDescent="0.3">
      <c r="B18" s="162"/>
      <c r="C18" s="1055"/>
      <c r="D18" s="1055"/>
      <c r="E18" s="1055"/>
    </row>
    <row r="19" spans="2:15" ht="15" customHeight="1" x14ac:dyDescent="0.3">
      <c r="B19" s="162" t="s">
        <v>356</v>
      </c>
      <c r="C19" s="1059">
        <f>-'Misc Revenues'!P26</f>
        <v>-771073.71560000011</v>
      </c>
      <c r="D19" s="1059">
        <f>-'Misc Revenues'!Q26</f>
        <v>-995760.86749999993</v>
      </c>
      <c r="E19" s="1059">
        <f>-'Misc Revenues'!R26</f>
        <v>-1151586.02</v>
      </c>
      <c r="F19" s="165">
        <f>-'Misc Revenues'!S26</f>
        <v>-1301321.83</v>
      </c>
      <c r="G19" s="165">
        <f>-'Misc Revenues'!T26</f>
        <v>-1338218.1348999999</v>
      </c>
      <c r="H19" s="165">
        <f>-'Misc Revenues'!U26</f>
        <v>-1376221.328947</v>
      </c>
      <c r="I19" s="165">
        <f>-'Misc Revenues'!V26</f>
        <v>-1415364.61881541</v>
      </c>
      <c r="J19" s="165">
        <f>-'Misc Revenues'!W26</f>
        <v>-1455682.2073798722</v>
      </c>
      <c r="K19" s="165">
        <f>-'Misc Revenues'!X26</f>
        <v>-1497209.3236012687</v>
      </c>
      <c r="L19" s="165">
        <f>-'Misc Revenues'!Y26</f>
        <v>-1539982.2533093067</v>
      </c>
      <c r="M19" s="165">
        <f>-'Misc Revenues'!Z26</f>
        <v>-1584038.3709085858</v>
      </c>
      <c r="N19" s="165">
        <f>-'Misc Revenues'!AA26</f>
        <v>-1629416.1720358434</v>
      </c>
      <c r="O19" s="165">
        <f>-'Misc Revenues'!AB26</f>
        <v>-1676155.3071969186</v>
      </c>
    </row>
    <row r="20" spans="2:15" ht="15" customHeight="1" x14ac:dyDescent="0.3">
      <c r="B20" s="162"/>
      <c r="C20" s="1055"/>
      <c r="D20" s="1055"/>
      <c r="E20" s="1055"/>
    </row>
    <row r="21" spans="2:15" s="166" customFormat="1" ht="15" customHeight="1" thickBot="1" x14ac:dyDescent="0.35">
      <c r="B21" s="156" t="s">
        <v>357</v>
      </c>
      <c r="C21" s="1060">
        <f>C17+C19</f>
        <v>11567092.287767341</v>
      </c>
      <c r="D21" s="1060">
        <f>D17+D19</f>
        <v>11789495.0075</v>
      </c>
      <c r="E21" s="1060">
        <f>E17+E19</f>
        <v>12871301.290000001</v>
      </c>
      <c r="F21" s="167">
        <f t="shared" ref="F21:O21" si="3">F17+F19</f>
        <v>12719940.353558363</v>
      </c>
      <c r="G21" s="167">
        <f>G17+G19</f>
        <v>15953408.310669996</v>
      </c>
      <c r="H21" s="167">
        <f t="shared" si="3"/>
        <v>20281426.104136117</v>
      </c>
      <c r="I21" s="167">
        <f t="shared" si="3"/>
        <v>18583952.01443183</v>
      </c>
      <c r="J21" s="167">
        <f t="shared" si="3"/>
        <v>17491963.274803374</v>
      </c>
      <c r="K21" s="167">
        <f t="shared" si="3"/>
        <v>18055560.82282488</v>
      </c>
      <c r="L21" s="167">
        <f t="shared" si="3"/>
        <v>18653757.58620974</v>
      </c>
      <c r="M21" s="167">
        <f t="shared" si="3"/>
        <v>19241508.247378465</v>
      </c>
      <c r="N21" s="167">
        <f t="shared" si="3"/>
        <v>19588396.931605034</v>
      </c>
      <c r="O21" s="167">
        <f t="shared" si="3"/>
        <v>21084754.096259061</v>
      </c>
    </row>
    <row r="22" spans="2:15" ht="15" customHeight="1" thickTop="1" x14ac:dyDescent="0.3">
      <c r="B22" s="163"/>
      <c r="C22" s="1061"/>
      <c r="D22" s="1061"/>
      <c r="E22" s="1061"/>
      <c r="F22" s="168"/>
      <c r="G22" s="168"/>
      <c r="H22" s="168"/>
      <c r="I22" s="168"/>
      <c r="J22" s="168"/>
      <c r="K22" s="168"/>
      <c r="L22" s="168"/>
      <c r="M22" s="168"/>
      <c r="N22" s="168"/>
      <c r="O22" s="168"/>
    </row>
    <row r="23" spans="2:15" ht="15" customHeight="1" x14ac:dyDescent="0.3">
      <c r="B23" s="163" t="s">
        <v>1574</v>
      </c>
      <c r="C23" s="1061">
        <f>C17+C19</f>
        <v>11567092.287767341</v>
      </c>
      <c r="D23" s="1061">
        <f>D17+D19</f>
        <v>11789495.0075</v>
      </c>
      <c r="E23" s="1061">
        <f>E17+E19</f>
        <v>12871301.290000001</v>
      </c>
      <c r="F23" s="168">
        <f>F17+F19</f>
        <v>12719940.353558363</v>
      </c>
      <c r="G23" s="168">
        <f t="shared" ref="G23:O23" si="4">G17+G19</f>
        <v>15953408.310669996</v>
      </c>
      <c r="H23" s="168">
        <f t="shared" si="4"/>
        <v>20281426.104136117</v>
      </c>
      <c r="I23" s="168">
        <f t="shared" si="4"/>
        <v>18583952.01443183</v>
      </c>
      <c r="J23" s="168">
        <f t="shared" si="4"/>
        <v>17491963.274803374</v>
      </c>
      <c r="K23" s="168">
        <f>K17+K19</f>
        <v>18055560.82282488</v>
      </c>
      <c r="L23" s="168">
        <f t="shared" si="4"/>
        <v>18653757.58620974</v>
      </c>
      <c r="M23" s="168">
        <f t="shared" si="4"/>
        <v>19241508.247378465</v>
      </c>
      <c r="N23" s="168">
        <f t="shared" si="4"/>
        <v>19588396.931605034</v>
      </c>
      <c r="O23" s="168">
        <f t="shared" si="4"/>
        <v>21084754.096259061</v>
      </c>
    </row>
    <row r="24" spans="2:15" ht="15" customHeight="1" x14ac:dyDescent="0.3">
      <c r="B24" s="163"/>
      <c r="C24" s="1061"/>
      <c r="D24" s="1061"/>
      <c r="E24" s="1061"/>
      <c r="F24" s="168"/>
      <c r="G24" s="168"/>
      <c r="H24" s="168"/>
      <c r="I24" s="168"/>
      <c r="J24" s="168"/>
      <c r="K24" s="168"/>
      <c r="L24" s="168"/>
      <c r="M24" s="168"/>
      <c r="N24" s="168"/>
      <c r="O24" s="168"/>
    </row>
    <row r="25" spans="2:15" s="163" customFormat="1" ht="15" customHeight="1" x14ac:dyDescent="0.3">
      <c r="B25" s="162" t="s">
        <v>1971</v>
      </c>
      <c r="C25" s="1062">
        <f>SUM('Misc Revenues'!P54:P57)</f>
        <v>12849796.350000001</v>
      </c>
      <c r="D25" s="1062">
        <f>SUM('Misc Revenues'!Q54:Q57)</f>
        <v>12894687.039999999</v>
      </c>
      <c r="E25" s="1062">
        <f>'Water Rate Projections'!F71</f>
        <v>14411439.396600001</v>
      </c>
      <c r="F25" s="888">
        <f>'Water Rate Projections'!G71</f>
        <v>15283782.596261144</v>
      </c>
      <c r="G25" s="888">
        <f>'Water Rate Projections'!H71</f>
        <v>16226583.971539626</v>
      </c>
      <c r="H25" s="888">
        <f>'Water Rate Projections'!I71</f>
        <v>17030943.334708843</v>
      </c>
      <c r="I25" s="888">
        <f>'Water Rate Projections'!J71</f>
        <v>17874902.610271629</v>
      </c>
      <c r="J25" s="888">
        <f>'Water Rate Projections'!K71</f>
        <v>18760400.609326657</v>
      </c>
      <c r="K25" s="888">
        <f>'Water Rate Projections'!L71</f>
        <v>18674732.424525429</v>
      </c>
      <c r="L25" s="888">
        <f>'Water Rate Projections'!M71</f>
        <v>18589492.580648202</v>
      </c>
      <c r="M25" s="888">
        <f>'Water Rate Projections'!N71</f>
        <v>18504678.935990363</v>
      </c>
      <c r="N25" s="888">
        <f>'Water Rate Projections'!O71</f>
        <v>18420289.359555814</v>
      </c>
      <c r="O25" s="888">
        <f>'Water Rate Projections'!P71</f>
        <v>18336321.731003437</v>
      </c>
    </row>
    <row r="26" spans="2:15" s="162" customFormat="1" ht="15" customHeight="1" x14ac:dyDescent="0.3">
      <c r="C26" s="1063"/>
      <c r="D26" s="1063"/>
      <c r="E26" s="1064" t="s">
        <v>2023</v>
      </c>
      <c r="F26" s="169"/>
      <c r="G26" s="169"/>
      <c r="H26" s="169"/>
      <c r="I26" s="169"/>
      <c r="J26" s="169"/>
      <c r="K26" s="169"/>
    </row>
    <row r="27" spans="2:15" s="162" customFormat="1" ht="15" customHeight="1" x14ac:dyDescent="0.3">
      <c r="B27" s="162" t="s">
        <v>359</v>
      </c>
      <c r="C27" s="1059">
        <f>C25-C23</f>
        <v>1282704.0622326601</v>
      </c>
      <c r="D27" s="1059">
        <f t="shared" ref="D27:O27" si="5">D25-D23</f>
        <v>1105192.0324999988</v>
      </c>
      <c r="E27" s="1059">
        <f t="shared" si="5"/>
        <v>1540138.1065999996</v>
      </c>
      <c r="F27" s="165">
        <f t="shared" si="5"/>
        <v>2563842.2427027803</v>
      </c>
      <c r="G27" s="165">
        <f t="shared" si="5"/>
        <v>273175.66086963005</v>
      </c>
      <c r="H27" s="165">
        <f t="shared" si="5"/>
        <v>-3250482.7694272734</v>
      </c>
      <c r="I27" s="170">
        <f>I25-I23</f>
        <v>-709049.40416020155</v>
      </c>
      <c r="J27" s="165">
        <f t="shared" si="5"/>
        <v>1268437.3345232829</v>
      </c>
      <c r="K27" s="165">
        <f t="shared" si="5"/>
        <v>619171.60170054808</v>
      </c>
      <c r="L27" s="165">
        <f t="shared" si="5"/>
        <v>-64265.005561538041</v>
      </c>
      <c r="M27" s="165">
        <f t="shared" si="5"/>
        <v>-736829.31138810143</v>
      </c>
      <c r="N27" s="165">
        <f t="shared" si="5"/>
        <v>-1168107.5720492192</v>
      </c>
      <c r="O27" s="165">
        <f t="shared" si="5"/>
        <v>-2748432.3652556241</v>
      </c>
    </row>
    <row r="28" spans="2:15" s="162" customFormat="1" ht="15" customHeight="1" x14ac:dyDescent="0.3">
      <c r="C28" s="1059"/>
      <c r="D28" s="1059"/>
      <c r="E28" s="1059"/>
      <c r="F28" s="165"/>
      <c r="G28" s="165"/>
      <c r="H28" s="165"/>
      <c r="I28" s="165"/>
      <c r="J28" s="165"/>
      <c r="K28" s="165"/>
      <c r="L28" s="165"/>
      <c r="M28" s="165"/>
      <c r="N28" s="165"/>
      <c r="O28" s="165"/>
    </row>
    <row r="29" spans="2:15" s="162" customFormat="1" ht="15" customHeight="1" x14ac:dyDescent="0.3">
      <c r="B29" s="162" t="s">
        <v>1890</v>
      </c>
      <c r="C29" s="1059"/>
      <c r="D29" s="1059"/>
      <c r="E29" s="1065">
        <f>IF(E27&lt;0,-E27/'Water Rate Projections'!F46,0)</f>
        <v>0</v>
      </c>
      <c r="F29" s="709">
        <f>IF(F27&lt;0,-F27/'Water Rate Projections'!G46,0)</f>
        <v>0</v>
      </c>
      <c r="G29" s="709">
        <f>IF(G27&lt;0,-G27/'Water Rate Projections'!H46,0)</f>
        <v>0</v>
      </c>
      <c r="H29" s="709">
        <f>IF(H27&lt;0,-H27/'Water Rate Projections'!I46,0)</f>
        <v>0.22579371087696409</v>
      </c>
      <c r="I29" s="709">
        <f>IF(I27&lt;0,-I27/'Water Rate Projections'!J46,0)</f>
        <v>4.9273204422730074E-2</v>
      </c>
      <c r="J29" s="709">
        <f>IF(J27&lt;0,-J27/'Water Rate Projections'!K46,0)</f>
        <v>0</v>
      </c>
      <c r="K29" s="709">
        <f>IF(K27&lt;0,-K27/'Water Rate Projections'!L46,0)</f>
        <v>0</v>
      </c>
      <c r="L29" s="709">
        <f>IF(L27&lt;0,-L27/'Water Rate Projections'!M46,0)</f>
        <v>4.5085237456746934E-3</v>
      </c>
      <c r="M29" s="709">
        <f>IF(M27&lt;0,-M27/'Water Rate Projections'!N46,0)</f>
        <v>5.1927767419177158E-2</v>
      </c>
      <c r="N29" s="709">
        <f>IF(N27&lt;0,-N27/'Water Rate Projections'!O46,0)</f>
        <v>8.2696592091623347E-2</v>
      </c>
      <c r="O29" s="709">
        <f>IF(O27&lt;0,-O27/'Water Rate Projections'!P46,0)</f>
        <v>0.19546135806954118</v>
      </c>
    </row>
    <row r="30" spans="2:15" s="162" customFormat="1" ht="15" customHeight="1" x14ac:dyDescent="0.3">
      <c r="C30" s="1063"/>
      <c r="D30" s="1063"/>
      <c r="E30" s="1063"/>
    </row>
    <row r="31" spans="2:15" ht="15" customHeight="1" x14ac:dyDescent="0.3">
      <c r="B31" s="154"/>
      <c r="C31" s="154">
        <v>2013</v>
      </c>
      <c r="D31" s="154">
        <v>2014</v>
      </c>
      <c r="E31" s="154">
        <v>2015</v>
      </c>
      <c r="F31" s="154">
        <v>2016</v>
      </c>
      <c r="G31" s="154">
        <v>2017</v>
      </c>
      <c r="H31" s="154">
        <v>2018</v>
      </c>
      <c r="I31" s="154">
        <v>2019</v>
      </c>
      <c r="J31" s="154">
        <v>2020</v>
      </c>
      <c r="K31" s="154">
        <v>2021</v>
      </c>
      <c r="L31" s="154">
        <v>2022</v>
      </c>
      <c r="M31" s="154">
        <v>2023</v>
      </c>
      <c r="N31" s="154">
        <v>2024</v>
      </c>
      <c r="O31" s="154">
        <v>2025</v>
      </c>
    </row>
    <row r="32" spans="2:15" ht="15" customHeight="1" x14ac:dyDescent="0.3">
      <c r="B32" s="156" t="s">
        <v>24</v>
      </c>
      <c r="C32" s="1054"/>
      <c r="D32" s="1054"/>
      <c r="E32" s="1054"/>
    </row>
    <row r="33" spans="2:15" ht="15" customHeight="1" x14ac:dyDescent="0.3">
      <c r="B33" s="158" t="s">
        <v>348</v>
      </c>
      <c r="C33" s="1055"/>
      <c r="D33" s="1055"/>
      <c r="E33" s="1055"/>
    </row>
    <row r="34" spans="2:15" ht="15" customHeight="1" x14ac:dyDescent="0.3">
      <c r="B34" s="162" t="s">
        <v>349</v>
      </c>
      <c r="C34" s="1056">
        <f>'O&amp;M'!P234</f>
        <v>1541899.2987750317</v>
      </c>
      <c r="D34" s="1056">
        <f>'O&amp;M'!Q234</f>
        <v>1110788.3374999999</v>
      </c>
      <c r="E34" s="1056">
        <f>'O&amp;M'!R234</f>
        <v>1343132.6</v>
      </c>
      <c r="F34" s="815">
        <f>'O&amp;M'!S234</f>
        <v>1263535.619465</v>
      </c>
      <c r="G34" s="815">
        <f>'O&amp;M'!T234</f>
        <v>1258850.3912375541</v>
      </c>
      <c r="H34" s="815">
        <f>'O&amp;M'!U234</f>
        <v>1306082.6230100906</v>
      </c>
      <c r="I34" s="815">
        <f>'O&amp;M'!V234</f>
        <v>1355330.0612126112</v>
      </c>
      <c r="J34" s="815">
        <f>'O&amp;M'!W234</f>
        <v>1406696.6431072163</v>
      </c>
      <c r="K34" s="815">
        <f>'O&amp;M'!X234</f>
        <v>1460292.9688936626</v>
      </c>
      <c r="L34" s="815">
        <f>'O&amp;M'!Y234</f>
        <v>1516236.8144798349</v>
      </c>
      <c r="M34" s="815">
        <f>'O&amp;M'!Z234</f>
        <v>1574653.6886673693</v>
      </c>
      <c r="N34" s="815">
        <f>'O&amp;M'!AA234</f>
        <v>1635677.4388613196</v>
      </c>
      <c r="O34" s="815">
        <f>'O&amp;M'!AB234</f>
        <v>1699450.9098063414</v>
      </c>
    </row>
    <row r="35" spans="2:15" ht="15" customHeight="1" x14ac:dyDescent="0.3">
      <c r="B35" s="160" t="s">
        <v>349</v>
      </c>
      <c r="C35" s="1057">
        <f>C34</f>
        <v>1541899.2987750317</v>
      </c>
      <c r="D35" s="1057">
        <f t="shared" ref="D35:O35" si="6">D34</f>
        <v>1110788.3374999999</v>
      </c>
      <c r="E35" s="1057">
        <f t="shared" si="6"/>
        <v>1343132.6</v>
      </c>
      <c r="F35" s="161">
        <f t="shared" si="6"/>
        <v>1263535.619465</v>
      </c>
      <c r="G35" s="161">
        <f t="shared" si="6"/>
        <v>1258850.3912375541</v>
      </c>
      <c r="H35" s="161">
        <f t="shared" si="6"/>
        <v>1306082.6230100906</v>
      </c>
      <c r="I35" s="161">
        <f t="shared" si="6"/>
        <v>1355330.0612126112</v>
      </c>
      <c r="J35" s="161">
        <f t="shared" si="6"/>
        <v>1406696.6431072163</v>
      </c>
      <c r="K35" s="161">
        <f t="shared" si="6"/>
        <v>1460292.9688936626</v>
      </c>
      <c r="L35" s="161">
        <f t="shared" si="6"/>
        <v>1516236.8144798349</v>
      </c>
      <c r="M35" s="161">
        <f t="shared" si="6"/>
        <v>1574653.6886673693</v>
      </c>
      <c r="N35" s="161">
        <f t="shared" si="6"/>
        <v>1635677.4388613196</v>
      </c>
      <c r="O35" s="161">
        <f t="shared" si="6"/>
        <v>1699450.9098063414</v>
      </c>
    </row>
    <row r="36" spans="2:15" ht="15" customHeight="1" x14ac:dyDescent="0.3">
      <c r="B36" s="162"/>
      <c r="C36" s="1055"/>
      <c r="D36" s="1055"/>
      <c r="E36" s="1055"/>
    </row>
    <row r="37" spans="2:15" ht="15" customHeight="1" x14ac:dyDescent="0.3">
      <c r="B37" s="158" t="s">
        <v>350</v>
      </c>
      <c r="C37" s="1055"/>
      <c r="D37" s="1055"/>
      <c r="E37" s="1055"/>
    </row>
    <row r="38" spans="2:15" ht="15" customHeight="1" x14ac:dyDescent="0.3">
      <c r="B38" s="162" t="s">
        <v>351</v>
      </c>
      <c r="C38" s="1056"/>
      <c r="D38" s="1056"/>
      <c r="E38" s="1056"/>
      <c r="F38" s="815">
        <f>'Capital Improvement Plan'!G65</f>
        <v>530000</v>
      </c>
      <c r="G38" s="815">
        <f>'Capital Improvement Plan'!H65</f>
        <v>750000</v>
      </c>
      <c r="H38" s="815">
        <f>'Capital Improvement Plan'!I65</f>
        <v>650000</v>
      </c>
      <c r="I38" s="815">
        <f>'Capital Improvement Plan'!J65</f>
        <v>650000</v>
      </c>
      <c r="J38" s="815">
        <f>'Capital Improvement Plan'!K65</f>
        <v>670000</v>
      </c>
      <c r="K38" s="815">
        <f>'Capital Improvement Plan'!L65</f>
        <v>650000</v>
      </c>
      <c r="L38" s="815">
        <f>'Capital Improvement Plan'!M65</f>
        <v>700000</v>
      </c>
      <c r="M38" s="815">
        <f>'Capital Improvement Plan'!N65</f>
        <v>800000</v>
      </c>
      <c r="N38" s="815">
        <f>'Capital Improvement Plan'!O65</f>
        <v>700000</v>
      </c>
      <c r="O38" s="815">
        <f>'Capital Improvement Plan'!P65</f>
        <v>700000</v>
      </c>
    </row>
    <row r="39" spans="2:15" ht="15" customHeight="1" x14ac:dyDescent="0.3">
      <c r="B39" s="162" t="s">
        <v>352</v>
      </c>
      <c r="C39" s="1056">
        <f>'Existing Debt'!F33</f>
        <v>0</v>
      </c>
      <c r="D39" s="1056">
        <f>'Existing Debt'!G33</f>
        <v>0</v>
      </c>
      <c r="E39" s="1056">
        <f>'Existing Debt'!H33</f>
        <v>0</v>
      </c>
      <c r="F39" s="815">
        <f>'Existing Debt'!I33</f>
        <v>0</v>
      </c>
      <c r="G39" s="815">
        <f>'Existing Debt'!J33</f>
        <v>0</v>
      </c>
      <c r="H39" s="815">
        <f>'Existing Debt'!K33</f>
        <v>0</v>
      </c>
      <c r="I39" s="815">
        <f>'Existing Debt'!L33</f>
        <v>0</v>
      </c>
      <c r="J39" s="815">
        <f>'Existing Debt'!M33</f>
        <v>0</v>
      </c>
      <c r="K39" s="815">
        <f>'Existing Debt'!N33</f>
        <v>0</v>
      </c>
      <c r="L39" s="815">
        <f>'Existing Debt'!O33</f>
        <v>0</v>
      </c>
      <c r="M39" s="815">
        <f>'Existing Debt'!P33</f>
        <v>0</v>
      </c>
      <c r="N39" s="815">
        <f>'Existing Debt'!Q33</f>
        <v>0</v>
      </c>
      <c r="O39" s="815">
        <f>'Existing Debt'!R33</f>
        <v>0</v>
      </c>
    </row>
    <row r="40" spans="2:15" ht="15" customHeight="1" x14ac:dyDescent="0.3">
      <c r="B40" s="159" t="s">
        <v>353</v>
      </c>
      <c r="C40" s="1056"/>
      <c r="D40" s="1056"/>
      <c r="E40" s="1056"/>
      <c r="F40" s="815">
        <f>'Projected Debt'!C24</f>
        <v>0</v>
      </c>
      <c r="G40" s="815">
        <f>'Projected Debt'!D24</f>
        <v>0</v>
      </c>
      <c r="H40" s="815">
        <f>'Projected Debt'!E24</f>
        <v>0</v>
      </c>
      <c r="I40" s="815">
        <f>'Projected Debt'!F24</f>
        <v>0</v>
      </c>
      <c r="J40" s="815">
        <f>'Projected Debt'!G24</f>
        <v>0</v>
      </c>
      <c r="K40" s="815">
        <f>'Projected Debt'!H24</f>
        <v>0</v>
      </c>
      <c r="L40" s="815">
        <f>'Projected Debt'!I24</f>
        <v>0</v>
      </c>
      <c r="M40" s="815">
        <f>'Projected Debt'!J24</f>
        <v>0</v>
      </c>
      <c r="N40" s="815">
        <f>'Projected Debt'!K24</f>
        <v>0</v>
      </c>
      <c r="O40" s="815">
        <f>'Projected Debt'!L24</f>
        <v>0</v>
      </c>
    </row>
    <row r="41" spans="2:15" ht="15" customHeight="1" x14ac:dyDescent="0.3">
      <c r="B41" s="159" t="s">
        <v>1616</v>
      </c>
      <c r="C41" s="1056"/>
      <c r="D41" s="1056"/>
      <c r="E41" s="1056"/>
      <c r="F41" s="815">
        <f>'Asset Replacement'!D53</f>
        <v>540376.52065731643</v>
      </c>
      <c r="G41" s="815">
        <f>'Asset Replacement'!E53</f>
        <v>166115.1967486683</v>
      </c>
      <c r="H41" s="815">
        <f>'Asset Replacement'!F53</f>
        <v>231210.10886322736</v>
      </c>
      <c r="I41" s="815">
        <f>'Asset Replacement'!G53</f>
        <v>243041.60579554609</v>
      </c>
      <c r="J41" s="815">
        <f>'Asset Replacement'!H53</f>
        <v>193642.42458893757</v>
      </c>
      <c r="K41" s="815">
        <f>'Asset Replacement'!I53</f>
        <v>199861.35888163125</v>
      </c>
      <c r="L41" s="815">
        <f>'Asset Replacement'!J53</f>
        <v>199544.68732496237</v>
      </c>
      <c r="M41" s="815">
        <f>'Asset Replacement'!K53</f>
        <v>211913.14982731611</v>
      </c>
      <c r="N41" s="815">
        <f>'Asset Replacement'!L53</f>
        <v>188102.23954438968</v>
      </c>
      <c r="O41" s="815">
        <f>'Asset Replacement'!M53</f>
        <v>141167.49649500952</v>
      </c>
    </row>
    <row r="42" spans="2:15" ht="15" customHeight="1" x14ac:dyDescent="0.3">
      <c r="B42" s="160" t="s">
        <v>354</v>
      </c>
      <c r="C42" s="1057">
        <f>SUM(C38:C41)</f>
        <v>0</v>
      </c>
      <c r="D42" s="1057">
        <f t="shared" ref="D42:O42" si="7">SUM(D38:D41)</f>
        <v>0</v>
      </c>
      <c r="E42" s="1057">
        <f t="shared" si="7"/>
        <v>0</v>
      </c>
      <c r="F42" s="161">
        <f t="shared" si="7"/>
        <v>1070376.5206573163</v>
      </c>
      <c r="G42" s="161">
        <f t="shared" si="7"/>
        <v>916115.19674866833</v>
      </c>
      <c r="H42" s="161">
        <f t="shared" si="7"/>
        <v>881210.1088632273</v>
      </c>
      <c r="I42" s="161">
        <f t="shared" si="7"/>
        <v>893041.60579554609</v>
      </c>
      <c r="J42" s="161">
        <f t="shared" si="7"/>
        <v>863642.42458893755</v>
      </c>
      <c r="K42" s="161">
        <f t="shared" si="7"/>
        <v>849861.35888163128</v>
      </c>
      <c r="L42" s="161">
        <f t="shared" si="7"/>
        <v>899544.68732496235</v>
      </c>
      <c r="M42" s="161">
        <f t="shared" si="7"/>
        <v>1011913.1498273162</v>
      </c>
      <c r="N42" s="161">
        <f t="shared" si="7"/>
        <v>888102.23954438965</v>
      </c>
      <c r="O42" s="161">
        <f t="shared" si="7"/>
        <v>841167.49649500952</v>
      </c>
    </row>
    <row r="43" spans="2:15" ht="15" customHeight="1" x14ac:dyDescent="0.3">
      <c r="B43" s="162"/>
      <c r="C43" s="1055"/>
      <c r="D43" s="1055"/>
      <c r="E43" s="1055"/>
    </row>
    <row r="44" spans="2:15" ht="15" customHeight="1" x14ac:dyDescent="0.3">
      <c r="B44" s="163" t="s">
        <v>355</v>
      </c>
      <c r="C44" s="1058">
        <f t="shared" ref="C44:O44" si="8">C35+C42</f>
        <v>1541899.2987750317</v>
      </c>
      <c r="D44" s="1058">
        <f t="shared" si="8"/>
        <v>1110788.3374999999</v>
      </c>
      <c r="E44" s="1058">
        <f t="shared" si="8"/>
        <v>1343132.6</v>
      </c>
      <c r="F44" s="164">
        <f t="shared" si="8"/>
        <v>2333912.1401223163</v>
      </c>
      <c r="G44" s="164">
        <f>G35+G42</f>
        <v>2174965.5879862225</v>
      </c>
      <c r="H44" s="164">
        <f t="shared" si="8"/>
        <v>2187292.7318733176</v>
      </c>
      <c r="I44" s="164">
        <f t="shared" si="8"/>
        <v>2248371.6670081574</v>
      </c>
      <c r="J44" s="164">
        <f t="shared" si="8"/>
        <v>2270339.0676961541</v>
      </c>
      <c r="K44" s="164">
        <f t="shared" si="8"/>
        <v>2310154.327775294</v>
      </c>
      <c r="L44" s="164">
        <f t="shared" si="8"/>
        <v>2415781.501804797</v>
      </c>
      <c r="M44" s="164">
        <f t="shared" si="8"/>
        <v>2586566.8384946855</v>
      </c>
      <c r="N44" s="164">
        <f t="shared" si="8"/>
        <v>2523779.6784057091</v>
      </c>
      <c r="O44" s="164">
        <f t="shared" si="8"/>
        <v>2540618.4063013508</v>
      </c>
    </row>
    <row r="45" spans="2:15" ht="15" customHeight="1" x14ac:dyDescent="0.3">
      <c r="B45" s="162"/>
      <c r="C45" s="1055"/>
      <c r="D45" s="1055"/>
      <c r="E45" s="1055"/>
    </row>
    <row r="46" spans="2:15" ht="15" customHeight="1" x14ac:dyDescent="0.3">
      <c r="B46" s="162" t="s">
        <v>356</v>
      </c>
      <c r="C46" s="1059">
        <f>-'Misc Revenues'!P38</f>
        <v>-91063.044300000009</v>
      </c>
      <c r="D46" s="1059">
        <f>-'Misc Revenues'!Q38</f>
        <v>-145626.13500000001</v>
      </c>
      <c r="E46" s="1059">
        <f>-'Misc Revenues'!R38</f>
        <v>-93607.56</v>
      </c>
      <c r="F46" s="165">
        <f>-'Misc Revenues'!S38</f>
        <v>-96521.99</v>
      </c>
      <c r="G46" s="165">
        <f>-'Misc Revenues'!T38</f>
        <v>-99417.64969999998</v>
      </c>
      <c r="H46" s="165">
        <f>-'Misc Revenues'!U38</f>
        <v>-102400.17919099999</v>
      </c>
      <c r="I46" s="165">
        <f>-'Misc Revenues'!V38</f>
        <v>-105472.18456672999</v>
      </c>
      <c r="J46" s="165">
        <f>-'Misc Revenues'!W38</f>
        <v>-108636.35010373189</v>
      </c>
      <c r="K46" s="165">
        <f>-'Misc Revenues'!X38</f>
        <v>-111895.44060684385</v>
      </c>
      <c r="L46" s="165">
        <f>-'Misc Revenues'!Y38</f>
        <v>-115252.30382504918</v>
      </c>
      <c r="M46" s="165">
        <f>-'Misc Revenues'!Z38</f>
        <v>-118709.87293980067</v>
      </c>
      <c r="N46" s="165">
        <f>-'Misc Revenues'!AA38</f>
        <v>-122271.16912799468</v>
      </c>
      <c r="O46" s="165">
        <f>-'Misc Revenues'!AB38</f>
        <v>-125939.30420183451</v>
      </c>
    </row>
    <row r="47" spans="2:15" ht="15" customHeight="1" x14ac:dyDescent="0.3">
      <c r="B47" s="162"/>
      <c r="C47" s="1055"/>
      <c r="D47" s="1055"/>
      <c r="E47" s="1055"/>
    </row>
    <row r="48" spans="2:15" s="166" customFormat="1" ht="15" customHeight="1" thickBot="1" x14ac:dyDescent="0.35">
      <c r="B48" s="156" t="s">
        <v>357</v>
      </c>
      <c r="C48" s="1060">
        <f>C44+C46</f>
        <v>1450836.2544750317</v>
      </c>
      <c r="D48" s="1060">
        <f>D44+D46</f>
        <v>965162.2024999999</v>
      </c>
      <c r="E48" s="1060">
        <f>E44+E46</f>
        <v>1249525.04</v>
      </c>
      <c r="F48" s="167">
        <f t="shared" ref="F48:O48" si="9">F44+F46</f>
        <v>2237390.1501223161</v>
      </c>
      <c r="G48" s="167">
        <f>G44+G46</f>
        <v>2075547.9382862225</v>
      </c>
      <c r="H48" s="167">
        <f t="shared" si="9"/>
        <v>2084892.5526823176</v>
      </c>
      <c r="I48" s="167">
        <f t="shared" si="9"/>
        <v>2142899.4824414272</v>
      </c>
      <c r="J48" s="167">
        <f t="shared" si="9"/>
        <v>2161702.7175924224</v>
      </c>
      <c r="K48" s="167">
        <f t="shared" si="9"/>
        <v>2198258.8871684503</v>
      </c>
      <c r="L48" s="167">
        <f t="shared" si="9"/>
        <v>2300529.1979797478</v>
      </c>
      <c r="M48" s="167">
        <f t="shared" si="9"/>
        <v>2467856.9655548846</v>
      </c>
      <c r="N48" s="167">
        <f t="shared" si="9"/>
        <v>2401508.5092777144</v>
      </c>
      <c r="O48" s="167">
        <f t="shared" si="9"/>
        <v>2414679.1020995164</v>
      </c>
    </row>
    <row r="49" spans="2:16" ht="15" customHeight="1" thickTop="1" x14ac:dyDescent="0.3">
      <c r="C49" s="1061"/>
      <c r="D49" s="1061"/>
      <c r="E49" s="1061"/>
    </row>
    <row r="50" spans="2:16" ht="15" customHeight="1" x14ac:dyDescent="0.3">
      <c r="B50" s="163" t="s">
        <v>1574</v>
      </c>
      <c r="C50" s="1061">
        <f>C44+C46</f>
        <v>1450836.2544750317</v>
      </c>
      <c r="D50" s="1061">
        <f>D44+D46</f>
        <v>965162.2024999999</v>
      </c>
      <c r="E50" s="1061">
        <f>E44+E46</f>
        <v>1249525.04</v>
      </c>
      <c r="F50" s="169">
        <f>F44+F46</f>
        <v>2237390.1501223161</v>
      </c>
      <c r="G50" s="169">
        <f t="shared" ref="G50:O50" si="10">G44+G46</f>
        <v>2075547.9382862225</v>
      </c>
      <c r="H50" s="169">
        <f t="shared" si="10"/>
        <v>2084892.5526823176</v>
      </c>
      <c r="I50" s="169">
        <f t="shared" si="10"/>
        <v>2142899.4824414272</v>
      </c>
      <c r="J50" s="169">
        <f t="shared" si="10"/>
        <v>2161702.7175924224</v>
      </c>
      <c r="K50" s="169">
        <f t="shared" si="10"/>
        <v>2198258.8871684503</v>
      </c>
      <c r="L50" s="169">
        <f t="shared" si="10"/>
        <v>2300529.1979797478</v>
      </c>
      <c r="M50" s="169">
        <f t="shared" si="10"/>
        <v>2467856.9655548846</v>
      </c>
      <c r="N50" s="169">
        <f t="shared" si="10"/>
        <v>2401508.5092777144</v>
      </c>
      <c r="O50" s="169">
        <f t="shared" si="10"/>
        <v>2414679.1020995164</v>
      </c>
    </row>
    <row r="51" spans="2:16" ht="15" customHeight="1" x14ac:dyDescent="0.3">
      <c r="C51" s="1061"/>
      <c r="D51" s="1061"/>
      <c r="E51" s="1061"/>
    </row>
    <row r="52" spans="2:16" s="162" customFormat="1" ht="15" customHeight="1" x14ac:dyDescent="0.3">
      <c r="B52" s="162" t="s">
        <v>1971</v>
      </c>
      <c r="C52" s="1062">
        <f>SUM('Misc Revenues'!P59:P60)</f>
        <v>1395335</v>
      </c>
      <c r="D52" s="1062">
        <f>SUM('Misc Revenues'!Q59:Q60)</f>
        <v>1573219.62</v>
      </c>
      <c r="E52" s="1062">
        <f>'Sewer Rate Projections'!D22</f>
        <v>1659903.7326</v>
      </c>
      <c r="F52" s="888">
        <f>'Sewer Rate Projections'!E22</f>
        <v>1917964.7504212153</v>
      </c>
      <c r="G52" s="888">
        <f>'Sewer Rate Projections'!F22</f>
        <v>2087251.3610777338</v>
      </c>
      <c r="H52" s="888">
        <f>'Sewer Rate Projections'!G22</f>
        <v>2189345.6501801237</v>
      </c>
      <c r="I52" s="888">
        <f>'Sewer Rate Projections'!H22</f>
        <v>2296397.5268534091</v>
      </c>
      <c r="J52" s="888">
        <f>'Sewer Rate Projections'!I22</f>
        <v>2408646.2449903651</v>
      </c>
      <c r="K52" s="888">
        <f>'Sewer Rate Projections'!J22</f>
        <v>2396603.0137654133</v>
      </c>
      <c r="L52" s="888">
        <f>'Sewer Rate Projections'!K22</f>
        <v>2384619.9986965861</v>
      </c>
      <c r="M52" s="888">
        <f>'Sewer Rate Projections'!L22</f>
        <v>2372696.898703103</v>
      </c>
      <c r="N52" s="888">
        <f>'Sewer Rate Projections'!M22</f>
        <v>2360833.4142095875</v>
      </c>
      <c r="O52" s="888">
        <f>'Sewer Rate Projections'!N22</f>
        <v>2349029.2471385398</v>
      </c>
      <c r="P52" s="170"/>
    </row>
    <row r="53" spans="2:16" s="162" customFormat="1" ht="15" customHeight="1" x14ac:dyDescent="0.3">
      <c r="C53" s="1063"/>
      <c r="D53" s="1063"/>
      <c r="E53" s="1064"/>
      <c r="F53" s="171"/>
      <c r="G53" s="171"/>
      <c r="H53" s="171"/>
      <c r="I53" s="171"/>
      <c r="J53" s="171"/>
      <c r="K53" s="171"/>
      <c r="L53" s="171"/>
      <c r="M53" s="171"/>
      <c r="N53" s="171"/>
      <c r="O53" s="171"/>
    </row>
    <row r="54" spans="2:16" s="162" customFormat="1" ht="15" customHeight="1" x14ac:dyDescent="0.3">
      <c r="B54" s="162" t="s">
        <v>360</v>
      </c>
      <c r="C54" s="1059">
        <f>C52-C50</f>
        <v>-55501.254475031747</v>
      </c>
      <c r="D54" s="1059">
        <f t="shared" ref="D54:O54" si="11">D52-D50</f>
        <v>608057.41750000021</v>
      </c>
      <c r="E54" s="1059">
        <f t="shared" si="11"/>
        <v>410378.69259999995</v>
      </c>
      <c r="F54" s="165">
        <f t="shared" si="11"/>
        <v>-319425.39970110077</v>
      </c>
      <c r="G54" s="165">
        <f t="shared" si="11"/>
        <v>11703.422791511286</v>
      </c>
      <c r="H54" s="165">
        <f t="shared" si="11"/>
        <v>104453.09749780619</v>
      </c>
      <c r="I54" s="170">
        <f>I52-I50</f>
        <v>153498.04441198194</v>
      </c>
      <c r="J54" s="165">
        <f t="shared" si="11"/>
        <v>246943.52739794273</v>
      </c>
      <c r="K54" s="165">
        <f t="shared" si="11"/>
        <v>198344.12659696303</v>
      </c>
      <c r="L54" s="165">
        <f t="shared" si="11"/>
        <v>84090.800716838334</v>
      </c>
      <c r="M54" s="165">
        <f t="shared" si="11"/>
        <v>-95160.066851781681</v>
      </c>
      <c r="N54" s="165">
        <f t="shared" si="11"/>
        <v>-40675.095068126917</v>
      </c>
      <c r="O54" s="165">
        <f t="shared" si="11"/>
        <v>-65649.854960976634</v>
      </c>
    </row>
    <row r="55" spans="2:16" s="817" customFormat="1" ht="14.4" x14ac:dyDescent="0.3">
      <c r="B55" s="813"/>
      <c r="C55" s="1059"/>
      <c r="D55" s="1059"/>
      <c r="E55" s="1059"/>
      <c r="F55" s="813"/>
      <c r="G55" s="813"/>
      <c r="H55" s="813"/>
      <c r="I55" s="813"/>
      <c r="J55" s="813"/>
      <c r="K55" s="813"/>
      <c r="L55" s="813"/>
      <c r="M55" s="813"/>
      <c r="N55" s="813"/>
      <c r="O55" s="813"/>
    </row>
    <row r="56" spans="2:16" s="817" customFormat="1" ht="14.4" x14ac:dyDescent="0.3">
      <c r="B56" s="162" t="s">
        <v>1890</v>
      </c>
      <c r="C56" s="1059"/>
      <c r="D56" s="1059"/>
      <c r="E56" s="1065">
        <f>IF(E54&lt;0,-E54/'Sewer Rate Projections'!D17,0)</f>
        <v>0</v>
      </c>
      <c r="F56" s="709">
        <f>IF(F54&lt;0,-F54/'Sewer Rate Projections'!E17,0)</f>
        <v>0.19265114538835001</v>
      </c>
      <c r="G56" s="709">
        <f>IF(G54&lt;0,-G54/'Sewer Rate Projections'!F17,0)</f>
        <v>0</v>
      </c>
      <c r="H56" s="709">
        <f>IF(H54&lt;0,-H54/'Sewer Rate Projections'!G17,0)</f>
        <v>0</v>
      </c>
      <c r="I56" s="709">
        <f>IF(I54&lt;0,-I54/'Sewer Rate Projections'!H17,0)</f>
        <v>0</v>
      </c>
      <c r="J56" s="709">
        <f>IF(J54&lt;0,-J54/'Sewer Rate Projections'!I17,0)</f>
        <v>0</v>
      </c>
      <c r="K56" s="709">
        <f>IF(K54&lt;0,-K54/'Sewer Rate Projections'!J17,0)</f>
        <v>0</v>
      </c>
      <c r="L56" s="709">
        <f>IF(L54&lt;0,-L54/'Sewer Rate Projections'!K17,0)</f>
        <v>0</v>
      </c>
      <c r="M56" s="709">
        <f>IF(M54&lt;0,-M54/'Sewer Rate Projections'!L17,0)</f>
        <v>5.8499333516378677E-2</v>
      </c>
      <c r="N56" s="709">
        <f>IF(N54&lt;0,-N54/'Sewer Rate Projections'!M17,0)</f>
        <v>2.5130531604851257E-2</v>
      </c>
      <c r="O56" s="709">
        <f>IF(O54&lt;0,-O54/'Sewer Rate Projections'!N17,0)</f>
        <v>4.0764656692392903E-2</v>
      </c>
    </row>
    <row r="57" spans="2:16" s="817" customFormat="1" ht="14.4" x14ac:dyDescent="0.3">
      <c r="B57" s="813"/>
      <c r="C57" s="1063"/>
      <c r="D57" s="1063"/>
      <c r="E57" s="1063"/>
      <c r="F57" s="813"/>
      <c r="G57" s="813"/>
      <c r="H57" s="813"/>
      <c r="I57" s="813"/>
      <c r="J57" s="813"/>
      <c r="K57" s="813"/>
      <c r="L57" s="813"/>
      <c r="M57" s="813"/>
      <c r="N57" s="813"/>
      <c r="O57" s="813"/>
    </row>
    <row r="58" spans="2:16" ht="15" customHeight="1" x14ac:dyDescent="0.3">
      <c r="B58" s="154"/>
      <c r="C58" s="154">
        <v>2013</v>
      </c>
      <c r="D58" s="154">
        <v>2014</v>
      </c>
      <c r="E58" s="154">
        <v>2015</v>
      </c>
      <c r="F58" s="154">
        <v>2016</v>
      </c>
      <c r="G58" s="154">
        <v>2017</v>
      </c>
      <c r="H58" s="154">
        <v>2018</v>
      </c>
      <c r="I58" s="154">
        <v>2019</v>
      </c>
      <c r="J58" s="154">
        <v>2020</v>
      </c>
      <c r="K58" s="154">
        <v>2021</v>
      </c>
      <c r="L58" s="154">
        <v>2022</v>
      </c>
      <c r="M58" s="154">
        <v>2023</v>
      </c>
      <c r="N58" s="154">
        <v>2024</v>
      </c>
      <c r="O58" s="154">
        <v>2025</v>
      </c>
    </row>
    <row r="59" spans="2:16" ht="15" customHeight="1" x14ac:dyDescent="0.3">
      <c r="B59" s="156" t="s">
        <v>358</v>
      </c>
      <c r="C59" s="1054"/>
      <c r="D59" s="1054"/>
      <c r="E59" s="1054"/>
    </row>
    <row r="60" spans="2:16" ht="15" customHeight="1" x14ac:dyDescent="0.3">
      <c r="B60" s="158" t="s">
        <v>348</v>
      </c>
      <c r="C60" s="1055"/>
      <c r="D60" s="1055"/>
      <c r="E60" s="1055"/>
    </row>
    <row r="61" spans="2:16" ht="15" customHeight="1" x14ac:dyDescent="0.3">
      <c r="B61" s="162" t="s">
        <v>349</v>
      </c>
      <c r="C61" s="1056">
        <f>'O&amp;M'!P347</f>
        <v>1814518.7887750315</v>
      </c>
      <c r="D61" s="1056">
        <f>'O&amp;M'!Q347</f>
        <v>1591796.8975</v>
      </c>
      <c r="E61" s="1056">
        <f>'O&amp;M'!R347</f>
        <v>1858667.6</v>
      </c>
      <c r="F61" s="815">
        <f>'O&amp;M'!S347</f>
        <v>1444815.619465</v>
      </c>
      <c r="G61" s="815">
        <f>'O&amp;M'!T347</f>
        <v>1497035.7966835687</v>
      </c>
      <c r="H61" s="815">
        <f>'O&amp;M'!U347</f>
        <v>1551380.0827007389</v>
      </c>
      <c r="I61" s="815">
        <f>'O&amp;M'!V347</f>
        <v>1607952.4180057009</v>
      </c>
      <c r="J61" s="815">
        <f>'O&amp;M'!W347</f>
        <v>1666863.1197873186</v>
      </c>
      <c r="K61" s="815">
        <f>'O&amp;M'!X347</f>
        <v>1728229.3596213614</v>
      </c>
      <c r="L61" s="815">
        <f>'O&amp;M'!Y347</f>
        <v>1792175.6819903587</v>
      </c>
      <c r="M61" s="815">
        <f>'O&amp;M'!Z347</f>
        <v>1858834.5673913478</v>
      </c>
      <c r="N61" s="815">
        <f>'O&amp;M'!AA347</f>
        <v>1928347.0441456069</v>
      </c>
      <c r="O61" s="815">
        <f>'O&amp;M'!AB347</f>
        <v>2000863.3534181919</v>
      </c>
    </row>
    <row r="62" spans="2:16" ht="15" customHeight="1" x14ac:dyDescent="0.3">
      <c r="B62" s="160" t="s">
        <v>349</v>
      </c>
      <c r="C62" s="1057">
        <f>C61</f>
        <v>1814518.7887750315</v>
      </c>
      <c r="D62" s="1057">
        <f t="shared" ref="D62:O62" si="12">D61</f>
        <v>1591796.8975</v>
      </c>
      <c r="E62" s="1057">
        <f t="shared" si="12"/>
        <v>1858667.6</v>
      </c>
      <c r="F62" s="161">
        <f t="shared" si="12"/>
        <v>1444815.619465</v>
      </c>
      <c r="G62" s="161">
        <f t="shared" si="12"/>
        <v>1497035.7966835687</v>
      </c>
      <c r="H62" s="161">
        <f t="shared" si="12"/>
        <v>1551380.0827007389</v>
      </c>
      <c r="I62" s="161">
        <f t="shared" si="12"/>
        <v>1607952.4180057009</v>
      </c>
      <c r="J62" s="161">
        <f t="shared" si="12"/>
        <v>1666863.1197873186</v>
      </c>
      <c r="K62" s="161">
        <f t="shared" si="12"/>
        <v>1728229.3596213614</v>
      </c>
      <c r="L62" s="161">
        <f t="shared" si="12"/>
        <v>1792175.6819903587</v>
      </c>
      <c r="M62" s="161">
        <f t="shared" si="12"/>
        <v>1858834.5673913478</v>
      </c>
      <c r="N62" s="161">
        <f t="shared" si="12"/>
        <v>1928347.0441456069</v>
      </c>
      <c r="O62" s="161">
        <f t="shared" si="12"/>
        <v>2000863.3534181919</v>
      </c>
    </row>
    <row r="63" spans="2:16" ht="15" customHeight="1" x14ac:dyDescent="0.3">
      <c r="B63" s="162"/>
      <c r="C63" s="1055"/>
      <c r="D63" s="1055"/>
      <c r="E63" s="1055"/>
    </row>
    <row r="64" spans="2:16" ht="15" customHeight="1" x14ac:dyDescent="0.3">
      <c r="B64" s="158" t="s">
        <v>350</v>
      </c>
      <c r="C64" s="1055"/>
      <c r="D64" s="1055"/>
      <c r="E64" s="1055"/>
    </row>
    <row r="65" spans="2:16" ht="15" customHeight="1" x14ac:dyDescent="0.3">
      <c r="B65" s="162" t="s">
        <v>351</v>
      </c>
      <c r="C65" s="1056"/>
      <c r="D65" s="1056"/>
      <c r="E65" s="1056">
        <f>'Capital Improvement Plan'!F100</f>
        <v>500000</v>
      </c>
      <c r="F65" s="815">
        <f>'Capital Improvement Plan'!G100</f>
        <v>2589127</v>
      </c>
      <c r="G65" s="815">
        <f>'Capital Improvement Plan'!H100</f>
        <v>500000</v>
      </c>
      <c r="H65" s="815">
        <f>'Capital Improvement Plan'!I100</f>
        <v>500000</v>
      </c>
      <c r="I65" s="815">
        <f>'Capital Improvement Plan'!J100</f>
        <v>500000</v>
      </c>
      <c r="J65" s="815">
        <f>'Capital Improvement Plan'!K100</f>
        <v>500000</v>
      </c>
      <c r="K65" s="815">
        <f>'Capital Improvement Plan'!L100</f>
        <v>500000</v>
      </c>
      <c r="L65" s="815">
        <f>'Capital Improvement Plan'!M100</f>
        <v>500000</v>
      </c>
      <c r="M65" s="815">
        <f>'Capital Improvement Plan'!N100</f>
        <v>500000</v>
      </c>
      <c r="N65" s="815">
        <f>'Capital Improvement Plan'!O100</f>
        <v>500000</v>
      </c>
      <c r="O65" s="815">
        <f>'Capital Improvement Plan'!P100</f>
        <v>500000</v>
      </c>
    </row>
    <row r="66" spans="2:16" ht="15" customHeight="1" x14ac:dyDescent="0.3">
      <c r="B66" s="162" t="s">
        <v>352</v>
      </c>
      <c r="C66" s="1056">
        <f>'Existing Debt'!F44</f>
        <v>0</v>
      </c>
      <c r="D66" s="1056">
        <f>'Existing Debt'!G44</f>
        <v>0</v>
      </c>
      <c r="E66" s="1056">
        <f>'Existing Debt'!H44</f>
        <v>0</v>
      </c>
      <c r="F66" s="815">
        <f>'Existing Debt'!I44</f>
        <v>36333</v>
      </c>
      <c r="G66" s="815">
        <f>'Existing Debt'!J44</f>
        <v>0</v>
      </c>
      <c r="H66" s="815">
        <f>'Existing Debt'!K44</f>
        <v>0</v>
      </c>
      <c r="I66" s="815">
        <f>'Existing Debt'!L44</f>
        <v>0</v>
      </c>
      <c r="J66" s="815">
        <f>'Existing Debt'!M44</f>
        <v>0</v>
      </c>
      <c r="K66" s="815">
        <f>'Existing Debt'!N44</f>
        <v>0</v>
      </c>
      <c r="L66" s="815">
        <f>'Existing Debt'!O44</f>
        <v>0</v>
      </c>
      <c r="M66" s="815">
        <f>'Existing Debt'!P44</f>
        <v>0</v>
      </c>
      <c r="N66" s="815">
        <f>'Existing Debt'!Q44</f>
        <v>0</v>
      </c>
      <c r="O66" s="815">
        <f>'Existing Debt'!R44</f>
        <v>0</v>
      </c>
    </row>
    <row r="67" spans="2:16" ht="15" customHeight="1" x14ac:dyDescent="0.3">
      <c r="B67" s="159" t="s">
        <v>353</v>
      </c>
      <c r="C67" s="1056"/>
      <c r="D67" s="1056"/>
      <c r="E67" s="1056"/>
      <c r="F67" s="815">
        <f>'Projected Debt'!C25</f>
        <v>0</v>
      </c>
      <c r="G67" s="815">
        <f>'Projected Debt'!D25</f>
        <v>0</v>
      </c>
      <c r="H67" s="815">
        <f>'Projected Debt'!E25</f>
        <v>969409.98486991704</v>
      </c>
      <c r="I67" s="815">
        <f>'Projected Debt'!F25</f>
        <v>1283534.6616034971</v>
      </c>
      <c r="J67" s="815">
        <f>'Projected Debt'!G25</f>
        <v>1361360.1338537412</v>
      </c>
      <c r="K67" s="815">
        <f>'Projected Debt'!H25</f>
        <v>1400272.8699788633</v>
      </c>
      <c r="L67" s="815">
        <f>'Projected Debt'!I25</f>
        <v>1446968.1533290097</v>
      </c>
      <c r="M67" s="815">
        <f>'Projected Debt'!J25</f>
        <v>1446968.1533290097</v>
      </c>
      <c r="N67" s="815">
        <f>'Projected Debt'!K25</f>
        <v>1602619.0978294979</v>
      </c>
      <c r="O67" s="815">
        <f>'Projected Debt'!L25</f>
        <v>1602619.0978294977</v>
      </c>
    </row>
    <row r="68" spans="2:16" ht="15" customHeight="1" x14ac:dyDescent="0.3">
      <c r="B68" s="159" t="s">
        <v>1616</v>
      </c>
      <c r="C68" s="1056"/>
      <c r="D68" s="1056"/>
      <c r="E68" s="1056"/>
      <c r="F68" s="815">
        <f>'Asset Replacement'!D82</f>
        <v>8841.4680757785773</v>
      </c>
      <c r="G68" s="815">
        <f>'Asset Replacement'!E82</f>
        <v>75753.532984174395</v>
      </c>
      <c r="H68" s="815">
        <f>'Asset Replacement'!F82</f>
        <v>170866.8997570019</v>
      </c>
      <c r="I68" s="815">
        <f>'Asset Replacement'!G82</f>
        <v>349987.53134816542</v>
      </c>
      <c r="J68" s="815">
        <f>'Asset Replacement'!H82</f>
        <v>400056.16982147598</v>
      </c>
      <c r="K68" s="815">
        <f>'Asset Replacement'!I82</f>
        <v>210698.23862930259</v>
      </c>
      <c r="L68" s="815">
        <f>'Asset Replacement'!J82</f>
        <v>213667.99514291642</v>
      </c>
      <c r="M68" s="815">
        <f>'Asset Replacement'!K82</f>
        <v>204539.02770096203</v>
      </c>
      <c r="N68" s="815">
        <f>'Asset Replacement'!L82</f>
        <v>217136.1369031895</v>
      </c>
      <c r="O68" s="815">
        <f>'Asset Replacement'!M82</f>
        <v>87821.938115003199</v>
      </c>
    </row>
    <row r="69" spans="2:16" ht="15" customHeight="1" x14ac:dyDescent="0.3">
      <c r="B69" s="160" t="s">
        <v>354</v>
      </c>
      <c r="C69" s="1057">
        <f>SUM(C65:C68)</f>
        <v>0</v>
      </c>
      <c r="D69" s="1057">
        <f t="shared" ref="D69:O69" si="13">SUM(D65:D68)</f>
        <v>0</v>
      </c>
      <c r="E69" s="1057">
        <f t="shared" si="13"/>
        <v>500000</v>
      </c>
      <c r="F69" s="161">
        <f t="shared" si="13"/>
        <v>2634301.4680757788</v>
      </c>
      <c r="G69" s="161">
        <f t="shared" si="13"/>
        <v>575753.53298417444</v>
      </c>
      <c r="H69" s="161">
        <f t="shared" si="13"/>
        <v>1640276.8846269189</v>
      </c>
      <c r="I69" s="161">
        <f t="shared" si="13"/>
        <v>2133522.1929516625</v>
      </c>
      <c r="J69" s="161">
        <f t="shared" si="13"/>
        <v>2261416.3036752171</v>
      </c>
      <c r="K69" s="161">
        <f t="shared" si="13"/>
        <v>2110971.1086081658</v>
      </c>
      <c r="L69" s="161">
        <f t="shared" si="13"/>
        <v>2160636.1484719259</v>
      </c>
      <c r="M69" s="161">
        <f t="shared" si="13"/>
        <v>2151507.1810299717</v>
      </c>
      <c r="N69" s="161">
        <f t="shared" si="13"/>
        <v>2319755.2347326875</v>
      </c>
      <c r="O69" s="161">
        <f t="shared" si="13"/>
        <v>2190441.0359445005</v>
      </c>
    </row>
    <row r="70" spans="2:16" ht="15" customHeight="1" x14ac:dyDescent="0.3">
      <c r="B70" s="162"/>
      <c r="C70" s="1055"/>
      <c r="D70" s="1055"/>
      <c r="E70" s="1055"/>
    </row>
    <row r="71" spans="2:16" ht="15" customHeight="1" x14ac:dyDescent="0.3">
      <c r="B71" s="163" t="s">
        <v>355</v>
      </c>
      <c r="C71" s="1058">
        <f t="shared" ref="C71:O71" si="14">C62+C69</f>
        <v>1814518.7887750315</v>
      </c>
      <c r="D71" s="1058">
        <f t="shared" si="14"/>
        <v>1591796.8975</v>
      </c>
      <c r="E71" s="1058">
        <f t="shared" si="14"/>
        <v>2358667.6</v>
      </c>
      <c r="F71" s="164">
        <f t="shared" si="14"/>
        <v>4079117.0875407788</v>
      </c>
      <c r="G71" s="164">
        <f t="shared" si="14"/>
        <v>2072789.3296677433</v>
      </c>
      <c r="H71" s="164">
        <f t="shared" si="14"/>
        <v>3191656.9673276581</v>
      </c>
      <c r="I71" s="164">
        <f t="shared" si="14"/>
        <v>3741474.6109573636</v>
      </c>
      <c r="J71" s="164">
        <f t="shared" si="14"/>
        <v>3928279.4234625357</v>
      </c>
      <c r="K71" s="164">
        <f t="shared" si="14"/>
        <v>3839200.4682295271</v>
      </c>
      <c r="L71" s="164">
        <f t="shared" si="14"/>
        <v>3952811.8304622844</v>
      </c>
      <c r="M71" s="164">
        <f t="shared" si="14"/>
        <v>4010341.7484213198</v>
      </c>
      <c r="N71" s="164">
        <f t="shared" si="14"/>
        <v>4248102.2788782939</v>
      </c>
      <c r="O71" s="164">
        <f t="shared" si="14"/>
        <v>4191304.3893626924</v>
      </c>
    </row>
    <row r="72" spans="2:16" ht="15" customHeight="1" x14ac:dyDescent="0.3">
      <c r="B72" s="162"/>
      <c r="C72" s="1055"/>
      <c r="D72" s="1055"/>
      <c r="E72" s="1055"/>
    </row>
    <row r="73" spans="2:16" ht="15" customHeight="1" x14ac:dyDescent="0.3">
      <c r="B73" s="162" t="s">
        <v>356</v>
      </c>
      <c r="C73" s="1059">
        <f>-'Misc Revenues'!P49</f>
        <v>-42931.690099999993</v>
      </c>
      <c r="D73" s="1059">
        <f>-'Misc Revenues'!Q49</f>
        <v>-48800.797499999993</v>
      </c>
      <c r="E73" s="1059">
        <f>-'Misc Revenues'!R49</f>
        <v>-61793.419999999984</v>
      </c>
      <c r="F73" s="165">
        <f>-'Misc Revenues'!S49</f>
        <v>-59902.179999999993</v>
      </c>
      <c r="G73" s="165">
        <f>-'Misc Revenues'!T49</f>
        <v>-61699.245399999985</v>
      </c>
      <c r="H73" s="165">
        <f>-'Misc Revenues'!U49</f>
        <v>-63550.222761999983</v>
      </c>
      <c r="I73" s="165">
        <f>-'Misc Revenues'!V49</f>
        <v>-65456.729444859993</v>
      </c>
      <c r="J73" s="165">
        <f>-'Misc Revenues'!W49</f>
        <v>-67420.431328205799</v>
      </c>
      <c r="K73" s="165">
        <f>-'Misc Revenues'!X49</f>
        <v>-69443.044268051963</v>
      </c>
      <c r="L73" s="165">
        <f>-'Misc Revenues'!Y49</f>
        <v>-71526.33559609353</v>
      </c>
      <c r="M73" s="165">
        <f>-'Misc Revenues'!Z49</f>
        <v>-73672.125663976331</v>
      </c>
      <c r="N73" s="165">
        <f>-'Misc Revenues'!AA49</f>
        <v>-75882.289433895625</v>
      </c>
      <c r="O73" s="165">
        <f>-'Misc Revenues'!AB49</f>
        <v>-78158.758116912504</v>
      </c>
    </row>
    <row r="74" spans="2:16" ht="15" customHeight="1" x14ac:dyDescent="0.3">
      <c r="B74" s="162"/>
      <c r="C74" s="1055"/>
      <c r="D74" s="1055"/>
      <c r="E74" s="1055"/>
    </row>
    <row r="75" spans="2:16" s="166" customFormat="1" ht="15" customHeight="1" thickBot="1" x14ac:dyDescent="0.35">
      <c r="B75" s="156" t="s">
        <v>357</v>
      </c>
      <c r="C75" s="1060">
        <f>C71+C73</f>
        <v>1771587.0986750314</v>
      </c>
      <c r="D75" s="1060">
        <f>D71+D73</f>
        <v>1542996.0999999999</v>
      </c>
      <c r="E75" s="1060">
        <f>E71+E73</f>
        <v>2296874.1800000002</v>
      </c>
      <c r="F75" s="167">
        <f t="shared" ref="F75:O75" si="15">F71+F73</f>
        <v>4019214.9075407786</v>
      </c>
      <c r="G75" s="167">
        <f t="shared" si="15"/>
        <v>2011090.0842677434</v>
      </c>
      <c r="H75" s="167">
        <f t="shared" si="15"/>
        <v>3128106.7445656583</v>
      </c>
      <c r="I75" s="167">
        <f t="shared" si="15"/>
        <v>3676017.8815125036</v>
      </c>
      <c r="J75" s="167">
        <f t="shared" si="15"/>
        <v>3860858.9921343299</v>
      </c>
      <c r="K75" s="167">
        <f t="shared" si="15"/>
        <v>3769757.423961475</v>
      </c>
      <c r="L75" s="167">
        <f t="shared" si="15"/>
        <v>3881285.4948661909</v>
      </c>
      <c r="M75" s="167">
        <f t="shared" si="15"/>
        <v>3936669.6227573436</v>
      </c>
      <c r="N75" s="167">
        <f t="shared" si="15"/>
        <v>4172219.9894443983</v>
      </c>
      <c r="O75" s="167">
        <f t="shared" si="15"/>
        <v>4113145.6312457798</v>
      </c>
    </row>
    <row r="76" spans="2:16" ht="15" customHeight="1" thickTop="1" x14ac:dyDescent="0.3">
      <c r="C76" s="1061"/>
      <c r="D76" s="1061"/>
      <c r="E76" s="1061"/>
    </row>
    <row r="77" spans="2:16" ht="15" customHeight="1" x14ac:dyDescent="0.3">
      <c r="B77" s="163" t="s">
        <v>1574</v>
      </c>
      <c r="C77" s="1061">
        <f>C71+C73</f>
        <v>1771587.0986750314</v>
      </c>
      <c r="D77" s="1061">
        <f>D71+D73</f>
        <v>1542996.0999999999</v>
      </c>
      <c r="E77" s="1061">
        <f>E71+E73</f>
        <v>2296874.1800000002</v>
      </c>
      <c r="F77" s="169">
        <f>F71+F73</f>
        <v>4019214.9075407786</v>
      </c>
      <c r="G77" s="169">
        <f t="shared" ref="G77:O77" si="16">G71+G73</f>
        <v>2011090.0842677434</v>
      </c>
      <c r="H77" s="169">
        <f t="shared" si="16"/>
        <v>3128106.7445656583</v>
      </c>
      <c r="I77" s="169">
        <f t="shared" si="16"/>
        <v>3676017.8815125036</v>
      </c>
      <c r="J77" s="169">
        <f t="shared" si="16"/>
        <v>3860858.9921343299</v>
      </c>
      <c r="K77" s="169">
        <f t="shared" si="16"/>
        <v>3769757.423961475</v>
      </c>
      <c r="L77" s="169">
        <f t="shared" si="16"/>
        <v>3881285.4948661909</v>
      </c>
      <c r="M77" s="169">
        <f t="shared" si="16"/>
        <v>3936669.6227573436</v>
      </c>
      <c r="N77" s="169">
        <f t="shared" si="16"/>
        <v>4172219.9894443983</v>
      </c>
      <c r="O77" s="169">
        <f t="shared" si="16"/>
        <v>4113145.6312457798</v>
      </c>
    </row>
    <row r="78" spans="2:16" ht="15" customHeight="1" x14ac:dyDescent="0.3">
      <c r="C78" s="1061"/>
      <c r="D78" s="1061"/>
      <c r="E78" s="1061"/>
    </row>
    <row r="79" spans="2:16" s="162" customFormat="1" ht="15" customHeight="1" x14ac:dyDescent="0.3">
      <c r="B79" s="162" t="s">
        <v>1971</v>
      </c>
      <c r="C79" s="1062">
        <f>SUM('Misc Revenues'!P62:P63)</f>
        <v>1647329.03</v>
      </c>
      <c r="D79" s="1062">
        <f>SUM('Misc Revenues'!Q62:Q63)</f>
        <v>1465391.15</v>
      </c>
      <c r="E79" s="1062">
        <f>'Stormwater Rate Projections'!E22</f>
        <v>1580839.2291999999</v>
      </c>
      <c r="F79" s="950">
        <f>'Stormwater Rate Projections'!F22</f>
        <v>2775131.8033587704</v>
      </c>
      <c r="G79" s="950">
        <f>'Stormwater Rate Projections'!G22</f>
        <v>3315693.2656479338</v>
      </c>
      <c r="H79" s="950">
        <f>'Stormwater Rate Projections'!H22</f>
        <v>3446107.5402783034</v>
      </c>
      <c r="I79" s="950">
        <f>'Stormwater Rate Projections'!I22</f>
        <v>3547144.9111423367</v>
      </c>
      <c r="J79" s="950">
        <f>'Stormwater Rate Projections'!J22</f>
        <v>3651075.7903947723</v>
      </c>
      <c r="K79" s="950">
        <f>'Stormwater Rate Projections'!K22</f>
        <v>3632820.4114427986</v>
      </c>
      <c r="L79" s="950">
        <f>'Stormwater Rate Projections'!L22</f>
        <v>3614656.3093855842</v>
      </c>
      <c r="M79" s="950">
        <f>'Stormwater Rate Projections'!M22</f>
        <v>3596583.0278386562</v>
      </c>
      <c r="N79" s="950">
        <f>'Stormwater Rate Projections'!N22</f>
        <v>3578600.1126994626</v>
      </c>
      <c r="O79" s="950">
        <f>'Stormwater Rate Projections'!O22</f>
        <v>3560707.1121359654</v>
      </c>
      <c r="P79" s="170"/>
    </row>
    <row r="80" spans="2:16" s="162" customFormat="1" ht="15" customHeight="1" x14ac:dyDescent="0.3">
      <c r="C80" s="1063"/>
      <c r="D80" s="1063"/>
      <c r="E80" s="1064"/>
      <c r="F80" s="171"/>
      <c r="G80" s="171"/>
      <c r="H80" s="171"/>
      <c r="I80" s="171"/>
      <c r="J80" s="171"/>
      <c r="K80" s="171"/>
      <c r="L80" s="171"/>
      <c r="M80" s="171"/>
      <c r="N80" s="171"/>
      <c r="O80" s="171"/>
    </row>
    <row r="81" spans="2:15" s="162" customFormat="1" ht="15" customHeight="1" x14ac:dyDescent="0.3">
      <c r="B81" s="162" t="s">
        <v>360</v>
      </c>
      <c r="C81" s="1059">
        <f>C79-C77</f>
        <v>-124258.06867503142</v>
      </c>
      <c r="D81" s="1059">
        <f t="shared" ref="D81:O81" si="17">D79-D77</f>
        <v>-77604.949999999953</v>
      </c>
      <c r="E81" s="1059">
        <f t="shared" si="17"/>
        <v>-716034.95080000022</v>
      </c>
      <c r="F81" s="165">
        <f t="shared" si="17"/>
        <v>-1244083.1041820082</v>
      </c>
      <c r="G81" s="170">
        <f>G79-G77</f>
        <v>1304603.1813801904</v>
      </c>
      <c r="H81" s="165">
        <f t="shared" si="17"/>
        <v>318000.79571264517</v>
      </c>
      <c r="I81" s="165">
        <f t="shared" si="17"/>
        <v>-128872.97037016694</v>
      </c>
      <c r="J81" s="165">
        <f t="shared" si="17"/>
        <v>-209783.20173955755</v>
      </c>
      <c r="K81" s="165">
        <f t="shared" si="17"/>
        <v>-136937.01251867646</v>
      </c>
      <c r="L81" s="165">
        <f t="shared" si="17"/>
        <v>-266629.18548060674</v>
      </c>
      <c r="M81" s="165">
        <f t="shared" si="17"/>
        <v>-340086.59491868736</v>
      </c>
      <c r="N81" s="165">
        <f t="shared" si="17"/>
        <v>-593619.87674493575</v>
      </c>
      <c r="O81" s="165">
        <f t="shared" si="17"/>
        <v>-552438.51910981443</v>
      </c>
    </row>
    <row r="82" spans="2:15" ht="15" customHeight="1" x14ac:dyDescent="0.3">
      <c r="C82" s="1059"/>
      <c r="D82" s="1059"/>
      <c r="E82" s="1059"/>
    </row>
    <row r="83" spans="2:15" ht="15" customHeight="1" x14ac:dyDescent="0.3">
      <c r="B83" s="162" t="s">
        <v>1890</v>
      </c>
      <c r="C83" s="1059"/>
      <c r="D83" s="1059"/>
      <c r="E83" s="1065">
        <f>IF(E81&lt;0,-E81/'Stormwater Rate Projections'!E17,0)</f>
        <v>0.45294609190737067</v>
      </c>
      <c r="F83" s="709">
        <f>IF(F81&lt;0,-F81/'Stormwater Rate Projections'!F17,0)</f>
        <v>0.78754954921240061</v>
      </c>
      <c r="G83" s="709">
        <f>IF(G81&lt;0,-G81/'Stormwater Rate Projections'!G17,0)</f>
        <v>0</v>
      </c>
      <c r="H83" s="709">
        <f>IF(H81&lt;0,-H81/'Stormwater Rate Projections'!H17,0)</f>
        <v>0</v>
      </c>
      <c r="I83" s="709">
        <f>IF(I81&lt;0,-I81/'Stormwater Rate Projections'!I17,0)</f>
        <v>8.1728356627453549E-2</v>
      </c>
      <c r="J83" s="709">
        <f>IF(J81&lt;0,-J81/'Stormwater Rate Projections'!J17,0)</f>
        <v>0.13313031038556677</v>
      </c>
      <c r="K83" s="709">
        <f>IF(K81&lt;0,-K81/'Stormwater Rate Projections'!K17,0)</f>
        <v>8.7338152982638667E-2</v>
      </c>
      <c r="L83" s="709">
        <f>IF(L81&lt;0,-L81/'Stormwater Rate Projections'!L17,0)</f>
        <v>0.1709101123329245</v>
      </c>
      <c r="M83" s="709">
        <f>IF(M81&lt;0,-M81/'Stormwater Rate Projections'!M17,0)</f>
        <v>0.21909199337601928</v>
      </c>
      <c r="N83" s="709">
        <f>IF(N81&lt;0,-N81/'Stormwater Rate Projections'!N17,0)</f>
        <v>0.384345983170441</v>
      </c>
      <c r="O83" s="709">
        <f>IF(O81&lt;0,-O81/'Stormwater Rate Projections'!O17,0)</f>
        <v>0.35948004205976664</v>
      </c>
    </row>
    <row r="84" spans="2:15" ht="15" customHeight="1" x14ac:dyDescent="0.3">
      <c r="B84" s="162"/>
      <c r="C84" s="1063"/>
      <c r="D84" s="1063"/>
      <c r="E84" s="1063"/>
      <c r="F84" s="709"/>
      <c r="G84" s="709"/>
      <c r="H84" s="709"/>
      <c r="I84" s="709"/>
      <c r="J84" s="709"/>
      <c r="K84" s="709"/>
      <c r="L84" s="709"/>
      <c r="M84" s="709"/>
      <c r="N84" s="709"/>
      <c r="O84" s="709"/>
    </row>
    <row r="85" spans="2:15" ht="15" customHeight="1" x14ac:dyDescent="0.3">
      <c r="B85" s="154"/>
      <c r="C85" s="155">
        <v>2013</v>
      </c>
      <c r="D85" s="155">
        <v>2014</v>
      </c>
      <c r="E85" s="155">
        <v>2015</v>
      </c>
      <c r="F85" s="155">
        <v>2016</v>
      </c>
      <c r="G85" s="155">
        <v>2017</v>
      </c>
      <c r="H85" s="155">
        <v>2018</v>
      </c>
      <c r="I85" s="155">
        <v>2019</v>
      </c>
      <c r="J85" s="155">
        <v>2020</v>
      </c>
      <c r="K85" s="155">
        <v>2021</v>
      </c>
      <c r="L85" s="155">
        <v>2022</v>
      </c>
      <c r="M85" s="155">
        <v>2023</v>
      </c>
      <c r="N85" s="155">
        <v>2024</v>
      </c>
      <c r="O85" s="155">
        <v>2025</v>
      </c>
    </row>
    <row r="86" spans="2:15" ht="15" customHeight="1" x14ac:dyDescent="0.3">
      <c r="B86" s="156" t="s">
        <v>1761</v>
      </c>
      <c r="C86" s="1054"/>
      <c r="D86" s="1054"/>
      <c r="E86" s="1054"/>
    </row>
    <row r="87" spans="2:15" ht="15" customHeight="1" x14ac:dyDescent="0.3">
      <c r="B87" s="158" t="s">
        <v>348</v>
      </c>
      <c r="C87" s="1055"/>
      <c r="D87" s="1055"/>
      <c r="E87" s="1055"/>
    </row>
    <row r="88" spans="2:15" ht="15" customHeight="1" x14ac:dyDescent="0.3">
      <c r="B88" s="159" t="s">
        <v>349</v>
      </c>
      <c r="C88" s="1056">
        <f t="shared" ref="C88:O88" si="18">C7+C34+C61</f>
        <v>14747193.140917405</v>
      </c>
      <c r="D88" s="1056">
        <f t="shared" si="18"/>
        <v>14544897.969999999</v>
      </c>
      <c r="E88" s="1056">
        <f t="shared" si="18"/>
        <v>16278359</v>
      </c>
      <c r="F88" s="815">
        <f>F7+F34+F61</f>
        <v>15227772.463099997</v>
      </c>
      <c r="G88" s="815">
        <f t="shared" si="18"/>
        <v>15674445.601415999</v>
      </c>
      <c r="H88" s="815">
        <f>H7+H34+H61</f>
        <v>16187539.43364195</v>
      </c>
      <c r="I88" s="815">
        <f t="shared" si="18"/>
        <v>16718901.367758293</v>
      </c>
      <c r="J88" s="815">
        <f t="shared" si="18"/>
        <v>17269314.271726042</v>
      </c>
      <c r="K88" s="815">
        <f t="shared" si="18"/>
        <v>17795428.522875473</v>
      </c>
      <c r="L88" s="815">
        <f t="shared" si="18"/>
        <v>18340100.218918242</v>
      </c>
      <c r="M88" s="815">
        <f t="shared" si="18"/>
        <v>18904173.540222932</v>
      </c>
      <c r="N88" s="815">
        <f t="shared" si="18"/>
        <v>19488544.997155562</v>
      </c>
      <c r="O88" s="815">
        <f t="shared" si="18"/>
        <v>20094167.549466513</v>
      </c>
    </row>
    <row r="89" spans="2:15" ht="15" customHeight="1" x14ac:dyDescent="0.3">
      <c r="B89" s="160" t="s">
        <v>349</v>
      </c>
      <c r="C89" s="1057">
        <f>C88</f>
        <v>14747193.140917405</v>
      </c>
      <c r="D89" s="1057">
        <f t="shared" ref="D89:O89" si="19">D88</f>
        <v>14544897.969999999</v>
      </c>
      <c r="E89" s="1057">
        <f t="shared" si="19"/>
        <v>16278359</v>
      </c>
      <c r="F89" s="161">
        <f t="shared" si="19"/>
        <v>15227772.463099997</v>
      </c>
      <c r="G89" s="161">
        <f t="shared" si="19"/>
        <v>15674445.601415999</v>
      </c>
      <c r="H89" s="161">
        <f t="shared" si="19"/>
        <v>16187539.43364195</v>
      </c>
      <c r="I89" s="161">
        <f t="shared" si="19"/>
        <v>16718901.367758293</v>
      </c>
      <c r="J89" s="161">
        <f t="shared" si="19"/>
        <v>17269314.271726042</v>
      </c>
      <c r="K89" s="161">
        <f t="shared" si="19"/>
        <v>17795428.522875473</v>
      </c>
      <c r="L89" s="161">
        <f t="shared" si="19"/>
        <v>18340100.218918242</v>
      </c>
      <c r="M89" s="161">
        <f t="shared" si="19"/>
        <v>18904173.540222932</v>
      </c>
      <c r="N89" s="161">
        <f t="shared" si="19"/>
        <v>19488544.997155562</v>
      </c>
      <c r="O89" s="161">
        <f t="shared" si="19"/>
        <v>20094167.549466513</v>
      </c>
    </row>
    <row r="90" spans="2:15" ht="15" customHeight="1" x14ac:dyDescent="0.3">
      <c r="B90" s="162"/>
      <c r="C90" s="1055"/>
      <c r="D90" s="1055"/>
      <c r="E90" s="1055"/>
      <c r="G90" s="1248">
        <f>(G89-F89)/F89</f>
        <v>2.933279567962957E-2</v>
      </c>
      <c r="H90" s="1248">
        <f t="shared" ref="H90:O90" si="20">(H89-G89)/G89</f>
        <v>3.273441659586343E-2</v>
      </c>
      <c r="I90" s="1248">
        <f t="shared" si="20"/>
        <v>3.2825367703014433E-2</v>
      </c>
      <c r="J90" s="1248">
        <f t="shared" si="20"/>
        <v>3.2921595256803042E-2</v>
      </c>
      <c r="K90" s="1248">
        <f t="shared" si="20"/>
        <v>3.0465265897141297E-2</v>
      </c>
      <c r="L90" s="1248">
        <f t="shared" si="20"/>
        <v>3.0607394216026325E-2</v>
      </c>
      <c r="M90" s="1248">
        <f t="shared" si="20"/>
        <v>3.0756283475639641E-2</v>
      </c>
      <c r="N90" s="1248">
        <f t="shared" si="20"/>
        <v>3.0912298582598554E-2</v>
      </c>
      <c r="O90" s="1248">
        <f t="shared" si="20"/>
        <v>3.1075821843002865E-2</v>
      </c>
    </row>
    <row r="91" spans="2:15" ht="15" customHeight="1" x14ac:dyDescent="0.3">
      <c r="B91" s="158" t="s">
        <v>350</v>
      </c>
      <c r="C91" s="1055"/>
      <c r="D91" s="1055"/>
      <c r="E91" s="1055"/>
    </row>
    <row r="92" spans="2:15" ht="15" customHeight="1" x14ac:dyDescent="0.3">
      <c r="B92" s="162" t="s">
        <v>351</v>
      </c>
      <c r="C92" s="1056">
        <f t="shared" ref="C92:O92" si="21">C11+C38+C65</f>
        <v>0</v>
      </c>
      <c r="D92" s="1056">
        <f t="shared" si="21"/>
        <v>0</v>
      </c>
      <c r="E92" s="1056">
        <f t="shared" si="21"/>
        <v>500000</v>
      </c>
      <c r="F92" s="815">
        <f t="shared" si="21"/>
        <v>3445127</v>
      </c>
      <c r="G92" s="815">
        <f t="shared" si="21"/>
        <v>4014000</v>
      </c>
      <c r="H92" s="815">
        <f>H11+H38+H65</f>
        <v>6367500</v>
      </c>
      <c r="I92" s="815">
        <f t="shared" si="21"/>
        <v>3187500</v>
      </c>
      <c r="J92" s="815">
        <f t="shared" si="21"/>
        <v>1670000</v>
      </c>
      <c r="K92" s="815">
        <f t="shared" si="21"/>
        <v>1597000</v>
      </c>
      <c r="L92" s="815">
        <f t="shared" si="21"/>
        <v>1667000</v>
      </c>
      <c r="M92" s="815">
        <f t="shared" si="21"/>
        <v>1752000</v>
      </c>
      <c r="N92" s="815">
        <f t="shared" si="21"/>
        <v>1512000</v>
      </c>
      <c r="O92" s="815">
        <f t="shared" si="21"/>
        <v>1492000</v>
      </c>
    </row>
    <row r="93" spans="2:15" ht="15" customHeight="1" x14ac:dyDescent="0.3">
      <c r="B93" s="162" t="s">
        <v>352</v>
      </c>
      <c r="C93" s="1056">
        <f t="shared" ref="C93:O93" si="22">C12+C39+C66</f>
        <v>947390.95</v>
      </c>
      <c r="D93" s="1056">
        <f t="shared" si="22"/>
        <v>942943.14</v>
      </c>
      <c r="E93" s="1056">
        <f t="shared" si="22"/>
        <v>946328.51</v>
      </c>
      <c r="F93" s="815">
        <f t="shared" si="22"/>
        <v>1036609.12</v>
      </c>
      <c r="G93" s="815">
        <f t="shared" si="22"/>
        <v>1385588.6999231174</v>
      </c>
      <c r="H93" s="815">
        <f>H12+H39+H66</f>
        <v>2667146.3947200999</v>
      </c>
      <c r="I93" s="815">
        <f t="shared" si="22"/>
        <v>3390351.8143577846</v>
      </c>
      <c r="J93" s="815">
        <f t="shared" si="22"/>
        <v>3393479.6321049426</v>
      </c>
      <c r="K93" s="815">
        <f t="shared" si="22"/>
        <v>3394580.7374256793</v>
      </c>
      <c r="L93" s="815">
        <f t="shared" si="22"/>
        <v>3390303.3363389433</v>
      </c>
      <c r="M93" s="815">
        <f t="shared" si="22"/>
        <v>3394462.3761405218</v>
      </c>
      <c r="N93" s="815">
        <f t="shared" si="22"/>
        <v>3392910.4090496795</v>
      </c>
      <c r="O93" s="815">
        <f t="shared" si="22"/>
        <v>3395186.7075874689</v>
      </c>
    </row>
    <row r="94" spans="2:15" ht="15" customHeight="1" x14ac:dyDescent="0.3">
      <c r="B94" s="159" t="s">
        <v>353</v>
      </c>
      <c r="C94" s="1056">
        <f t="shared" ref="C94:O94" si="23">C13+C40+C67</f>
        <v>0</v>
      </c>
      <c r="D94" s="1056">
        <f t="shared" si="23"/>
        <v>0</v>
      </c>
      <c r="E94" s="1056">
        <f t="shared" si="23"/>
        <v>0</v>
      </c>
      <c r="F94" s="815">
        <f t="shared" si="23"/>
        <v>0</v>
      </c>
      <c r="G94" s="815">
        <f t="shared" si="23"/>
        <v>0</v>
      </c>
      <c r="H94" s="815">
        <f>H13+H40+H67</f>
        <v>1108467.9952926179</v>
      </c>
      <c r="I94" s="815">
        <f t="shared" si="23"/>
        <v>1581749.1749045453</v>
      </c>
      <c r="J94" s="815">
        <f t="shared" si="23"/>
        <v>1815225.5916552776</v>
      </c>
      <c r="K94" s="815">
        <f t="shared" si="23"/>
        <v>2009789.2722808879</v>
      </c>
      <c r="L94" s="815">
        <f t="shared" si="23"/>
        <v>2212135.5001315223</v>
      </c>
      <c r="M94" s="815">
        <f t="shared" si="23"/>
        <v>2367786.4446320105</v>
      </c>
      <c r="N94" s="815">
        <f t="shared" si="23"/>
        <v>2679088.333632987</v>
      </c>
      <c r="O94" s="815">
        <f t="shared" si="23"/>
        <v>2834739.2781334752</v>
      </c>
    </row>
    <row r="95" spans="2:15" ht="15" customHeight="1" x14ac:dyDescent="0.3">
      <c r="B95" s="159" t="s">
        <v>1616</v>
      </c>
      <c r="C95" s="1056">
        <f t="shared" ref="C95:O95" si="24">C14+C41+C68</f>
        <v>0</v>
      </c>
      <c r="D95" s="1056">
        <f t="shared" si="24"/>
        <v>0</v>
      </c>
      <c r="E95" s="1056">
        <f t="shared" si="24"/>
        <v>0</v>
      </c>
      <c r="F95" s="815">
        <f t="shared" si="24"/>
        <v>724782.82812146132</v>
      </c>
      <c r="G95" s="815">
        <f t="shared" si="24"/>
        <v>465347.06188484438</v>
      </c>
      <c r="H95" s="815">
        <f>H14+H41+H68</f>
        <v>705943.30862942233</v>
      </c>
      <c r="I95" s="815">
        <f t="shared" si="24"/>
        <v>1110660.5541921388</v>
      </c>
      <c r="J95" s="815">
        <f t="shared" si="24"/>
        <v>998244.47785567644</v>
      </c>
      <c r="K95" s="815">
        <f t="shared" si="24"/>
        <v>905326.40984892799</v>
      </c>
      <c r="L95" s="815">
        <f t="shared" si="24"/>
        <v>952794.11639742239</v>
      </c>
      <c r="M95" s="815">
        <f t="shared" si="24"/>
        <v>1004032.8442075893</v>
      </c>
      <c r="N95" s="815">
        <f t="shared" si="24"/>
        <v>917151.32108664815</v>
      </c>
      <c r="O95" s="815">
        <f t="shared" si="24"/>
        <v>1676738.6639325635</v>
      </c>
    </row>
    <row r="96" spans="2:15" ht="15" customHeight="1" x14ac:dyDescent="0.3">
      <c r="B96" s="160" t="s">
        <v>354</v>
      </c>
      <c r="C96" s="1057">
        <f>SUM(C92:C95)</f>
        <v>947390.95</v>
      </c>
      <c r="D96" s="1057">
        <f t="shared" ref="D96:O96" si="25">SUM(D92:D95)</f>
        <v>942943.14</v>
      </c>
      <c r="E96" s="1057">
        <f t="shared" si="25"/>
        <v>1446328.51</v>
      </c>
      <c r="F96" s="161">
        <f t="shared" si="25"/>
        <v>5206518.9481214611</v>
      </c>
      <c r="G96" s="161">
        <f t="shared" si="25"/>
        <v>5864935.7618079623</v>
      </c>
      <c r="H96" s="161">
        <f t="shared" si="25"/>
        <v>10849057.69864214</v>
      </c>
      <c r="I96" s="161">
        <f t="shared" si="25"/>
        <v>9270261.5434544683</v>
      </c>
      <c r="J96" s="161">
        <f t="shared" si="25"/>
        <v>7876949.701615897</v>
      </c>
      <c r="K96" s="161">
        <f t="shared" si="25"/>
        <v>7906696.4195554946</v>
      </c>
      <c r="L96" s="161">
        <f t="shared" si="25"/>
        <v>8222232.9528678879</v>
      </c>
      <c r="M96" s="161">
        <f t="shared" si="25"/>
        <v>8518281.664980121</v>
      </c>
      <c r="N96" s="161">
        <f t="shared" si="25"/>
        <v>8501150.0637693144</v>
      </c>
      <c r="O96" s="161">
        <f t="shared" si="25"/>
        <v>9398664.6496535074</v>
      </c>
    </row>
    <row r="97" spans="2:15" ht="15" customHeight="1" x14ac:dyDescent="0.3">
      <c r="B97" s="162"/>
      <c r="C97" s="1055"/>
      <c r="D97" s="1055"/>
      <c r="E97" s="1055"/>
    </row>
    <row r="98" spans="2:15" ht="15" customHeight="1" x14ac:dyDescent="0.3">
      <c r="B98" s="163" t="s">
        <v>355</v>
      </c>
      <c r="C98" s="1058">
        <f>C89+C96</f>
        <v>15694584.090917405</v>
      </c>
      <c r="D98" s="1058">
        <f t="shared" ref="D98:O98" si="26">D89+D96</f>
        <v>15487841.109999999</v>
      </c>
      <c r="E98" s="1058">
        <f t="shared" si="26"/>
        <v>17724687.510000002</v>
      </c>
      <c r="F98" s="815">
        <f t="shared" si="26"/>
        <v>20434291.41122146</v>
      </c>
      <c r="G98" s="815">
        <f t="shared" si="26"/>
        <v>21539381.363223962</v>
      </c>
      <c r="H98" s="815">
        <f>H89+H96</f>
        <v>27036597.13228409</v>
      </c>
      <c r="I98" s="815">
        <f t="shared" si="26"/>
        <v>25989162.911212761</v>
      </c>
      <c r="J98" s="815">
        <f t="shared" si="26"/>
        <v>25146263.973341938</v>
      </c>
      <c r="K98" s="815">
        <f t="shared" si="26"/>
        <v>25702124.942430966</v>
      </c>
      <c r="L98" s="815">
        <f t="shared" si="26"/>
        <v>26562333.171786129</v>
      </c>
      <c r="M98" s="815">
        <f t="shared" si="26"/>
        <v>27422455.205203053</v>
      </c>
      <c r="N98" s="815">
        <f t="shared" si="26"/>
        <v>27989695.060924876</v>
      </c>
      <c r="O98" s="815">
        <f t="shared" si="26"/>
        <v>29492832.199120022</v>
      </c>
    </row>
    <row r="99" spans="2:15" ht="15" customHeight="1" x14ac:dyDescent="0.3">
      <c r="B99" s="162"/>
      <c r="C99" s="1055"/>
      <c r="D99" s="1055"/>
      <c r="E99" s="1055"/>
    </row>
    <row r="100" spans="2:15" ht="15" customHeight="1" x14ac:dyDescent="0.3">
      <c r="B100" s="162" t="s">
        <v>356</v>
      </c>
      <c r="C100" s="1059">
        <f t="shared" ref="C100:O100" si="27">C19+C46+C73</f>
        <v>-905068.45000000019</v>
      </c>
      <c r="D100" s="1059">
        <f t="shared" si="27"/>
        <v>-1190187.8</v>
      </c>
      <c r="E100" s="1059">
        <f t="shared" si="27"/>
        <v>-1306987</v>
      </c>
      <c r="F100" s="165">
        <f t="shared" si="27"/>
        <v>-1457746</v>
      </c>
      <c r="G100" s="165">
        <f t="shared" si="27"/>
        <v>-1499335.0299999998</v>
      </c>
      <c r="H100" s="165">
        <f>H19+H46+H73</f>
        <v>-1542171.7309000001</v>
      </c>
      <c r="I100" s="165">
        <f t="shared" si="27"/>
        <v>-1586293.5328269999</v>
      </c>
      <c r="J100" s="165">
        <f t="shared" si="27"/>
        <v>-1631738.98881181</v>
      </c>
      <c r="K100" s="165">
        <f t="shared" si="27"/>
        <v>-1678547.8084761645</v>
      </c>
      <c r="L100" s="165">
        <f t="shared" si="27"/>
        <v>-1726760.8927304493</v>
      </c>
      <c r="M100" s="165">
        <f t="shared" si="27"/>
        <v>-1776420.3695123629</v>
      </c>
      <c r="N100" s="165">
        <f t="shared" si="27"/>
        <v>-1827569.6305977337</v>
      </c>
      <c r="O100" s="165">
        <f t="shared" si="27"/>
        <v>-1880253.3695156658</v>
      </c>
    </row>
    <row r="101" spans="2:15" ht="15" customHeight="1" x14ac:dyDescent="0.3">
      <c r="B101" s="162"/>
      <c r="C101" s="1055"/>
      <c r="D101" s="1055"/>
      <c r="E101" s="1055"/>
      <c r="G101" s="1247"/>
      <c r="H101" s="1247"/>
      <c r="I101" s="1247"/>
      <c r="J101" s="1247"/>
      <c r="K101" s="1247"/>
      <c r="L101" s="1247"/>
      <c r="M101" s="1247"/>
      <c r="N101" s="1247"/>
      <c r="O101" s="1247"/>
    </row>
    <row r="102" spans="2:15" ht="15" customHeight="1" thickBot="1" x14ac:dyDescent="0.35">
      <c r="B102" s="156" t="s">
        <v>357</v>
      </c>
      <c r="C102" s="1060">
        <f>C98+C100</f>
        <v>14789515.640917405</v>
      </c>
      <c r="D102" s="1060">
        <f t="shared" ref="D102:O102" si="28">D98+D100</f>
        <v>14297653.309999999</v>
      </c>
      <c r="E102" s="1060">
        <f t="shared" si="28"/>
        <v>16417700.510000002</v>
      </c>
      <c r="F102" s="167">
        <f>F98+F100</f>
        <v>18976545.41122146</v>
      </c>
      <c r="G102" s="167">
        <f>G98+G100</f>
        <v>20040046.333223961</v>
      </c>
      <c r="H102" s="167">
        <f>H98+H100</f>
        <v>25494425.401384089</v>
      </c>
      <c r="I102" s="167">
        <f t="shared" si="28"/>
        <v>24402869.37838576</v>
      </c>
      <c r="J102" s="167">
        <f t="shared" si="28"/>
        <v>23514524.984530129</v>
      </c>
      <c r="K102" s="167">
        <f t="shared" si="28"/>
        <v>24023577.133954801</v>
      </c>
      <c r="L102" s="167">
        <f>L98+L100</f>
        <v>24835572.279055681</v>
      </c>
      <c r="M102" s="167">
        <f t="shared" si="28"/>
        <v>25646034.835690688</v>
      </c>
      <c r="N102" s="167">
        <f t="shared" si="28"/>
        <v>26162125.430327144</v>
      </c>
      <c r="O102" s="167">
        <f t="shared" si="28"/>
        <v>27612578.829604357</v>
      </c>
    </row>
    <row r="103" spans="2:15" ht="15" customHeight="1" thickTop="1" x14ac:dyDescent="0.3">
      <c r="B103" s="163"/>
      <c r="C103" s="1061"/>
      <c r="D103" s="1061"/>
      <c r="E103" s="1061"/>
    </row>
    <row r="104" spans="2:15" ht="15" customHeight="1" x14ac:dyDescent="0.3">
      <c r="B104" s="163" t="s">
        <v>1574</v>
      </c>
      <c r="C104" s="1061">
        <f>C98+C100</f>
        <v>14789515.640917405</v>
      </c>
      <c r="D104" s="1061">
        <f t="shared" ref="D104:O104" si="29">D98+D100</f>
        <v>14297653.309999999</v>
      </c>
      <c r="E104" s="1061">
        <f t="shared" si="29"/>
        <v>16417700.510000002</v>
      </c>
      <c r="F104" s="169">
        <f t="shared" si="29"/>
        <v>18976545.41122146</v>
      </c>
      <c r="G104" s="169">
        <f>G98+G100</f>
        <v>20040046.333223961</v>
      </c>
      <c r="H104" s="169">
        <f>H98+H100</f>
        <v>25494425.401384089</v>
      </c>
      <c r="I104" s="169">
        <f t="shared" si="29"/>
        <v>24402869.37838576</v>
      </c>
      <c r="J104" s="169">
        <f>J98+J100</f>
        <v>23514524.984530129</v>
      </c>
      <c r="K104" s="169">
        <f t="shared" si="29"/>
        <v>24023577.133954801</v>
      </c>
      <c r="L104" s="169">
        <f t="shared" si="29"/>
        <v>24835572.279055681</v>
      </c>
      <c r="M104" s="169">
        <f t="shared" si="29"/>
        <v>25646034.835690688</v>
      </c>
      <c r="N104" s="169">
        <f t="shared" si="29"/>
        <v>26162125.430327144</v>
      </c>
      <c r="O104" s="169">
        <f t="shared" si="29"/>
        <v>27612578.829604357</v>
      </c>
    </row>
    <row r="105" spans="2:15" ht="15" customHeight="1" x14ac:dyDescent="0.3">
      <c r="B105" s="163"/>
      <c r="C105" s="1061"/>
      <c r="D105" s="1061"/>
      <c r="E105" s="1061"/>
    </row>
    <row r="106" spans="2:15" ht="15" customHeight="1" x14ac:dyDescent="0.3">
      <c r="B106" s="162" t="s">
        <v>1971</v>
      </c>
      <c r="C106" s="1062">
        <f t="shared" ref="C106:O106" si="30">C25+C52+C79</f>
        <v>15892460.380000001</v>
      </c>
      <c r="D106" s="1062">
        <f t="shared" si="30"/>
        <v>15933297.810000001</v>
      </c>
      <c r="E106" s="1062">
        <f t="shared" si="30"/>
        <v>17652182.358400002</v>
      </c>
      <c r="F106" s="815">
        <f t="shared" si="30"/>
        <v>19976879.150041129</v>
      </c>
      <c r="G106" s="815">
        <f t="shared" si="30"/>
        <v>21629528.598265294</v>
      </c>
      <c r="H106" s="815">
        <f>H25+H52+H79</f>
        <v>22666396.525167271</v>
      </c>
      <c r="I106" s="815">
        <f t="shared" si="30"/>
        <v>23718445.048267376</v>
      </c>
      <c r="J106" s="815">
        <f t="shared" si="30"/>
        <v>24820122.644711792</v>
      </c>
      <c r="K106" s="815">
        <f t="shared" si="30"/>
        <v>24704155.84973364</v>
      </c>
      <c r="L106" s="815">
        <f t="shared" si="30"/>
        <v>24588768.88873037</v>
      </c>
      <c r="M106" s="815">
        <f t="shared" si="30"/>
        <v>24473958.86253212</v>
      </c>
      <c r="N106" s="815">
        <f t="shared" si="30"/>
        <v>24359722.886464864</v>
      </c>
      <c r="O106" s="815">
        <f t="shared" si="30"/>
        <v>24246058.090277944</v>
      </c>
    </row>
    <row r="107" spans="2:15" ht="15" customHeight="1" x14ac:dyDescent="0.3">
      <c r="B107" s="162"/>
      <c r="C107" s="1063"/>
      <c r="D107" s="1063"/>
      <c r="E107" s="1064"/>
    </row>
    <row r="108" spans="2:15" ht="15" customHeight="1" x14ac:dyDescent="0.3">
      <c r="B108" s="162" t="s">
        <v>359</v>
      </c>
      <c r="C108" s="1059">
        <f>C106-C104</f>
        <v>1102944.7390825953</v>
      </c>
      <c r="D108" s="1059">
        <f t="shared" ref="D108:O108" si="31">D106-D104</f>
        <v>1635644.5000000019</v>
      </c>
      <c r="E108" s="1059">
        <f t="shared" si="31"/>
        <v>1234481.8484000005</v>
      </c>
      <c r="F108" s="165">
        <f t="shared" si="31"/>
        <v>1000333.7388196699</v>
      </c>
      <c r="G108" s="170">
        <f>G106-G104</f>
        <v>1589482.2650413327</v>
      </c>
      <c r="H108" s="165">
        <f t="shared" si="31"/>
        <v>-2828028.8762168176</v>
      </c>
      <c r="I108" s="165">
        <f t="shared" si="31"/>
        <v>-684424.33011838421</v>
      </c>
      <c r="J108" s="170">
        <f>J106-J104</f>
        <v>1305597.6601816639</v>
      </c>
      <c r="K108" s="165">
        <f t="shared" si="31"/>
        <v>680578.71577883884</v>
      </c>
      <c r="L108" s="165">
        <f t="shared" si="31"/>
        <v>-246803.39032531157</v>
      </c>
      <c r="M108" s="165">
        <f t="shared" si="31"/>
        <v>-1172075.9731585681</v>
      </c>
      <c r="N108" s="165">
        <f t="shared" si="31"/>
        <v>-1802402.5438622795</v>
      </c>
      <c r="O108" s="165">
        <f t="shared" si="31"/>
        <v>-3366520.7393264137</v>
      </c>
    </row>
    <row r="109" spans="2:15" ht="15" customHeight="1" x14ac:dyDescent="0.3">
      <c r="C109" s="1059"/>
      <c r="D109" s="1059"/>
      <c r="E109" s="1059"/>
    </row>
    <row r="110" spans="2:15" ht="15" customHeight="1" x14ac:dyDescent="0.3">
      <c r="B110" s="162" t="s">
        <v>1890</v>
      </c>
      <c r="C110" s="1059"/>
      <c r="D110" s="1059"/>
      <c r="E110" s="1065">
        <f>IF(E108&lt;0,-E108/('Water Rate Projections'!F46+'Sewer Rate Projections'!D17+'Stormwater Rate Projections'!E17),0)</f>
        <v>0</v>
      </c>
      <c r="F110" s="709">
        <f>IF(F108&lt;0,-F108/('Water Rate Projections'!G46+'Sewer Rate Projections'!E17+'Stormwater Rate Projections'!F17),0)</f>
        <v>0</v>
      </c>
      <c r="G110" s="709">
        <f>IF(G108&lt;0,-G108/('Water Rate Projections'!H46+'Sewer Rate Projections'!F17+'Stormwater Rate Projections'!G17),0)</f>
        <v>0</v>
      </c>
      <c r="H110" s="709">
        <f>IF(H108&lt;0,-H108/('Water Rate Projections'!I46+'Sewer Rate Projections'!G17+'Stormwater Rate Projections'!H17),0)</f>
        <v>0.16042341206269967</v>
      </c>
      <c r="I110" s="709">
        <f>IF(I108&lt;0,-I108/('Water Rate Projections'!J46+'Sewer Rate Projections'!H17+'Stormwater Rate Projections'!I17),0)</f>
        <v>3.8843378750084173E-2</v>
      </c>
      <c r="J110" s="709">
        <f>IF(J108&lt;0,-J108/('Water Rate Projections'!K46+'Sewer Rate Projections'!I17+'Stormwater Rate Projections'!J17),0)</f>
        <v>0</v>
      </c>
      <c r="K110" s="709">
        <f>IF(K108&lt;0,-K108/('Water Rate Projections'!L46+'Sewer Rate Projections'!J17+'Stormwater Rate Projections'!K17),0)</f>
        <v>0</v>
      </c>
      <c r="L110" s="709">
        <f>IF(L108&lt;0,-L108/('Water Rate Projections'!M46+'Sewer Rate Projections'!K17+'Stormwater Rate Projections'!L17),0)</f>
        <v>1.4144248302018568E-2</v>
      </c>
      <c r="M110" s="709">
        <f>IF(M108&lt;0,-M108/('Water Rate Projections'!N46+'Sewer Rate Projections'!L17+'Stormwater Rate Projections'!M17),0)</f>
        <v>6.7483064972387E-2</v>
      </c>
      <c r="N110" s="709">
        <f>IF(N108&lt;0,-N108/('Water Rate Projections'!O46+'Sewer Rate Projections'!M17+'Stormwater Rate Projections'!N17),0)</f>
        <v>0.10425582764926161</v>
      </c>
      <c r="O110" s="709">
        <f>IF(O108&lt;0,-O108/('Water Rate Projections'!P46+'Sewer Rate Projections'!N17+'Stormwater Rate Projections'!O17),0)</f>
        <v>0.19563140739460164</v>
      </c>
    </row>
    <row r="111" spans="2:15" ht="15" customHeight="1" x14ac:dyDescent="0.3">
      <c r="C111" s="1063"/>
      <c r="D111" s="1063"/>
      <c r="E111" s="1063"/>
    </row>
    <row r="113" spans="5:15" ht="15" customHeight="1" x14ac:dyDescent="0.3">
      <c r="E113" s="977"/>
      <c r="G113" s="1248">
        <f>(G102-F102)/F102</f>
        <v>5.6042915027812092E-2</v>
      </c>
      <c r="H113" s="1248">
        <f t="shared" ref="H113:O113" si="32">(H102-G102)/G102</f>
        <v>0.272173974923273</v>
      </c>
      <c r="I113" s="1248">
        <f t="shared" si="32"/>
        <v>-4.2815478513944807E-2</v>
      </c>
      <c r="J113" s="1248">
        <f t="shared" si="32"/>
        <v>-3.6403276191875229E-2</v>
      </c>
      <c r="K113" s="1248">
        <f t="shared" si="32"/>
        <v>2.1648413045110216E-2</v>
      </c>
      <c r="L113" s="1248">
        <f t="shared" si="32"/>
        <v>3.3799926654270424E-2</v>
      </c>
      <c r="M113" s="1248">
        <f t="shared" si="32"/>
        <v>3.2633133939034942E-2</v>
      </c>
      <c r="N113" s="1248">
        <f t="shared" si="32"/>
        <v>2.0123601872295283E-2</v>
      </c>
      <c r="O113" s="1248">
        <f t="shared" si="32"/>
        <v>5.5440961902730117E-2</v>
      </c>
    </row>
    <row r="114" spans="5:15" ht="15" customHeight="1" x14ac:dyDescent="0.3">
      <c r="E114" s="977"/>
      <c r="G114" s="1248">
        <f>(G106-F106)/F106</f>
        <v>8.2728109621705445E-2</v>
      </c>
      <c r="H114" s="1248">
        <f t="shared" ref="H114:O114" si="33">(H106-G106)/G106</f>
        <v>4.7937610946598957E-2</v>
      </c>
      <c r="I114" s="1248">
        <f t="shared" si="33"/>
        <v>4.6414458598744573E-2</v>
      </c>
      <c r="J114" s="1248">
        <f t="shared" si="33"/>
        <v>4.644813748129302E-2</v>
      </c>
      <c r="K114" s="1248">
        <f t="shared" si="33"/>
        <v>-4.6722893612639342E-3</v>
      </c>
      <c r="L114" s="1248">
        <f t="shared" si="33"/>
        <v>-4.670751014733179E-3</v>
      </c>
      <c r="M114" s="1248">
        <f t="shared" si="33"/>
        <v>-4.6692059581262537E-3</v>
      </c>
      <c r="N114" s="1248">
        <f t="shared" si="33"/>
        <v>-4.6676541669824941E-3</v>
      </c>
      <c r="O114" s="1248">
        <f t="shared" si="33"/>
        <v>-4.666095616796876E-3</v>
      </c>
    </row>
    <row r="115" spans="5:15" ht="15" customHeight="1" x14ac:dyDescent="0.3">
      <c r="E115" s="977"/>
    </row>
  </sheetData>
  <printOptions horizontalCentered="1"/>
  <pageMargins left="0.2" right="0.2" top="0.2" bottom="0.2" header="0.3" footer="0.3"/>
  <pageSetup scale="6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R103"/>
  <sheetViews>
    <sheetView showGridLines="0" zoomScale="90" zoomScaleNormal="90" workbookViewId="0">
      <pane ySplit="3" topLeftCell="A77" activePane="bottomLeft" state="frozen"/>
      <selection activeCell="B113" sqref="B113"/>
      <selection pane="bottomLeft" activeCell="G55" sqref="G55"/>
    </sheetView>
  </sheetViews>
  <sheetFormatPr defaultColWidth="9" defaultRowHeight="14.4" x14ac:dyDescent="0.3"/>
  <cols>
    <col min="1" max="1" width="9" style="610"/>
    <col min="2" max="2" width="27" style="610" bestFit="1" customWidth="1"/>
    <col min="3" max="5" width="8.69921875" style="610" bestFit="1" customWidth="1"/>
    <col min="6" max="6" width="9.5" style="610" customWidth="1"/>
    <col min="7" max="17" width="10.59765625" style="610" customWidth="1"/>
    <col min="18" max="16384" width="9" style="610"/>
  </cols>
  <sheetData>
    <row r="2" spans="2:17" x14ac:dyDescent="0.3">
      <c r="B2" s="151" t="s">
        <v>1958</v>
      </c>
      <c r="C2" s="151"/>
      <c r="D2" s="151"/>
      <c r="E2" s="151"/>
    </row>
    <row r="3" spans="2:17" x14ac:dyDescent="0.3">
      <c r="C3" s="604">
        <v>2011</v>
      </c>
      <c r="D3" s="604">
        <v>2012</v>
      </c>
      <c r="E3" s="604">
        <v>2013</v>
      </c>
      <c r="F3" s="604">
        <v>2014</v>
      </c>
      <c r="G3" s="604">
        <v>2015</v>
      </c>
      <c r="H3" s="604">
        <v>2016</v>
      </c>
      <c r="I3" s="604">
        <v>2017</v>
      </c>
      <c r="J3" s="604">
        <v>2018</v>
      </c>
      <c r="K3" s="604">
        <v>2019</v>
      </c>
      <c r="L3" s="604">
        <v>2020</v>
      </c>
      <c r="M3" s="604">
        <v>2021</v>
      </c>
      <c r="N3" s="604">
        <v>2022</v>
      </c>
      <c r="O3" s="604">
        <v>2023</v>
      </c>
      <c r="P3" s="604">
        <v>2024</v>
      </c>
      <c r="Q3" s="604">
        <v>2025</v>
      </c>
    </row>
    <row r="4" spans="2:17" x14ac:dyDescent="0.3">
      <c r="B4" s="611" t="s">
        <v>1617</v>
      </c>
      <c r="C4" s="611"/>
      <c r="D4" s="611"/>
      <c r="E4" s="611"/>
      <c r="H4" s="612">
        <f>54+40</f>
        <v>94</v>
      </c>
      <c r="I4" s="612">
        <v>103</v>
      </c>
      <c r="J4" s="612">
        <v>100</v>
      </c>
      <c r="K4" s="612">
        <v>100</v>
      </c>
      <c r="L4" s="612">
        <v>100</v>
      </c>
      <c r="M4" s="612">
        <v>0</v>
      </c>
      <c r="N4" s="612">
        <v>0</v>
      </c>
      <c r="O4" s="612">
        <v>0</v>
      </c>
      <c r="P4" s="612">
        <v>0</v>
      </c>
      <c r="Q4" s="612">
        <v>0</v>
      </c>
    </row>
    <row r="5" spans="2:17" x14ac:dyDescent="0.3">
      <c r="B5" s="611" t="s">
        <v>1618</v>
      </c>
      <c r="C5" s="611"/>
      <c r="D5" s="611"/>
      <c r="E5" s="611"/>
      <c r="H5" s="612">
        <v>9</v>
      </c>
      <c r="I5" s="612">
        <v>6</v>
      </c>
      <c r="J5" s="612">
        <v>6</v>
      </c>
      <c r="K5" s="612">
        <v>6</v>
      </c>
      <c r="L5" s="612">
        <v>6</v>
      </c>
      <c r="M5" s="612">
        <v>0</v>
      </c>
      <c r="N5" s="612">
        <v>0</v>
      </c>
      <c r="O5" s="612">
        <v>0</v>
      </c>
      <c r="P5" s="612">
        <v>0</v>
      </c>
      <c r="Q5" s="612">
        <v>0</v>
      </c>
    </row>
    <row r="6" spans="2:17" x14ac:dyDescent="0.3">
      <c r="B6" s="613"/>
      <c r="C6" s="613"/>
      <c r="D6" s="613"/>
      <c r="E6" s="613"/>
    </row>
    <row r="7" spans="2:17" x14ac:dyDescent="0.3">
      <c r="B7" s="779" t="s">
        <v>1929</v>
      </c>
      <c r="C7" s="779"/>
      <c r="D7" s="779"/>
      <c r="E7" s="779"/>
    </row>
    <row r="8" spans="2:17" x14ac:dyDescent="0.3">
      <c r="B8" s="611" t="s">
        <v>1926</v>
      </c>
      <c r="C8" s="611"/>
      <c r="D8" s="611"/>
      <c r="E8" s="611"/>
      <c r="F8" s="778">
        <f>F58</f>
        <v>1730880</v>
      </c>
      <c r="G8" s="778">
        <f>G58</f>
        <v>1707978.04</v>
      </c>
      <c r="H8" s="778">
        <f>(G8*(1+H33))*(1+'Control Panel'!E17)</f>
        <v>1707112.7433386443</v>
      </c>
      <c r="I8" s="778">
        <f>(H8*(1+I33))*(1+'Control Panel'!F17)</f>
        <v>1706658.228575676</v>
      </c>
      <c r="J8" s="778">
        <f>(I8*(1+J33))*(1+'Control Panel'!G17)</f>
        <v>1705944.2790213239</v>
      </c>
      <c r="K8" s="778">
        <f>(J8*(1+K33))*(1+'Control Panel'!H17)</f>
        <v>1705194.802506801</v>
      </c>
      <c r="L8" s="778">
        <f>(K8*(1+L33))*(1+'Control Panel'!I17)</f>
        <v>1704410.172150448</v>
      </c>
      <c r="M8" s="778">
        <f>(L8*(1+M33))*(1+'Control Panel'!J17)</f>
        <v>1695888.1212896956</v>
      </c>
      <c r="N8" s="778">
        <f>(M8*(1+N33))*(1+'Control Panel'!K17)</f>
        <v>1687408.680683247</v>
      </c>
      <c r="O8" s="778">
        <f>(N8*(1+O33))*(1+'Control Panel'!L17)</f>
        <v>1678971.6372798309</v>
      </c>
      <c r="P8" s="778">
        <f>(O8*(1+P33))*(1+'Control Panel'!M17)</f>
        <v>1670576.7790934318</v>
      </c>
      <c r="Q8" s="778">
        <f>(P8*(1+Q33))*(1+'Control Panel'!N17)</f>
        <v>1662223.8951979645</v>
      </c>
    </row>
    <row r="9" spans="2:17" x14ac:dyDescent="0.3">
      <c r="B9" s="611" t="s">
        <v>1927</v>
      </c>
      <c r="C9" s="611"/>
      <c r="D9" s="611"/>
      <c r="E9" s="611"/>
      <c r="F9" s="778">
        <f>F65</f>
        <v>121558</v>
      </c>
      <c r="G9" s="778">
        <f>G65</f>
        <v>117906.9</v>
      </c>
      <c r="H9" s="778">
        <f>(G9*(1+H44))*(1+'Control Panel'!E18)</f>
        <v>117317.3655</v>
      </c>
      <c r="I9" s="778">
        <f>(H9*(1+I44))*(1+'Control Panel'!F18)</f>
        <v>116730.7786725</v>
      </c>
      <c r="J9" s="778">
        <f>(I9*(1+J44))*(1+'Control Panel'!G18)</f>
        <v>116147.12477913751</v>
      </c>
      <c r="K9" s="778">
        <f>(J9*(1+K44))*(1+'Control Panel'!H18)</f>
        <v>115566.38915524182</v>
      </c>
      <c r="L9" s="778">
        <f>(K9*(1+L44))*(1+'Control Panel'!I18)</f>
        <v>114988.55720946561</v>
      </c>
      <c r="M9" s="778">
        <f>(L9*(1+M44))*(1+'Control Panel'!J18)</f>
        <v>114413.61442341829</v>
      </c>
      <c r="N9" s="778">
        <f>(M9*(1+N44))*(1+'Control Panel'!K18)</f>
        <v>113841.54635130119</v>
      </c>
      <c r="O9" s="778">
        <f>(N9*(1+O44))*(1+'Control Panel'!L18)</f>
        <v>113272.33861954468</v>
      </c>
      <c r="P9" s="778">
        <f>(O9*(1+P44))*(1+'Control Panel'!M18)</f>
        <v>112705.97692644695</v>
      </c>
      <c r="Q9" s="778">
        <f>(P9*(1+Q44))*(1+'Control Panel'!N18)</f>
        <v>112142.44704181471</v>
      </c>
    </row>
    <row r="10" spans="2:17" x14ac:dyDescent="0.3">
      <c r="B10" s="611" t="s">
        <v>1928</v>
      </c>
      <c r="C10" s="611"/>
      <c r="D10" s="611"/>
      <c r="E10" s="611"/>
      <c r="F10" s="778">
        <f>F68</f>
        <v>15536</v>
      </c>
      <c r="G10" s="778">
        <f>G68</f>
        <v>16155.599999999999</v>
      </c>
      <c r="H10" s="778">
        <f>(G10*(1+H49))*(1+'Control Panel'!E19)</f>
        <v>16074.821999999998</v>
      </c>
      <c r="I10" s="778">
        <f>(H10*(1+I49))*(1+'Control Panel'!F19)</f>
        <v>15994.447889999998</v>
      </c>
      <c r="J10" s="778">
        <f>(I10*(1+J49))*(1+'Control Panel'!G19)</f>
        <v>15914.475650549997</v>
      </c>
      <c r="K10" s="778">
        <f>(J10*(1+K49))*(1+'Control Panel'!H19)</f>
        <v>15834.903272297248</v>
      </c>
      <c r="L10" s="778">
        <f>(K10*(1+L49))*(1+'Control Panel'!I19)</f>
        <v>15755.728755935761</v>
      </c>
      <c r="M10" s="778">
        <f>(L10*(1+M49))*(1+'Control Panel'!J19)</f>
        <v>15676.950112156082</v>
      </c>
      <c r="N10" s="778">
        <f>(M10*(1+N49))*(1+'Control Panel'!K19)</f>
        <v>15598.565361595302</v>
      </c>
      <c r="O10" s="778">
        <f>(N10*(1+O49))*(1+'Control Panel'!L19)</f>
        <v>15520.572534787325</v>
      </c>
      <c r="P10" s="778">
        <f>(O10*(1+P49))*(1+'Control Panel'!M19)</f>
        <v>15442.969672113388</v>
      </c>
      <c r="Q10" s="778">
        <f>(P10*(1+Q49))*(1+'Control Panel'!N19)</f>
        <v>15365.754823752821</v>
      </c>
    </row>
    <row r="11" spans="2:17" ht="29.4" thickBot="1" x14ac:dyDescent="0.35">
      <c r="B11" s="827" t="s">
        <v>1972</v>
      </c>
      <c r="C11" s="828">
        <v>2060040</v>
      </c>
      <c r="D11" s="828">
        <v>2240181</v>
      </c>
      <c r="E11" s="828">
        <v>2070378</v>
      </c>
      <c r="F11" s="828">
        <f>SUM(F8:F10)</f>
        <v>1867974</v>
      </c>
      <c r="G11" s="828">
        <f t="shared" ref="G11:Q11" si="0">SUM(G8:G10)</f>
        <v>1842040.54</v>
      </c>
      <c r="H11" s="828">
        <f t="shared" si="0"/>
        <v>1840504.9308386443</v>
      </c>
      <c r="I11" s="828">
        <f>SUM(I8:I10)</f>
        <v>1839383.455138176</v>
      </c>
      <c r="J11" s="828">
        <f t="shared" si="0"/>
        <v>1838005.8794510115</v>
      </c>
      <c r="K11" s="828">
        <f t="shared" si="0"/>
        <v>1836596.0949343401</v>
      </c>
      <c r="L11" s="828">
        <f t="shared" si="0"/>
        <v>1835154.4581158494</v>
      </c>
      <c r="M11" s="828">
        <f t="shared" si="0"/>
        <v>1825978.6858252699</v>
      </c>
      <c r="N11" s="828">
        <f t="shared" si="0"/>
        <v>1816848.7923961435</v>
      </c>
      <c r="O11" s="828">
        <f t="shared" si="0"/>
        <v>1807764.5484341627</v>
      </c>
      <c r="P11" s="828">
        <f t="shared" si="0"/>
        <v>1798725.7256919921</v>
      </c>
      <c r="Q11" s="828">
        <f t="shared" si="0"/>
        <v>1789732.0970635321</v>
      </c>
    </row>
    <row r="12" spans="2:17" ht="15" thickTop="1" x14ac:dyDescent="0.3">
      <c r="B12" s="829"/>
      <c r="C12" s="830"/>
      <c r="D12" s="831">
        <f>(D11-C11)/C11</f>
        <v>8.7445389409914365E-2</v>
      </c>
      <c r="E12" s="831">
        <f t="shared" ref="E12:Q12" si="1">(E11-D11)/D11</f>
        <v>-7.5798785901674909E-2</v>
      </c>
      <c r="F12" s="831">
        <f t="shared" si="1"/>
        <v>-9.7761857979557359E-2</v>
      </c>
      <c r="G12" s="831">
        <f t="shared" si="1"/>
        <v>-1.3883201800453306E-2</v>
      </c>
      <c r="H12" s="831">
        <f t="shared" si="1"/>
        <v>-8.3364569237752255E-4</v>
      </c>
      <c r="I12" s="831">
        <f t="shared" si="1"/>
        <v>-6.093304514850059E-4</v>
      </c>
      <c r="J12" s="831">
        <f>(J11-I11)/I11</f>
        <v>-7.4893339032505116E-4</v>
      </c>
      <c r="K12" s="831">
        <f t="shared" si="1"/>
        <v>-7.6701850218918993E-4</v>
      </c>
      <c r="L12" s="831">
        <f t="shared" si="1"/>
        <v>-7.8495038863851522E-4</v>
      </c>
      <c r="M12" s="831">
        <f t="shared" si="1"/>
        <v>-5.0000000000001424E-3</v>
      </c>
      <c r="N12" s="831">
        <f t="shared" si="1"/>
        <v>-5.0000000000000044E-3</v>
      </c>
      <c r="O12" s="831">
        <f t="shared" si="1"/>
        <v>-5.0000000000000452E-3</v>
      </c>
      <c r="P12" s="831">
        <f t="shared" si="1"/>
        <v>-4.9999999999999116E-3</v>
      </c>
      <c r="Q12" s="831">
        <f t="shared" si="1"/>
        <v>-5.0000000000000175E-3</v>
      </c>
    </row>
    <row r="13" spans="2:17" x14ac:dyDescent="0.3">
      <c r="B13" s="611"/>
      <c r="C13" s="611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</row>
    <row r="14" spans="2:17" ht="15" thickBot="1" x14ac:dyDescent="0.35">
      <c r="B14" s="870" t="s">
        <v>1973</v>
      </c>
      <c r="C14" s="871">
        <v>2060040</v>
      </c>
      <c r="D14" s="871">
        <v>2240181</v>
      </c>
      <c r="E14" s="871">
        <v>2070378</v>
      </c>
      <c r="F14" s="871">
        <f>SUM(F8:F10)</f>
        <v>1867974</v>
      </c>
      <c r="G14" s="871">
        <f t="shared" ref="G14" si="2">SUM(G8:G10)</f>
        <v>1842040.54</v>
      </c>
      <c r="H14" s="871"/>
      <c r="I14" s="871"/>
      <c r="J14" s="871"/>
      <c r="K14" s="871"/>
      <c r="L14" s="871"/>
      <c r="M14" s="871"/>
      <c r="N14" s="871"/>
      <c r="O14" s="871"/>
      <c r="P14" s="871"/>
      <c r="Q14" s="871"/>
    </row>
    <row r="15" spans="2:17" ht="15" thickTop="1" x14ac:dyDescent="0.3">
      <c r="B15" s="872"/>
      <c r="C15" s="873"/>
      <c r="D15" s="874">
        <f>(D14-C14)/C14</f>
        <v>8.7445389409914365E-2</v>
      </c>
      <c r="E15" s="874">
        <f t="shared" ref="E15:Q15" si="3">(E14-D14)/D14</f>
        <v>-7.5798785901674909E-2</v>
      </c>
      <c r="F15" s="874">
        <f t="shared" si="3"/>
        <v>-9.7761857979557359E-2</v>
      </c>
      <c r="G15" s="874">
        <f t="shared" si="3"/>
        <v>-1.3883201800453306E-2</v>
      </c>
      <c r="H15" s="874">
        <f t="shared" si="3"/>
        <v>-1</v>
      </c>
      <c r="I15" s="874" t="e">
        <f t="shared" si="3"/>
        <v>#DIV/0!</v>
      </c>
      <c r="J15" s="874" t="e">
        <f t="shared" si="3"/>
        <v>#DIV/0!</v>
      </c>
      <c r="K15" s="874" t="e">
        <f t="shared" si="3"/>
        <v>#DIV/0!</v>
      </c>
      <c r="L15" s="874" t="e">
        <f t="shared" si="3"/>
        <v>#DIV/0!</v>
      </c>
      <c r="M15" s="874" t="e">
        <f t="shared" si="3"/>
        <v>#DIV/0!</v>
      </c>
      <c r="N15" s="874" t="e">
        <f t="shared" si="3"/>
        <v>#DIV/0!</v>
      </c>
      <c r="O15" s="874" t="e">
        <f t="shared" si="3"/>
        <v>#DIV/0!</v>
      </c>
      <c r="P15" s="874" t="e">
        <f t="shared" si="3"/>
        <v>#DIV/0!</v>
      </c>
      <c r="Q15" s="874" t="e">
        <f t="shared" si="3"/>
        <v>#DIV/0!</v>
      </c>
    </row>
    <row r="16" spans="2:17" x14ac:dyDescent="0.3">
      <c r="B16" s="875"/>
      <c r="C16" s="876"/>
      <c r="D16" s="877"/>
      <c r="E16" s="877"/>
      <c r="F16" s="877"/>
      <c r="G16" s="877"/>
      <c r="H16" s="877"/>
      <c r="I16" s="877"/>
      <c r="J16" s="877"/>
      <c r="K16" s="877"/>
      <c r="L16" s="877"/>
      <c r="M16" s="877"/>
      <c r="N16" s="877"/>
      <c r="O16" s="877"/>
      <c r="P16" s="877"/>
      <c r="Q16" s="877"/>
    </row>
    <row r="17" spans="2:17" ht="15" thickBot="1" x14ac:dyDescent="0.35">
      <c r="B17" s="878" t="s">
        <v>1974</v>
      </c>
      <c r="C17" s="879">
        <v>2060040</v>
      </c>
      <c r="D17" s="879">
        <v>2240181</v>
      </c>
      <c r="E17" s="879">
        <v>2070378</v>
      </c>
      <c r="F17" s="879">
        <f>SUM(F8:F10)</f>
        <v>1867974</v>
      </c>
      <c r="G17" s="879">
        <f>SUM(G8:G10)</f>
        <v>1842040.54</v>
      </c>
      <c r="H17" s="879">
        <f>AVERAGE(C17:G17)</f>
        <v>2016122.7079999999</v>
      </c>
      <c r="I17" s="879">
        <f t="shared" ref="I17:Q17" si="4">AVERAGE(D17:H17)</f>
        <v>2007339.2496</v>
      </c>
      <c r="J17" s="879">
        <f t="shared" si="4"/>
        <v>1960770.89952</v>
      </c>
      <c r="K17" s="879">
        <f t="shared" si="4"/>
        <v>1938849.4794239998</v>
      </c>
      <c r="L17" s="879">
        <f t="shared" si="4"/>
        <v>1953024.5753087997</v>
      </c>
      <c r="M17" s="879">
        <f t="shared" si="4"/>
        <v>1975221.38237056</v>
      </c>
      <c r="N17" s="879">
        <f t="shared" si="4"/>
        <v>1967041.117244672</v>
      </c>
      <c r="O17" s="879">
        <f t="shared" si="4"/>
        <v>1958981.4907736063</v>
      </c>
      <c r="P17" s="879">
        <f t="shared" si="4"/>
        <v>1958623.6090243277</v>
      </c>
      <c r="Q17" s="879">
        <f t="shared" si="4"/>
        <v>1962578.4349443931</v>
      </c>
    </row>
    <row r="18" spans="2:17" ht="15" thickTop="1" x14ac:dyDescent="0.3">
      <c r="B18" s="880"/>
      <c r="C18" s="881"/>
      <c r="D18" s="882">
        <f>(D17-C17)/C17</f>
        <v>8.7445389409914365E-2</v>
      </c>
      <c r="E18" s="882">
        <f t="shared" ref="E18:Q18" si="5">(E17-D17)/D17</f>
        <v>-7.5798785901674909E-2</v>
      </c>
      <c r="F18" s="882">
        <f t="shared" si="5"/>
        <v>-9.7761857979557359E-2</v>
      </c>
      <c r="G18" s="882">
        <f t="shared" si="5"/>
        <v>-1.3883201800453306E-2</v>
      </c>
      <c r="H18" s="882">
        <f t="shared" si="5"/>
        <v>9.4505068818952181E-2</v>
      </c>
      <c r="I18" s="882">
        <f t="shared" si="5"/>
        <v>-4.3566090323505684E-3</v>
      </c>
      <c r="J18" s="882">
        <f t="shared" si="5"/>
        <v>-2.3199043255533226E-2</v>
      </c>
      <c r="K18" s="882">
        <f t="shared" si="5"/>
        <v>-1.1180000734081983E-2</v>
      </c>
      <c r="L18" s="882">
        <f t="shared" si="5"/>
        <v>7.311086309294698E-3</v>
      </c>
      <c r="M18" s="882">
        <f t="shared" si="5"/>
        <v>1.1365349592823534E-2</v>
      </c>
      <c r="N18" s="882">
        <f t="shared" si="5"/>
        <v>-4.1414421689129335E-3</v>
      </c>
      <c r="O18" s="882">
        <f t="shared" si="5"/>
        <v>-4.097335027930268E-3</v>
      </c>
      <c r="P18" s="882">
        <f t="shared" si="5"/>
        <v>-1.8268766242263197E-4</v>
      </c>
      <c r="Q18" s="882">
        <f t="shared" si="5"/>
        <v>2.0191862805306751E-3</v>
      </c>
    </row>
    <row r="19" spans="2:17" x14ac:dyDescent="0.3">
      <c r="B19" s="611"/>
      <c r="C19" s="611"/>
      <c r="D19" s="611"/>
      <c r="E19" s="611"/>
    </row>
    <row r="20" spans="2:17" x14ac:dyDescent="0.3">
      <c r="B20" s="614" t="s">
        <v>1709</v>
      </c>
      <c r="C20" s="614"/>
      <c r="D20" s="614"/>
      <c r="E20" s="614"/>
    </row>
    <row r="21" spans="2:17" x14ac:dyDescent="0.3">
      <c r="B21" s="615" t="s">
        <v>1619</v>
      </c>
      <c r="C21" s="615"/>
      <c r="D21" s="615"/>
      <c r="E21" s="615"/>
    </row>
    <row r="22" spans="2:17" x14ac:dyDescent="0.3">
      <c r="B22" s="615" t="s">
        <v>2022</v>
      </c>
      <c r="C22" s="615"/>
      <c r="D22" s="615"/>
      <c r="E22" s="615"/>
      <c r="H22" s="1309" t="s">
        <v>2021</v>
      </c>
      <c r="I22" s="1310"/>
      <c r="J22" s="1310"/>
      <c r="K22" s="1310"/>
      <c r="L22" s="1310"/>
      <c r="M22" s="1310"/>
      <c r="N22" s="1310"/>
      <c r="O22" s="1310"/>
      <c r="P22" s="1310"/>
      <c r="Q22" s="1311"/>
    </row>
    <row r="23" spans="2:17" x14ac:dyDescent="0.3">
      <c r="B23" s="616" t="s">
        <v>1630</v>
      </c>
      <c r="C23" s="616"/>
      <c r="D23" s="616"/>
      <c r="E23" s="616"/>
      <c r="F23" s="617">
        <v>0</v>
      </c>
      <c r="G23" s="617">
        <v>0</v>
      </c>
      <c r="H23" s="618">
        <f>G23</f>
        <v>0</v>
      </c>
      <c r="I23" s="618">
        <f t="shared" ref="I23:Q23" si="6">H23</f>
        <v>0</v>
      </c>
      <c r="J23" s="618">
        <f>I23</f>
        <v>0</v>
      </c>
      <c r="K23" s="618">
        <f t="shared" si="6"/>
        <v>0</v>
      </c>
      <c r="L23" s="618">
        <f t="shared" si="6"/>
        <v>0</v>
      </c>
      <c r="M23" s="618">
        <f t="shared" si="6"/>
        <v>0</v>
      </c>
      <c r="N23" s="618">
        <f t="shared" si="6"/>
        <v>0</v>
      </c>
      <c r="O23" s="618">
        <f t="shared" si="6"/>
        <v>0</v>
      </c>
      <c r="P23" s="618">
        <f t="shared" si="6"/>
        <v>0</v>
      </c>
      <c r="Q23" s="618">
        <f t="shared" si="6"/>
        <v>0</v>
      </c>
    </row>
    <row r="24" spans="2:17" x14ac:dyDescent="0.3">
      <c r="B24" s="616" t="s">
        <v>1620</v>
      </c>
      <c r="C24" s="616"/>
      <c r="D24" s="616"/>
      <c r="E24" s="616"/>
      <c r="F24" s="617">
        <v>235</v>
      </c>
      <c r="G24" s="617">
        <v>235</v>
      </c>
      <c r="H24" s="618">
        <f t="shared" ref="H24:Q31" si="7">G24</f>
        <v>235</v>
      </c>
      <c r="I24" s="618">
        <f t="shared" si="7"/>
        <v>235</v>
      </c>
      <c r="J24" s="618">
        <f t="shared" si="7"/>
        <v>235</v>
      </c>
      <c r="K24" s="618">
        <f>J24</f>
        <v>235</v>
      </c>
      <c r="L24" s="618">
        <f t="shared" si="7"/>
        <v>235</v>
      </c>
      <c r="M24" s="618">
        <f t="shared" si="7"/>
        <v>235</v>
      </c>
      <c r="N24" s="618">
        <f t="shared" si="7"/>
        <v>235</v>
      </c>
      <c r="O24" s="618">
        <f t="shared" si="7"/>
        <v>235</v>
      </c>
      <c r="P24" s="618">
        <f t="shared" si="7"/>
        <v>235</v>
      </c>
      <c r="Q24" s="618">
        <f t="shared" si="7"/>
        <v>235</v>
      </c>
    </row>
    <row r="25" spans="2:17" x14ac:dyDescent="0.3">
      <c r="B25" s="616" t="s">
        <v>1621</v>
      </c>
      <c r="C25" s="616"/>
      <c r="D25" s="616"/>
      <c r="E25" s="616"/>
      <c r="F25" s="617">
        <f>1430+23+5</f>
        <v>1458</v>
      </c>
      <c r="G25" s="617">
        <f>F25</f>
        <v>1458</v>
      </c>
      <c r="H25" s="618">
        <f>G25+H5</f>
        <v>1467</v>
      </c>
      <c r="I25" s="618">
        <f t="shared" ref="I25:Q25" si="8">H25+I5</f>
        <v>1473</v>
      </c>
      <c r="J25" s="618">
        <f t="shared" si="8"/>
        <v>1479</v>
      </c>
      <c r="K25" s="618">
        <f>J25+K5</f>
        <v>1485</v>
      </c>
      <c r="L25" s="618">
        <f t="shared" si="8"/>
        <v>1491</v>
      </c>
      <c r="M25" s="618">
        <f t="shared" si="8"/>
        <v>1491</v>
      </c>
      <c r="N25" s="618">
        <f t="shared" si="8"/>
        <v>1491</v>
      </c>
      <c r="O25" s="618">
        <f t="shared" si="8"/>
        <v>1491</v>
      </c>
      <c r="P25" s="618">
        <f t="shared" si="8"/>
        <v>1491</v>
      </c>
      <c r="Q25" s="618">
        <f t="shared" si="8"/>
        <v>1491</v>
      </c>
    </row>
    <row r="26" spans="2:17" x14ac:dyDescent="0.3">
      <c r="B26" s="616" t="s">
        <v>1631</v>
      </c>
      <c r="C26" s="616"/>
      <c r="D26" s="616"/>
      <c r="E26" s="616"/>
      <c r="F26" s="617">
        <v>1</v>
      </c>
      <c r="G26" s="617">
        <v>1</v>
      </c>
      <c r="H26" s="618">
        <f t="shared" si="7"/>
        <v>1</v>
      </c>
      <c r="I26" s="618">
        <f t="shared" si="7"/>
        <v>1</v>
      </c>
      <c r="J26" s="618">
        <f t="shared" si="7"/>
        <v>1</v>
      </c>
      <c r="K26" s="618">
        <f>J26</f>
        <v>1</v>
      </c>
      <c r="L26" s="618">
        <f t="shared" si="7"/>
        <v>1</v>
      </c>
      <c r="M26" s="618">
        <f t="shared" si="7"/>
        <v>1</v>
      </c>
      <c r="N26" s="618">
        <f t="shared" si="7"/>
        <v>1</v>
      </c>
      <c r="O26" s="618">
        <f t="shared" si="7"/>
        <v>1</v>
      </c>
      <c r="P26" s="618">
        <f t="shared" si="7"/>
        <v>1</v>
      </c>
      <c r="Q26" s="618">
        <f t="shared" si="7"/>
        <v>1</v>
      </c>
    </row>
    <row r="27" spans="2:17" x14ac:dyDescent="0.3">
      <c r="B27" s="616" t="s">
        <v>1632</v>
      </c>
      <c r="C27" s="616"/>
      <c r="D27" s="616"/>
      <c r="E27" s="616"/>
      <c r="F27" s="617">
        <v>20</v>
      </c>
      <c r="G27" s="617">
        <v>21</v>
      </c>
      <c r="H27" s="618">
        <f t="shared" si="7"/>
        <v>21</v>
      </c>
      <c r="I27" s="618">
        <f t="shared" si="7"/>
        <v>21</v>
      </c>
      <c r="J27" s="618">
        <f t="shared" si="7"/>
        <v>21</v>
      </c>
      <c r="K27" s="618">
        <f t="shared" si="7"/>
        <v>21</v>
      </c>
      <c r="L27" s="618">
        <f t="shared" si="7"/>
        <v>21</v>
      </c>
      <c r="M27" s="618">
        <f t="shared" si="7"/>
        <v>21</v>
      </c>
      <c r="N27" s="618">
        <f t="shared" si="7"/>
        <v>21</v>
      </c>
      <c r="O27" s="618">
        <f t="shared" si="7"/>
        <v>21</v>
      </c>
      <c r="P27" s="618">
        <f t="shared" si="7"/>
        <v>21</v>
      </c>
      <c r="Q27" s="618">
        <f t="shared" si="7"/>
        <v>21</v>
      </c>
    </row>
    <row r="28" spans="2:17" x14ac:dyDescent="0.3">
      <c r="B28" s="616" t="s">
        <v>1622</v>
      </c>
      <c r="C28" s="616"/>
      <c r="D28" s="616"/>
      <c r="E28" s="616"/>
      <c r="F28" s="617">
        <v>20755</v>
      </c>
      <c r="G28" s="617">
        <v>20784</v>
      </c>
      <c r="H28" s="618">
        <f>G28+H4</f>
        <v>20878</v>
      </c>
      <c r="I28" s="618">
        <f t="shared" ref="I28:Q28" si="9">H28+I4</f>
        <v>20981</v>
      </c>
      <c r="J28" s="618">
        <f t="shared" si="9"/>
        <v>21081</v>
      </c>
      <c r="K28" s="618">
        <f>J28+K4</f>
        <v>21181</v>
      </c>
      <c r="L28" s="618">
        <f t="shared" si="9"/>
        <v>21281</v>
      </c>
      <c r="M28" s="618">
        <f t="shared" si="9"/>
        <v>21281</v>
      </c>
      <c r="N28" s="618">
        <f t="shared" si="9"/>
        <v>21281</v>
      </c>
      <c r="O28" s="618">
        <f t="shared" si="9"/>
        <v>21281</v>
      </c>
      <c r="P28" s="618">
        <f t="shared" si="9"/>
        <v>21281</v>
      </c>
      <c r="Q28" s="618">
        <f t="shared" si="9"/>
        <v>21281</v>
      </c>
    </row>
    <row r="29" spans="2:17" x14ac:dyDescent="0.3">
      <c r="B29" s="616" t="s">
        <v>1633</v>
      </c>
      <c r="C29" s="616"/>
      <c r="D29" s="616"/>
      <c r="E29" s="616"/>
      <c r="F29" s="617">
        <v>160</v>
      </c>
      <c r="G29" s="617">
        <v>160</v>
      </c>
      <c r="H29" s="618">
        <f t="shared" si="7"/>
        <v>160</v>
      </c>
      <c r="I29" s="618">
        <f t="shared" si="7"/>
        <v>160</v>
      </c>
      <c r="J29" s="618">
        <f t="shared" si="7"/>
        <v>160</v>
      </c>
      <c r="K29" s="618">
        <f t="shared" si="7"/>
        <v>160</v>
      </c>
      <c r="L29" s="618">
        <f t="shared" si="7"/>
        <v>160</v>
      </c>
      <c r="M29" s="618">
        <f t="shared" si="7"/>
        <v>160</v>
      </c>
      <c r="N29" s="618">
        <f t="shared" si="7"/>
        <v>160</v>
      </c>
      <c r="O29" s="618">
        <f t="shared" si="7"/>
        <v>160</v>
      </c>
      <c r="P29" s="618">
        <f t="shared" si="7"/>
        <v>160</v>
      </c>
      <c r="Q29" s="618">
        <f t="shared" si="7"/>
        <v>160</v>
      </c>
    </row>
    <row r="30" spans="2:17" x14ac:dyDescent="0.3">
      <c r="B30" s="616" t="s">
        <v>1623</v>
      </c>
      <c r="C30" s="616"/>
      <c r="D30" s="616"/>
      <c r="E30" s="616"/>
      <c r="F30" s="617">
        <v>22</v>
      </c>
      <c r="G30" s="617">
        <v>22</v>
      </c>
      <c r="H30" s="618">
        <f t="shared" si="7"/>
        <v>22</v>
      </c>
      <c r="I30" s="618">
        <f t="shared" si="7"/>
        <v>22</v>
      </c>
      <c r="J30" s="618">
        <f t="shared" si="7"/>
        <v>22</v>
      </c>
      <c r="K30" s="618">
        <f t="shared" si="7"/>
        <v>22</v>
      </c>
      <c r="L30" s="618">
        <f t="shared" si="7"/>
        <v>22</v>
      </c>
      <c r="M30" s="618">
        <f t="shared" si="7"/>
        <v>22</v>
      </c>
      <c r="N30" s="618">
        <f t="shared" si="7"/>
        <v>22</v>
      </c>
      <c r="O30" s="618">
        <f t="shared" si="7"/>
        <v>22</v>
      </c>
      <c r="P30" s="618">
        <f t="shared" si="7"/>
        <v>22</v>
      </c>
      <c r="Q30" s="618">
        <f t="shared" si="7"/>
        <v>22</v>
      </c>
    </row>
    <row r="31" spans="2:17" x14ac:dyDescent="0.3">
      <c r="B31" s="616" t="s">
        <v>1624</v>
      </c>
      <c r="C31" s="616"/>
      <c r="D31" s="616"/>
      <c r="E31" s="616"/>
      <c r="F31" s="617">
        <v>127</v>
      </c>
      <c r="G31" s="617">
        <v>127</v>
      </c>
      <c r="H31" s="618">
        <f t="shared" si="7"/>
        <v>127</v>
      </c>
      <c r="I31" s="618">
        <f t="shared" si="7"/>
        <v>127</v>
      </c>
      <c r="J31" s="618">
        <f t="shared" si="7"/>
        <v>127</v>
      </c>
      <c r="K31" s="618">
        <f t="shared" si="7"/>
        <v>127</v>
      </c>
      <c r="L31" s="618">
        <f t="shared" si="7"/>
        <v>127</v>
      </c>
      <c r="M31" s="618">
        <f t="shared" si="7"/>
        <v>127</v>
      </c>
      <c r="N31" s="618">
        <f t="shared" si="7"/>
        <v>127</v>
      </c>
      <c r="O31" s="618">
        <f t="shared" si="7"/>
        <v>127</v>
      </c>
      <c r="P31" s="618">
        <f t="shared" si="7"/>
        <v>127</v>
      </c>
      <c r="Q31" s="618">
        <f t="shared" si="7"/>
        <v>127</v>
      </c>
    </row>
    <row r="32" spans="2:17" x14ac:dyDescent="0.3">
      <c r="B32" s="615" t="s">
        <v>1625</v>
      </c>
      <c r="C32" s="615"/>
      <c r="D32" s="615"/>
      <c r="E32" s="615"/>
      <c r="F32" s="619">
        <f>SUM(F23:F31)</f>
        <v>22778</v>
      </c>
      <c r="G32" s="619">
        <f t="shared" ref="G32:Q32" si="10">SUM(G23:G31)</f>
        <v>22808</v>
      </c>
      <c r="H32" s="619">
        <f t="shared" si="10"/>
        <v>22911</v>
      </c>
      <c r="I32" s="619">
        <f>SUM(I23:I31)</f>
        <v>23020</v>
      </c>
      <c r="J32" s="619">
        <f t="shared" si="10"/>
        <v>23126</v>
      </c>
      <c r="K32" s="619">
        <f t="shared" si="10"/>
        <v>23232</v>
      </c>
      <c r="L32" s="619">
        <f>SUM(L23:L31)</f>
        <v>23338</v>
      </c>
      <c r="M32" s="619">
        <f t="shared" si="10"/>
        <v>23338</v>
      </c>
      <c r="N32" s="619">
        <f t="shared" si="10"/>
        <v>23338</v>
      </c>
      <c r="O32" s="619">
        <f t="shared" si="10"/>
        <v>23338</v>
      </c>
      <c r="P32" s="619">
        <f t="shared" si="10"/>
        <v>23338</v>
      </c>
      <c r="Q32" s="619">
        <f t="shared" si="10"/>
        <v>23338</v>
      </c>
    </row>
    <row r="33" spans="2:17" x14ac:dyDescent="0.3">
      <c r="G33" s="620">
        <f>(G32-F32)/F32</f>
        <v>1.3170603213627184E-3</v>
      </c>
      <c r="H33" s="620">
        <f t="shared" ref="H33" si="11">(H32-G32)/G32</f>
        <v>4.5159593125219223E-3</v>
      </c>
      <c r="I33" s="620">
        <f t="shared" ref="I33" si="12">(I32-H32)/H32</f>
        <v>4.757540046265986E-3</v>
      </c>
      <c r="J33" s="620">
        <f t="shared" ref="J33" si="13">(J32-I32)/I32</f>
        <v>4.6046915725456126E-3</v>
      </c>
      <c r="K33" s="620">
        <f t="shared" ref="K33" si="14">(K32-J32)/J32</f>
        <v>4.5835855746778516E-3</v>
      </c>
      <c r="L33" s="620">
        <f>(L32-K32)/K32</f>
        <v>4.5626721763085401E-3</v>
      </c>
      <c r="M33" s="620">
        <f t="shared" ref="M33" si="15">(M32-L32)/L32</f>
        <v>0</v>
      </c>
      <c r="N33" s="620">
        <f t="shared" ref="N33" si="16">(N32-M32)/M32</f>
        <v>0</v>
      </c>
      <c r="O33" s="620">
        <f t="shared" ref="O33" si="17">(O32-N32)/N32</f>
        <v>0</v>
      </c>
      <c r="P33" s="620">
        <f t="shared" ref="P33" si="18">(P32-O32)/O32</f>
        <v>0</v>
      </c>
      <c r="Q33" s="620">
        <f t="shared" ref="Q33" si="19">(Q32-P32)/P32</f>
        <v>0</v>
      </c>
    </row>
    <row r="34" spans="2:17" x14ac:dyDescent="0.3">
      <c r="B34" s="621" t="s">
        <v>1626</v>
      </c>
      <c r="C34" s="621"/>
      <c r="D34" s="621"/>
      <c r="E34" s="621"/>
    </row>
    <row r="35" spans="2:17" x14ac:dyDescent="0.3">
      <c r="B35" s="615" t="s">
        <v>1627</v>
      </c>
      <c r="C35" s="615"/>
      <c r="D35" s="615"/>
      <c r="E35" s="615"/>
    </row>
    <row r="36" spans="2:17" x14ac:dyDescent="0.3">
      <c r="B36" s="616" t="s">
        <v>1630</v>
      </c>
      <c r="C36" s="616"/>
      <c r="D36" s="616"/>
      <c r="E36" s="616"/>
      <c r="F36" s="617">
        <v>10</v>
      </c>
      <c r="G36" s="617">
        <v>11</v>
      </c>
      <c r="H36" s="618">
        <f t="shared" ref="H36:Q36" si="20">G36</f>
        <v>11</v>
      </c>
      <c r="I36" s="618">
        <f t="shared" si="20"/>
        <v>11</v>
      </c>
      <c r="J36" s="618">
        <f t="shared" si="20"/>
        <v>11</v>
      </c>
      <c r="K36" s="618">
        <f t="shared" si="20"/>
        <v>11</v>
      </c>
      <c r="L36" s="618">
        <f t="shared" si="20"/>
        <v>11</v>
      </c>
      <c r="M36" s="618">
        <f t="shared" si="20"/>
        <v>11</v>
      </c>
      <c r="N36" s="618">
        <f t="shared" si="20"/>
        <v>11</v>
      </c>
      <c r="O36" s="618">
        <f t="shared" si="20"/>
        <v>11</v>
      </c>
      <c r="P36" s="618">
        <f t="shared" si="20"/>
        <v>11</v>
      </c>
      <c r="Q36" s="618">
        <f t="shared" si="20"/>
        <v>11</v>
      </c>
    </row>
    <row r="37" spans="2:17" x14ac:dyDescent="0.3">
      <c r="B37" s="616" t="s">
        <v>1633</v>
      </c>
      <c r="C37" s="616"/>
      <c r="D37" s="616"/>
      <c r="E37" s="616"/>
      <c r="F37" s="617">
        <v>10</v>
      </c>
      <c r="G37" s="617">
        <v>10</v>
      </c>
      <c r="H37" s="618">
        <f t="shared" ref="H37:Q37" si="21">G37</f>
        <v>10</v>
      </c>
      <c r="I37" s="618">
        <f t="shared" si="21"/>
        <v>10</v>
      </c>
      <c r="J37" s="618">
        <f t="shared" si="21"/>
        <v>10</v>
      </c>
      <c r="K37" s="618">
        <f t="shared" si="21"/>
        <v>10</v>
      </c>
      <c r="L37" s="618">
        <f t="shared" si="21"/>
        <v>10</v>
      </c>
      <c r="M37" s="618">
        <f t="shared" si="21"/>
        <v>10</v>
      </c>
      <c r="N37" s="618">
        <f t="shared" si="21"/>
        <v>10</v>
      </c>
      <c r="O37" s="618">
        <f t="shared" si="21"/>
        <v>10</v>
      </c>
      <c r="P37" s="618">
        <f t="shared" si="21"/>
        <v>10</v>
      </c>
      <c r="Q37" s="618">
        <f t="shared" si="21"/>
        <v>10</v>
      </c>
    </row>
    <row r="38" spans="2:17" x14ac:dyDescent="0.3">
      <c r="B38" s="616" t="s">
        <v>1632</v>
      </c>
      <c r="C38" s="616"/>
      <c r="D38" s="616"/>
      <c r="E38" s="616"/>
      <c r="F38" s="617">
        <v>4</v>
      </c>
      <c r="G38" s="617">
        <v>4</v>
      </c>
      <c r="H38" s="618">
        <f t="shared" ref="H38:Q38" si="22">G38</f>
        <v>4</v>
      </c>
      <c r="I38" s="618">
        <f t="shared" si="22"/>
        <v>4</v>
      </c>
      <c r="J38" s="618">
        <f t="shared" si="22"/>
        <v>4</v>
      </c>
      <c r="K38" s="618">
        <f t="shared" si="22"/>
        <v>4</v>
      </c>
      <c r="L38" s="618">
        <f t="shared" si="22"/>
        <v>4</v>
      </c>
      <c r="M38" s="618">
        <f t="shared" si="22"/>
        <v>4</v>
      </c>
      <c r="N38" s="618">
        <f t="shared" si="22"/>
        <v>4</v>
      </c>
      <c r="O38" s="618">
        <f t="shared" si="22"/>
        <v>4</v>
      </c>
      <c r="P38" s="618">
        <f t="shared" si="22"/>
        <v>4</v>
      </c>
      <c r="Q38" s="618">
        <f t="shared" si="22"/>
        <v>4</v>
      </c>
    </row>
    <row r="39" spans="2:17" x14ac:dyDescent="0.3">
      <c r="B39" s="616" t="s">
        <v>1621</v>
      </c>
      <c r="C39" s="616"/>
      <c r="D39" s="616"/>
      <c r="E39" s="616"/>
      <c r="F39" s="617">
        <v>54</v>
      </c>
      <c r="G39" s="617">
        <v>55</v>
      </c>
      <c r="H39" s="618">
        <f t="shared" ref="H39:Q39" si="23">G39</f>
        <v>55</v>
      </c>
      <c r="I39" s="618">
        <f t="shared" si="23"/>
        <v>55</v>
      </c>
      <c r="J39" s="618">
        <f t="shared" si="23"/>
        <v>55</v>
      </c>
      <c r="K39" s="618">
        <f t="shared" si="23"/>
        <v>55</v>
      </c>
      <c r="L39" s="618">
        <f t="shared" si="23"/>
        <v>55</v>
      </c>
      <c r="M39" s="618">
        <f t="shared" si="23"/>
        <v>55</v>
      </c>
      <c r="N39" s="618">
        <f t="shared" si="23"/>
        <v>55</v>
      </c>
      <c r="O39" s="618">
        <f t="shared" si="23"/>
        <v>55</v>
      </c>
      <c r="P39" s="618">
        <f t="shared" si="23"/>
        <v>55</v>
      </c>
      <c r="Q39" s="618">
        <f t="shared" si="23"/>
        <v>55</v>
      </c>
    </row>
    <row r="40" spans="2:17" x14ac:dyDescent="0.3">
      <c r="B40" s="616" t="s">
        <v>1622</v>
      </c>
      <c r="C40" s="616"/>
      <c r="D40" s="616"/>
      <c r="E40" s="616"/>
      <c r="F40" s="617">
        <v>1248</v>
      </c>
      <c r="G40" s="617">
        <v>1258</v>
      </c>
      <c r="H40" s="618">
        <f t="shared" ref="H40:Q40" si="24">G40</f>
        <v>1258</v>
      </c>
      <c r="I40" s="618">
        <f t="shared" si="24"/>
        <v>1258</v>
      </c>
      <c r="J40" s="618">
        <f t="shared" si="24"/>
        <v>1258</v>
      </c>
      <c r="K40" s="618">
        <f t="shared" si="24"/>
        <v>1258</v>
      </c>
      <c r="L40" s="618">
        <f t="shared" si="24"/>
        <v>1258</v>
      </c>
      <c r="M40" s="618">
        <f t="shared" si="24"/>
        <v>1258</v>
      </c>
      <c r="N40" s="618">
        <f t="shared" si="24"/>
        <v>1258</v>
      </c>
      <c r="O40" s="618">
        <f t="shared" si="24"/>
        <v>1258</v>
      </c>
      <c r="P40" s="618">
        <f t="shared" si="24"/>
        <v>1258</v>
      </c>
      <c r="Q40" s="618">
        <f t="shared" si="24"/>
        <v>1258</v>
      </c>
    </row>
    <row r="41" spans="2:17" x14ac:dyDescent="0.3">
      <c r="B41" s="616" t="s">
        <v>1623</v>
      </c>
      <c r="C41" s="616"/>
      <c r="D41" s="616"/>
      <c r="E41" s="616"/>
      <c r="F41" s="617">
        <v>1</v>
      </c>
      <c r="G41" s="617">
        <v>1</v>
      </c>
      <c r="H41" s="618">
        <f t="shared" ref="H41:Q41" si="25">G41</f>
        <v>1</v>
      </c>
      <c r="I41" s="618">
        <f t="shared" si="25"/>
        <v>1</v>
      </c>
      <c r="J41" s="618">
        <f t="shared" si="25"/>
        <v>1</v>
      </c>
      <c r="K41" s="618">
        <f t="shared" si="25"/>
        <v>1</v>
      </c>
      <c r="L41" s="618">
        <f t="shared" si="25"/>
        <v>1</v>
      </c>
      <c r="M41" s="618">
        <f t="shared" si="25"/>
        <v>1</v>
      </c>
      <c r="N41" s="618">
        <f t="shared" si="25"/>
        <v>1</v>
      </c>
      <c r="O41" s="618">
        <f t="shared" si="25"/>
        <v>1</v>
      </c>
      <c r="P41" s="618">
        <f t="shared" si="25"/>
        <v>1</v>
      </c>
      <c r="Q41" s="618">
        <f t="shared" si="25"/>
        <v>1</v>
      </c>
    </row>
    <row r="42" spans="2:17" x14ac:dyDescent="0.3">
      <c r="B42" s="616" t="s">
        <v>1624</v>
      </c>
      <c r="C42" s="616"/>
      <c r="D42" s="616"/>
      <c r="E42" s="616"/>
      <c r="F42" s="617">
        <v>0</v>
      </c>
      <c r="G42" s="617">
        <v>0</v>
      </c>
      <c r="H42" s="618">
        <f t="shared" ref="H42:Q42" si="26">G42</f>
        <v>0</v>
      </c>
      <c r="I42" s="618">
        <f t="shared" si="26"/>
        <v>0</v>
      </c>
      <c r="J42" s="618">
        <f t="shared" si="26"/>
        <v>0</v>
      </c>
      <c r="K42" s="618">
        <f t="shared" si="26"/>
        <v>0</v>
      </c>
      <c r="L42" s="618">
        <f t="shared" si="26"/>
        <v>0</v>
      </c>
      <c r="M42" s="618">
        <f t="shared" si="26"/>
        <v>0</v>
      </c>
      <c r="N42" s="618">
        <f t="shared" si="26"/>
        <v>0</v>
      </c>
      <c r="O42" s="618">
        <f t="shared" si="26"/>
        <v>0</v>
      </c>
      <c r="P42" s="618">
        <f t="shared" si="26"/>
        <v>0</v>
      </c>
      <c r="Q42" s="618">
        <f t="shared" si="26"/>
        <v>0</v>
      </c>
    </row>
    <row r="43" spans="2:17" x14ac:dyDescent="0.3">
      <c r="B43" s="615" t="s">
        <v>1628</v>
      </c>
      <c r="C43" s="615"/>
      <c r="D43" s="615"/>
      <c r="E43" s="615"/>
      <c r="F43" s="619">
        <f>SUM(F36:F42)</f>
        <v>1327</v>
      </c>
      <c r="G43" s="619">
        <f t="shared" ref="G43:Q43" si="27">SUM(G36:G42)</f>
        <v>1339</v>
      </c>
      <c r="H43" s="619">
        <f t="shared" si="27"/>
        <v>1339</v>
      </c>
      <c r="I43" s="619">
        <f t="shared" si="27"/>
        <v>1339</v>
      </c>
      <c r="J43" s="619">
        <f>SUM(J36:J42)</f>
        <v>1339</v>
      </c>
      <c r="K43" s="619">
        <f t="shared" si="27"/>
        <v>1339</v>
      </c>
      <c r="L43" s="619">
        <f t="shared" si="27"/>
        <v>1339</v>
      </c>
      <c r="M43" s="619">
        <f t="shared" si="27"/>
        <v>1339</v>
      </c>
      <c r="N43" s="619">
        <f t="shared" si="27"/>
        <v>1339</v>
      </c>
      <c r="O43" s="619">
        <f t="shared" si="27"/>
        <v>1339</v>
      </c>
      <c r="P43" s="619">
        <f t="shared" si="27"/>
        <v>1339</v>
      </c>
      <c r="Q43" s="619">
        <f t="shared" si="27"/>
        <v>1339</v>
      </c>
    </row>
    <row r="44" spans="2:17" x14ac:dyDescent="0.3">
      <c r="F44" s="617"/>
      <c r="G44" s="620">
        <f>(G43-F43)/F43</f>
        <v>9.0429540316503392E-3</v>
      </c>
      <c r="H44" s="620">
        <f t="shared" ref="H44" si="28">(H43-G43)/G43</f>
        <v>0</v>
      </c>
      <c r="I44" s="620">
        <f t="shared" ref="I44" si="29">(I43-H43)/H43</f>
        <v>0</v>
      </c>
      <c r="J44" s="620">
        <f t="shared" ref="J44" si="30">(J43-I43)/I43</f>
        <v>0</v>
      </c>
      <c r="K44" s="620">
        <f t="shared" ref="K44" si="31">(K43-J43)/J43</f>
        <v>0</v>
      </c>
      <c r="L44" s="620">
        <f t="shared" ref="L44" si="32">(L43-K43)/K43</f>
        <v>0</v>
      </c>
      <c r="M44" s="620">
        <f t="shared" ref="M44" si="33">(M43-L43)/L43</f>
        <v>0</v>
      </c>
      <c r="N44" s="620">
        <f t="shared" ref="N44" si="34">(N43-M43)/M43</f>
        <v>0</v>
      </c>
      <c r="O44" s="620">
        <f t="shared" ref="O44" si="35">(O43-N43)/N43</f>
        <v>0</v>
      </c>
      <c r="P44" s="620">
        <f t="shared" ref="P44" si="36">(P43-O43)/O43</f>
        <v>0</v>
      </c>
      <c r="Q44" s="620">
        <f t="shared" ref="Q44" si="37">(Q43-P43)/P43</f>
        <v>0</v>
      </c>
    </row>
    <row r="45" spans="2:17" x14ac:dyDescent="0.3">
      <c r="B45" s="621" t="s">
        <v>1760</v>
      </c>
      <c r="C45" s="621"/>
      <c r="D45" s="621"/>
      <c r="E45" s="621"/>
    </row>
    <row r="46" spans="2:17" x14ac:dyDescent="0.3">
      <c r="B46" s="615" t="s">
        <v>1759</v>
      </c>
      <c r="C46" s="615"/>
      <c r="D46" s="615"/>
      <c r="E46" s="615"/>
    </row>
    <row r="47" spans="2:17" x14ac:dyDescent="0.3">
      <c r="B47" s="616" t="s">
        <v>1621</v>
      </c>
      <c r="C47" s="616"/>
      <c r="D47" s="616"/>
      <c r="E47" s="616"/>
      <c r="F47" s="610">
        <v>2</v>
      </c>
      <c r="G47" s="610">
        <v>2</v>
      </c>
      <c r="H47" s="618">
        <f t="shared" ref="H47" si="38">G47</f>
        <v>2</v>
      </c>
      <c r="I47" s="618">
        <f t="shared" ref="I47" si="39">H47</f>
        <v>2</v>
      </c>
      <c r="J47" s="618">
        <f t="shared" ref="J47" si="40">I47</f>
        <v>2</v>
      </c>
      <c r="K47" s="618">
        <f>J47</f>
        <v>2</v>
      </c>
      <c r="L47" s="618">
        <f t="shared" ref="L47" si="41">K47</f>
        <v>2</v>
      </c>
      <c r="M47" s="618">
        <f t="shared" ref="M47" si="42">L47</f>
        <v>2</v>
      </c>
      <c r="N47" s="618">
        <f t="shared" ref="N47" si="43">M47</f>
        <v>2</v>
      </c>
      <c r="O47" s="618">
        <f t="shared" ref="O47" si="44">N47</f>
        <v>2</v>
      </c>
      <c r="P47" s="618">
        <f t="shared" ref="P47" si="45">O47</f>
        <v>2</v>
      </c>
      <c r="Q47" s="618">
        <f t="shared" ref="Q47" si="46">P47</f>
        <v>2</v>
      </c>
    </row>
    <row r="48" spans="2:17" x14ac:dyDescent="0.3">
      <c r="B48" s="615" t="s">
        <v>1629</v>
      </c>
      <c r="C48" s="615"/>
      <c r="D48" s="615"/>
      <c r="E48" s="615"/>
      <c r="F48" s="619">
        <f>SUM(F47)</f>
        <v>2</v>
      </c>
      <c r="G48" s="619">
        <f>SUM(G47)</f>
        <v>2</v>
      </c>
      <c r="H48" s="619">
        <f>SUM(H47)</f>
        <v>2</v>
      </c>
      <c r="I48" s="619">
        <f t="shared" ref="I48:Q48" si="47">SUM(I47)</f>
        <v>2</v>
      </c>
      <c r="J48" s="619">
        <f t="shared" si="47"/>
        <v>2</v>
      </c>
      <c r="K48" s="619">
        <f t="shared" si="47"/>
        <v>2</v>
      </c>
      <c r="L48" s="619">
        <f t="shared" si="47"/>
        <v>2</v>
      </c>
      <c r="M48" s="619">
        <f t="shared" si="47"/>
        <v>2</v>
      </c>
      <c r="N48" s="619">
        <f t="shared" si="47"/>
        <v>2</v>
      </c>
      <c r="O48" s="619">
        <f t="shared" si="47"/>
        <v>2</v>
      </c>
      <c r="P48" s="619">
        <f t="shared" si="47"/>
        <v>2</v>
      </c>
      <c r="Q48" s="619">
        <f t="shared" si="47"/>
        <v>2</v>
      </c>
    </row>
    <row r="49" spans="2:17" x14ac:dyDescent="0.3">
      <c r="H49" s="620">
        <f t="shared" ref="H49" si="48">(H48-G48)/G48</f>
        <v>0</v>
      </c>
      <c r="I49" s="620">
        <f t="shared" ref="I49" si="49">(I48-H48)/H48</f>
        <v>0</v>
      </c>
      <c r="J49" s="620">
        <f t="shared" ref="J49" si="50">(J48-I48)/I48</f>
        <v>0</v>
      </c>
      <c r="K49" s="620">
        <f t="shared" ref="K49" si="51">(K48-J48)/J48</f>
        <v>0</v>
      </c>
      <c r="L49" s="620">
        <f t="shared" ref="L49" si="52">(L48-K48)/K48</f>
        <v>0</v>
      </c>
      <c r="M49" s="620">
        <f t="shared" ref="M49" si="53">(M48-L48)/L48</f>
        <v>0</v>
      </c>
      <c r="N49" s="620">
        <f t="shared" ref="N49" si="54">(N48-M48)/M48</f>
        <v>0</v>
      </c>
      <c r="O49" s="620">
        <f t="shared" ref="O49" si="55">(O48-N48)/N48</f>
        <v>0</v>
      </c>
      <c r="P49" s="620">
        <f t="shared" ref="P49" si="56">(P48-O48)/O48</f>
        <v>0</v>
      </c>
      <c r="Q49" s="620">
        <f t="shared" ref="Q49" si="57">(Q48-P48)/P48</f>
        <v>0</v>
      </c>
    </row>
    <row r="50" spans="2:17" x14ac:dyDescent="0.3">
      <c r="H50" s="620"/>
      <c r="I50" s="620"/>
      <c r="J50" s="620"/>
      <c r="K50" s="620"/>
      <c r="L50" s="620"/>
      <c r="M50" s="620"/>
      <c r="N50" s="620"/>
      <c r="O50" s="620"/>
      <c r="P50" s="620"/>
      <c r="Q50" s="620"/>
    </row>
    <row r="51" spans="2:17" s="615" customFormat="1" x14ac:dyDescent="0.3">
      <c r="B51" s="615" t="s">
        <v>2020</v>
      </c>
      <c r="F51" s="869">
        <f t="shared" ref="F51:Q51" si="58">F32+F43+F48</f>
        <v>24107</v>
      </c>
      <c r="G51" s="869">
        <f t="shared" si="58"/>
        <v>24149</v>
      </c>
      <c r="H51" s="869">
        <f t="shared" si="58"/>
        <v>24252</v>
      </c>
      <c r="I51" s="869">
        <f t="shared" si="58"/>
        <v>24361</v>
      </c>
      <c r="J51" s="869">
        <f t="shared" si="58"/>
        <v>24467</v>
      </c>
      <c r="K51" s="869">
        <f>K32+K43+K48</f>
        <v>24573</v>
      </c>
      <c r="L51" s="869">
        <f t="shared" si="58"/>
        <v>24679</v>
      </c>
      <c r="M51" s="869">
        <f t="shared" si="58"/>
        <v>24679</v>
      </c>
      <c r="N51" s="869">
        <f t="shared" si="58"/>
        <v>24679</v>
      </c>
      <c r="O51" s="869">
        <f t="shared" si="58"/>
        <v>24679</v>
      </c>
      <c r="P51" s="869">
        <f t="shared" si="58"/>
        <v>24679</v>
      </c>
      <c r="Q51" s="869">
        <f t="shared" si="58"/>
        <v>24679</v>
      </c>
    </row>
    <row r="52" spans="2:17" x14ac:dyDescent="0.3">
      <c r="H52" s="620"/>
      <c r="I52" s="620"/>
      <c r="J52" s="620"/>
      <c r="K52" s="620"/>
      <c r="L52" s="620"/>
      <c r="M52" s="620"/>
      <c r="N52" s="620"/>
      <c r="O52" s="620"/>
      <c r="P52" s="620"/>
      <c r="Q52" s="620"/>
    </row>
    <row r="53" spans="2:17" x14ac:dyDescent="0.3">
      <c r="B53" s="615" t="s">
        <v>1710</v>
      </c>
      <c r="C53" s="615"/>
      <c r="D53" s="615"/>
      <c r="E53" s="615"/>
      <c r="F53" s="618"/>
      <c r="G53" s="618"/>
    </row>
    <row r="54" spans="2:17" x14ac:dyDescent="0.3">
      <c r="B54" s="615" t="s">
        <v>1690</v>
      </c>
      <c r="C54" s="615"/>
      <c r="D54" s="615"/>
      <c r="E54" s="615"/>
      <c r="H54" s="1309" t="s">
        <v>2008</v>
      </c>
      <c r="I54" s="1310"/>
      <c r="J54" s="1310"/>
      <c r="K54" s="1310"/>
      <c r="L54" s="1310"/>
      <c r="M54" s="1310"/>
      <c r="N54" s="1310"/>
      <c r="O54" s="1310"/>
      <c r="P54" s="1310"/>
      <c r="Q54" s="1311"/>
    </row>
    <row r="55" spans="2:17" x14ac:dyDescent="0.3">
      <c r="B55" s="123" t="s">
        <v>1762</v>
      </c>
      <c r="C55" s="123"/>
      <c r="D55" s="123"/>
      <c r="E55" s="123"/>
      <c r="F55" s="617">
        <f>'2014 Allocated Consuption'!G2256</f>
        <v>883403</v>
      </c>
      <c r="G55" s="622">
        <f>'2015 Allocated Consuption'!G2802*1.22</f>
        <v>889497.12</v>
      </c>
      <c r="H55" s="618">
        <f t="shared" ref="H55:Q57" si="59">H$8*($G55/$G$58)</f>
        <v>889046.48253851279</v>
      </c>
      <c r="I55" s="618">
        <f>I$8*($G55/$G$58)</f>
        <v>888809.77599827072</v>
      </c>
      <c r="J55" s="618">
        <f t="shared" si="59"/>
        <v>888437.95852898911</v>
      </c>
      <c r="K55" s="618">
        <f>K$8*($G55/$G$58)</f>
        <v>888047.63899000024</v>
      </c>
      <c r="L55" s="618">
        <f t="shared" si="59"/>
        <v>887639.01169743831</v>
      </c>
      <c r="M55" s="618">
        <f t="shared" si="59"/>
        <v>883200.81663895107</v>
      </c>
      <c r="N55" s="618">
        <f t="shared" si="59"/>
        <v>878784.81255575619</v>
      </c>
      <c r="O55" s="618">
        <f t="shared" si="59"/>
        <v>874390.88849297748</v>
      </c>
      <c r="P55" s="618">
        <f t="shared" si="59"/>
        <v>870018.93405051262</v>
      </c>
      <c r="Q55" s="618">
        <f t="shared" si="59"/>
        <v>865668.83938025997</v>
      </c>
    </row>
    <row r="56" spans="2:17" x14ac:dyDescent="0.3">
      <c r="B56" s="123" t="s">
        <v>1763</v>
      </c>
      <c r="C56" s="123"/>
      <c r="D56" s="123"/>
      <c r="E56" s="123"/>
      <c r="F56" s="617">
        <f>'2014 Allocated Consuption'!G2257</f>
        <v>303869</v>
      </c>
      <c r="G56" s="622">
        <f>'2015 Allocated Consuption'!G2803*1.22</f>
        <v>290236.77999999997</v>
      </c>
      <c r="H56" s="618">
        <f t="shared" si="59"/>
        <v>290089.74010202993</v>
      </c>
      <c r="I56" s="618">
        <f>I$8*($G56/$G$58)</f>
        <v>290012.50438928837</v>
      </c>
      <c r="J56" s="618">
        <f t="shared" si="59"/>
        <v>289891.18291156163</v>
      </c>
      <c r="K56" s="618">
        <f t="shared" si="59"/>
        <v>289763.82433600246</v>
      </c>
      <c r="L56" s="618">
        <f t="shared" si="59"/>
        <v>289630.49206662615</v>
      </c>
      <c r="M56" s="618">
        <f t="shared" si="59"/>
        <v>288182.33960629301</v>
      </c>
      <c r="N56" s="618">
        <f t="shared" si="59"/>
        <v>286741.42790826148</v>
      </c>
      <c r="O56" s="618">
        <f t="shared" si="59"/>
        <v>285307.7207687202</v>
      </c>
      <c r="P56" s="618">
        <f t="shared" si="59"/>
        <v>283881.18216487661</v>
      </c>
      <c r="Q56" s="618">
        <f t="shared" si="59"/>
        <v>282461.77625405224</v>
      </c>
    </row>
    <row r="57" spans="2:17" x14ac:dyDescent="0.3">
      <c r="B57" s="123" t="s">
        <v>1764</v>
      </c>
      <c r="C57" s="123"/>
      <c r="D57" s="123"/>
      <c r="E57" s="123"/>
      <c r="F57" s="617">
        <f>'2014 Allocated Consuption'!G2258</f>
        <v>543608</v>
      </c>
      <c r="G57" s="622">
        <f>'2015 Allocated Consuption'!G2804*1.22</f>
        <v>528244.14</v>
      </c>
      <c r="H57" s="618">
        <f t="shared" si="59"/>
        <v>527976.52069810149</v>
      </c>
      <c r="I57" s="618">
        <f t="shared" si="59"/>
        <v>527835.94818811689</v>
      </c>
      <c r="J57" s="618">
        <f t="shared" si="59"/>
        <v>527615.13758077321</v>
      </c>
      <c r="K57" s="618">
        <f t="shared" si="59"/>
        <v>527383.33918079827</v>
      </c>
      <c r="L57" s="618">
        <f t="shared" si="59"/>
        <v>527140.66838638356</v>
      </c>
      <c r="M57" s="618">
        <f t="shared" si="59"/>
        <v>524504.96504445164</v>
      </c>
      <c r="N57" s="618">
        <f t="shared" si="59"/>
        <v>521882.44021922932</v>
      </c>
      <c r="O57" s="618">
        <f t="shared" si="59"/>
        <v>519273.02801813319</v>
      </c>
      <c r="P57" s="618">
        <f t="shared" si="59"/>
        <v>516676.66287804255</v>
      </c>
      <c r="Q57" s="618">
        <f t="shared" si="59"/>
        <v>514093.27956365229</v>
      </c>
    </row>
    <row r="58" spans="2:17" x14ac:dyDescent="0.3">
      <c r="B58" s="615" t="s">
        <v>14</v>
      </c>
      <c r="C58" s="615"/>
      <c r="D58" s="615"/>
      <c r="E58" s="615"/>
      <c r="F58" s="619">
        <f>SUM(F55:F57)</f>
        <v>1730880</v>
      </c>
      <c r="G58" s="619">
        <f t="shared" ref="G58:Q58" si="60">SUM(G55:G57)</f>
        <v>1707978.04</v>
      </c>
      <c r="H58" s="619">
        <f t="shared" si="60"/>
        <v>1707112.7433386443</v>
      </c>
      <c r="I58" s="619">
        <f t="shared" si="60"/>
        <v>1706658.2285756757</v>
      </c>
      <c r="J58" s="619">
        <f t="shared" si="60"/>
        <v>1705944.2790213241</v>
      </c>
      <c r="K58" s="619">
        <f t="shared" si="60"/>
        <v>1705194.802506801</v>
      </c>
      <c r="L58" s="619">
        <f t="shared" si="60"/>
        <v>1704410.172150448</v>
      </c>
      <c r="M58" s="619">
        <f t="shared" si="60"/>
        <v>1695888.1212896958</v>
      </c>
      <c r="N58" s="619">
        <f t="shared" si="60"/>
        <v>1687408.680683247</v>
      </c>
      <c r="O58" s="619">
        <f t="shared" si="60"/>
        <v>1678971.6372798309</v>
      </c>
      <c r="P58" s="619">
        <f t="shared" si="60"/>
        <v>1670576.7790934318</v>
      </c>
      <c r="Q58" s="619">
        <f t="shared" si="60"/>
        <v>1662223.8951979645</v>
      </c>
    </row>
    <row r="59" spans="2:17" x14ac:dyDescent="0.3">
      <c r="G59" s="620">
        <f>(G58-F58)/F58</f>
        <v>-1.323139674616378E-2</v>
      </c>
      <c r="H59" s="620">
        <f t="shared" ref="H59" si="61">(H58-G58)/G58</f>
        <v>-5.0662048404074656E-4</v>
      </c>
      <c r="I59" s="620">
        <f t="shared" ref="I59" si="62">(I58-H58)/H58</f>
        <v>-2.6624765396550041E-4</v>
      </c>
      <c r="J59" s="620">
        <f t="shared" ref="J59" si="63">(J58-I58)/I58</f>
        <v>-4.1833188531687702E-4</v>
      </c>
      <c r="K59" s="620">
        <f t="shared" ref="K59" si="64">(K58-J58)/J58</f>
        <v>-4.3933235319568257E-4</v>
      </c>
      <c r="L59" s="620">
        <f t="shared" ref="L59" si="65">(L58-K58)/K58</f>
        <v>-4.6014118457288677E-4</v>
      </c>
      <c r="M59" s="620">
        <f t="shared" ref="M59" si="66">(M58-L58)/L58</f>
        <v>-4.999999999999929E-3</v>
      </c>
      <c r="N59" s="620">
        <f t="shared" ref="N59" si="67">(N58-M58)/M58</f>
        <v>-5.0000000000001892E-3</v>
      </c>
      <c r="O59" s="620">
        <f t="shared" ref="O59" si="68">(O58-N58)/N58</f>
        <v>-4.9999999999999637E-3</v>
      </c>
      <c r="P59" s="620">
        <f t="shared" ref="P59" si="69">(P58-O58)/O58</f>
        <v>-4.9999999999999671E-3</v>
      </c>
      <c r="Q59" s="620">
        <f t="shared" ref="Q59" si="70">(Q58-P58)/P58</f>
        <v>-5.0000000000000652E-3</v>
      </c>
    </row>
    <row r="61" spans="2:17" x14ac:dyDescent="0.3">
      <c r="B61" s="615" t="s">
        <v>1695</v>
      </c>
      <c r="C61" s="615"/>
      <c r="D61" s="615"/>
      <c r="E61" s="615"/>
    </row>
    <row r="62" spans="2:17" x14ac:dyDescent="0.3">
      <c r="B62" s="123" t="s">
        <v>1762</v>
      </c>
      <c r="C62" s="123"/>
      <c r="D62" s="123"/>
      <c r="E62" s="123"/>
      <c r="F62" s="617">
        <f>'2014 Allocated Consuption'!K2256</f>
        <v>66189</v>
      </c>
      <c r="G62" s="622">
        <f>'2015 Allocated Consuption'!K2802*1.22</f>
        <v>66381.42</v>
      </c>
      <c r="H62" s="618">
        <f t="shared" ref="H62:Q64" si="71">H$9*($G62/$G$65)</f>
        <v>66049.512900000002</v>
      </c>
      <c r="I62" s="618">
        <f>I$9*($G62/$G$65)</f>
        <v>65719.265335500007</v>
      </c>
      <c r="J62" s="618">
        <f t="shared" si="71"/>
        <v>65390.6690088225</v>
      </c>
      <c r="K62" s="618">
        <f t="shared" si="71"/>
        <v>65063.715663778392</v>
      </c>
      <c r="L62" s="618">
        <f t="shared" si="71"/>
        <v>64738.397085459495</v>
      </c>
      <c r="M62" s="618">
        <f t="shared" si="71"/>
        <v>64414.705100032203</v>
      </c>
      <c r="N62" s="618">
        <f t="shared" si="71"/>
        <v>64092.631574532039</v>
      </c>
      <c r="O62" s="618">
        <f t="shared" si="71"/>
        <v>63772.168416659377</v>
      </c>
      <c r="P62" s="618">
        <f t="shared" si="71"/>
        <v>63453.30757457608</v>
      </c>
      <c r="Q62" s="618">
        <f t="shared" si="71"/>
        <v>63136.041036703195</v>
      </c>
    </row>
    <row r="63" spans="2:17" x14ac:dyDescent="0.3">
      <c r="B63" s="123" t="s">
        <v>1763</v>
      </c>
      <c r="C63" s="123"/>
      <c r="D63" s="123"/>
      <c r="E63" s="123"/>
      <c r="F63" s="617">
        <f>'2014 Allocated Consuption'!K2257</f>
        <v>22777</v>
      </c>
      <c r="G63" s="622">
        <f>'2015 Allocated Consuption'!K2803*1.22</f>
        <v>22156.42</v>
      </c>
      <c r="H63" s="618">
        <f t="shared" si="71"/>
        <v>22045.637899999998</v>
      </c>
      <c r="I63" s="618">
        <f t="shared" si="71"/>
        <v>21935.4097105</v>
      </c>
      <c r="J63" s="618">
        <f t="shared" si="71"/>
        <v>21825.732661947499</v>
      </c>
      <c r="K63" s="618">
        <f t="shared" si="71"/>
        <v>21716.603998637762</v>
      </c>
      <c r="L63" s="618">
        <f t="shared" si="71"/>
        <v>21608.020978644574</v>
      </c>
      <c r="M63" s="618">
        <f t="shared" si="71"/>
        <v>21499.980873751352</v>
      </c>
      <c r="N63" s="618">
        <f t="shared" si="71"/>
        <v>21392.480969382596</v>
      </c>
      <c r="O63" s="618">
        <f t="shared" si="71"/>
        <v>21285.51856453568</v>
      </c>
      <c r="P63" s="618">
        <f t="shared" si="71"/>
        <v>21179.090971713002</v>
      </c>
      <c r="Q63" s="618">
        <f t="shared" si="71"/>
        <v>21073.195516854434</v>
      </c>
    </row>
    <row r="64" spans="2:17" x14ac:dyDescent="0.3">
      <c r="B64" s="123" t="s">
        <v>1764</v>
      </c>
      <c r="C64" s="123"/>
      <c r="D64" s="123"/>
      <c r="E64" s="123"/>
      <c r="F64" s="617">
        <f>'2014 Allocated Consuption'!K2258</f>
        <v>32592</v>
      </c>
      <c r="G64" s="622">
        <f>'2015 Allocated Consuption'!K2804*1.22</f>
        <v>29369.059999999998</v>
      </c>
      <c r="H64" s="618">
        <f t="shared" si="71"/>
        <v>29222.2147</v>
      </c>
      <c r="I64" s="618">
        <f t="shared" si="71"/>
        <v>29076.1036265</v>
      </c>
      <c r="J64" s="618">
        <f t="shared" si="71"/>
        <v>28930.723108367503</v>
      </c>
      <c r="K64" s="618">
        <f t="shared" si="71"/>
        <v>28786.069492825663</v>
      </c>
      <c r="L64" s="618">
        <f t="shared" si="71"/>
        <v>28642.139145361536</v>
      </c>
      <c r="M64" s="618">
        <f t="shared" si="71"/>
        <v>28498.928449634728</v>
      </c>
      <c r="N64" s="618">
        <f t="shared" si="71"/>
        <v>28356.433807386555</v>
      </c>
      <c r="O64" s="618">
        <f t="shared" si="71"/>
        <v>28214.65163834962</v>
      </c>
      <c r="P64" s="618">
        <f t="shared" si="71"/>
        <v>28073.578380157873</v>
      </c>
      <c r="Q64" s="618">
        <f t="shared" si="71"/>
        <v>27933.210488257082</v>
      </c>
    </row>
    <row r="65" spans="2:18" x14ac:dyDescent="0.3">
      <c r="B65" s="615" t="s">
        <v>14</v>
      </c>
      <c r="C65" s="615"/>
      <c r="D65" s="615"/>
      <c r="E65" s="615"/>
      <c r="F65" s="619">
        <f>SUM(F62:F64)</f>
        <v>121558</v>
      </c>
      <c r="G65" s="619">
        <f t="shared" ref="G65:Q65" si="72">SUM(G62:G64)</f>
        <v>117906.9</v>
      </c>
      <c r="H65" s="619">
        <f t="shared" si="72"/>
        <v>117317.3655</v>
      </c>
      <c r="I65" s="619">
        <f t="shared" si="72"/>
        <v>116730.7786725</v>
      </c>
      <c r="J65" s="619">
        <f t="shared" si="72"/>
        <v>116147.12477913749</v>
      </c>
      <c r="K65" s="619">
        <f t="shared" si="72"/>
        <v>115566.38915524181</v>
      </c>
      <c r="L65" s="619">
        <f t="shared" si="72"/>
        <v>114988.55720946561</v>
      </c>
      <c r="M65" s="619">
        <f t="shared" si="72"/>
        <v>114413.61442341827</v>
      </c>
      <c r="N65" s="619">
        <f t="shared" si="72"/>
        <v>113841.54635130119</v>
      </c>
      <c r="O65" s="619">
        <f t="shared" si="72"/>
        <v>113272.33861954468</v>
      </c>
      <c r="P65" s="619">
        <f t="shared" si="72"/>
        <v>112705.97692644695</v>
      </c>
      <c r="Q65" s="619">
        <f t="shared" si="72"/>
        <v>112142.44704181471</v>
      </c>
    </row>
    <row r="66" spans="2:18" x14ac:dyDescent="0.3">
      <c r="G66" s="620">
        <f>(G65-F65)/F65</f>
        <v>-3.0035867651656046E-2</v>
      </c>
      <c r="H66" s="620">
        <f t="shared" ref="H66" si="73">(H65-G65)/G65</f>
        <v>-4.9999999999999515E-3</v>
      </c>
      <c r="I66" s="620">
        <f t="shared" ref="I66" si="74">(I65-H65)/H65</f>
        <v>-4.9999999999999637E-3</v>
      </c>
      <c r="J66" s="620">
        <f t="shared" ref="J66" si="75">(J65-I65)/I65</f>
        <v>-5.0000000000001068E-3</v>
      </c>
      <c r="K66" s="620">
        <f t="shared" ref="K66" si="76">(K65-J65)/J65</f>
        <v>-4.9999999999999828E-3</v>
      </c>
      <c r="L66" s="620">
        <f t="shared" ref="L66" si="77">(L65-K65)/K65</f>
        <v>-4.9999999999998978E-3</v>
      </c>
      <c r="M66" s="620">
        <f t="shared" ref="M66" si="78">(M65-L65)/L65</f>
        <v>-5.0000000000000782E-3</v>
      </c>
      <c r="N66" s="620">
        <f t="shared" ref="N66" si="79">(N65-M65)/M65</f>
        <v>-4.9999999999998943E-3</v>
      </c>
      <c r="O66" s="620">
        <f t="shared" ref="O66" si="80">(O65-N65)/N65</f>
        <v>-5.0000000000000591E-3</v>
      </c>
      <c r="P66" s="620">
        <f t="shared" ref="P66" si="81">(P65-O65)/O65</f>
        <v>-5.0000000000000547E-3</v>
      </c>
      <c r="Q66" s="620">
        <f t="shared" ref="Q66" si="82">(Q65-P65)/P65</f>
        <v>-5.0000000000000487E-3</v>
      </c>
      <c r="R66" s="949"/>
    </row>
    <row r="67" spans="2:18" x14ac:dyDescent="0.3">
      <c r="G67" s="620"/>
      <c r="H67" s="620"/>
    </row>
    <row r="68" spans="2:18" x14ac:dyDescent="0.3">
      <c r="B68" s="610" t="s">
        <v>1757</v>
      </c>
      <c r="F68" s="617">
        <v>15536</v>
      </c>
      <c r="G68" s="623">
        <f>((9605+3858)*1.2)</f>
        <v>16155.599999999999</v>
      </c>
      <c r="H68" s="618">
        <f>H10</f>
        <v>16074.821999999998</v>
      </c>
      <c r="I68" s="618">
        <f t="shared" ref="I68:Q68" si="83">I10</f>
        <v>15994.447889999998</v>
      </c>
      <c r="J68" s="618">
        <f t="shared" si="83"/>
        <v>15914.475650549997</v>
      </c>
      <c r="K68" s="618">
        <f t="shared" si="83"/>
        <v>15834.903272297248</v>
      </c>
      <c r="L68" s="618">
        <f t="shared" si="83"/>
        <v>15755.728755935761</v>
      </c>
      <c r="M68" s="618">
        <f t="shared" si="83"/>
        <v>15676.950112156082</v>
      </c>
      <c r="N68" s="618">
        <f t="shared" si="83"/>
        <v>15598.565361595302</v>
      </c>
      <c r="O68" s="618">
        <f t="shared" si="83"/>
        <v>15520.572534787325</v>
      </c>
      <c r="P68" s="618">
        <f t="shared" si="83"/>
        <v>15442.969672113388</v>
      </c>
      <c r="Q68" s="618">
        <f t="shared" si="83"/>
        <v>15365.754823752821</v>
      </c>
    </row>
    <row r="69" spans="2:18" x14ac:dyDescent="0.3">
      <c r="G69" s="620">
        <f>(G68-F68)/F68</f>
        <v>3.9881565396498363E-2</v>
      </c>
      <c r="H69" s="620">
        <f>(H68-G68)/G68</f>
        <v>-5.0000000000000157E-3</v>
      </c>
      <c r="I69" s="620">
        <f t="shared" ref="I69:Q69" si="84">(I68-H68)/H68</f>
        <v>-5.0000000000000409E-3</v>
      </c>
      <c r="J69" s="620">
        <f t="shared" si="84"/>
        <v>-5.000000000000027E-3</v>
      </c>
      <c r="K69" s="620">
        <f t="shared" si="84"/>
        <v>-4.9999999999999585E-3</v>
      </c>
      <c r="L69" s="620">
        <f t="shared" si="84"/>
        <v>-5.0000000000000417E-3</v>
      </c>
      <c r="M69" s="620">
        <f t="shared" si="84"/>
        <v>-4.9999999999999828E-3</v>
      </c>
      <c r="N69" s="620">
        <f t="shared" si="84"/>
        <v>-5.0000000000000348E-3</v>
      </c>
      <c r="O69" s="620">
        <f t="shared" si="84"/>
        <v>-5.0000000000000062E-3</v>
      </c>
      <c r="P69" s="620">
        <f t="shared" si="84"/>
        <v>-5.0000000000000322E-3</v>
      </c>
      <c r="Q69" s="620">
        <f t="shared" si="84"/>
        <v>-5.0000000000000027E-3</v>
      </c>
    </row>
    <row r="70" spans="2:18" x14ac:dyDescent="0.3">
      <c r="B70" s="610" t="s">
        <v>2007</v>
      </c>
      <c r="F70" s="618">
        <f>F68+F65+F58</f>
        <v>1867974</v>
      </c>
      <c r="G70" s="618">
        <f t="shared" ref="G70:Q70" si="85">G68+G65+G58</f>
        <v>1842040.54</v>
      </c>
      <c r="H70" s="618">
        <f t="shared" si="85"/>
        <v>1840504.9308386443</v>
      </c>
      <c r="I70" s="618">
        <f t="shared" si="85"/>
        <v>1839383.4551381757</v>
      </c>
      <c r="J70" s="618">
        <f t="shared" si="85"/>
        <v>1838005.8794510115</v>
      </c>
      <c r="K70" s="618">
        <f t="shared" si="85"/>
        <v>1836596.0949343401</v>
      </c>
      <c r="L70" s="618">
        <f t="shared" si="85"/>
        <v>1835154.4581158494</v>
      </c>
      <c r="M70" s="618">
        <f t="shared" si="85"/>
        <v>1825978.6858252701</v>
      </c>
      <c r="N70" s="618">
        <f t="shared" si="85"/>
        <v>1816848.7923961435</v>
      </c>
      <c r="O70" s="618">
        <f t="shared" si="85"/>
        <v>1807764.548434163</v>
      </c>
      <c r="P70" s="618">
        <f t="shared" si="85"/>
        <v>1798725.7256919921</v>
      </c>
      <c r="Q70" s="618">
        <f t="shared" si="85"/>
        <v>1789732.0970635321</v>
      </c>
    </row>
    <row r="71" spans="2:18" x14ac:dyDescent="0.3">
      <c r="F71" s="618"/>
      <c r="G71" s="860">
        <f>(G70-F70)/F70</f>
        <v>-1.3883201800453306E-2</v>
      </c>
      <c r="H71" s="620">
        <f t="shared" ref="H71:Q71" si="86">(H70-G70)/G70</f>
        <v>-8.3364569237752255E-4</v>
      </c>
      <c r="I71" s="620">
        <f t="shared" si="86"/>
        <v>-6.0933045148513232E-4</v>
      </c>
      <c r="J71" s="620">
        <f t="shared" si="86"/>
        <v>-7.4893339032492464E-4</v>
      </c>
      <c r="K71" s="620">
        <f t="shared" si="86"/>
        <v>-7.6701850218918993E-4</v>
      </c>
      <c r="L71" s="620">
        <f t="shared" si="86"/>
        <v>-7.8495038863851522E-4</v>
      </c>
      <c r="M71" s="620">
        <f t="shared" si="86"/>
        <v>-5.0000000000000157E-3</v>
      </c>
      <c r="N71" s="620">
        <f t="shared" si="86"/>
        <v>-5.0000000000001311E-3</v>
      </c>
      <c r="O71" s="620">
        <f t="shared" si="86"/>
        <v>-4.9999999999999168E-3</v>
      </c>
      <c r="P71" s="620">
        <f t="shared" si="86"/>
        <v>-5.00000000000004E-3</v>
      </c>
      <c r="Q71" s="620">
        <f t="shared" si="86"/>
        <v>-5.0000000000000175E-3</v>
      </c>
    </row>
    <row r="72" spans="2:18" x14ac:dyDescent="0.3">
      <c r="B72" s="771" t="s">
        <v>1965</v>
      </c>
      <c r="C72" s="771"/>
      <c r="D72" s="771"/>
      <c r="E72" s="771"/>
      <c r="G72" s="618">
        <v>1824578.2659999977</v>
      </c>
    </row>
    <row r="73" spans="2:18" x14ac:dyDescent="0.3">
      <c r="B73" s="615" t="s">
        <v>1690</v>
      </c>
      <c r="C73" s="615"/>
      <c r="D73" s="615"/>
      <c r="E73" s="615"/>
    </row>
    <row r="74" spans="2:18" x14ac:dyDescent="0.3">
      <c r="B74" s="123" t="str">
        <f>'Water Rate Projections'!B79</f>
        <v>Tier 1: 0 - 7000</v>
      </c>
      <c r="C74" s="123"/>
      <c r="D74" s="123"/>
      <c r="E74" s="123"/>
      <c r="F74" s="624">
        <f>G74/$G$78</f>
        <v>0.4413621032270415</v>
      </c>
      <c r="G74" s="622">
        <f>'2015 Allocated Consuption'!G2809*1.22</f>
        <v>753836.78</v>
      </c>
      <c r="H74" s="618">
        <f>H$8*$F74</f>
        <v>753454.87084562867</v>
      </c>
      <c r="I74" s="618">
        <f>I$8*$F74</f>
        <v>753254.26525389729</v>
      </c>
      <c r="J74" s="618">
        <f t="shared" ref="J74:Q74" si="87">J$8*$F74</f>
        <v>752939.15497699042</v>
      </c>
      <c r="K74" s="618">
        <f t="shared" si="87"/>
        <v>752608.36444622139</v>
      </c>
      <c r="L74" s="618">
        <f>L$8*$F74</f>
        <v>752262.05834188557</v>
      </c>
      <c r="M74" s="618">
        <f t="shared" si="87"/>
        <v>748500.74805017607</v>
      </c>
      <c r="N74" s="618">
        <f t="shared" si="87"/>
        <v>744758.24430992524</v>
      </c>
      <c r="O74" s="618">
        <f t="shared" si="87"/>
        <v>741034.45308837562</v>
      </c>
      <c r="P74" s="618">
        <f t="shared" si="87"/>
        <v>737329.28082293377</v>
      </c>
      <c r="Q74" s="618">
        <f t="shared" si="87"/>
        <v>733642.63441881898</v>
      </c>
    </row>
    <row r="75" spans="2:18" x14ac:dyDescent="0.3">
      <c r="B75" s="123" t="str">
        <f>'Water Rate Projections'!B80</f>
        <v>Tier 2: 7000 - 12000</v>
      </c>
      <c r="C75" s="123"/>
      <c r="D75" s="123"/>
      <c r="E75" s="123"/>
      <c r="F75" s="624">
        <f t="shared" ref="F75:F77" si="88">G75/$G$78</f>
        <v>0.16218208519823826</v>
      </c>
      <c r="G75" s="622">
        <f>'2015 Allocated Consuption'!G2810*1.22</f>
        <v>277003.44</v>
      </c>
      <c r="H75" s="618">
        <f t="shared" ref="H75:Q77" si="89">H$8*$F75</f>
        <v>276863.10438314627</v>
      </c>
      <c r="I75" s="618">
        <f>I$8*$F75</f>
        <v>276789.39023113466</v>
      </c>
      <c r="J75" s="618">
        <f t="shared" si="89"/>
        <v>276673.60040368349</v>
      </c>
      <c r="K75" s="618">
        <f t="shared" si="89"/>
        <v>276552.04873975104</v>
      </c>
      <c r="L75" s="618">
        <f t="shared" si="89"/>
        <v>276424.79575244791</v>
      </c>
      <c r="M75" s="618">
        <f t="shared" si="89"/>
        <v>275042.67177368567</v>
      </c>
      <c r="N75" s="618">
        <f t="shared" si="89"/>
        <v>273667.45841481717</v>
      </c>
      <c r="O75" s="618">
        <f t="shared" si="89"/>
        <v>272299.12112274312</v>
      </c>
      <c r="P75" s="618">
        <f t="shared" si="89"/>
        <v>270937.62551712943</v>
      </c>
      <c r="Q75" s="618">
        <f t="shared" si="89"/>
        <v>269582.93738954375</v>
      </c>
    </row>
    <row r="76" spans="2:18" x14ac:dyDescent="0.3">
      <c r="B76" s="123" t="str">
        <f>'Water Rate Projections'!B81</f>
        <v>Tier 3: 12000 - 22000</v>
      </c>
      <c r="C76" s="123"/>
      <c r="D76" s="123"/>
      <c r="E76" s="123"/>
      <c r="F76" s="624">
        <f t="shared" si="88"/>
        <v>0.11953510830853539</v>
      </c>
      <c r="G76" s="622">
        <f>'2015 Allocated Consuption'!G2811*1.22</f>
        <v>204163.34</v>
      </c>
      <c r="H76" s="618">
        <f t="shared" si="89"/>
        <v>204059.90666986583</v>
      </c>
      <c r="I76" s="618">
        <f>I$8*$F76</f>
        <v>204005.57619844659</v>
      </c>
      <c r="J76" s="618">
        <f t="shared" si="89"/>
        <v>203920.23416114028</v>
      </c>
      <c r="K76" s="618">
        <f t="shared" si="89"/>
        <v>203830.64540480208</v>
      </c>
      <c r="L76" s="618">
        <f t="shared" si="89"/>
        <v>203736.85453017324</v>
      </c>
      <c r="M76" s="618">
        <f t="shared" si="89"/>
        <v>202718.17025752238</v>
      </c>
      <c r="N76" s="618">
        <f t="shared" si="89"/>
        <v>201704.57940623476</v>
      </c>
      <c r="O76" s="618">
        <f t="shared" si="89"/>
        <v>200696.05650920357</v>
      </c>
      <c r="P76" s="618">
        <f t="shared" si="89"/>
        <v>199692.57622665758</v>
      </c>
      <c r="Q76" s="618">
        <f t="shared" si="89"/>
        <v>198694.11334552427</v>
      </c>
    </row>
    <row r="77" spans="2:18" x14ac:dyDescent="0.3">
      <c r="B77" s="123" t="str">
        <f>'Water Rate Projections'!B82</f>
        <v>Tier 4: Over 22000</v>
      </c>
      <c r="C77" s="123"/>
      <c r="D77" s="123"/>
      <c r="E77" s="123"/>
      <c r="F77" s="624">
        <f t="shared" si="88"/>
        <v>0.27692070326618484</v>
      </c>
      <c r="G77" s="622">
        <f>'2015 Allocated Consuption'!G2812*1.22</f>
        <v>472974.48</v>
      </c>
      <c r="H77" s="618">
        <f t="shared" si="89"/>
        <v>472734.8614400035</v>
      </c>
      <c r="I77" s="618">
        <f t="shared" si="89"/>
        <v>472608.99689219741</v>
      </c>
      <c r="J77" s="618">
        <f t="shared" si="89"/>
        <v>472411.28947950969</v>
      </c>
      <c r="K77" s="618">
        <f t="shared" si="89"/>
        <v>472203.74391602649</v>
      </c>
      <c r="L77" s="618">
        <f t="shared" si="89"/>
        <v>471986.46352594125</v>
      </c>
      <c r="M77" s="618">
        <f t="shared" si="89"/>
        <v>469626.5312083115</v>
      </c>
      <c r="N77" s="618">
        <f t="shared" si="89"/>
        <v>467278.39855226991</v>
      </c>
      <c r="O77" s="618">
        <f t="shared" si="89"/>
        <v>464942.00655950856</v>
      </c>
      <c r="P77" s="618">
        <f t="shared" si="89"/>
        <v>462617.29652671103</v>
      </c>
      <c r="Q77" s="618">
        <f t="shared" si="89"/>
        <v>460304.21004407748</v>
      </c>
    </row>
    <row r="78" spans="2:18" x14ac:dyDescent="0.3">
      <c r="B78" s="615" t="s">
        <v>14</v>
      </c>
      <c r="C78" s="615"/>
      <c r="D78" s="615"/>
      <c r="E78" s="615"/>
      <c r="G78" s="619">
        <f>SUM(G74:G77)</f>
        <v>1707978.04</v>
      </c>
      <c r="H78" s="619">
        <f>SUM(H74:H77)</f>
        <v>1707112.743338644</v>
      </c>
      <c r="I78" s="619">
        <f t="shared" ref="I78:Q78" si="90">SUM(I74:I77)</f>
        <v>1706658.2285756757</v>
      </c>
      <c r="J78" s="619">
        <f t="shared" si="90"/>
        <v>1705944.2790213239</v>
      </c>
      <c r="K78" s="619">
        <f t="shared" si="90"/>
        <v>1705194.8025068012</v>
      </c>
      <c r="L78" s="619">
        <f t="shared" si="90"/>
        <v>1704410.172150448</v>
      </c>
      <c r="M78" s="619">
        <f t="shared" si="90"/>
        <v>1695888.1212896954</v>
      </c>
      <c r="N78" s="619">
        <f t="shared" si="90"/>
        <v>1687408.680683247</v>
      </c>
      <c r="O78" s="619">
        <f t="shared" si="90"/>
        <v>1678971.6372798309</v>
      </c>
      <c r="P78" s="619">
        <f t="shared" si="90"/>
        <v>1670576.7790934318</v>
      </c>
      <c r="Q78" s="619">
        <f t="shared" si="90"/>
        <v>1662223.8951979643</v>
      </c>
    </row>
    <row r="81" spans="2:17" x14ac:dyDescent="0.3">
      <c r="B81" s="615" t="s">
        <v>1695</v>
      </c>
      <c r="C81" s="615"/>
      <c r="D81" s="615"/>
      <c r="E81" s="615"/>
    </row>
    <row r="82" spans="2:17" x14ac:dyDescent="0.3">
      <c r="B82" s="123" t="str">
        <f>B74</f>
        <v>Tier 1: 0 - 7000</v>
      </c>
      <c r="C82" s="123"/>
      <c r="D82" s="123"/>
      <c r="E82" s="123"/>
      <c r="F82" s="624">
        <f>G82/$G$86</f>
        <v>0.47133322986186565</v>
      </c>
      <c r="G82" s="622">
        <f>'2015 Allocated Consuption'!K2809*1.22</f>
        <v>55573.440000000002</v>
      </c>
      <c r="H82" s="618">
        <f>H$9*$F82</f>
        <v>55295.572800000009</v>
      </c>
      <c r="I82" s="618">
        <f>I$9*$F82</f>
        <v>55019.094936000009</v>
      </c>
      <c r="J82" s="618">
        <f t="shared" ref="J82:Q82" si="91">J$9*$F82</f>
        <v>54743.999461320011</v>
      </c>
      <c r="K82" s="618">
        <f t="shared" si="91"/>
        <v>54470.279464013409</v>
      </c>
      <c r="L82" s="618">
        <f t="shared" si="91"/>
        <v>54197.928066693341</v>
      </c>
      <c r="M82" s="618">
        <f t="shared" si="91"/>
        <v>53926.938426359877</v>
      </c>
      <c r="N82" s="618">
        <f t="shared" si="91"/>
        <v>53657.30373422808</v>
      </c>
      <c r="O82" s="618">
        <f t="shared" si="91"/>
        <v>53389.017215556938</v>
      </c>
      <c r="P82" s="618">
        <f t="shared" si="91"/>
        <v>53122.072129479144</v>
      </c>
      <c r="Q82" s="618">
        <f t="shared" si="91"/>
        <v>52856.461768831752</v>
      </c>
    </row>
    <row r="83" spans="2:17" x14ac:dyDescent="0.3">
      <c r="B83" s="123" t="str">
        <f t="shared" ref="B83:B85" si="92">B75</f>
        <v>Tier 2: 7000 - 12000</v>
      </c>
      <c r="C83" s="123"/>
      <c r="D83" s="123"/>
      <c r="E83" s="123"/>
      <c r="F83" s="624">
        <f t="shared" ref="F83:F85" si="93">G83/$G$86</f>
        <v>0.18667287495473125</v>
      </c>
      <c r="G83" s="622">
        <f>'2015 Allocated Consuption'!K2810*1.22</f>
        <v>22010.02</v>
      </c>
      <c r="H83" s="618">
        <f t="shared" ref="H83:Q85" si="94">H$9*$F83</f>
        <v>21899.969900000004</v>
      </c>
      <c r="I83" s="618">
        <f t="shared" si="94"/>
        <v>21790.470050500004</v>
      </c>
      <c r="J83" s="618">
        <f t="shared" si="94"/>
        <v>21681.517700247503</v>
      </c>
      <c r="K83" s="618">
        <f t="shared" si="94"/>
        <v>21573.110111746268</v>
      </c>
      <c r="L83" s="618">
        <f t="shared" si="94"/>
        <v>21465.244561187534</v>
      </c>
      <c r="M83" s="618">
        <f t="shared" si="94"/>
        <v>21357.918338381598</v>
      </c>
      <c r="N83" s="618">
        <f t="shared" si="94"/>
        <v>21251.12874668969</v>
      </c>
      <c r="O83" s="618">
        <f t="shared" si="94"/>
        <v>21144.87310295624</v>
      </c>
      <c r="P83" s="618">
        <f t="shared" si="94"/>
        <v>21039.148737441457</v>
      </c>
      <c r="Q83" s="618">
        <f t="shared" si="94"/>
        <v>20933.95299375425</v>
      </c>
    </row>
    <row r="84" spans="2:17" x14ac:dyDescent="0.3">
      <c r="B84" s="123" t="str">
        <f t="shared" si="92"/>
        <v>Tier 3: 12000 - 22000</v>
      </c>
      <c r="C84" s="123"/>
      <c r="D84" s="123"/>
      <c r="E84" s="123"/>
      <c r="F84" s="624">
        <f t="shared" si="93"/>
        <v>0.12205494334937141</v>
      </c>
      <c r="G84" s="622">
        <f>'2015 Allocated Consuption'!K2811*1.22</f>
        <v>14391.119999999999</v>
      </c>
      <c r="H84" s="618">
        <f t="shared" si="94"/>
        <v>14319.1644</v>
      </c>
      <c r="I84" s="618">
        <f t="shared" si="94"/>
        <v>14247.568578</v>
      </c>
      <c r="J84" s="618">
        <f t="shared" si="94"/>
        <v>14176.330735109999</v>
      </c>
      <c r="K84" s="618">
        <f t="shared" si="94"/>
        <v>14105.44908143445</v>
      </c>
      <c r="L84" s="618">
        <f t="shared" si="94"/>
        <v>14034.921836027277</v>
      </c>
      <c r="M84" s="618">
        <f t="shared" si="94"/>
        <v>13964.747226847143</v>
      </c>
      <c r="N84" s="618">
        <f t="shared" si="94"/>
        <v>13894.923490712907</v>
      </c>
      <c r="O84" s="618">
        <f t="shared" si="94"/>
        <v>13825.44887325934</v>
      </c>
      <c r="P84" s="618">
        <f t="shared" si="94"/>
        <v>13756.321628893043</v>
      </c>
      <c r="Q84" s="618">
        <f t="shared" si="94"/>
        <v>13687.540020748578</v>
      </c>
    </row>
    <row r="85" spans="2:17" x14ac:dyDescent="0.3">
      <c r="B85" s="123" t="str">
        <f t="shared" si="92"/>
        <v>Tier 4: Over 22000</v>
      </c>
      <c r="C85" s="123"/>
      <c r="D85" s="123"/>
      <c r="E85" s="123"/>
      <c r="F85" s="624">
        <f t="shared" si="93"/>
        <v>0.21993895183403178</v>
      </c>
      <c r="G85" s="622">
        <f>'2015 Allocated Consuption'!K2812*1.22</f>
        <v>25932.32</v>
      </c>
      <c r="H85" s="618">
        <f t="shared" si="94"/>
        <v>25802.6584</v>
      </c>
      <c r="I85" s="618">
        <f t="shared" si="94"/>
        <v>25673.645108000004</v>
      </c>
      <c r="J85" s="618">
        <f t="shared" si="94"/>
        <v>25545.276882460003</v>
      </c>
      <c r="K85" s="618">
        <f t="shared" si="94"/>
        <v>25417.550498047705</v>
      </c>
      <c r="L85" s="618">
        <f t="shared" si="94"/>
        <v>25290.462745557463</v>
      </c>
      <c r="M85" s="618">
        <f t="shared" si="94"/>
        <v>25164.01043182968</v>
      </c>
      <c r="N85" s="618">
        <f t="shared" si="94"/>
        <v>25038.19037967053</v>
      </c>
      <c r="O85" s="618">
        <f t="shared" si="94"/>
        <v>24912.999427772174</v>
      </c>
      <c r="P85" s="618">
        <f t="shared" si="94"/>
        <v>24788.434430633311</v>
      </c>
      <c r="Q85" s="618">
        <f t="shared" si="94"/>
        <v>24664.492258480146</v>
      </c>
    </row>
    <row r="86" spans="2:17" x14ac:dyDescent="0.3">
      <c r="B86" s="615" t="s">
        <v>14</v>
      </c>
      <c r="C86" s="615"/>
      <c r="D86" s="615"/>
      <c r="E86" s="615"/>
      <c r="G86" s="619">
        <f>SUM(G82:G85)</f>
        <v>117906.9</v>
      </c>
      <c r="H86" s="619">
        <f t="shared" ref="H86:Q86" si="95">SUM(H82:H85)</f>
        <v>117317.36550000001</v>
      </c>
      <c r="I86" s="619">
        <f t="shared" si="95"/>
        <v>116730.77867250002</v>
      </c>
      <c r="J86" s="619">
        <f t="shared" si="95"/>
        <v>116147.12477913752</v>
      </c>
      <c r="K86" s="619">
        <f t="shared" si="95"/>
        <v>115566.38915524184</v>
      </c>
      <c r="L86" s="619">
        <f t="shared" si="95"/>
        <v>114988.55720946562</v>
      </c>
      <c r="M86" s="619">
        <f t="shared" si="95"/>
        <v>114413.6144234183</v>
      </c>
      <c r="N86" s="619">
        <f t="shared" si="95"/>
        <v>113841.54635130122</v>
      </c>
      <c r="O86" s="619">
        <f t="shared" si="95"/>
        <v>113272.33861954469</v>
      </c>
      <c r="P86" s="619">
        <f t="shared" si="95"/>
        <v>112705.97692644695</v>
      </c>
      <c r="Q86" s="619">
        <f t="shared" si="95"/>
        <v>112142.44704181474</v>
      </c>
    </row>
    <row r="88" spans="2:17" x14ac:dyDescent="0.3">
      <c r="B88" s="610" t="s">
        <v>1757</v>
      </c>
      <c r="F88" s="617">
        <v>15536</v>
      </c>
      <c r="G88" s="623">
        <f>((9605+3858)*1.22)</f>
        <v>16424.86</v>
      </c>
      <c r="H88" s="618">
        <f>H10</f>
        <v>16074.821999999998</v>
      </c>
      <c r="I88" s="618">
        <f>I10</f>
        <v>15994.447889999998</v>
      </c>
      <c r="J88" s="618">
        <f t="shared" ref="J88:Q88" si="96">J10</f>
        <v>15914.475650549997</v>
      </c>
      <c r="K88" s="618">
        <f t="shared" si="96"/>
        <v>15834.903272297248</v>
      </c>
      <c r="L88" s="618">
        <f t="shared" si="96"/>
        <v>15755.728755935761</v>
      </c>
      <c r="M88" s="618">
        <f t="shared" si="96"/>
        <v>15676.950112156082</v>
      </c>
      <c r="N88" s="618">
        <f t="shared" si="96"/>
        <v>15598.565361595302</v>
      </c>
      <c r="O88" s="618">
        <f t="shared" si="96"/>
        <v>15520.572534787325</v>
      </c>
      <c r="P88" s="618">
        <f t="shared" si="96"/>
        <v>15442.969672113388</v>
      </c>
      <c r="Q88" s="618">
        <f t="shared" si="96"/>
        <v>15365.754823752821</v>
      </c>
    </row>
    <row r="89" spans="2:17" x14ac:dyDescent="0.3">
      <c r="G89" s="620">
        <f>(G88-F88)/F88</f>
        <v>5.721292481977347E-2</v>
      </c>
      <c r="H89" s="620">
        <f>(H88-G88)/G88</f>
        <v>-2.1311475409836203E-2</v>
      </c>
      <c r="I89" s="620">
        <f t="shared" ref="I89" si="97">(I88-H88)/H88</f>
        <v>-5.0000000000000409E-3</v>
      </c>
      <c r="J89" s="620">
        <f t="shared" ref="J89" si="98">(J88-I88)/I88</f>
        <v>-5.000000000000027E-3</v>
      </c>
      <c r="K89" s="620">
        <f t="shared" ref="K89" si="99">(K88-J88)/J88</f>
        <v>-4.9999999999999585E-3</v>
      </c>
      <c r="L89" s="620">
        <f t="shared" ref="L89" si="100">(L88-K88)/K88</f>
        <v>-5.0000000000000417E-3</v>
      </c>
      <c r="M89" s="620">
        <f t="shared" ref="M89" si="101">(M88-L88)/L88</f>
        <v>-4.9999999999999828E-3</v>
      </c>
      <c r="N89" s="620">
        <f t="shared" ref="N89" si="102">(N88-M88)/M88</f>
        <v>-5.0000000000000348E-3</v>
      </c>
      <c r="O89" s="620">
        <f t="shared" ref="O89" si="103">(O88-N88)/N88</f>
        <v>-5.0000000000000062E-3</v>
      </c>
      <c r="P89" s="620">
        <f t="shared" ref="P89" si="104">(P88-O88)/O88</f>
        <v>-5.0000000000000322E-3</v>
      </c>
      <c r="Q89" s="620">
        <f t="shared" ref="Q89" si="105">(Q88-P88)/P88</f>
        <v>-5.0000000000000027E-3</v>
      </c>
    </row>
    <row r="90" spans="2:17" x14ac:dyDescent="0.3">
      <c r="B90" s="610" t="s">
        <v>2007</v>
      </c>
      <c r="F90" s="618"/>
      <c r="G90" s="618">
        <f>G88+G86+G78</f>
        <v>1842309.8</v>
      </c>
      <c r="H90" s="618">
        <f>H78+H86+H88</f>
        <v>1840504.930838644</v>
      </c>
      <c r="I90" s="618">
        <f>I78+I86+I88</f>
        <v>1839383.4551381757</v>
      </c>
      <c r="J90" s="618">
        <f t="shared" ref="J90:Q90" si="106">J78+J86+J88</f>
        <v>1838005.8794510115</v>
      </c>
      <c r="K90" s="618">
        <f t="shared" si="106"/>
        <v>1836596.0949343403</v>
      </c>
      <c r="L90" s="618">
        <f t="shared" si="106"/>
        <v>1835154.4581158494</v>
      </c>
      <c r="M90" s="618">
        <f t="shared" si="106"/>
        <v>1825978.6858252697</v>
      </c>
      <c r="N90" s="618">
        <f t="shared" si="106"/>
        <v>1816848.7923961435</v>
      </c>
      <c r="O90" s="618">
        <f t="shared" si="106"/>
        <v>1807764.5484341627</v>
      </c>
      <c r="P90" s="618">
        <f t="shared" si="106"/>
        <v>1798725.7256919921</v>
      </c>
      <c r="Q90" s="618">
        <f t="shared" si="106"/>
        <v>1789732.0970635319</v>
      </c>
    </row>
    <row r="91" spans="2:17" x14ac:dyDescent="0.3">
      <c r="F91" s="618"/>
      <c r="G91" s="860"/>
      <c r="H91" s="620">
        <f t="shared" ref="H91" si="107">(H90-G90)/G90</f>
        <v>-9.7967733839119113E-4</v>
      </c>
      <c r="I91" s="620">
        <f t="shared" ref="I91" si="108">(I90-H90)/H90</f>
        <v>-6.093304514850059E-4</v>
      </c>
      <c r="J91" s="620">
        <f t="shared" ref="J91" si="109">(J90-I90)/I90</f>
        <v>-7.4893339032492464E-4</v>
      </c>
      <c r="K91" s="620">
        <f t="shared" ref="K91" si="110">(K90-J90)/J90</f>
        <v>-7.6701850218906329E-4</v>
      </c>
      <c r="L91" s="620">
        <f t="shared" ref="L91" si="111">(L90-K90)/K90</f>
        <v>-7.8495038863864186E-4</v>
      </c>
      <c r="M91" s="620">
        <f t="shared" ref="M91" si="112">(M90-L90)/L90</f>
        <v>-5.0000000000002699E-3</v>
      </c>
      <c r="N91" s="620">
        <f t="shared" ref="N91" si="113">(N90-M90)/M90</f>
        <v>-4.9999999999998778E-3</v>
      </c>
      <c r="O91" s="620">
        <f t="shared" ref="O91" si="114">(O90-N90)/N90</f>
        <v>-5.0000000000000452E-3</v>
      </c>
      <c r="P91" s="620">
        <f t="shared" ref="P91" si="115">(P90-O90)/O90</f>
        <v>-4.9999999999999116E-3</v>
      </c>
      <c r="Q91" s="620">
        <f t="shared" ref="Q91" si="116">(Q90-P90)/P90</f>
        <v>-5.0000000000001467E-3</v>
      </c>
    </row>
    <row r="92" spans="2:17" x14ac:dyDescent="0.3">
      <c r="F92" s="618"/>
      <c r="G92" s="860"/>
      <c r="H92" s="860"/>
      <c r="I92" s="860"/>
      <c r="J92" s="860"/>
      <c r="K92" s="860"/>
      <c r="L92" s="860"/>
      <c r="M92" s="860"/>
      <c r="N92" s="860"/>
      <c r="O92" s="860"/>
      <c r="P92" s="860"/>
      <c r="Q92" s="860"/>
    </row>
    <row r="93" spans="2:17" x14ac:dyDescent="0.3">
      <c r="B93" s="883" t="str">
        <f>B74</f>
        <v>Tier 1: 0 - 7000</v>
      </c>
      <c r="C93" s="883"/>
      <c r="D93" s="883"/>
      <c r="E93" s="883"/>
      <c r="F93" s="884"/>
      <c r="G93" s="885">
        <f>'Water Rate Projections'!D79</f>
        <v>1</v>
      </c>
      <c r="H93" s="886">
        <f>H74*$G93</f>
        <v>753454.87084562867</v>
      </c>
      <c r="I93" s="886">
        <f t="shared" ref="I93:Q93" si="117">I74*$G93</f>
        <v>753254.26525389729</v>
      </c>
      <c r="J93" s="886">
        <f t="shared" si="117"/>
        <v>752939.15497699042</v>
      </c>
      <c r="K93" s="886">
        <f t="shared" si="117"/>
        <v>752608.36444622139</v>
      </c>
      <c r="L93" s="886">
        <f t="shared" si="117"/>
        <v>752262.05834188557</v>
      </c>
      <c r="M93" s="886">
        <f t="shared" si="117"/>
        <v>748500.74805017607</v>
      </c>
      <c r="N93" s="886">
        <f t="shared" si="117"/>
        <v>744758.24430992524</v>
      </c>
      <c r="O93" s="886">
        <f t="shared" si="117"/>
        <v>741034.45308837562</v>
      </c>
      <c r="P93" s="886">
        <f t="shared" si="117"/>
        <v>737329.28082293377</v>
      </c>
      <c r="Q93" s="886">
        <f t="shared" si="117"/>
        <v>733642.63441881898</v>
      </c>
    </row>
    <row r="94" spans="2:17" x14ac:dyDescent="0.3">
      <c r="B94" s="883" t="str">
        <f>B75</f>
        <v>Tier 2: 7000 - 12000</v>
      </c>
      <c r="C94" s="883"/>
      <c r="D94" s="883"/>
      <c r="E94" s="883"/>
      <c r="F94" s="884"/>
      <c r="G94" s="885">
        <f>'Water Rate Projections'!D80</f>
        <v>1.25</v>
      </c>
      <c r="H94" s="886">
        <f>H75*$G94</f>
        <v>346078.88047893287</v>
      </c>
      <c r="I94" s="886">
        <f t="shared" ref="I94:Q94" si="118">I75*$G94</f>
        <v>345986.73778891831</v>
      </c>
      <c r="J94" s="886">
        <f t="shared" si="118"/>
        <v>345842.00050460437</v>
      </c>
      <c r="K94" s="886">
        <f t="shared" si="118"/>
        <v>345690.06092468882</v>
      </c>
      <c r="L94" s="886">
        <f t="shared" si="118"/>
        <v>345530.99469055992</v>
      </c>
      <c r="M94" s="886">
        <f t="shared" si="118"/>
        <v>343803.33971710707</v>
      </c>
      <c r="N94" s="886">
        <f t="shared" si="118"/>
        <v>342084.32301852148</v>
      </c>
      <c r="O94" s="886">
        <f t="shared" si="118"/>
        <v>340373.90140342887</v>
      </c>
      <c r="P94" s="886">
        <f t="shared" si="118"/>
        <v>338672.03189641179</v>
      </c>
      <c r="Q94" s="886">
        <f t="shared" si="118"/>
        <v>336978.67173692968</v>
      </c>
    </row>
    <row r="95" spans="2:17" x14ac:dyDescent="0.3">
      <c r="B95" s="883" t="str">
        <f>B76</f>
        <v>Tier 3: 12000 - 22000</v>
      </c>
      <c r="C95" s="883"/>
      <c r="D95" s="883"/>
      <c r="E95" s="883"/>
      <c r="F95" s="884"/>
      <c r="G95" s="885">
        <f>'Water Rate Projections'!D81</f>
        <v>1.5</v>
      </c>
      <c r="H95" s="886">
        <f>H76*$G95</f>
        <v>306089.86000479874</v>
      </c>
      <c r="I95" s="886">
        <f t="shared" ref="I95:Q95" si="119">I76*$G95</f>
        <v>306008.3642976699</v>
      </c>
      <c r="J95" s="886">
        <f t="shared" si="119"/>
        <v>305880.35124171042</v>
      </c>
      <c r="K95" s="886">
        <f t="shared" si="119"/>
        <v>305745.96810720314</v>
      </c>
      <c r="L95" s="886">
        <f t="shared" si="119"/>
        <v>305605.28179525986</v>
      </c>
      <c r="M95" s="886">
        <f t="shared" si="119"/>
        <v>304077.25538628356</v>
      </c>
      <c r="N95" s="886">
        <f t="shared" si="119"/>
        <v>302556.86910935212</v>
      </c>
      <c r="O95" s="886">
        <f t="shared" si="119"/>
        <v>301044.08476380538</v>
      </c>
      <c r="P95" s="886">
        <f t="shared" si="119"/>
        <v>299538.86433998635</v>
      </c>
      <c r="Q95" s="886">
        <f t="shared" si="119"/>
        <v>298041.17001828639</v>
      </c>
    </row>
    <row r="96" spans="2:17" x14ac:dyDescent="0.3">
      <c r="B96" s="883" t="str">
        <f>B77</f>
        <v>Tier 4: Over 22000</v>
      </c>
      <c r="C96" s="883"/>
      <c r="D96" s="883"/>
      <c r="E96" s="883"/>
      <c r="F96" s="884"/>
      <c r="G96" s="885">
        <f>'Water Rate Projections'!D82</f>
        <v>1.75</v>
      </c>
      <c r="H96" s="886">
        <f>H77*$G96</f>
        <v>827286.00752000615</v>
      </c>
      <c r="I96" s="886">
        <f t="shared" ref="I96:Q96" si="120">I77*$G96</f>
        <v>827065.74456134543</v>
      </c>
      <c r="J96" s="886">
        <f t="shared" si="120"/>
        <v>826719.75658914191</v>
      </c>
      <c r="K96" s="886">
        <f t="shared" si="120"/>
        <v>826356.5518530464</v>
      </c>
      <c r="L96" s="886">
        <f t="shared" si="120"/>
        <v>825976.31117039721</v>
      </c>
      <c r="M96" s="886">
        <f t="shared" si="120"/>
        <v>821846.42961454508</v>
      </c>
      <c r="N96" s="886">
        <f t="shared" si="120"/>
        <v>817737.1974664724</v>
      </c>
      <c r="O96" s="886">
        <f t="shared" si="120"/>
        <v>813648.51147914003</v>
      </c>
      <c r="P96" s="886">
        <f t="shared" si="120"/>
        <v>809580.26892174431</v>
      </c>
      <c r="Q96" s="886">
        <f t="shared" si="120"/>
        <v>805532.36757713556</v>
      </c>
    </row>
    <row r="97" spans="2:17" x14ac:dyDescent="0.3">
      <c r="B97" s="884"/>
      <c r="C97" s="884"/>
      <c r="D97" s="884"/>
      <c r="E97" s="884"/>
      <c r="F97" s="884"/>
      <c r="G97" s="885"/>
      <c r="H97" s="884"/>
      <c r="I97" s="884"/>
      <c r="J97" s="884"/>
      <c r="K97" s="884"/>
      <c r="L97" s="884"/>
      <c r="M97" s="884"/>
      <c r="N97" s="884"/>
      <c r="O97" s="884"/>
      <c r="P97" s="884"/>
      <c r="Q97" s="884"/>
    </row>
    <row r="98" spans="2:17" x14ac:dyDescent="0.3">
      <c r="B98" s="887" t="str">
        <f>B93</f>
        <v>Tier 1: 0 - 7000</v>
      </c>
      <c r="C98" s="887"/>
      <c r="D98" s="887"/>
      <c r="E98" s="887"/>
      <c r="F98" s="884"/>
      <c r="G98" s="885">
        <v>1.45</v>
      </c>
      <c r="H98" s="886">
        <f>H82*$G98</f>
        <v>80178.580560000017</v>
      </c>
      <c r="I98" s="886">
        <f t="shared" ref="I98:Q98" si="121">I82*$G98</f>
        <v>79777.687657200004</v>
      </c>
      <c r="J98" s="886">
        <f t="shared" si="121"/>
        <v>79378.799218914006</v>
      </c>
      <c r="K98" s="886">
        <f t="shared" si="121"/>
        <v>78981.905222819434</v>
      </c>
      <c r="L98" s="886">
        <f t="shared" si="121"/>
        <v>78586.995696705344</v>
      </c>
      <c r="M98" s="886">
        <f t="shared" si="121"/>
        <v>78194.060718221823</v>
      </c>
      <c r="N98" s="886">
        <f t="shared" si="121"/>
        <v>77803.090414630715</v>
      </c>
      <c r="O98" s="886">
        <f t="shared" si="121"/>
        <v>77414.074962557555</v>
      </c>
      <c r="P98" s="886">
        <f t="shared" si="121"/>
        <v>77027.004587744756</v>
      </c>
      <c r="Q98" s="886">
        <f t="shared" si="121"/>
        <v>76641.869564806038</v>
      </c>
    </row>
    <row r="99" spans="2:17" x14ac:dyDescent="0.3">
      <c r="B99" s="887" t="str">
        <f t="shared" ref="B99:B101" si="122">B94</f>
        <v>Tier 2: 7000 - 12000</v>
      </c>
      <c r="C99" s="887"/>
      <c r="D99" s="887"/>
      <c r="E99" s="887"/>
      <c r="F99" s="884"/>
      <c r="G99" s="885">
        <v>1.8124999999999998</v>
      </c>
      <c r="H99" s="886">
        <f>H83*$G99</f>
        <v>39693.695443750003</v>
      </c>
      <c r="I99" s="886">
        <f t="shared" ref="I99:Q99" si="123">I83*$G99</f>
        <v>39495.226966531249</v>
      </c>
      <c r="J99" s="886">
        <f t="shared" si="123"/>
        <v>39297.750831698591</v>
      </c>
      <c r="K99" s="886">
        <f t="shared" si="123"/>
        <v>39101.262077540108</v>
      </c>
      <c r="L99" s="886">
        <f t="shared" si="123"/>
        <v>38905.755767152397</v>
      </c>
      <c r="M99" s="886">
        <f t="shared" si="123"/>
        <v>38711.226988316645</v>
      </c>
      <c r="N99" s="886">
        <f t="shared" si="123"/>
        <v>38517.670853375057</v>
      </c>
      <c r="O99" s="886">
        <f t="shared" si="123"/>
        <v>38325.082499108183</v>
      </c>
      <c r="P99" s="886">
        <f t="shared" si="123"/>
        <v>38133.457086612638</v>
      </c>
      <c r="Q99" s="886">
        <f t="shared" si="123"/>
        <v>37942.789801179577</v>
      </c>
    </row>
    <row r="100" spans="2:17" x14ac:dyDescent="0.3">
      <c r="B100" s="887" t="str">
        <f t="shared" si="122"/>
        <v>Tier 3: 12000 - 22000</v>
      </c>
      <c r="C100" s="887"/>
      <c r="D100" s="887"/>
      <c r="E100" s="887"/>
      <c r="F100" s="884"/>
      <c r="G100" s="885">
        <v>2.1749999999999998</v>
      </c>
      <c r="H100" s="886">
        <f>H84*$G100</f>
        <v>31144.182569999997</v>
      </c>
      <c r="I100" s="886">
        <f t="shared" ref="I100:Q100" si="124">I84*$G100</f>
        <v>30988.461657149997</v>
      </c>
      <c r="J100" s="886">
        <f t="shared" si="124"/>
        <v>30833.519348864247</v>
      </c>
      <c r="K100" s="886">
        <f t="shared" si="124"/>
        <v>30679.351752119925</v>
      </c>
      <c r="L100" s="886">
        <f t="shared" si="124"/>
        <v>30525.954993359326</v>
      </c>
      <c r="M100" s="886">
        <f t="shared" si="124"/>
        <v>30373.325218392532</v>
      </c>
      <c r="N100" s="886">
        <f t="shared" si="124"/>
        <v>30221.458592300569</v>
      </c>
      <c r="O100" s="886">
        <f t="shared" si="124"/>
        <v>30070.351299339061</v>
      </c>
      <c r="P100" s="886">
        <f t="shared" si="124"/>
        <v>29919.999542842368</v>
      </c>
      <c r="Q100" s="886">
        <f t="shared" si="124"/>
        <v>29770.399545128155</v>
      </c>
    </row>
    <row r="101" spans="2:17" x14ac:dyDescent="0.3">
      <c r="B101" s="887" t="str">
        <f t="shared" si="122"/>
        <v>Tier 4: Over 22000</v>
      </c>
      <c r="C101" s="887"/>
      <c r="D101" s="887"/>
      <c r="E101" s="887"/>
      <c r="F101" s="884"/>
      <c r="G101" s="885">
        <v>2.5375000000000001</v>
      </c>
      <c r="H101" s="886">
        <f>H85*$G101</f>
        <v>65474.245690000003</v>
      </c>
      <c r="I101" s="886">
        <f t="shared" ref="I101:Q101" si="125">I85*$G101</f>
        <v>65146.874461550011</v>
      </c>
      <c r="J101" s="886">
        <f t="shared" si="125"/>
        <v>64821.140089242261</v>
      </c>
      <c r="K101" s="886">
        <f t="shared" si="125"/>
        <v>64497.034388796055</v>
      </c>
      <c r="L101" s="886">
        <f t="shared" si="125"/>
        <v>64174.549216852065</v>
      </c>
      <c r="M101" s="886">
        <f t="shared" si="125"/>
        <v>63853.676470767816</v>
      </c>
      <c r="N101" s="886">
        <f t="shared" si="125"/>
        <v>63534.408088413969</v>
      </c>
      <c r="O101" s="886">
        <f t="shared" si="125"/>
        <v>63216.736047971892</v>
      </c>
      <c r="P101" s="886">
        <f t="shared" si="125"/>
        <v>62900.652367732029</v>
      </c>
      <c r="Q101" s="886">
        <f t="shared" si="125"/>
        <v>62586.149105893375</v>
      </c>
    </row>
    <row r="102" spans="2:17" x14ac:dyDescent="0.3">
      <c r="B102" s="884"/>
      <c r="C102" s="884"/>
      <c r="D102" s="884"/>
      <c r="E102" s="884"/>
      <c r="F102" s="884"/>
      <c r="G102" s="884"/>
      <c r="H102" s="884"/>
      <c r="I102" s="884"/>
      <c r="J102" s="884"/>
      <c r="K102" s="884"/>
      <c r="L102" s="884"/>
      <c r="M102" s="884"/>
      <c r="N102" s="884"/>
      <c r="O102" s="884"/>
      <c r="P102" s="884"/>
      <c r="Q102" s="884"/>
    </row>
    <row r="103" spans="2:17" x14ac:dyDescent="0.3">
      <c r="B103" s="884"/>
      <c r="C103" s="884"/>
      <c r="D103" s="884"/>
      <c r="E103" s="884"/>
      <c r="F103" s="884"/>
      <c r="G103" s="884"/>
      <c r="H103" s="886">
        <f t="shared" ref="H103:Q103" si="126">SUM(H93:H101)</f>
        <v>2449400.3231131164</v>
      </c>
      <c r="I103" s="886">
        <f t="shared" si="126"/>
        <v>2447723.3626442617</v>
      </c>
      <c r="J103" s="886">
        <f t="shared" si="126"/>
        <v>2445712.4728011661</v>
      </c>
      <c r="K103" s="886">
        <f t="shared" si="126"/>
        <v>2443660.4987724354</v>
      </c>
      <c r="L103" s="886">
        <f t="shared" si="126"/>
        <v>2441567.9016721714</v>
      </c>
      <c r="M103" s="886">
        <f t="shared" si="126"/>
        <v>2429360.0621638102</v>
      </c>
      <c r="N103" s="886">
        <f t="shared" si="126"/>
        <v>2417213.2618529918</v>
      </c>
      <c r="O103" s="886">
        <f t="shared" si="126"/>
        <v>2405127.1955437269</v>
      </c>
      <c r="P103" s="886">
        <f t="shared" si="126"/>
        <v>2393101.5595660075</v>
      </c>
      <c r="Q103" s="886">
        <f t="shared" si="126"/>
        <v>2381136.0517681777</v>
      </c>
    </row>
  </sheetData>
  <sortState ref="B9:C17">
    <sortCondition ref="B9:B17"/>
  </sortState>
  <mergeCells count="2">
    <mergeCell ref="H54:Q54"/>
    <mergeCell ref="H22:Q22"/>
  </mergeCells>
  <pageMargins left="0.7" right="0.7" top="0.75" bottom="0.75" header="0.3" footer="0.3"/>
  <pageSetup orientation="portrait" r:id="rId1"/>
  <ignoredErrors>
    <ignoredError sqref="I25:J25 H27:Q27 H26:J26 L26:Q26 L25:Q25 H28:J28 L28:Q28" formula="1"/>
  </ignoredError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29"/>
  <sheetViews>
    <sheetView showGridLines="0" tabSelected="1" zoomScaleNormal="100" workbookViewId="0">
      <pane ySplit="3" topLeftCell="A49" activePane="bottomLeft" state="frozen"/>
      <selection activeCell="B113" sqref="B113"/>
      <selection pane="bottomLeft" activeCell="E59" sqref="E59"/>
    </sheetView>
  </sheetViews>
  <sheetFormatPr defaultColWidth="9" defaultRowHeight="14.4" x14ac:dyDescent="0.3"/>
  <cols>
    <col min="1" max="1" width="9" style="589"/>
    <col min="2" max="2" width="31.3984375" style="589" bestFit="1" customWidth="1"/>
    <col min="3" max="3" width="6.09765625" style="589" bestFit="1" customWidth="1"/>
    <col min="4" max="4" width="13.8984375" style="589" bestFit="1" customWidth="1"/>
    <col min="5" max="5" width="10.59765625" style="589" bestFit="1" customWidth="1"/>
    <col min="6" max="6" width="16.19921875" style="589" bestFit="1" customWidth="1"/>
    <col min="7" max="7" width="10" style="589" bestFit="1" customWidth="1"/>
    <col min="8" max="16" width="10.5" style="589" bestFit="1" customWidth="1"/>
    <col min="17" max="16384" width="9" style="589"/>
  </cols>
  <sheetData>
    <row r="2" spans="2:20" x14ac:dyDescent="0.3">
      <c r="B2" s="151" t="s">
        <v>1961</v>
      </c>
    </row>
    <row r="3" spans="2:20" x14ac:dyDescent="0.3">
      <c r="D3" s="604" t="s">
        <v>1765</v>
      </c>
      <c r="E3" s="604">
        <v>2014</v>
      </c>
      <c r="F3" s="604">
        <v>2015</v>
      </c>
      <c r="G3" s="604">
        <v>2016</v>
      </c>
      <c r="H3" s="604">
        <v>2017</v>
      </c>
      <c r="I3" s="604">
        <v>2018</v>
      </c>
      <c r="J3" s="604">
        <v>2019</v>
      </c>
      <c r="K3" s="604">
        <v>2020</v>
      </c>
      <c r="L3" s="604">
        <v>2021</v>
      </c>
      <c r="M3" s="604">
        <v>2022</v>
      </c>
      <c r="N3" s="604">
        <v>2023</v>
      </c>
      <c r="O3" s="604">
        <v>2024</v>
      </c>
      <c r="P3" s="604">
        <v>2025</v>
      </c>
    </row>
    <row r="4" spans="2:20" x14ac:dyDescent="0.3">
      <c r="B4" s="593" t="s">
        <v>1739</v>
      </c>
      <c r="C4" s="593"/>
      <c r="D4" s="593"/>
      <c r="F4" s="589" t="s">
        <v>1985</v>
      </c>
      <c r="G4" s="840">
        <f>'Control Panel'!E11</f>
        <v>2.7034748381089709E-2</v>
      </c>
    </row>
    <row r="5" spans="2:20" x14ac:dyDescent="0.3">
      <c r="B5" s="593"/>
      <c r="C5" s="593"/>
      <c r="D5" s="593"/>
      <c r="F5" s="589" t="s">
        <v>1986</v>
      </c>
      <c r="G5" s="841">
        <v>3</v>
      </c>
    </row>
    <row r="6" spans="2:20" x14ac:dyDescent="0.3">
      <c r="B6" s="593"/>
      <c r="C6" s="593"/>
      <c r="D6" s="593"/>
    </row>
    <row r="7" spans="2:20" x14ac:dyDescent="0.3">
      <c r="B7" s="589" t="s">
        <v>1588</v>
      </c>
      <c r="G7" s="591">
        <f>Dashboard!C52</f>
        <v>0.08</v>
      </c>
      <c r="H7" s="591">
        <f>Dashboard!D52</f>
        <v>0.05</v>
      </c>
      <c r="I7" s="591">
        <f>Dashboard!E52</f>
        <v>0.05</v>
      </c>
      <c r="J7" s="591">
        <f>Dashboard!F52</f>
        <v>0.05</v>
      </c>
      <c r="K7" s="591">
        <f>Dashboard!G52</f>
        <v>0.05</v>
      </c>
      <c r="L7" s="591">
        <f>Dashboard!O52</f>
        <v>0</v>
      </c>
      <c r="M7" s="591">
        <f>Dashboard!P52</f>
        <v>0</v>
      </c>
      <c r="N7" s="591">
        <f>Dashboard!Q52</f>
        <v>0</v>
      </c>
      <c r="O7" s="591">
        <f>Dashboard!R52</f>
        <v>0</v>
      </c>
      <c r="P7" s="591">
        <f>Dashboard!S52</f>
        <v>0</v>
      </c>
    </row>
    <row r="8" spans="2:20" x14ac:dyDescent="0.3">
      <c r="B8" s="589" t="s">
        <v>1735</v>
      </c>
      <c r="E8" s="590"/>
      <c r="F8" s="590"/>
      <c r="Q8" s="590"/>
    </row>
    <row r="9" spans="2:20" x14ac:dyDescent="0.3">
      <c r="B9" s="589" t="s">
        <v>1725</v>
      </c>
      <c r="D9" s="605">
        <f>E9/$E$9</f>
        <v>1</v>
      </c>
      <c r="E9" s="590">
        <v>9</v>
      </c>
      <c r="F9" s="590">
        <v>9</v>
      </c>
      <c r="G9" s="1066">
        <v>9</v>
      </c>
      <c r="H9" s="590">
        <f>G9*(1+H$7)</f>
        <v>9.4500000000000011</v>
      </c>
      <c r="I9" s="590">
        <f>H9*(1+I$7)</f>
        <v>9.9225000000000012</v>
      </c>
      <c r="J9" s="590">
        <f>I9*(1+J$7)</f>
        <v>10.418625000000002</v>
      </c>
      <c r="K9" s="590">
        <f>J9*(1+K$7)</f>
        <v>10.939556250000003</v>
      </c>
      <c r="L9" s="590">
        <f t="shared" ref="L9:P9" si="0">K9*(1+L$7)</f>
        <v>10.939556250000003</v>
      </c>
      <c r="M9" s="590">
        <f t="shared" si="0"/>
        <v>10.939556250000003</v>
      </c>
      <c r="N9" s="590">
        <f t="shared" si="0"/>
        <v>10.939556250000003</v>
      </c>
      <c r="O9" s="590">
        <f t="shared" si="0"/>
        <v>10.939556250000003</v>
      </c>
      <c r="P9" s="590">
        <f t="shared" si="0"/>
        <v>10.939556250000003</v>
      </c>
      <c r="Q9" s="590"/>
    </row>
    <row r="10" spans="2:20" x14ac:dyDescent="0.3"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</row>
    <row r="11" spans="2:20" x14ac:dyDescent="0.3">
      <c r="B11" s="589" t="s">
        <v>1762</v>
      </c>
      <c r="D11" s="605">
        <f>F11/$F$11</f>
        <v>1</v>
      </c>
      <c r="E11" s="590">
        <v>5.24</v>
      </c>
      <c r="F11" s="590">
        <v>5.85</v>
      </c>
      <c r="G11" s="590">
        <f>F11*(1+G$7)</f>
        <v>6.3179999999999996</v>
      </c>
      <c r="H11" s="590">
        <f>G11*(1+H$7)</f>
        <v>6.6338999999999997</v>
      </c>
      <c r="I11" s="590">
        <f t="shared" ref="I11:P11" si="1">H11*(1+I$7)</f>
        <v>6.9655949999999995</v>
      </c>
      <c r="J11" s="590">
        <f t="shared" si="1"/>
        <v>7.3138747500000001</v>
      </c>
      <c r="K11" s="590">
        <f t="shared" si="1"/>
        <v>7.6795684875000001</v>
      </c>
      <c r="L11" s="590">
        <f>K11*(1+L$7)</f>
        <v>7.6795684875000001</v>
      </c>
      <c r="M11" s="590">
        <f t="shared" si="1"/>
        <v>7.6795684875000001</v>
      </c>
      <c r="N11" s="590">
        <f t="shared" si="1"/>
        <v>7.6795684875000001</v>
      </c>
      <c r="O11" s="590">
        <f t="shared" si="1"/>
        <v>7.6795684875000001</v>
      </c>
      <c r="P11" s="590">
        <f t="shared" si="1"/>
        <v>7.6795684875000001</v>
      </c>
      <c r="Q11" s="590"/>
      <c r="R11" s="605">
        <f>F11*(1+G4)</f>
        <v>6.0081532780293747</v>
      </c>
      <c r="S11" s="1271">
        <f>(G11-R11)/R11</f>
        <v>5.1571041488517433E-2</v>
      </c>
    </row>
    <row r="12" spans="2:20" x14ac:dyDescent="0.3">
      <c r="B12" s="589" t="s">
        <v>1763</v>
      </c>
      <c r="D12" s="605">
        <f t="shared" ref="D12:D13" si="2">F12/$F$11</f>
        <v>1.2358974358974359</v>
      </c>
      <c r="E12" s="590">
        <v>6.54</v>
      </c>
      <c r="F12" s="590">
        <v>7.23</v>
      </c>
      <c r="G12" s="590">
        <f t="shared" ref="G12:P13" si="3">F12*(1+G$7)</f>
        <v>7.8084000000000007</v>
      </c>
      <c r="H12" s="590">
        <f t="shared" si="3"/>
        <v>8.1988200000000013</v>
      </c>
      <c r="I12" s="590">
        <f>H12*(1+I$7)</f>
        <v>8.6087610000000012</v>
      </c>
      <c r="J12" s="590">
        <f t="shared" si="3"/>
        <v>9.0391990500000023</v>
      </c>
      <c r="K12" s="590">
        <f t="shared" si="3"/>
        <v>9.4911590025000034</v>
      </c>
      <c r="L12" s="590">
        <f>K12*(1+L$7)</f>
        <v>9.4911590025000034</v>
      </c>
      <c r="M12" s="590">
        <f t="shared" si="3"/>
        <v>9.4911590025000034</v>
      </c>
      <c r="N12" s="590">
        <f t="shared" si="3"/>
        <v>9.4911590025000034</v>
      </c>
      <c r="O12" s="590">
        <f t="shared" si="3"/>
        <v>9.4911590025000034</v>
      </c>
      <c r="P12" s="590">
        <f t="shared" si="3"/>
        <v>9.4911590025000034</v>
      </c>
      <c r="Q12" s="590"/>
      <c r="S12" s="1272">
        <f>S11+G4</f>
        <v>7.8605789869607146E-2</v>
      </c>
      <c r="T12" s="1271"/>
    </row>
    <row r="13" spans="2:20" x14ac:dyDescent="0.3">
      <c r="B13" s="589" t="s">
        <v>1764</v>
      </c>
      <c r="D13" s="605">
        <f t="shared" si="2"/>
        <v>1.4735042735042734</v>
      </c>
      <c r="E13" s="590">
        <v>7.85</v>
      </c>
      <c r="F13" s="590">
        <v>8.6199999999999992</v>
      </c>
      <c r="G13" s="590">
        <f t="shared" si="3"/>
        <v>9.3095999999999997</v>
      </c>
      <c r="H13" s="590">
        <f t="shared" si="3"/>
        <v>9.7750800000000009</v>
      </c>
      <c r="I13" s="590">
        <f>H13*(1+I$7)</f>
        <v>10.263834000000001</v>
      </c>
      <c r="J13" s="590">
        <f t="shared" si="3"/>
        <v>10.777025700000001</v>
      </c>
      <c r="K13" s="590">
        <f t="shared" si="3"/>
        <v>11.315876985000001</v>
      </c>
      <c r="L13" s="590">
        <f>K13*(1+L$7)</f>
        <v>11.315876985000001</v>
      </c>
      <c r="M13" s="590">
        <f t="shared" si="3"/>
        <v>11.315876985000001</v>
      </c>
      <c r="N13" s="590">
        <f t="shared" si="3"/>
        <v>11.315876985000001</v>
      </c>
      <c r="O13" s="590">
        <f t="shared" si="3"/>
        <v>11.315876985000001</v>
      </c>
      <c r="P13" s="590">
        <f t="shared" si="3"/>
        <v>11.315876985000001</v>
      </c>
      <c r="Q13" s="590"/>
    </row>
    <row r="14" spans="2:20" x14ac:dyDescent="0.3"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</row>
    <row r="15" spans="2:20" x14ac:dyDescent="0.3"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590"/>
      <c r="Q15" s="590"/>
    </row>
    <row r="16" spans="2:20" x14ac:dyDescent="0.3">
      <c r="B16" s="589" t="s">
        <v>1736</v>
      </c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</row>
    <row r="17" spans="2:17" x14ac:dyDescent="0.3">
      <c r="B17" s="589" t="s">
        <v>1725</v>
      </c>
      <c r="D17" s="605">
        <f>E17/$E$9</f>
        <v>1</v>
      </c>
      <c r="E17" s="590">
        <v>9</v>
      </c>
      <c r="F17" s="590">
        <v>9</v>
      </c>
      <c r="G17" s="590">
        <f t="shared" ref="G17:P17" si="4">F17*(1+G$7)</f>
        <v>9.7200000000000006</v>
      </c>
      <c r="H17" s="590">
        <f t="shared" si="4"/>
        <v>10.206000000000001</v>
      </c>
      <c r="I17" s="590">
        <f>H17*(1+I$7)</f>
        <v>10.716300000000002</v>
      </c>
      <c r="J17" s="590">
        <f t="shared" si="4"/>
        <v>11.252115000000003</v>
      </c>
      <c r="K17" s="590">
        <f t="shared" si="4"/>
        <v>11.814720750000005</v>
      </c>
      <c r="L17" s="590">
        <f t="shared" si="4"/>
        <v>11.814720750000005</v>
      </c>
      <c r="M17" s="590">
        <f t="shared" si="4"/>
        <v>11.814720750000005</v>
      </c>
      <c r="N17" s="590">
        <f t="shared" si="4"/>
        <v>11.814720750000005</v>
      </c>
      <c r="O17" s="590">
        <f t="shared" si="4"/>
        <v>11.814720750000005</v>
      </c>
      <c r="P17" s="590">
        <f t="shared" si="4"/>
        <v>11.814720750000005</v>
      </c>
      <c r="Q17" s="590"/>
    </row>
    <row r="18" spans="2:17" x14ac:dyDescent="0.3"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</row>
    <row r="19" spans="2:17" x14ac:dyDescent="0.3">
      <c r="B19" s="589" t="s">
        <v>1762</v>
      </c>
      <c r="D19" s="605">
        <f>F19/$F$11</f>
        <v>1.4307692307692308</v>
      </c>
      <c r="E19" s="590">
        <v>7.61</v>
      </c>
      <c r="F19" s="590">
        <v>8.3699999999999992</v>
      </c>
      <c r="G19" s="590">
        <f t="shared" ref="G19:P19" si="5">F19*(1+G$7)</f>
        <v>9.0396000000000001</v>
      </c>
      <c r="H19" s="590">
        <f t="shared" si="5"/>
        <v>9.4915800000000008</v>
      </c>
      <c r="I19" s="590">
        <f>H19*(1+I$7)</f>
        <v>9.9661590000000011</v>
      </c>
      <c r="J19" s="590">
        <f t="shared" si="5"/>
        <v>10.464466950000002</v>
      </c>
      <c r="K19" s="590">
        <f t="shared" si="5"/>
        <v>10.987690297500002</v>
      </c>
      <c r="L19" s="590">
        <f t="shared" si="5"/>
        <v>10.987690297500002</v>
      </c>
      <c r="M19" s="590">
        <f t="shared" si="5"/>
        <v>10.987690297500002</v>
      </c>
      <c r="N19" s="590">
        <f t="shared" si="5"/>
        <v>10.987690297500002</v>
      </c>
      <c r="O19" s="590">
        <f t="shared" si="5"/>
        <v>10.987690297500002</v>
      </c>
      <c r="P19" s="590">
        <f t="shared" si="5"/>
        <v>10.987690297500002</v>
      </c>
      <c r="Q19" s="590"/>
    </row>
    <row r="20" spans="2:17" x14ac:dyDescent="0.3">
      <c r="B20" s="589" t="s">
        <v>1763</v>
      </c>
      <c r="D20" s="605">
        <f>F20/$F$11</f>
        <v>1.7743589743589745</v>
      </c>
      <c r="E20" s="590">
        <v>9.51</v>
      </c>
      <c r="F20" s="590">
        <v>10.38</v>
      </c>
      <c r="G20" s="590">
        <f t="shared" ref="G20:P21" si="6">F20*(1+G$7)</f>
        <v>11.210400000000002</v>
      </c>
      <c r="H20" s="590">
        <f t="shared" si="6"/>
        <v>11.770920000000002</v>
      </c>
      <c r="I20" s="590">
        <f>H20*(1+I$7)</f>
        <v>12.359466000000003</v>
      </c>
      <c r="J20" s="590">
        <f t="shared" si="6"/>
        <v>12.977439300000004</v>
      </c>
      <c r="K20" s="590">
        <f t="shared" si="6"/>
        <v>13.626311265000005</v>
      </c>
      <c r="L20" s="590">
        <f t="shared" si="6"/>
        <v>13.626311265000005</v>
      </c>
      <c r="M20" s="590">
        <f t="shared" si="6"/>
        <v>13.626311265000005</v>
      </c>
      <c r="N20" s="590">
        <f t="shared" si="6"/>
        <v>13.626311265000005</v>
      </c>
      <c r="O20" s="590">
        <f t="shared" si="6"/>
        <v>13.626311265000005</v>
      </c>
      <c r="P20" s="590">
        <f t="shared" si="6"/>
        <v>13.626311265000005</v>
      </c>
      <c r="Q20" s="590"/>
    </row>
    <row r="21" spans="2:17" x14ac:dyDescent="0.3">
      <c r="B21" s="589" t="s">
        <v>1764</v>
      </c>
      <c r="D21" s="605">
        <f>F21/$F$11</f>
        <v>2.117948717948718</v>
      </c>
      <c r="E21" s="590">
        <v>11.41</v>
      </c>
      <c r="F21" s="590">
        <v>12.39</v>
      </c>
      <c r="G21" s="590">
        <f t="shared" si="6"/>
        <v>13.381200000000002</v>
      </c>
      <c r="H21" s="590">
        <f t="shared" si="6"/>
        <v>14.050260000000002</v>
      </c>
      <c r="I21" s="590">
        <f>H21*(1+I$7)</f>
        <v>14.752773000000003</v>
      </c>
      <c r="J21" s="590">
        <f t="shared" si="6"/>
        <v>15.490411650000004</v>
      </c>
      <c r="K21" s="590">
        <f t="shared" si="6"/>
        <v>16.264932232500005</v>
      </c>
      <c r="L21" s="590">
        <f t="shared" si="6"/>
        <v>16.264932232500005</v>
      </c>
      <c r="M21" s="590">
        <f t="shared" si="6"/>
        <v>16.264932232500005</v>
      </c>
      <c r="N21" s="590">
        <f t="shared" si="6"/>
        <v>16.264932232500005</v>
      </c>
      <c r="O21" s="590">
        <f t="shared" si="6"/>
        <v>16.264932232500005</v>
      </c>
      <c r="P21" s="590">
        <f t="shared" si="6"/>
        <v>16.264932232500005</v>
      </c>
      <c r="Q21" s="590"/>
    </row>
    <row r="22" spans="2:17" x14ac:dyDescent="0.3"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</row>
    <row r="23" spans="2:17" x14ac:dyDescent="0.3">
      <c r="B23" s="477" t="s">
        <v>1758</v>
      </c>
      <c r="C23" s="477"/>
      <c r="D23" s="477"/>
      <c r="E23" s="590">
        <v>5.71</v>
      </c>
      <c r="F23" s="590">
        <v>6.35</v>
      </c>
      <c r="G23" s="590">
        <f t="shared" ref="G23" si="7">F23*(1+G$7)</f>
        <v>6.8579999999999997</v>
      </c>
      <c r="H23" s="590">
        <f t="shared" ref="H23" si="8">G23*(1+H$7)</f>
        <v>7.2008999999999999</v>
      </c>
      <c r="I23" s="590">
        <f>H23*(1+I$7)</f>
        <v>7.5609450000000002</v>
      </c>
      <c r="J23" s="590">
        <f t="shared" ref="J23" si="9">I23*(1+J$7)</f>
        <v>7.938992250000001</v>
      </c>
      <c r="K23" s="590">
        <f t="shared" ref="K23" si="10">J23*(1+K$7)</f>
        <v>8.3359418625000021</v>
      </c>
      <c r="L23" s="590">
        <f t="shared" ref="L23" si="11">K23*(1+L$7)</f>
        <v>8.3359418625000021</v>
      </c>
      <c r="M23" s="590">
        <f t="shared" ref="M23" si="12">L23*(1+M$7)</f>
        <v>8.3359418625000021</v>
      </c>
      <c r="N23" s="590">
        <f t="shared" ref="N23" si="13">M23*(1+N$7)</f>
        <v>8.3359418625000021</v>
      </c>
      <c r="O23" s="590">
        <f t="shared" ref="O23" si="14">N23*(1+O$7)</f>
        <v>8.3359418625000021</v>
      </c>
      <c r="P23" s="590">
        <f t="shared" ref="P23" si="15">O23*(1+P$7)</f>
        <v>8.3359418625000021</v>
      </c>
      <c r="Q23" s="590"/>
    </row>
    <row r="24" spans="2:17" x14ac:dyDescent="0.3">
      <c r="E24" s="590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</row>
    <row r="25" spans="2:17" x14ac:dyDescent="0.3">
      <c r="B25" s="1312" t="s">
        <v>2024</v>
      </c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590"/>
    </row>
    <row r="26" spans="2:17" x14ac:dyDescent="0.3">
      <c r="B26" s="589" t="s">
        <v>1735</v>
      </c>
      <c r="E26" s="590"/>
      <c r="F26" s="590"/>
      <c r="G26" s="590"/>
      <c r="H26" s="590"/>
      <c r="I26" s="590"/>
      <c r="J26" s="590"/>
      <c r="K26" s="590"/>
      <c r="L26" s="590"/>
      <c r="M26" s="590"/>
      <c r="N26" s="590"/>
      <c r="O26" s="590"/>
      <c r="P26" s="590"/>
      <c r="Q26" s="590"/>
    </row>
    <row r="27" spans="2:17" x14ac:dyDescent="0.3">
      <c r="B27" s="589" t="s">
        <v>1725</v>
      </c>
      <c r="E27" s="592">
        <f>E9*'Customers and Consumption'!F32*6</f>
        <v>1230012</v>
      </c>
      <c r="F27" s="592">
        <f>$F$9*'Customers and Consumption'!G32*6</f>
        <v>1231632</v>
      </c>
      <c r="G27" s="592">
        <f>$F$9*'Customers and Consumption'!H32*6</f>
        <v>1237194</v>
      </c>
      <c r="H27" s="592">
        <f>$F$9*'Customers and Consumption'!I32*6</f>
        <v>1243080</v>
      </c>
      <c r="I27" s="592">
        <f>$F$9*'Customers and Consumption'!J32*6</f>
        <v>1248804</v>
      </c>
      <c r="J27" s="592">
        <f>$F$9*'Customers and Consumption'!K32*6</f>
        <v>1254528</v>
      </c>
      <c r="K27" s="592">
        <f>$F$9*'Customers and Consumption'!L32*6</f>
        <v>1260252</v>
      </c>
      <c r="L27" s="592">
        <f>$F$9*'Customers and Consumption'!M32*6</f>
        <v>1260252</v>
      </c>
      <c r="M27" s="592">
        <f>$F$9*'Customers and Consumption'!N32*6</f>
        <v>1260252</v>
      </c>
      <c r="N27" s="592">
        <f>$F$9*'Customers and Consumption'!O32*6</f>
        <v>1260252</v>
      </c>
      <c r="O27" s="592">
        <f>$F$9*'Customers and Consumption'!P32*6</f>
        <v>1260252</v>
      </c>
      <c r="P27" s="592">
        <f>$F$9*'Customers and Consumption'!Q32*6</f>
        <v>1260252</v>
      </c>
      <c r="Q27" s="590"/>
    </row>
    <row r="28" spans="2:17" x14ac:dyDescent="0.3">
      <c r="E28" s="590"/>
      <c r="F28" s="590"/>
      <c r="G28" s="590"/>
      <c r="H28" s="590"/>
      <c r="I28" s="590"/>
      <c r="J28" s="590"/>
      <c r="K28" s="590"/>
      <c r="L28" s="590"/>
      <c r="M28" s="590"/>
      <c r="N28" s="590"/>
      <c r="O28" s="590"/>
      <c r="P28" s="590"/>
      <c r="Q28" s="590"/>
    </row>
    <row r="29" spans="2:17" x14ac:dyDescent="0.3">
      <c r="B29" s="589" t="s">
        <v>1762</v>
      </c>
      <c r="E29" s="592">
        <f>'Customers and Consumption'!F55*'Water Rate Projections'!E11</f>
        <v>4629031.72</v>
      </c>
      <c r="F29" s="592">
        <f>'Customers and Consumption'!G55*'Water Rate Projections'!$F$11</f>
        <v>5203558.1519999998</v>
      </c>
      <c r="G29" s="592">
        <f>'Customers and Consumption'!H55*'Water Rate Projections'!$F$11</f>
        <v>5200921.9228502996</v>
      </c>
      <c r="H29" s="592">
        <f>'Customers and Consumption'!I55*'Water Rate Projections'!$F$11</f>
        <v>5199537.1895898832</v>
      </c>
      <c r="I29" s="592">
        <f>'Customers and Consumption'!J55*'Water Rate Projections'!$F$11</f>
        <v>5197362.0573945856</v>
      </c>
      <c r="J29" s="592">
        <f>'Customers and Consumption'!K55*'Water Rate Projections'!$F$11</f>
        <v>5195078.6880915007</v>
      </c>
      <c r="K29" s="592">
        <f>'Customers and Consumption'!L55*'Water Rate Projections'!$F$11</f>
        <v>5192688.2184300134</v>
      </c>
      <c r="L29" s="592">
        <f>'Customers and Consumption'!M55*'Water Rate Projections'!$F$11</f>
        <v>5166724.7773378631</v>
      </c>
      <c r="M29" s="592">
        <f>'Customers and Consumption'!N55*'Water Rate Projections'!$F$11</f>
        <v>5140891.1534511736</v>
      </c>
      <c r="N29" s="592">
        <f>'Customers and Consumption'!O55*'Water Rate Projections'!$F$11</f>
        <v>5115186.6976839183</v>
      </c>
      <c r="O29" s="592">
        <f>'Customers and Consumption'!P55*'Water Rate Projections'!$F$11</f>
        <v>5089610.7641954981</v>
      </c>
      <c r="P29" s="592">
        <f>'Customers and Consumption'!Q55*'Water Rate Projections'!$F$11</f>
        <v>5064162.7103745202</v>
      </c>
      <c r="Q29" s="590"/>
    </row>
    <row r="30" spans="2:17" x14ac:dyDescent="0.3">
      <c r="B30" s="589" t="s">
        <v>1763</v>
      </c>
      <c r="E30" s="592">
        <f>'Customers and Consumption'!F56*'Water Rate Projections'!E12</f>
        <v>1987303.26</v>
      </c>
      <c r="F30" s="592">
        <f>'Customers and Consumption'!G56*'Water Rate Projections'!$F$12</f>
        <v>2098411.9194</v>
      </c>
      <c r="G30" s="592">
        <f>'Customers and Consumption'!H56*'Water Rate Projections'!$F$12</f>
        <v>2097348.8209376764</v>
      </c>
      <c r="H30" s="592">
        <f>'Customers and Consumption'!I56*'Water Rate Projections'!$F$12</f>
        <v>2096790.406734555</v>
      </c>
      <c r="I30" s="592">
        <f>'Customers and Consumption'!J56*'Water Rate Projections'!$F$12</f>
        <v>2095913.2524505907</v>
      </c>
      <c r="J30" s="592">
        <f>'Customers and Consumption'!K56*'Water Rate Projections'!$F$12</f>
        <v>2094992.4499492981</v>
      </c>
      <c r="K30" s="592">
        <f>'Customers and Consumption'!L56*'Water Rate Projections'!$F$12</f>
        <v>2094028.4576417073</v>
      </c>
      <c r="L30" s="592">
        <f>'Customers and Consumption'!M56*'Water Rate Projections'!$F$12</f>
        <v>2083558.3153534986</v>
      </c>
      <c r="M30" s="592">
        <f>'Customers and Consumption'!N56*'Water Rate Projections'!$F$12</f>
        <v>2073140.5237767305</v>
      </c>
      <c r="N30" s="592">
        <f>'Customers and Consumption'!O56*'Water Rate Projections'!$F$12</f>
        <v>2062774.8211578473</v>
      </c>
      <c r="O30" s="592">
        <f>'Customers and Consumption'!P56*'Water Rate Projections'!$F$12</f>
        <v>2052460.9470520581</v>
      </c>
      <c r="P30" s="592">
        <f>'Customers and Consumption'!Q56*'Water Rate Projections'!$F$12</f>
        <v>2042198.6423167977</v>
      </c>
      <c r="Q30" s="590"/>
    </row>
    <row r="31" spans="2:17" x14ac:dyDescent="0.3">
      <c r="B31" s="589" t="s">
        <v>1764</v>
      </c>
      <c r="E31" s="592">
        <f>'Customers and Consumption'!F57*'Water Rate Projections'!E13</f>
        <v>4267322.8</v>
      </c>
      <c r="F31" s="592">
        <f>'Customers and Consumption'!G57*'Water Rate Projections'!$F$13</f>
        <v>4553464.4868000001</v>
      </c>
      <c r="G31" s="592">
        <f>'Customers and Consumption'!H57*'Water Rate Projections'!$F$13</f>
        <v>4551157.6084176349</v>
      </c>
      <c r="H31" s="592">
        <f>'Customers and Consumption'!I57*'Water Rate Projections'!$F$13</f>
        <v>4549945.8733815672</v>
      </c>
      <c r="I31" s="592">
        <f>'Customers and Consumption'!J57*'Water Rate Projections'!$F$13</f>
        <v>4548042.485946265</v>
      </c>
      <c r="J31" s="592">
        <f>'Customers and Consumption'!K57*'Water Rate Projections'!$F$13</f>
        <v>4546044.3837384805</v>
      </c>
      <c r="K31" s="592">
        <f>'Customers and Consumption'!L57*'Water Rate Projections'!$F$13</f>
        <v>4543952.5614906261</v>
      </c>
      <c r="L31" s="592">
        <f>'Customers and Consumption'!M57*'Water Rate Projections'!$F$13</f>
        <v>4521232.798683173</v>
      </c>
      <c r="M31" s="592">
        <f>'Customers and Consumption'!N57*'Water Rate Projections'!$F$13</f>
        <v>4498626.6346897567</v>
      </c>
      <c r="N31" s="592">
        <f>'Customers and Consumption'!O57*'Water Rate Projections'!$F$13</f>
        <v>4476133.5015163077</v>
      </c>
      <c r="O31" s="592">
        <f>'Customers and Consumption'!P57*'Water Rate Projections'!$F$13</f>
        <v>4453752.8340087263</v>
      </c>
      <c r="P31" s="592">
        <f>'Customers and Consumption'!Q57*'Water Rate Projections'!$F$13</f>
        <v>4431484.0698386822</v>
      </c>
      <c r="Q31" s="590"/>
    </row>
    <row r="32" spans="2:17" x14ac:dyDescent="0.3">
      <c r="B32" s="593" t="s">
        <v>1740</v>
      </c>
      <c r="C32" s="593"/>
      <c r="D32" s="593"/>
      <c r="E32" s="594">
        <f>SUM(E29:E31)</f>
        <v>10883657.779999999</v>
      </c>
      <c r="F32" s="594">
        <f t="shared" ref="F32" si="16">SUM(F29:F31)</f>
        <v>11855434.5582</v>
      </c>
      <c r="G32" s="594">
        <f t="shared" ref="G32" si="17">SUM(G29:G31)</f>
        <v>11849428.352205612</v>
      </c>
      <c r="H32" s="594">
        <f t="shared" ref="H32" si="18">SUM(H29:H31)</f>
        <v>11846273.469706006</v>
      </c>
      <c r="I32" s="594">
        <f t="shared" ref="I32" si="19">SUM(I29:I31)</f>
        <v>11841317.795791442</v>
      </c>
      <c r="J32" s="594">
        <f t="shared" ref="J32" si="20">SUM(J29:J31)</f>
        <v>11836115.52177928</v>
      </c>
      <c r="K32" s="594">
        <f t="shared" ref="K32" si="21">SUM(K29:K31)</f>
        <v>11830669.237562347</v>
      </c>
      <c r="L32" s="594">
        <f t="shared" ref="L32" si="22">SUM(L29:L31)</f>
        <v>11771515.891374536</v>
      </c>
      <c r="M32" s="594">
        <f t="shared" ref="M32" si="23">SUM(M29:M31)</f>
        <v>11712658.311917661</v>
      </c>
      <c r="N32" s="594">
        <f t="shared" ref="N32" si="24">SUM(N29:N31)</f>
        <v>11654095.020358074</v>
      </c>
      <c r="O32" s="594">
        <f t="shared" ref="O32" si="25">SUM(O29:O31)</f>
        <v>11595824.545256283</v>
      </c>
      <c r="P32" s="594">
        <f t="shared" ref="P32" si="26">SUM(P29:P31)</f>
        <v>11537845.422529999</v>
      </c>
      <c r="Q32" s="590"/>
    </row>
    <row r="33" spans="2:17" x14ac:dyDescent="0.3">
      <c r="E33" s="590"/>
      <c r="F33" s="590"/>
      <c r="G33" s="590"/>
      <c r="H33" s="590"/>
      <c r="I33" s="590"/>
      <c r="J33" s="590"/>
      <c r="K33" s="590"/>
      <c r="L33" s="590"/>
      <c r="M33" s="590"/>
      <c r="N33" s="590"/>
      <c r="O33" s="590"/>
      <c r="P33" s="590"/>
      <c r="Q33" s="590"/>
    </row>
    <row r="34" spans="2:17" x14ac:dyDescent="0.3">
      <c r="B34" s="589" t="s">
        <v>1736</v>
      </c>
      <c r="E34" s="590"/>
      <c r="F34" s="590"/>
      <c r="G34" s="590"/>
      <c r="H34" s="590"/>
      <c r="I34" s="590"/>
      <c r="J34" s="590"/>
      <c r="K34" s="590"/>
      <c r="L34" s="590"/>
      <c r="M34" s="590"/>
      <c r="N34" s="590"/>
      <c r="O34" s="590"/>
      <c r="P34" s="590"/>
      <c r="Q34" s="590"/>
    </row>
    <row r="35" spans="2:17" x14ac:dyDescent="0.3">
      <c r="B35" s="589" t="s">
        <v>1725</v>
      </c>
      <c r="E35" s="592">
        <f>E17*'Customers and Consumption'!F43*6</f>
        <v>71658</v>
      </c>
      <c r="F35" s="592">
        <f>$F$17*'Customers and Consumption'!G43*6</f>
        <v>72306</v>
      </c>
      <c r="G35" s="592">
        <f>$F$17*'Customers and Consumption'!H43*6</f>
        <v>72306</v>
      </c>
      <c r="H35" s="592">
        <f>$F$17*'Customers and Consumption'!I43*6</f>
        <v>72306</v>
      </c>
      <c r="I35" s="592">
        <f>$F$17*'Customers and Consumption'!J43*6</f>
        <v>72306</v>
      </c>
      <c r="J35" s="592">
        <f>$F$17*'Customers and Consumption'!K43*6</f>
        <v>72306</v>
      </c>
      <c r="K35" s="592">
        <f>$F$17*'Customers and Consumption'!L43*6</f>
        <v>72306</v>
      </c>
      <c r="L35" s="592">
        <f>$F$17*'Customers and Consumption'!M43*6</f>
        <v>72306</v>
      </c>
      <c r="M35" s="592">
        <f>$F$17*'Customers and Consumption'!N43*6</f>
        <v>72306</v>
      </c>
      <c r="N35" s="592">
        <f>$F$17*'Customers and Consumption'!O43*6</f>
        <v>72306</v>
      </c>
      <c r="O35" s="592">
        <f>$F$17*'Customers and Consumption'!P43*6</f>
        <v>72306</v>
      </c>
      <c r="P35" s="592">
        <f>$F$17*'Customers and Consumption'!Q43*6</f>
        <v>72306</v>
      </c>
      <c r="Q35" s="590"/>
    </row>
    <row r="36" spans="2:17" x14ac:dyDescent="0.3">
      <c r="E36" s="590"/>
      <c r="F36" s="590"/>
      <c r="G36" s="590"/>
      <c r="H36" s="590"/>
      <c r="I36" s="590"/>
      <c r="J36" s="590"/>
      <c r="K36" s="590"/>
      <c r="L36" s="590"/>
      <c r="M36" s="590"/>
      <c r="N36" s="590"/>
      <c r="O36" s="590"/>
      <c r="P36" s="590"/>
      <c r="Q36" s="590"/>
    </row>
    <row r="37" spans="2:17" x14ac:dyDescent="0.3">
      <c r="B37" s="589" t="s">
        <v>1762</v>
      </c>
      <c r="E37" s="592">
        <f>'Customers and Consumption'!F62*'Water Rate Projections'!E19</f>
        <v>503698.29000000004</v>
      </c>
      <c r="F37" s="592">
        <f>'Customers and Consumption'!G62*'Water Rate Projections'!$F$19</f>
        <v>555612.48539999989</v>
      </c>
      <c r="G37" s="592">
        <f>'Customers and Consumption'!H62*'Water Rate Projections'!$F$19</f>
        <v>552834.42297299998</v>
      </c>
      <c r="H37" s="592">
        <f>'Customers and Consumption'!I62*'Water Rate Projections'!$F$19</f>
        <v>550070.25085813506</v>
      </c>
      <c r="I37" s="592">
        <f>'Customers and Consumption'!J62*'Water Rate Projections'!$F$19</f>
        <v>547319.89960384427</v>
      </c>
      <c r="J37" s="592">
        <f>'Customers and Consumption'!K62*'Water Rate Projections'!$F$19</f>
        <v>544583.30010582507</v>
      </c>
      <c r="K37" s="592">
        <f>'Customers and Consumption'!L62*'Water Rate Projections'!$F$19</f>
        <v>541860.38360529591</v>
      </c>
      <c r="L37" s="592">
        <f>'Customers and Consumption'!M62*'Water Rate Projections'!$F$19</f>
        <v>539151.0816872695</v>
      </c>
      <c r="M37" s="592">
        <f>'Customers and Consumption'!N62*'Water Rate Projections'!$F$19</f>
        <v>536455.32627883309</v>
      </c>
      <c r="N37" s="592">
        <f>'Customers and Consumption'!O62*'Water Rate Projections'!$F$19</f>
        <v>533773.04964743892</v>
      </c>
      <c r="O37" s="592">
        <f>'Customers and Consumption'!P62*'Water Rate Projections'!$F$19</f>
        <v>531104.18439920177</v>
      </c>
      <c r="P37" s="592">
        <f>'Customers and Consumption'!Q62*'Water Rate Projections'!$F$19</f>
        <v>528448.66347720567</v>
      </c>
      <c r="Q37" s="590"/>
    </row>
    <row r="38" spans="2:17" x14ac:dyDescent="0.3">
      <c r="B38" s="589" t="s">
        <v>1763</v>
      </c>
      <c r="E38" s="592">
        <f>'Customers and Consumption'!F63*'Water Rate Projections'!E20</f>
        <v>216609.27</v>
      </c>
      <c r="F38" s="592">
        <f>'Customers and Consumption'!G63*'Water Rate Projections'!$F$20</f>
        <v>229983.63959999999</v>
      </c>
      <c r="G38" s="592">
        <f>'Customers and Consumption'!H63*'Water Rate Projections'!$F$20</f>
        <v>228833.721402</v>
      </c>
      <c r="H38" s="592">
        <f>'Customers and Consumption'!I63*'Water Rate Projections'!$F$20</f>
        <v>227689.55279499001</v>
      </c>
      <c r="I38" s="592">
        <f>'Customers and Consumption'!J63*'Water Rate Projections'!$F$20</f>
        <v>226551.10503101506</v>
      </c>
      <c r="J38" s="592">
        <f>'Customers and Consumption'!K63*'Water Rate Projections'!$F$20</f>
        <v>225418.34950585998</v>
      </c>
      <c r="K38" s="592">
        <f>'Customers and Consumption'!L63*'Water Rate Projections'!$F$20</f>
        <v>224291.2577583307</v>
      </c>
      <c r="L38" s="592">
        <f>'Customers and Consumption'!M63*'Water Rate Projections'!$F$20</f>
        <v>223169.80146953906</v>
      </c>
      <c r="M38" s="592">
        <f>'Customers and Consumption'!N63*'Water Rate Projections'!$F$20</f>
        <v>222053.95246219134</v>
      </c>
      <c r="N38" s="592">
        <f>'Customers and Consumption'!O63*'Water Rate Projections'!$F$20</f>
        <v>220943.68269988036</v>
      </c>
      <c r="O38" s="592">
        <f>'Customers and Consumption'!P63*'Water Rate Projections'!$F$20</f>
        <v>219838.96428638097</v>
      </c>
      <c r="P38" s="592">
        <f>'Customers and Consumption'!Q63*'Water Rate Projections'!$F$20</f>
        <v>218739.76946494903</v>
      </c>
      <c r="Q38" s="590"/>
    </row>
    <row r="39" spans="2:17" x14ac:dyDescent="0.3">
      <c r="B39" s="589" t="s">
        <v>1764</v>
      </c>
      <c r="E39" s="592">
        <f>'Customers and Consumption'!F64*'Water Rate Projections'!E21</f>
        <v>371874.72000000003</v>
      </c>
      <c r="F39" s="592">
        <f>'Customers and Consumption'!G64*'Water Rate Projections'!$F$21</f>
        <v>363882.65340000001</v>
      </c>
      <c r="G39" s="592">
        <f>'Customers and Consumption'!H64*'Water Rate Projections'!$F$21</f>
        <v>362063.24013300001</v>
      </c>
      <c r="H39" s="592">
        <f>'Customers and Consumption'!I64*'Water Rate Projections'!$F$21</f>
        <v>360252.92393233505</v>
      </c>
      <c r="I39" s="592">
        <f>'Customers and Consumption'!J64*'Water Rate Projections'!$F$21</f>
        <v>358451.65931267338</v>
      </c>
      <c r="J39" s="592">
        <f>'Customers and Consumption'!K64*'Water Rate Projections'!$F$21</f>
        <v>356659.40101610997</v>
      </c>
      <c r="K39" s="592">
        <f>'Customers and Consumption'!L64*'Water Rate Projections'!$F$21</f>
        <v>354876.10401102947</v>
      </c>
      <c r="L39" s="592">
        <f>'Customers and Consumption'!M64*'Water Rate Projections'!$F$21</f>
        <v>353101.72349097428</v>
      </c>
      <c r="M39" s="592">
        <f>'Customers and Consumption'!N64*'Water Rate Projections'!$F$21</f>
        <v>351336.21487351944</v>
      </c>
      <c r="N39" s="592">
        <f>'Customers and Consumption'!O64*'Water Rate Projections'!$F$21</f>
        <v>349579.53379915183</v>
      </c>
      <c r="O39" s="592">
        <f>'Customers and Consumption'!P64*'Water Rate Projections'!$F$21</f>
        <v>347831.63613015605</v>
      </c>
      <c r="P39" s="592">
        <f>'Customers and Consumption'!Q64*'Water Rate Projections'!$F$21</f>
        <v>346092.47794950526</v>
      </c>
      <c r="Q39" s="590"/>
    </row>
    <row r="40" spans="2:17" x14ac:dyDescent="0.3">
      <c r="B40" s="593" t="s">
        <v>1745</v>
      </c>
      <c r="C40" s="593"/>
      <c r="D40" s="593"/>
      <c r="E40" s="594">
        <f>SUM(E37:E39)</f>
        <v>1092182.28</v>
      </c>
      <c r="F40" s="594">
        <f t="shared" ref="F40" si="27">SUM(F37:F39)</f>
        <v>1149478.7784</v>
      </c>
      <c r="G40" s="594">
        <f t="shared" ref="G40" si="28">SUM(G37:G39)</f>
        <v>1143731.384508</v>
      </c>
      <c r="H40" s="594">
        <f t="shared" ref="H40" si="29">SUM(H37:H39)</f>
        <v>1138012.7275854601</v>
      </c>
      <c r="I40" s="594">
        <f t="shared" ref="I40" si="30">SUM(I37:I39)</f>
        <v>1132322.6639475327</v>
      </c>
      <c r="J40" s="594">
        <f t="shared" ref="J40" si="31">SUM(J37:J39)</f>
        <v>1126661.050627795</v>
      </c>
      <c r="K40" s="594">
        <f t="shared" ref="K40" si="32">SUM(K37:K39)</f>
        <v>1121027.745374656</v>
      </c>
      <c r="L40" s="594">
        <f t="shared" ref="L40" si="33">SUM(L37:L39)</f>
        <v>1115422.606647783</v>
      </c>
      <c r="M40" s="594">
        <f t="shared" ref="M40" si="34">SUM(M37:M39)</f>
        <v>1109845.4936145439</v>
      </c>
      <c r="N40" s="594">
        <f t="shared" ref="N40" si="35">SUM(N37:N39)</f>
        <v>1104296.266146471</v>
      </c>
      <c r="O40" s="594">
        <f t="shared" ref="O40" si="36">SUM(O37:O39)</f>
        <v>1098774.7848157387</v>
      </c>
      <c r="P40" s="594">
        <f t="shared" ref="P40" si="37">SUM(P37:P39)</f>
        <v>1093280.91089166</v>
      </c>
      <c r="Q40" s="590"/>
    </row>
    <row r="41" spans="2:17" x14ac:dyDescent="0.3">
      <c r="E41" s="590"/>
      <c r="F41" s="590"/>
      <c r="G41" s="590"/>
      <c r="H41" s="590"/>
      <c r="I41" s="590"/>
      <c r="J41" s="590"/>
      <c r="K41" s="590"/>
      <c r="L41" s="590"/>
      <c r="M41" s="590"/>
      <c r="N41" s="590"/>
      <c r="O41" s="590"/>
      <c r="P41" s="590"/>
      <c r="Q41" s="590"/>
    </row>
    <row r="42" spans="2:17" x14ac:dyDescent="0.3">
      <c r="B42" s="91" t="s">
        <v>38</v>
      </c>
      <c r="C42" s="91"/>
      <c r="D42" s="91"/>
      <c r="E42" s="592">
        <f>E32</f>
        <v>10883657.779999999</v>
      </c>
      <c r="F42" s="592">
        <f t="shared" ref="F42:P42" si="38">F32</f>
        <v>11855434.5582</v>
      </c>
      <c r="G42" s="592">
        <f t="shared" si="38"/>
        <v>11849428.352205612</v>
      </c>
      <c r="H42" s="592">
        <f>H32</f>
        <v>11846273.469706006</v>
      </c>
      <c r="I42" s="592">
        <f t="shared" si="38"/>
        <v>11841317.795791442</v>
      </c>
      <c r="J42" s="592">
        <f t="shared" si="38"/>
        <v>11836115.52177928</v>
      </c>
      <c r="K42" s="592">
        <f t="shared" si="38"/>
        <v>11830669.237562347</v>
      </c>
      <c r="L42" s="592">
        <f t="shared" si="38"/>
        <v>11771515.891374536</v>
      </c>
      <c r="M42" s="592">
        <f t="shared" si="38"/>
        <v>11712658.311917661</v>
      </c>
      <c r="N42" s="592">
        <f t="shared" si="38"/>
        <v>11654095.020358074</v>
      </c>
      <c r="O42" s="592">
        <f t="shared" si="38"/>
        <v>11595824.545256283</v>
      </c>
      <c r="P42" s="592">
        <f t="shared" si="38"/>
        <v>11537845.422529999</v>
      </c>
      <c r="Q42" s="590"/>
    </row>
    <row r="43" spans="2:17" x14ac:dyDescent="0.3">
      <c r="B43" s="91" t="s">
        <v>39</v>
      </c>
      <c r="C43" s="91"/>
      <c r="D43" s="91"/>
      <c r="E43" s="592">
        <f>E40</f>
        <v>1092182.28</v>
      </c>
      <c r="F43" s="592">
        <f t="shared" ref="F43:P43" si="39">F40</f>
        <v>1149478.7784</v>
      </c>
      <c r="G43" s="592">
        <f t="shared" si="39"/>
        <v>1143731.384508</v>
      </c>
      <c r="H43" s="592">
        <f>H40</f>
        <v>1138012.7275854601</v>
      </c>
      <c r="I43" s="592">
        <f>I40</f>
        <v>1132322.6639475327</v>
      </c>
      <c r="J43" s="592">
        <f t="shared" si="39"/>
        <v>1126661.050627795</v>
      </c>
      <c r="K43" s="592">
        <f t="shared" si="39"/>
        <v>1121027.745374656</v>
      </c>
      <c r="L43" s="592">
        <f t="shared" si="39"/>
        <v>1115422.606647783</v>
      </c>
      <c r="M43" s="592">
        <f t="shared" si="39"/>
        <v>1109845.4936145439</v>
      </c>
      <c r="N43" s="592">
        <f t="shared" si="39"/>
        <v>1104296.266146471</v>
      </c>
      <c r="O43" s="592">
        <f t="shared" si="39"/>
        <v>1098774.7848157387</v>
      </c>
      <c r="P43" s="592">
        <f t="shared" si="39"/>
        <v>1093280.91089166</v>
      </c>
      <c r="Q43" s="590"/>
    </row>
    <row r="44" spans="2:17" x14ac:dyDescent="0.3">
      <c r="B44" s="91" t="s">
        <v>40</v>
      </c>
      <c r="C44" s="91"/>
      <c r="D44" s="91"/>
      <c r="E44" s="592">
        <f>E23*'Customers and Consumption'!F68</f>
        <v>88710.56</v>
      </c>
      <c r="F44" s="592">
        <f>$F$23*'Customers and Consumption'!G68</f>
        <v>102588.05999999998</v>
      </c>
      <c r="G44" s="592">
        <f>$F$23*'Customers and Consumption'!H68</f>
        <v>102075.11969999998</v>
      </c>
      <c r="H44" s="592">
        <f>$F$23*'Customers and Consumption'!I68</f>
        <v>101564.74410149998</v>
      </c>
      <c r="I44" s="592">
        <f>$F$23*'Customers and Consumption'!J68</f>
        <v>101056.92038099248</v>
      </c>
      <c r="J44" s="592">
        <f>$F$23*'Customers and Consumption'!K68</f>
        <v>100551.63577908752</v>
      </c>
      <c r="K44" s="592">
        <f>$F$23*'Customers and Consumption'!L68</f>
        <v>100048.87760019208</v>
      </c>
      <c r="L44" s="592">
        <f>$F$23*'Customers and Consumption'!M68</f>
        <v>99548.633212191111</v>
      </c>
      <c r="M44" s="592">
        <f>$F$23*'Customers and Consumption'!N68</f>
        <v>99050.890046130153</v>
      </c>
      <c r="N44" s="592">
        <f>$F$23*'Customers and Consumption'!O68</f>
        <v>98555.635595899512</v>
      </c>
      <c r="O44" s="592">
        <f>$F$23*'Customers and Consumption'!P68</f>
        <v>98062.857417920008</v>
      </c>
      <c r="P44" s="592">
        <f>$F$23*'Customers and Consumption'!Q68</f>
        <v>97572.543130830411</v>
      </c>
      <c r="Q44" s="590"/>
    </row>
    <row r="45" spans="2:17" x14ac:dyDescent="0.3">
      <c r="B45" s="91" t="s">
        <v>47</v>
      </c>
      <c r="C45" s="91"/>
      <c r="D45" s="91"/>
      <c r="E45" s="592">
        <f>E35+E27</f>
        <v>1301670</v>
      </c>
      <c r="F45" s="592">
        <f t="shared" ref="F45:P45" si="40">F35+F27</f>
        <v>1303938</v>
      </c>
      <c r="G45" s="592">
        <f t="shared" si="40"/>
        <v>1309500</v>
      </c>
      <c r="H45" s="592">
        <f>H35+H27</f>
        <v>1315386</v>
      </c>
      <c r="I45" s="592">
        <f t="shared" si="40"/>
        <v>1321110</v>
      </c>
      <c r="J45" s="592">
        <f t="shared" si="40"/>
        <v>1326834</v>
      </c>
      <c r="K45" s="592">
        <f t="shared" si="40"/>
        <v>1332558</v>
      </c>
      <c r="L45" s="592">
        <f t="shared" si="40"/>
        <v>1332558</v>
      </c>
      <c r="M45" s="592">
        <f t="shared" si="40"/>
        <v>1332558</v>
      </c>
      <c r="N45" s="592">
        <f t="shared" si="40"/>
        <v>1332558</v>
      </c>
      <c r="O45" s="592">
        <f t="shared" si="40"/>
        <v>1332558</v>
      </c>
      <c r="P45" s="592">
        <f t="shared" si="40"/>
        <v>1332558</v>
      </c>
      <c r="Q45" s="590"/>
    </row>
    <row r="46" spans="2:17" x14ac:dyDescent="0.3">
      <c r="B46" s="593" t="s">
        <v>1746</v>
      </c>
      <c r="C46" s="593"/>
      <c r="D46" s="593"/>
      <c r="E46" s="594">
        <f>SUM(E42:E45)</f>
        <v>13366220.619999999</v>
      </c>
      <c r="F46" s="594">
        <f t="shared" ref="F46:P46" si="41">SUM(F42:F45)</f>
        <v>14411439.396600001</v>
      </c>
      <c r="G46" s="594">
        <f t="shared" si="41"/>
        <v>14404734.856413612</v>
      </c>
      <c r="H46" s="594">
        <f>SUM(H42:H45)</f>
        <v>14401236.941392967</v>
      </c>
      <c r="I46" s="594">
        <f t="shared" si="41"/>
        <v>14395807.380119966</v>
      </c>
      <c r="J46" s="594">
        <f t="shared" si="41"/>
        <v>14390162.208186163</v>
      </c>
      <c r="K46" s="594">
        <f t="shared" si="41"/>
        <v>14384303.860537194</v>
      </c>
      <c r="L46" s="594">
        <f t="shared" si="41"/>
        <v>14319045.13123451</v>
      </c>
      <c r="M46" s="594">
        <f t="shared" si="41"/>
        <v>14254112.695578335</v>
      </c>
      <c r="N46" s="594">
        <f t="shared" si="41"/>
        <v>14189504.922100445</v>
      </c>
      <c r="O46" s="594">
        <f t="shared" si="41"/>
        <v>14125220.187489942</v>
      </c>
      <c r="P46" s="594">
        <f t="shared" si="41"/>
        <v>14061256.876552489</v>
      </c>
      <c r="Q46" s="590"/>
    </row>
    <row r="47" spans="2:17" x14ac:dyDescent="0.3">
      <c r="B47" s="842" t="s">
        <v>1987</v>
      </c>
      <c r="C47" s="593"/>
      <c r="D47" s="593"/>
      <c r="E47" s="606"/>
      <c r="F47" s="606"/>
      <c r="G47" s="843">
        <f>(G46-F46)/F46</f>
        <v>-4.6522349377329912E-4</v>
      </c>
      <c r="H47" s="843">
        <f t="shared" ref="H47" si="42">(H46-G46)/G46</f>
        <v>-2.4283092021560129E-4</v>
      </c>
      <c r="I47" s="843">
        <f t="shared" ref="I47" si="43">(I46-H46)/H46</f>
        <v>-3.7702048060851896E-4</v>
      </c>
      <c r="J47" s="843">
        <f t="shared" ref="J47" si="44">(J46-I46)/I46</f>
        <v>-3.9214000192857982E-4</v>
      </c>
      <c r="K47" s="843">
        <f t="shared" ref="K47" si="45">(K46-J46)/J46</f>
        <v>-4.0710782576420639E-4</v>
      </c>
      <c r="L47" s="843">
        <f t="shared" ref="L47" si="46">(L46-K46)/K46</f>
        <v>-4.5368013589951166E-3</v>
      </c>
      <c r="M47" s="843">
        <f t="shared" ref="M47" si="47">(M46-L46)/L46</f>
        <v>-4.5346903415044194E-3</v>
      </c>
      <c r="N47" s="843">
        <f t="shared" ref="N47" si="48">(N46-M46)/M46</f>
        <v>-4.5325706943464186E-3</v>
      </c>
      <c r="O47" s="843">
        <f t="shared" ref="O47" si="49">(O46-N46)/N46</f>
        <v>-4.5304423912901105E-3</v>
      </c>
      <c r="P47" s="843">
        <f t="shared" ref="P47" si="50">(P46-O46)/O46</f>
        <v>-4.5283054061063368E-3</v>
      </c>
      <c r="Q47" s="590"/>
    </row>
    <row r="48" spans="2:17" x14ac:dyDescent="0.3">
      <c r="B48" s="889"/>
      <c r="C48" s="890"/>
      <c r="D48" s="890"/>
      <c r="E48" s="891"/>
      <c r="F48" s="891"/>
      <c r="G48" s="892"/>
      <c r="H48" s="892"/>
      <c r="I48" s="892"/>
      <c r="J48" s="892"/>
      <c r="K48" s="892"/>
      <c r="L48" s="892"/>
      <c r="M48" s="892"/>
      <c r="N48" s="892"/>
      <c r="O48" s="892"/>
      <c r="P48" s="892"/>
      <c r="Q48" s="590"/>
    </row>
    <row r="49" spans="2:17" s="898" customFormat="1" x14ac:dyDescent="0.3">
      <c r="B49" s="893"/>
      <c r="C49" s="894"/>
      <c r="D49" s="894"/>
      <c r="E49" s="895"/>
      <c r="F49" s="895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7"/>
    </row>
    <row r="50" spans="2:17" x14ac:dyDescent="0.3">
      <c r="B50" s="1313" t="s">
        <v>1744</v>
      </c>
      <c r="C50" s="1313"/>
      <c r="D50" s="1313"/>
      <c r="E50" s="1313"/>
      <c r="F50" s="1313"/>
      <c r="G50" s="1313"/>
      <c r="H50" s="1313"/>
      <c r="I50" s="1313"/>
      <c r="J50" s="1313"/>
      <c r="K50" s="1313"/>
      <c r="L50" s="1313"/>
      <c r="M50" s="1313"/>
      <c r="N50" s="1313"/>
      <c r="O50" s="1313"/>
      <c r="P50" s="1313"/>
      <c r="Q50" s="590"/>
    </row>
    <row r="51" spans="2:17" x14ac:dyDescent="0.3">
      <c r="B51" s="589" t="s">
        <v>1735</v>
      </c>
      <c r="E51" s="590"/>
      <c r="F51" s="590"/>
      <c r="G51" s="590"/>
      <c r="H51" s="590"/>
      <c r="I51" s="590"/>
      <c r="J51" s="590"/>
      <c r="K51" s="590"/>
      <c r="L51" s="590"/>
      <c r="M51" s="590"/>
      <c r="N51" s="590"/>
      <c r="O51" s="590"/>
      <c r="P51" s="590"/>
      <c r="Q51" s="590"/>
    </row>
    <row r="52" spans="2:17" x14ac:dyDescent="0.3">
      <c r="B52" s="589" t="s">
        <v>1725</v>
      </c>
      <c r="E52" s="592">
        <f>E9*'Customers and Consumption'!F32*6</f>
        <v>1230012</v>
      </c>
      <c r="F52" s="592">
        <f>F9*'Customers and Consumption'!G32*6</f>
        <v>1231632</v>
      </c>
      <c r="G52" s="592">
        <f>G9*'Customers and Consumption'!H32*6</f>
        <v>1237194</v>
      </c>
      <c r="H52" s="592">
        <f>H9*'Customers and Consumption'!I32*6</f>
        <v>1305234.0000000002</v>
      </c>
      <c r="I52" s="592">
        <f>I9*'Customers and Consumption'!J32*6</f>
        <v>1376806.4100000001</v>
      </c>
      <c r="J52" s="592">
        <f>J9*'Customers and Consumption'!K32*6</f>
        <v>1452272.9760000003</v>
      </c>
      <c r="K52" s="592">
        <f>K9*'Customers and Consumption'!L32*6</f>
        <v>1531844.1825750005</v>
      </c>
      <c r="L52" s="592">
        <f>L9*'Customers and Consumption'!M32*6</f>
        <v>1531844.1825750005</v>
      </c>
      <c r="M52" s="592">
        <f>M9*'Customers and Consumption'!N32*6</f>
        <v>1531844.1825750005</v>
      </c>
      <c r="N52" s="592">
        <f>N9*'Customers and Consumption'!O32*6</f>
        <v>1531844.1825750005</v>
      </c>
      <c r="O52" s="592">
        <f>O9*'Customers and Consumption'!P32*6</f>
        <v>1531844.1825750005</v>
      </c>
      <c r="P52" s="592">
        <f>P9*'Customers and Consumption'!Q32*6</f>
        <v>1531844.1825750005</v>
      </c>
      <c r="Q52" s="590"/>
    </row>
    <row r="53" spans="2:17" x14ac:dyDescent="0.3">
      <c r="E53" s="592"/>
      <c r="F53" s="592"/>
      <c r="G53" s="592"/>
      <c r="H53" s="592"/>
      <c r="I53" s="592"/>
      <c r="J53" s="592"/>
      <c r="K53" s="592"/>
      <c r="L53" s="592"/>
      <c r="M53" s="592"/>
      <c r="N53" s="592"/>
      <c r="O53" s="592"/>
      <c r="P53" s="592"/>
      <c r="Q53" s="590"/>
    </row>
    <row r="54" spans="2:17" x14ac:dyDescent="0.3">
      <c r="B54" s="589" t="s">
        <v>1762</v>
      </c>
      <c r="E54" s="592">
        <f>E11*'Customers and Consumption'!F55</f>
        <v>4629031.72</v>
      </c>
      <c r="F54" s="592">
        <f>F11*'Customers and Consumption'!G55</f>
        <v>5203558.1519999998</v>
      </c>
      <c r="G54" s="592">
        <f>F11*(1+$G$4)*'Customers and Consumption'!H55*$G$5/12+G11*'Customers and Consumption'!H55*(12-$G$5)/12</f>
        <v>5548128.6421048054</v>
      </c>
      <c r="H54" s="592">
        <f>H11*'Customers and Consumption'!I55</f>
        <v>5896275.1729949275</v>
      </c>
      <c r="I54" s="592">
        <f>I11*'Customers and Consumption'!J55</f>
        <v>6188499.0017397339</v>
      </c>
      <c r="J54" s="592">
        <f>J11*'Customers and Consumption'!K55</f>
        <v>6495069.2036060784</v>
      </c>
      <c r="K54" s="592">
        <f>K11*'Customers and Consumption'!L55</f>
        <v>6816684.5825072909</v>
      </c>
      <c r="L54" s="592">
        <f>L11*'Customers and Consumption'!M55</f>
        <v>6782601.1595947547</v>
      </c>
      <c r="M54" s="592">
        <f>M11*'Customers and Consumption'!N55</f>
        <v>6748688.1537967799</v>
      </c>
      <c r="N54" s="592">
        <f>N11*'Customers and Consumption'!O55</f>
        <v>6714944.7130277967</v>
      </c>
      <c r="O54" s="592">
        <f>O11*'Customers and Consumption'!P55</f>
        <v>6681369.9894626578</v>
      </c>
      <c r="P54" s="592">
        <f>P11*'Customers and Consumption'!Q55</f>
        <v>6647963.1395153441</v>
      </c>
      <c r="Q54" s="590"/>
    </row>
    <row r="55" spans="2:17" x14ac:dyDescent="0.3">
      <c r="B55" s="589" t="s">
        <v>1763</v>
      </c>
      <c r="E55" s="592">
        <f>E12*'Customers and Consumption'!F56</f>
        <v>1987303.26</v>
      </c>
      <c r="F55" s="592">
        <f>F12*'Customers and Consumption'!G56</f>
        <v>2098411.9194</v>
      </c>
      <c r="G55" s="592">
        <f>F12*(1+$G$4)*'Customers and Consumption'!H56*$G$5/12+G12*'Customers and Consumption'!H56*(12-$G$5)/12</f>
        <v>2237365.0746042933</v>
      </c>
      <c r="H55" s="592">
        <f>H12*'Customers and Consumption'!I56</f>
        <v>2377760.3212369857</v>
      </c>
      <c r="I55" s="592">
        <f>I12*'Customers and Consumption'!J56</f>
        <v>2495603.9096929184</v>
      </c>
      <c r="J55" s="592">
        <f>J12*'Customers and Consumption'!K56</f>
        <v>2619232.885662361</v>
      </c>
      <c r="K55" s="592">
        <f>K12*'Customers and Consumption'!L56</f>
        <v>2748929.0521766646</v>
      </c>
      <c r="L55" s="592">
        <f>L12*'Customers and Consumption'!M56</f>
        <v>2735184.4069157811</v>
      </c>
      <c r="M55" s="592">
        <f>M12*'Customers and Consumption'!N56</f>
        <v>2721508.4848812018</v>
      </c>
      <c r="N55" s="592">
        <f>N12*'Customers and Consumption'!O56</f>
        <v>2707900.9424567958</v>
      </c>
      <c r="O55" s="592">
        <f>O12*'Customers and Consumption'!P56</f>
        <v>2694361.4377445122</v>
      </c>
      <c r="P55" s="592">
        <f>P12*'Customers and Consumption'!Q56</f>
        <v>2680889.6305557895</v>
      </c>
      <c r="Q55" s="590"/>
    </row>
    <row r="56" spans="2:17" x14ac:dyDescent="0.3">
      <c r="B56" s="589" t="s">
        <v>1764</v>
      </c>
      <c r="E56" s="592">
        <f>E13*'Customers and Consumption'!F57</f>
        <v>4267322.8</v>
      </c>
      <c r="F56" s="592">
        <f>F13*'Customers and Consumption'!G57</f>
        <v>4553464.4868000001</v>
      </c>
      <c r="G56" s="592">
        <f>F13*(1+$G$4)*'Customers and Consumption'!H57*$G$5/12+G13*'Customers and Consumption'!H57*(12-$G$5)/12</f>
        <v>4854986.9151192559</v>
      </c>
      <c r="H56" s="592">
        <f>H13*'Customers and Consumption'!I57</f>
        <v>5159638.6204146985</v>
      </c>
      <c r="I56" s="592">
        <f>I13*'Customers and Consumption'!J57</f>
        <v>5415354.1880162181</v>
      </c>
      <c r="J56" s="592">
        <f>J13*'Customers and Consumption'!K57</f>
        <v>5683623.8001032807</v>
      </c>
      <c r="K56" s="592">
        <f>K13*'Customers and Consumption'!L57</f>
        <v>5965058.9572509956</v>
      </c>
      <c r="L56" s="592">
        <f>L13*'Customers and Consumption'!M57</f>
        <v>5935233.6624647407</v>
      </c>
      <c r="M56" s="592">
        <f>M13*'Customers and Consumption'!N57</f>
        <v>5905557.4941524155</v>
      </c>
      <c r="N56" s="592">
        <f>N13*'Customers and Consumption'!O57</f>
        <v>5876029.7066816539</v>
      </c>
      <c r="O56" s="592">
        <f>O13*'Customers and Consumption'!P57</f>
        <v>5846649.5581482463</v>
      </c>
      <c r="P56" s="592">
        <f>P13*'Customers and Consumption'!Q57</f>
        <v>5817416.3103575045</v>
      </c>
    </row>
    <row r="57" spans="2:17" x14ac:dyDescent="0.3">
      <c r="B57" s="593" t="s">
        <v>1740</v>
      </c>
      <c r="C57" s="593"/>
      <c r="D57" s="593"/>
      <c r="E57" s="594">
        <f>SUM(E54:E56)</f>
        <v>10883657.779999999</v>
      </c>
      <c r="F57" s="594">
        <f t="shared" ref="F57:P57" si="51">SUM(F54:F56)</f>
        <v>11855434.5582</v>
      </c>
      <c r="G57" s="594">
        <f t="shared" si="51"/>
        <v>12640480.631828355</v>
      </c>
      <c r="H57" s="594">
        <f t="shared" si="51"/>
        <v>13433674.114646612</v>
      </c>
      <c r="I57" s="594">
        <f t="shared" si="51"/>
        <v>14099457.099448871</v>
      </c>
      <c r="J57" s="594">
        <f t="shared" si="51"/>
        <v>14797925.889371719</v>
      </c>
      <c r="K57" s="594">
        <f t="shared" si="51"/>
        <v>15530672.591934951</v>
      </c>
      <c r="L57" s="594">
        <f t="shared" si="51"/>
        <v>15453019.228975277</v>
      </c>
      <c r="M57" s="594">
        <f t="shared" si="51"/>
        <v>15375754.132830396</v>
      </c>
      <c r="N57" s="594">
        <f t="shared" si="51"/>
        <v>15298875.362166246</v>
      </c>
      <c r="O57" s="594">
        <f t="shared" si="51"/>
        <v>15222380.985355416</v>
      </c>
      <c r="P57" s="594">
        <f t="shared" si="51"/>
        <v>15146269.080428638</v>
      </c>
    </row>
    <row r="59" spans="2:17" x14ac:dyDescent="0.3">
      <c r="B59" s="589" t="s">
        <v>1736</v>
      </c>
    </row>
    <row r="60" spans="2:17" x14ac:dyDescent="0.3">
      <c r="B60" s="589" t="s">
        <v>1725</v>
      </c>
      <c r="E60" s="592">
        <f>E17*'Customers and Consumption'!F43*6</f>
        <v>71658</v>
      </c>
      <c r="F60" s="592">
        <f>F17*'Customers and Consumption'!G43*6</f>
        <v>72306</v>
      </c>
      <c r="G60" s="592">
        <f>F17*(1+G4)*'Customers and Consumption'!H43*6*(G5/12)+G17*'Customers and Consumption'!H43*6*((12-G5)/12)</f>
        <v>77133.053629110771</v>
      </c>
      <c r="H60" s="592">
        <f>H17*'Customers and Consumption'!I43*6</f>
        <v>81995.004000000015</v>
      </c>
      <c r="I60" s="592">
        <f>I17*'Customers and Consumption'!J43*6</f>
        <v>86094.75420000001</v>
      </c>
      <c r="J60" s="592">
        <f>J17*'Customers and Consumption'!K43*6</f>
        <v>90399.491910000026</v>
      </c>
      <c r="K60" s="592">
        <f>K17*'Customers and Consumption'!L43*6</f>
        <v>94919.466505500037</v>
      </c>
      <c r="L60" s="592">
        <f>L17*'Customers and Consumption'!M43*6</f>
        <v>94919.466505500037</v>
      </c>
      <c r="M60" s="592">
        <f>M17*'Customers and Consumption'!N43*6</f>
        <v>94919.466505500037</v>
      </c>
      <c r="N60" s="592">
        <f>N17*'Customers and Consumption'!O43*6</f>
        <v>94919.466505500037</v>
      </c>
      <c r="O60" s="592">
        <f>O17*'Customers and Consumption'!P43*6</f>
        <v>94919.466505500037</v>
      </c>
      <c r="P60" s="592">
        <f>P17*'Customers and Consumption'!Q43*6</f>
        <v>94919.466505500037</v>
      </c>
    </row>
    <row r="61" spans="2:17" x14ac:dyDescent="0.3">
      <c r="E61" s="592"/>
      <c r="F61" s="592"/>
      <c r="G61" s="592"/>
      <c r="H61" s="592"/>
      <c r="I61" s="592"/>
      <c r="J61" s="592"/>
      <c r="K61" s="592"/>
      <c r="L61" s="592"/>
      <c r="M61" s="592"/>
      <c r="N61" s="592"/>
      <c r="O61" s="592"/>
      <c r="P61" s="592"/>
    </row>
    <row r="62" spans="2:17" x14ac:dyDescent="0.3">
      <c r="B62" s="589" t="s">
        <v>1762</v>
      </c>
      <c r="E62" s="592">
        <f>E19*'Customers and Consumption'!F62</f>
        <v>503698.29000000004</v>
      </c>
      <c r="F62" s="592">
        <f>F19*'Customers and Consumption'!G62</f>
        <v>555612.48539999989</v>
      </c>
      <c r="G62" s="592">
        <f>F19*(1+$G$4)*'Customers and Consumption'!H62*$G$5/12+G19*'Customers and Consumption'!H62*(12-$G$5)/12</f>
        <v>589740.92323175003</v>
      </c>
      <c r="H62" s="592">
        <f>H19*'Customers and Consumption'!I62</f>
        <v>623779.66447312525</v>
      </c>
      <c r="I62" s="592">
        <f>I19*'Customers and Consumption'!J62</f>
        <v>651693.80445829756</v>
      </c>
      <c r="J62" s="592">
        <f>J19*'Customers and Consumption'!K62</f>
        <v>680857.10220780643</v>
      </c>
      <c r="K62" s="592">
        <f>K19*'Customers and Consumption'!L62</f>
        <v>711325.45753160573</v>
      </c>
      <c r="L62" s="592">
        <f>L19*'Customers and Consumption'!M62</f>
        <v>707768.83024394768</v>
      </c>
      <c r="M62" s="592">
        <f>M19*'Customers and Consumption'!N62</f>
        <v>704229.98609272798</v>
      </c>
      <c r="N62" s="592">
        <f>N19*'Customers and Consumption'!O62</f>
        <v>700708.83616226434</v>
      </c>
      <c r="O62" s="592">
        <f>O19*'Customers and Consumption'!P62</f>
        <v>697205.29198145296</v>
      </c>
      <c r="P62" s="592">
        <f>P19*'Customers and Consumption'!Q62</f>
        <v>693719.26552154566</v>
      </c>
    </row>
    <row r="63" spans="2:17" x14ac:dyDescent="0.3">
      <c r="B63" s="589" t="s">
        <v>1763</v>
      </c>
      <c r="E63" s="592">
        <f>E20*'Customers and Consumption'!F63</f>
        <v>216609.27</v>
      </c>
      <c r="F63" s="592">
        <f>F20*'Customers and Consumption'!G63</f>
        <v>229983.63959999999</v>
      </c>
      <c r="G63" s="592">
        <f>F20*(1+$G$4)*'Customers and Consumption'!H63*$G$5/12+G20*'Customers and Consumption'!H63*(12-$G$5)/12</f>
        <v>244110.36020592286</v>
      </c>
      <c r="H63" s="592">
        <f>H20*'Customers and Consumption'!I63</f>
        <v>258199.95286951872</v>
      </c>
      <c r="I63" s="592">
        <f>I20*'Customers and Consumption'!J63</f>
        <v>269754.40076042968</v>
      </c>
      <c r="J63" s="592">
        <f>J20*'Customers and Consumption'!K63</f>
        <v>281825.91019445891</v>
      </c>
      <c r="K63" s="592">
        <f>K20*'Customers and Consumption'!L63</f>
        <v>294437.61967566097</v>
      </c>
      <c r="L63" s="592">
        <f>L20*'Customers and Consumption'!M63</f>
        <v>292965.43157728272</v>
      </c>
      <c r="M63" s="592">
        <f>M20*'Customers and Consumption'!N63</f>
        <v>291500.60441939632</v>
      </c>
      <c r="N63" s="592">
        <f>N20*'Customers and Consumption'!O63</f>
        <v>290043.10139729927</v>
      </c>
      <c r="O63" s="592">
        <f>O20*'Customers and Consumption'!P63</f>
        <v>288592.88589031278</v>
      </c>
      <c r="P63" s="592">
        <f>P20*'Customers and Consumption'!Q63</f>
        <v>287149.92146086117</v>
      </c>
    </row>
    <row r="64" spans="2:17" x14ac:dyDescent="0.3">
      <c r="B64" s="589" t="s">
        <v>1764</v>
      </c>
      <c r="E64" s="592">
        <f>E21*'Customers and Consumption'!F64</f>
        <v>371874.72000000003</v>
      </c>
      <c r="F64" s="592">
        <f>F21*'Customers and Consumption'!G64</f>
        <v>363882.65340000001</v>
      </c>
      <c r="G64" s="592">
        <f>F21*(1+$G$4)*'Customers and Consumption'!H64*$G$5/12+G21*'Customers and Consumption'!H64*(12-$G$5)/12</f>
        <v>386234.10668973951</v>
      </c>
      <c r="H64" s="592">
        <f>H21*'Customers and Consumption'!I64</f>
        <v>408526.81573926791</v>
      </c>
      <c r="I64" s="592">
        <f>I21*'Customers and Consumption'!J64</f>
        <v>426808.39074360026</v>
      </c>
      <c r="J64" s="592">
        <f>J21*'Customers and Consumption'!K64</f>
        <v>445908.06622937636</v>
      </c>
      <c r="K64" s="592">
        <f>K21*'Customers and Consumption'!L64</f>
        <v>465862.45219314098</v>
      </c>
      <c r="L64" s="592">
        <f>L21*'Customers and Consumption'!M64</f>
        <v>463533.13993217528</v>
      </c>
      <c r="M64" s="592">
        <f>M21*'Customers and Consumption'!N64</f>
        <v>461215.47423251439</v>
      </c>
      <c r="N64" s="592">
        <f>N21*'Customers and Consumption'!O64</f>
        <v>458909.39686135179</v>
      </c>
      <c r="O64" s="592">
        <f>O21*'Customers and Consumption'!P64</f>
        <v>456614.84987704508</v>
      </c>
      <c r="P64" s="592">
        <f>P21*'Customers and Consumption'!Q64</f>
        <v>454331.77562765981</v>
      </c>
    </row>
    <row r="65" spans="2:16" x14ac:dyDescent="0.3">
      <c r="B65" s="593" t="s">
        <v>1745</v>
      </c>
      <c r="C65" s="593"/>
      <c r="D65" s="593"/>
      <c r="E65" s="594">
        <f>SUM(E62:E64)</f>
        <v>1092182.28</v>
      </c>
      <c r="F65" s="594">
        <f t="shared" ref="F65:P65" si="52">SUM(F62:F64)</f>
        <v>1149478.7784</v>
      </c>
      <c r="G65" s="594">
        <f t="shared" si="52"/>
        <v>1220085.3901274125</v>
      </c>
      <c r="H65" s="594">
        <f t="shared" si="52"/>
        <v>1290506.4330819119</v>
      </c>
      <c r="I65" s="594">
        <f t="shared" si="52"/>
        <v>1348256.5959623274</v>
      </c>
      <c r="J65" s="594">
        <f t="shared" si="52"/>
        <v>1408591.0786316418</v>
      </c>
      <c r="K65" s="594">
        <f t="shared" si="52"/>
        <v>1471625.5294004078</v>
      </c>
      <c r="L65" s="594">
        <f t="shared" si="52"/>
        <v>1464267.4017534056</v>
      </c>
      <c r="M65" s="594">
        <f t="shared" si="52"/>
        <v>1456946.0647446387</v>
      </c>
      <c r="N65" s="594">
        <f t="shared" si="52"/>
        <v>1449661.3344209155</v>
      </c>
      <c r="O65" s="594">
        <f t="shared" si="52"/>
        <v>1442413.0277488108</v>
      </c>
      <c r="P65" s="594">
        <f t="shared" si="52"/>
        <v>1435200.9626100666</v>
      </c>
    </row>
    <row r="67" spans="2:16" x14ac:dyDescent="0.3">
      <c r="B67" s="91" t="s">
        <v>38</v>
      </c>
      <c r="C67" s="91"/>
      <c r="D67" s="91"/>
      <c r="E67" s="592">
        <f>E57</f>
        <v>10883657.779999999</v>
      </c>
      <c r="F67" s="592">
        <f t="shared" ref="F67:P67" si="53">F57</f>
        <v>11855434.5582</v>
      </c>
      <c r="G67" s="592">
        <f t="shared" si="53"/>
        <v>12640480.631828355</v>
      </c>
      <c r="H67" s="592">
        <f t="shared" si="53"/>
        <v>13433674.114646612</v>
      </c>
      <c r="I67" s="592">
        <f t="shared" si="53"/>
        <v>14099457.099448871</v>
      </c>
      <c r="J67" s="592">
        <f t="shared" si="53"/>
        <v>14797925.889371719</v>
      </c>
      <c r="K67" s="592">
        <f t="shared" si="53"/>
        <v>15530672.591934951</v>
      </c>
      <c r="L67" s="592">
        <f t="shared" si="53"/>
        <v>15453019.228975277</v>
      </c>
      <c r="M67" s="592">
        <f t="shared" si="53"/>
        <v>15375754.132830396</v>
      </c>
      <c r="N67" s="592">
        <f t="shared" si="53"/>
        <v>15298875.362166246</v>
      </c>
      <c r="O67" s="592">
        <f t="shared" si="53"/>
        <v>15222380.985355416</v>
      </c>
      <c r="P67" s="592">
        <f t="shared" si="53"/>
        <v>15146269.080428638</v>
      </c>
    </row>
    <row r="68" spans="2:16" x14ac:dyDescent="0.3">
      <c r="B68" s="91" t="s">
        <v>39</v>
      </c>
      <c r="C68" s="91"/>
      <c r="D68" s="91"/>
      <c r="E68" s="592">
        <f>E65</f>
        <v>1092182.28</v>
      </c>
      <c r="F68" s="592">
        <f t="shared" ref="F68:P68" si="54">F65</f>
        <v>1149478.7784</v>
      </c>
      <c r="G68" s="592">
        <f t="shared" si="54"/>
        <v>1220085.3901274125</v>
      </c>
      <c r="H68" s="592">
        <f t="shared" si="54"/>
        <v>1290506.4330819119</v>
      </c>
      <c r="I68" s="592">
        <f t="shared" si="54"/>
        <v>1348256.5959623274</v>
      </c>
      <c r="J68" s="592">
        <f t="shared" si="54"/>
        <v>1408591.0786316418</v>
      </c>
      <c r="K68" s="592">
        <f t="shared" si="54"/>
        <v>1471625.5294004078</v>
      </c>
      <c r="L68" s="592">
        <f t="shared" si="54"/>
        <v>1464267.4017534056</v>
      </c>
      <c r="M68" s="592">
        <f t="shared" si="54"/>
        <v>1456946.0647446387</v>
      </c>
      <c r="N68" s="592">
        <f t="shared" si="54"/>
        <v>1449661.3344209155</v>
      </c>
      <c r="O68" s="592">
        <f t="shared" si="54"/>
        <v>1442413.0277488108</v>
      </c>
      <c r="P68" s="592">
        <f t="shared" si="54"/>
        <v>1435200.9626100666</v>
      </c>
    </row>
    <row r="69" spans="2:16" x14ac:dyDescent="0.3">
      <c r="B69" s="91" t="s">
        <v>40</v>
      </c>
      <c r="C69" s="91"/>
      <c r="D69" s="91"/>
      <c r="E69" s="592">
        <f>E23*'Customers and Consumption'!F68</f>
        <v>88710.56</v>
      </c>
      <c r="F69" s="592">
        <f>F23*'Customers and Consumption'!G68</f>
        <v>102588.05999999998</v>
      </c>
      <c r="G69" s="592">
        <f>F23*(1+$G$4)*'Customers and Consumption'!H68*$G$5/12+G23*'Customers and Consumption'!H68*(12-$G$5)/12</f>
        <v>108889.52067626476</v>
      </c>
      <c r="H69" s="592">
        <f>H23*'Customers and Consumption'!I68</f>
        <v>115174.41981110098</v>
      </c>
      <c r="I69" s="592">
        <f>I23*'Customers and Consumption'!J68</f>
        <v>120328.47509764775</v>
      </c>
      <c r="J69" s="592">
        <f>J23*'Customers and Consumption'!K68</f>
        <v>125713.17435826751</v>
      </c>
      <c r="K69" s="592">
        <f>K23*'Customers and Consumption'!L68</f>
        <v>131338.8389108</v>
      </c>
      <c r="L69" s="592">
        <f>L23*'Customers and Consumption'!M68</f>
        <v>130682.144716246</v>
      </c>
      <c r="M69" s="592">
        <f>M23*'Customers and Consumption'!N68</f>
        <v>130028.73399266475</v>
      </c>
      <c r="N69" s="592">
        <f>N23*'Customers and Consumption'!O68</f>
        <v>129378.59032270144</v>
      </c>
      <c r="O69" s="592">
        <f>O23*'Customers and Consumption'!P68</f>
        <v>128731.69737108792</v>
      </c>
      <c r="P69" s="592">
        <f>P23*'Customers and Consumption'!Q68</f>
        <v>128088.03888423248</v>
      </c>
    </row>
    <row r="70" spans="2:16" x14ac:dyDescent="0.3">
      <c r="B70" s="91" t="s">
        <v>1767</v>
      </c>
      <c r="C70" s="91"/>
      <c r="D70" s="91"/>
      <c r="E70" s="592">
        <f t="shared" ref="E70:P70" si="55">E52+E60</f>
        <v>1301670</v>
      </c>
      <c r="F70" s="592">
        <f t="shared" si="55"/>
        <v>1303938</v>
      </c>
      <c r="G70" s="592">
        <f t="shared" si="55"/>
        <v>1314327.0536291108</v>
      </c>
      <c r="H70" s="592">
        <f t="shared" si="55"/>
        <v>1387229.0040000002</v>
      </c>
      <c r="I70" s="592">
        <f t="shared" si="55"/>
        <v>1462901.1642000002</v>
      </c>
      <c r="J70" s="592">
        <f t="shared" si="55"/>
        <v>1542672.4679100004</v>
      </c>
      <c r="K70" s="592">
        <f t="shared" si="55"/>
        <v>1626763.6490805005</v>
      </c>
      <c r="L70" s="592">
        <f t="shared" si="55"/>
        <v>1626763.6490805005</v>
      </c>
      <c r="M70" s="592">
        <f t="shared" si="55"/>
        <v>1626763.6490805005</v>
      </c>
      <c r="N70" s="592">
        <f t="shared" si="55"/>
        <v>1626763.6490805005</v>
      </c>
      <c r="O70" s="592">
        <f t="shared" si="55"/>
        <v>1626763.6490805005</v>
      </c>
      <c r="P70" s="592">
        <f t="shared" si="55"/>
        <v>1626763.6490805005</v>
      </c>
    </row>
    <row r="71" spans="2:16" x14ac:dyDescent="0.3">
      <c r="B71" s="899" t="s">
        <v>1746</v>
      </c>
      <c r="C71" s="899"/>
      <c r="D71" s="899"/>
      <c r="E71" s="900">
        <f>SUM(E67:E70)</f>
        <v>13366220.619999999</v>
      </c>
      <c r="F71" s="900">
        <f t="shared" ref="F71" si="56">SUM(F67:F70)</f>
        <v>14411439.396600001</v>
      </c>
      <c r="G71" s="900">
        <f t="shared" ref="G71" si="57">SUM(G67:G70)</f>
        <v>15283782.596261144</v>
      </c>
      <c r="H71" s="900">
        <f t="shared" ref="H71" si="58">SUM(H67:H70)</f>
        <v>16226583.971539626</v>
      </c>
      <c r="I71" s="900">
        <f t="shared" ref="I71" si="59">SUM(I67:I70)</f>
        <v>17030943.334708843</v>
      </c>
      <c r="J71" s="900">
        <f t="shared" ref="J71" si="60">SUM(J67:J70)</f>
        <v>17874902.610271629</v>
      </c>
      <c r="K71" s="900">
        <f t="shared" ref="K71" si="61">SUM(K67:K70)</f>
        <v>18760400.609326657</v>
      </c>
      <c r="L71" s="900">
        <f t="shared" ref="L71" si="62">SUM(L67:L70)</f>
        <v>18674732.424525429</v>
      </c>
      <c r="M71" s="900">
        <f t="shared" ref="M71" si="63">SUM(M67:M70)</f>
        <v>18589492.580648202</v>
      </c>
      <c r="N71" s="900">
        <f t="shared" ref="N71" si="64">SUM(N67:N70)</f>
        <v>18504678.935990363</v>
      </c>
      <c r="O71" s="900">
        <f t="shared" ref="O71" si="65">SUM(O67:O70)</f>
        <v>18420289.359555814</v>
      </c>
      <c r="P71" s="900">
        <f t="shared" ref="P71" si="66">SUM(P67:P70)</f>
        <v>18336321.731003437</v>
      </c>
    </row>
    <row r="72" spans="2:16" x14ac:dyDescent="0.3">
      <c r="B72" s="842" t="s">
        <v>1987</v>
      </c>
      <c r="C72" s="593"/>
      <c r="D72" s="593"/>
      <c r="E72" s="606"/>
      <c r="F72" s="606"/>
      <c r="G72" s="843">
        <f>(G71-F71)/F71</f>
        <v>6.0531302644685828E-2</v>
      </c>
      <c r="H72" s="843">
        <f t="shared" ref="H72:P72" si="67">(H71-G71)/G71</f>
        <v>6.1686390089657435E-2</v>
      </c>
      <c r="I72" s="843">
        <f t="shared" si="67"/>
        <v>4.957046810222112E-2</v>
      </c>
      <c r="J72" s="843">
        <f t="shared" si="67"/>
        <v>4.9554464422578839E-2</v>
      </c>
      <c r="K72" s="843">
        <f t="shared" si="67"/>
        <v>4.9538619502530079E-2</v>
      </c>
      <c r="L72" s="843">
        <f t="shared" si="67"/>
        <v>-4.5664368573578732E-3</v>
      </c>
      <c r="M72" s="843">
        <f t="shared" si="67"/>
        <v>-4.5644479363613835E-3</v>
      </c>
      <c r="N72" s="843">
        <f t="shared" si="67"/>
        <v>-4.5624507656616036E-3</v>
      </c>
      <c r="O72" s="843">
        <f t="shared" si="67"/>
        <v>-4.5604453190709977E-3</v>
      </c>
      <c r="P72" s="843">
        <f t="shared" si="67"/>
        <v>-4.5584315703932031E-3</v>
      </c>
    </row>
    <row r="73" spans="2:16" x14ac:dyDescent="0.3">
      <c r="B73" s="593"/>
      <c r="C73" s="593"/>
      <c r="D73" s="593"/>
      <c r="E73" s="606"/>
      <c r="F73" s="606"/>
      <c r="G73" s="780"/>
      <c r="H73" s="606"/>
      <c r="I73" s="606"/>
      <c r="J73" s="606"/>
      <c r="K73" s="606"/>
      <c r="L73" s="606"/>
      <c r="M73" s="606"/>
      <c r="N73" s="606"/>
      <c r="O73" s="606"/>
      <c r="P73" s="606"/>
    </row>
    <row r="74" spans="2:16" x14ac:dyDescent="0.3">
      <c r="B74" s="593" t="s">
        <v>1766</v>
      </c>
      <c r="C74" s="593"/>
      <c r="D74" s="593"/>
      <c r="E74" s="607">
        <f>E70/E71</f>
        <v>9.7385045257467856E-2</v>
      </c>
      <c r="F74" s="607">
        <f t="shared" ref="F74:P74" si="68">F70/F71</f>
        <v>9.0479372956155227E-2</v>
      </c>
      <c r="G74" s="607">
        <f t="shared" si="68"/>
        <v>8.5994880217063099E-2</v>
      </c>
      <c r="H74" s="607">
        <f t="shared" si="68"/>
        <v>8.5491130260879913E-2</v>
      </c>
      <c r="I74" s="607">
        <f t="shared" si="68"/>
        <v>8.5896660886577339E-2</v>
      </c>
      <c r="J74" s="607">
        <f t="shared" si="68"/>
        <v>8.6303825063836687E-2</v>
      </c>
      <c r="K74" s="607">
        <f t="shared" si="68"/>
        <v>8.6712628528399421E-2</v>
      </c>
      <c r="L74" s="607">
        <f t="shared" si="68"/>
        <v>8.711041272773902E-2</v>
      </c>
      <c r="M74" s="607">
        <f t="shared" si="68"/>
        <v>8.7509846867685523E-2</v>
      </c>
      <c r="N74" s="607">
        <f t="shared" si="68"/>
        <v>8.7910936185796443E-2</v>
      </c>
      <c r="O74" s="607">
        <f t="shared" si="68"/>
        <v>8.8313685921366444E-2</v>
      </c>
      <c r="P74" s="607">
        <f t="shared" si="68"/>
        <v>8.8718101315267306E-2</v>
      </c>
    </row>
    <row r="76" spans="2:16" x14ac:dyDescent="0.3">
      <c r="B76" s="901" t="s">
        <v>1966</v>
      </c>
      <c r="C76" s="902"/>
      <c r="D76" s="902"/>
      <c r="E76" s="902"/>
      <c r="F76" s="902"/>
      <c r="G76" s="902"/>
      <c r="H76" s="902"/>
      <c r="I76" s="902"/>
      <c r="J76" s="902"/>
      <c r="K76" s="902"/>
      <c r="L76" s="902"/>
      <c r="M76" s="902"/>
      <c r="N76" s="902"/>
      <c r="O76" s="902"/>
      <c r="P76" s="902"/>
    </row>
    <row r="77" spans="2:16" x14ac:dyDescent="0.3">
      <c r="B77" s="593" t="s">
        <v>1735</v>
      </c>
    </row>
    <row r="78" spans="2:16" x14ac:dyDescent="0.3">
      <c r="B78" s="593" t="s">
        <v>1725</v>
      </c>
      <c r="G78" s="897">
        <v>9</v>
      </c>
      <c r="H78" s="590">
        <f>((H74*H71)/('Customers and Consumption'!I32+'Customers and Consumption'!I43)/6)</f>
        <v>9.4915568783611821</v>
      </c>
      <c r="I78" s="590">
        <f>((I74*I71)/('Customers and Consumption'!J32+'Customers and Consumption'!J43)/6)</f>
        <v>9.9659456652360525</v>
      </c>
      <c r="J78" s="590">
        <f>((J74*J71)/('Customers and Consumption'!K32+'Customers and Consumption'!K43)/6)</f>
        <v>10.464046151357293</v>
      </c>
      <c r="K78" s="590">
        <f>((K74*K71)/('Customers and Consumption'!L32+'Customers and Consumption'!L43)/6)</f>
        <v>10.987043597145117</v>
      </c>
      <c r="L78" s="590">
        <f>((L74*L71)/('Customers and Consumption'!M32+'Customers and Consumption'!M43)/6)</f>
        <v>10.987043597145117</v>
      </c>
      <c r="M78" s="590">
        <f>((M74*M71)/('Customers and Consumption'!N32+'Customers and Consumption'!N43)/6)</f>
        <v>10.987043597145117</v>
      </c>
      <c r="N78" s="590">
        <f>((N74*N71)/('Customers and Consumption'!O32+'Customers and Consumption'!O43)/6)</f>
        <v>10.987043597145117</v>
      </c>
      <c r="O78" s="590">
        <f>((O74*O71)/('Customers and Consumption'!P32+'Customers and Consumption'!P43)/6)</f>
        <v>10.987043597145117</v>
      </c>
      <c r="P78" s="590">
        <f>((P74*P71)/('Customers and Consumption'!Q32+'Customers and Consumption'!Q43)/6)</f>
        <v>10.987043597145117</v>
      </c>
    </row>
    <row r="79" spans="2:16" x14ac:dyDescent="0.3">
      <c r="B79" s="589" t="str">
        <f>"Tier 1: 0 - "&amp;C79</f>
        <v>Tier 1: 0 - 7000</v>
      </c>
      <c r="C79" s="625">
        <v>7000</v>
      </c>
      <c r="D79" s="605">
        <v>1</v>
      </c>
      <c r="G79" s="590">
        <f>(((1-G74)*G71)-G69)/'Customers and Consumption'!H103</f>
        <v>5.6587589587394973</v>
      </c>
      <c r="H79" s="590">
        <f>(((1-H74)*H71)-H69)/'Customers and Consumption'!I103</f>
        <v>6.0154594152429359</v>
      </c>
      <c r="I79" s="590">
        <f>(((1-I74)*I71)-I69)/'Customers and Consumption'!J103</f>
        <v>6.3162427583804854</v>
      </c>
      <c r="J79" s="590">
        <f>(((1-J74)*J71)-J69)/'Customers and Consumption'!K103</f>
        <v>6.632065696582913</v>
      </c>
      <c r="K79" s="590">
        <f>((1-K74)*K71-K69)/'Customers and Consumption'!L103</f>
        <v>6.9636802276483447</v>
      </c>
      <c r="L79" s="590">
        <f>((1-L74)*L71-L69)/'Customers and Consumption'!M103</f>
        <v>6.9636802276483465</v>
      </c>
      <c r="M79" s="590">
        <f>((1-M74)*M71-M69)/'Customers and Consumption'!N103</f>
        <v>6.9636802276483438</v>
      </c>
      <c r="N79" s="590">
        <f>((1-N74)*N71-N69)/'Customers and Consumption'!O103</f>
        <v>6.9636802276483438</v>
      </c>
      <c r="O79" s="590">
        <f>((1-O74)*O71-O69)/'Customers and Consumption'!P103</f>
        <v>6.9636802276483456</v>
      </c>
      <c r="P79" s="590">
        <f>((1-P74)*P71-P69)/'Customers and Consumption'!Q103</f>
        <v>6.9636802276483447</v>
      </c>
    </row>
    <row r="80" spans="2:16" x14ac:dyDescent="0.3">
      <c r="B80" s="589" t="str">
        <f>"Tier 2: "&amp;C79&amp;" - "&amp;C80</f>
        <v>Tier 2: 7000 - 12000</v>
      </c>
      <c r="C80" s="625">
        <v>12000</v>
      </c>
      <c r="D80" s="605">
        <v>1.25</v>
      </c>
      <c r="G80" s="590">
        <f t="shared" ref="G80:P82" si="69">$D80*G$79</f>
        <v>7.0734486984243716</v>
      </c>
      <c r="H80" s="590">
        <f t="shared" ref="H80:P80" si="70">$D80*H$79</f>
        <v>7.5193242690536701</v>
      </c>
      <c r="I80" s="590">
        <f t="shared" si="70"/>
        <v>7.895303447975607</v>
      </c>
      <c r="J80" s="590">
        <f t="shared" si="70"/>
        <v>8.2900821207286413</v>
      </c>
      <c r="K80" s="590">
        <f t="shared" si="70"/>
        <v>8.7046002845604313</v>
      </c>
      <c r="L80" s="590">
        <f t="shared" si="70"/>
        <v>8.7046002845604331</v>
      </c>
      <c r="M80" s="590">
        <f t="shared" si="70"/>
        <v>8.7046002845604296</v>
      </c>
      <c r="N80" s="590">
        <f t="shared" si="70"/>
        <v>8.7046002845604296</v>
      </c>
      <c r="O80" s="590">
        <f t="shared" si="70"/>
        <v>8.7046002845604313</v>
      </c>
      <c r="P80" s="590">
        <f t="shared" si="70"/>
        <v>8.7046002845604313</v>
      </c>
    </row>
    <row r="81" spans="2:16" x14ac:dyDescent="0.3">
      <c r="B81" s="589" t="str">
        <f>"Tier 3: "&amp;C80&amp;" - "&amp;C81</f>
        <v>Tier 3: 12000 - 22000</v>
      </c>
      <c r="C81" s="625">
        <v>22000</v>
      </c>
      <c r="D81" s="605">
        <v>1.5</v>
      </c>
      <c r="G81" s="590">
        <f t="shared" si="69"/>
        <v>8.488138438109246</v>
      </c>
      <c r="H81" s="590">
        <f t="shared" si="69"/>
        <v>9.0231891228644034</v>
      </c>
      <c r="I81" s="590">
        <f t="shared" si="69"/>
        <v>9.4743641375707277</v>
      </c>
      <c r="J81" s="590">
        <f t="shared" si="69"/>
        <v>9.9480985448743695</v>
      </c>
      <c r="K81" s="590">
        <f t="shared" si="69"/>
        <v>10.445520341472516</v>
      </c>
      <c r="L81" s="590">
        <f t="shared" si="69"/>
        <v>10.44552034147252</v>
      </c>
      <c r="M81" s="590">
        <f t="shared" si="69"/>
        <v>10.445520341472516</v>
      </c>
      <c r="N81" s="590">
        <f t="shared" si="69"/>
        <v>10.445520341472516</v>
      </c>
      <c r="O81" s="590">
        <f t="shared" si="69"/>
        <v>10.445520341472518</v>
      </c>
      <c r="P81" s="590">
        <f t="shared" si="69"/>
        <v>10.445520341472516</v>
      </c>
    </row>
    <row r="82" spans="2:16" x14ac:dyDescent="0.3">
      <c r="B82" s="589" t="str">
        <f>"Tier 4: Over "&amp;C81</f>
        <v>Tier 4: Over 22000</v>
      </c>
      <c r="C82" s="478">
        <f>C81</f>
        <v>22000</v>
      </c>
      <c r="D82" s="605">
        <v>1.75</v>
      </c>
      <c r="G82" s="590">
        <f t="shared" si="69"/>
        <v>9.9028281777941203</v>
      </c>
      <c r="H82" s="590">
        <f t="shared" si="69"/>
        <v>10.527053976675138</v>
      </c>
      <c r="I82" s="590">
        <f t="shared" si="69"/>
        <v>11.05342482716585</v>
      </c>
      <c r="J82" s="590">
        <f t="shared" si="69"/>
        <v>11.606114969020098</v>
      </c>
      <c r="K82" s="590">
        <f t="shared" si="69"/>
        <v>12.186440398384603</v>
      </c>
      <c r="L82" s="590">
        <f t="shared" si="69"/>
        <v>12.186440398384606</v>
      </c>
      <c r="M82" s="590">
        <f t="shared" si="69"/>
        <v>12.186440398384601</v>
      </c>
      <c r="N82" s="590">
        <f t="shared" si="69"/>
        <v>12.186440398384601</v>
      </c>
      <c r="O82" s="590">
        <f t="shared" si="69"/>
        <v>12.186440398384605</v>
      </c>
      <c r="P82" s="590">
        <f t="shared" si="69"/>
        <v>12.186440398384603</v>
      </c>
    </row>
    <row r="84" spans="2:16" x14ac:dyDescent="0.3">
      <c r="B84" s="593" t="s">
        <v>1736</v>
      </c>
    </row>
    <row r="85" spans="2:16" x14ac:dyDescent="0.3">
      <c r="B85" s="593" t="s">
        <v>1725</v>
      </c>
      <c r="G85" s="590">
        <f>G78</f>
        <v>9</v>
      </c>
      <c r="H85" s="590">
        <f>H74*H71/('Customers and Consumption'!I32+'Customers and Consumption'!I43)/6</f>
        <v>9.4915568783611821</v>
      </c>
      <c r="I85" s="590">
        <f>I74*I71/('Customers and Consumption'!J32+'Customers and Consumption'!J43)/6</f>
        <v>9.9659456652360525</v>
      </c>
      <c r="J85" s="590">
        <f>J74*J71/('Customers and Consumption'!K32+'Customers and Consumption'!K43)/6</f>
        <v>10.464046151357293</v>
      </c>
      <c r="K85" s="590">
        <f>K74*K71/('Customers and Consumption'!L32+'Customers and Consumption'!L43)/6</f>
        <v>10.987043597145117</v>
      </c>
      <c r="L85" s="590">
        <f>L74*L71/('Customers and Consumption'!M32+'Customers and Consumption'!M43)/6</f>
        <v>10.987043597145117</v>
      </c>
      <c r="M85" s="590">
        <f>M74*M71/('Customers and Consumption'!N32+'Customers and Consumption'!N43)/6</f>
        <v>10.987043597145117</v>
      </c>
      <c r="N85" s="590">
        <f>N74*N71/('Customers and Consumption'!O32+'Customers and Consumption'!O43)/6</f>
        <v>10.987043597145117</v>
      </c>
      <c r="O85" s="590">
        <f>O74*O71/('Customers and Consumption'!P32+'Customers and Consumption'!P43)/6</f>
        <v>10.987043597145117</v>
      </c>
      <c r="P85" s="590">
        <f>P74*P71/('Customers and Consumption'!Q32+'Customers and Consumption'!Q43)/6</f>
        <v>10.987043597145117</v>
      </c>
    </row>
    <row r="86" spans="2:16" x14ac:dyDescent="0.3">
      <c r="B86" s="589" t="str">
        <f>"Tier 1: 0 - "&amp;C86</f>
        <v>Tier 1: 0 - 7000</v>
      </c>
      <c r="C86" s="478">
        <f>C79</f>
        <v>7000</v>
      </c>
      <c r="D86" s="605">
        <v>1.45</v>
      </c>
      <c r="E86" s="605"/>
      <c r="G86" s="590">
        <f>G$79*$D86</f>
        <v>8.2052004901722704</v>
      </c>
      <c r="H86" s="590">
        <f t="shared" ref="H86:P89" si="71">H$79*$D86</f>
        <v>8.722416152102257</v>
      </c>
      <c r="I86" s="590">
        <f t="shared" si="71"/>
        <v>9.1585519996517029</v>
      </c>
      <c r="J86" s="590">
        <f t="shared" si="71"/>
        <v>9.6164952600452231</v>
      </c>
      <c r="K86" s="590">
        <f t="shared" si="71"/>
        <v>10.0973363300901</v>
      </c>
      <c r="L86" s="590">
        <f>L$79*$D86</f>
        <v>10.097336330090101</v>
      </c>
      <c r="M86" s="590">
        <f t="shared" si="71"/>
        <v>10.097336330090098</v>
      </c>
      <c r="N86" s="590">
        <f t="shared" si="71"/>
        <v>10.097336330090098</v>
      </c>
      <c r="O86" s="590">
        <f t="shared" si="71"/>
        <v>10.097336330090101</v>
      </c>
      <c r="P86" s="590">
        <f t="shared" si="71"/>
        <v>10.0973363300901</v>
      </c>
    </row>
    <row r="87" spans="2:16" x14ac:dyDescent="0.3">
      <c r="B87" s="589" t="str">
        <f>"Tier 2: "&amp;C86&amp;" - "&amp;C87</f>
        <v>Tier 2: 7000 - 12000</v>
      </c>
      <c r="C87" s="478">
        <f>C80</f>
        <v>12000</v>
      </c>
      <c r="D87" s="605">
        <v>1.8124999999999998</v>
      </c>
      <c r="E87" s="605"/>
      <c r="G87" s="590">
        <f t="shared" ref="G87:P89" si="72">G$79*$D87</f>
        <v>10.256500612715337</v>
      </c>
      <c r="H87" s="590">
        <f t="shared" si="72"/>
        <v>10.903020190127821</v>
      </c>
      <c r="I87" s="590">
        <f t="shared" si="71"/>
        <v>11.448189999564628</v>
      </c>
      <c r="J87" s="590">
        <f t="shared" si="72"/>
        <v>12.020619075056528</v>
      </c>
      <c r="K87" s="590">
        <f t="shared" si="72"/>
        <v>12.621670412612623</v>
      </c>
      <c r="L87" s="590">
        <f t="shared" si="72"/>
        <v>12.621670412612627</v>
      </c>
      <c r="M87" s="590">
        <f t="shared" si="72"/>
        <v>12.621670412612621</v>
      </c>
      <c r="N87" s="590">
        <f t="shared" si="72"/>
        <v>12.621670412612621</v>
      </c>
      <c r="O87" s="590">
        <f t="shared" si="72"/>
        <v>12.621670412612625</v>
      </c>
      <c r="P87" s="590">
        <f t="shared" si="72"/>
        <v>12.621670412612623</v>
      </c>
    </row>
    <row r="88" spans="2:16" x14ac:dyDescent="0.3">
      <c r="B88" s="589" t="str">
        <f>"Tier 3: "&amp;C87&amp;" - "&amp;C88</f>
        <v>Tier 3: 12000 - 22000</v>
      </c>
      <c r="C88" s="478">
        <f>C81</f>
        <v>22000</v>
      </c>
      <c r="D88" s="605">
        <v>2.1749999999999998</v>
      </c>
      <c r="E88" s="605"/>
      <c r="G88" s="590">
        <f t="shared" si="72"/>
        <v>12.307800735258406</v>
      </c>
      <c r="H88" s="590">
        <f t="shared" si="72"/>
        <v>13.083624228153385</v>
      </c>
      <c r="I88" s="590">
        <f t="shared" si="71"/>
        <v>13.737827999477554</v>
      </c>
      <c r="J88" s="590">
        <f t="shared" si="72"/>
        <v>14.424742890067835</v>
      </c>
      <c r="K88" s="590">
        <f t="shared" si="72"/>
        <v>15.146004495135148</v>
      </c>
      <c r="L88" s="590">
        <f t="shared" si="72"/>
        <v>15.146004495135152</v>
      </c>
      <c r="M88" s="590">
        <f t="shared" si="72"/>
        <v>15.146004495135147</v>
      </c>
      <c r="N88" s="590">
        <f t="shared" si="72"/>
        <v>15.146004495135147</v>
      </c>
      <c r="O88" s="590">
        <f t="shared" si="72"/>
        <v>15.14600449513515</v>
      </c>
      <c r="P88" s="590">
        <f t="shared" si="72"/>
        <v>15.146004495135148</v>
      </c>
    </row>
    <row r="89" spans="2:16" x14ac:dyDescent="0.3">
      <c r="B89" s="589" t="str">
        <f>"Tier 4: Over "&amp;C88</f>
        <v>Tier 4: Over 22000</v>
      </c>
      <c r="C89" s="478">
        <f>C88</f>
        <v>22000</v>
      </c>
      <c r="D89" s="605">
        <v>2.5375000000000001</v>
      </c>
      <c r="E89" s="605"/>
      <c r="G89" s="590">
        <f t="shared" si="72"/>
        <v>14.359100857801474</v>
      </c>
      <c r="H89" s="590">
        <f t="shared" si="72"/>
        <v>15.26422826617895</v>
      </c>
      <c r="I89" s="590">
        <f t="shared" si="71"/>
        <v>16.027465999390483</v>
      </c>
      <c r="J89" s="590">
        <f t="shared" si="72"/>
        <v>16.828866705079143</v>
      </c>
      <c r="K89" s="590">
        <f t="shared" si="72"/>
        <v>17.670338577657674</v>
      </c>
      <c r="L89" s="590">
        <f t="shared" si="72"/>
        <v>17.670338577657681</v>
      </c>
      <c r="M89" s="590">
        <f t="shared" si="72"/>
        <v>17.670338577657674</v>
      </c>
      <c r="N89" s="590">
        <f t="shared" si="72"/>
        <v>17.670338577657674</v>
      </c>
      <c r="O89" s="590">
        <f t="shared" si="72"/>
        <v>17.670338577657677</v>
      </c>
      <c r="P89" s="590">
        <f t="shared" si="72"/>
        <v>17.670338577657674</v>
      </c>
    </row>
    <row r="91" spans="2:16" x14ac:dyDescent="0.3">
      <c r="B91" s="477" t="s">
        <v>1758</v>
      </c>
      <c r="C91" s="477"/>
      <c r="G91" s="590">
        <f t="shared" ref="G91:P91" si="73">G23</f>
        <v>6.8579999999999997</v>
      </c>
      <c r="H91" s="590">
        <f t="shared" si="73"/>
        <v>7.2008999999999999</v>
      </c>
      <c r="I91" s="590">
        <f t="shared" si="73"/>
        <v>7.5609450000000002</v>
      </c>
      <c r="J91" s="590">
        <f t="shared" si="73"/>
        <v>7.938992250000001</v>
      </c>
      <c r="K91" s="590">
        <f t="shared" si="73"/>
        <v>8.3359418625000021</v>
      </c>
      <c r="L91" s="590">
        <f t="shared" si="73"/>
        <v>8.3359418625000021</v>
      </c>
      <c r="M91" s="590">
        <f t="shared" si="73"/>
        <v>8.3359418625000021</v>
      </c>
      <c r="N91" s="590">
        <f t="shared" si="73"/>
        <v>8.3359418625000021</v>
      </c>
      <c r="O91" s="590">
        <f t="shared" si="73"/>
        <v>8.3359418625000021</v>
      </c>
      <c r="P91" s="590">
        <f t="shared" si="73"/>
        <v>8.3359418625000021</v>
      </c>
    </row>
    <row r="93" spans="2:16" x14ac:dyDescent="0.3">
      <c r="B93" s="593" t="s">
        <v>1967</v>
      </c>
    </row>
    <row r="94" spans="2:16" x14ac:dyDescent="0.3">
      <c r="B94" s="589" t="s">
        <v>1735</v>
      </c>
    </row>
    <row r="95" spans="2:16" x14ac:dyDescent="0.3">
      <c r="B95" s="589" t="s">
        <v>1725</v>
      </c>
      <c r="G95" s="592">
        <f>G78*'Customers and Consumption'!H32*6</f>
        <v>1237194</v>
      </c>
      <c r="H95" s="592">
        <f>H78*'Customers and Consumption'!I32*6</f>
        <v>1310973.8360392465</v>
      </c>
      <c r="I95" s="592">
        <f>I78*'Customers and Consumption'!J32*6</f>
        <v>1382834.7567254938</v>
      </c>
      <c r="J95" s="592">
        <f>J78*'Customers and Consumption'!K32*6</f>
        <v>1458604.3211299959</v>
      </c>
      <c r="K95" s="592">
        <f>K78*'Customers and Consumption'!L32*6</f>
        <v>1538493.7408210365</v>
      </c>
      <c r="L95" s="592">
        <f>L78*'Customers and Consumption'!M32*6</f>
        <v>1538493.7408210365</v>
      </c>
      <c r="M95" s="592">
        <f>M78*'Customers and Consumption'!N32*6</f>
        <v>1538493.7408210365</v>
      </c>
      <c r="N95" s="592">
        <f>N78*'Customers and Consumption'!O32*6</f>
        <v>1538493.7408210365</v>
      </c>
      <c r="O95" s="592">
        <f>O78*'Customers and Consumption'!P32*6</f>
        <v>1538493.7408210365</v>
      </c>
      <c r="P95" s="592">
        <f>P78*'Customers and Consumption'!Q32*6</f>
        <v>1538493.7408210365</v>
      </c>
    </row>
    <row r="96" spans="2:16" x14ac:dyDescent="0.3">
      <c r="G96" s="592"/>
      <c r="H96" s="592"/>
      <c r="I96" s="592"/>
      <c r="J96" s="592"/>
      <c r="K96" s="592"/>
      <c r="L96" s="592"/>
      <c r="M96" s="592"/>
      <c r="N96" s="592"/>
      <c r="O96" s="592"/>
      <c r="P96" s="592"/>
    </row>
    <row r="97" spans="2:16" x14ac:dyDescent="0.3">
      <c r="B97" s="589" t="str">
        <f>B86</f>
        <v>Tier 1: 0 - 7000</v>
      </c>
      <c r="G97" s="592">
        <f>G79*'Customers and Consumption'!H74</f>
        <v>4263619.5004036119</v>
      </c>
      <c r="H97" s="592">
        <f>H79*'Customers and Consumption'!I74</f>
        <v>4531170.4619934559</v>
      </c>
      <c r="I97" s="592">
        <f>I79*'Customers and Consumption'!J74</f>
        <v>4755746.4851245377</v>
      </c>
      <c r="J97" s="592">
        <f>J79*'Customers and Consumption'!K74</f>
        <v>4991348.1168051558</v>
      </c>
      <c r="K97" s="592">
        <f>K79*'Customers and Consumption'!L74</f>
        <v>5238512.4216854339</v>
      </c>
      <c r="L97" s="592">
        <f>L79*'Customers and Consumption'!M74</f>
        <v>5212319.8595770076</v>
      </c>
      <c r="M97" s="592">
        <f>M79*'Customers and Consumption'!N74</f>
        <v>5186258.2602791209</v>
      </c>
      <c r="N97" s="592">
        <f>N79*'Customers and Consumption'!O74</f>
        <v>5160326.9689777251</v>
      </c>
      <c r="O97" s="592">
        <f>O79*'Customers and Consumption'!P74</f>
        <v>5134525.3341328381</v>
      </c>
      <c r="P97" s="592">
        <f>P79*'Customers and Consumption'!Q74</f>
        <v>5108852.707462173</v>
      </c>
    </row>
    <row r="98" spans="2:16" x14ac:dyDescent="0.3">
      <c r="B98" s="589" t="str">
        <f t="shared" ref="B98:B100" si="74">B87</f>
        <v>Tier 2: 7000 - 12000</v>
      </c>
      <c r="G98" s="592">
        <f>G80*'Customers and Consumption'!H75</f>
        <v>1958376.965340697</v>
      </c>
      <c r="H98" s="592">
        <f>H80*'Customers and Consumption'!I75</f>
        <v>2081269.1793815377</v>
      </c>
      <c r="I98" s="592">
        <f>I80*'Customers and Consumption'!J75</f>
        <v>2184422.0312310276</v>
      </c>
      <c r="J98" s="592">
        <f>J80*'Customers and Consumption'!K75</f>
        <v>2292639.1947082859</v>
      </c>
      <c r="K98" s="592">
        <f>K80*'Customers and Consumption'!L75</f>
        <v>2406167.3557663173</v>
      </c>
      <c r="L98" s="592">
        <f>L80*'Customers and Consumption'!M75</f>
        <v>2394136.5189874861</v>
      </c>
      <c r="M98" s="592">
        <f>M80*'Customers and Consumption'!N75</f>
        <v>2382165.836392547</v>
      </c>
      <c r="N98" s="592">
        <f>N80*'Customers and Consumption'!O75</f>
        <v>2370255.0072105848</v>
      </c>
      <c r="O98" s="592">
        <f>O80*'Customers and Consumption'!P75</f>
        <v>2358403.7321745325</v>
      </c>
      <c r="P98" s="592">
        <f>P80*'Customers and Consumption'!Q75</f>
        <v>2346611.7135136593</v>
      </c>
    </row>
    <row r="99" spans="2:16" x14ac:dyDescent="0.3">
      <c r="B99" s="589" t="str">
        <f t="shared" si="74"/>
        <v>Tier 3: 12000 - 22000</v>
      </c>
      <c r="G99" s="592">
        <f>G81*'Customers and Consumption'!H76</f>
        <v>1732088.7374814735</v>
      </c>
      <c r="H99" s="592">
        <f>H81*'Customers and Consumption'!I76</f>
        <v>1840780.8961575085</v>
      </c>
      <c r="I99" s="592">
        <f>I81*'Customers and Consumption'!J76</f>
        <v>1932014.5534613326</v>
      </c>
      <c r="J99" s="592">
        <f>J81*'Customers and Consumption'!K76</f>
        <v>2027727.3469523152</v>
      </c>
      <c r="K99" s="592">
        <f>K81*'Customers and Consumption'!L76</f>
        <v>2128137.4583025514</v>
      </c>
      <c r="L99" s="592">
        <f>L81*'Customers and Consumption'!M76</f>
        <v>2117496.7710110396</v>
      </c>
      <c r="M99" s="592">
        <f>M81*'Customers and Consumption'!N76</f>
        <v>2106909.2871559835</v>
      </c>
      <c r="N99" s="592">
        <f>N81*'Customers and Consumption'!O76</f>
        <v>2096374.7407202034</v>
      </c>
      <c r="O99" s="592">
        <f>O81*'Customers and Consumption'!P76</f>
        <v>2085892.867016603</v>
      </c>
      <c r="P99" s="592">
        <f>P81*'Customers and Consumption'!Q76</f>
        <v>2075463.4026815195</v>
      </c>
    </row>
    <row r="100" spans="2:16" x14ac:dyDescent="0.3">
      <c r="B100" s="589" t="str">
        <f t="shared" si="74"/>
        <v>Tier 4: Over 22000</v>
      </c>
      <c r="G100" s="592">
        <f>G82*'Customers and Consumption'!H77</f>
        <v>4681412.1064936658</v>
      </c>
      <c r="H100" s="592">
        <f>H82*'Customers and Consumption'!I77</f>
        <v>4975180.4201464541</v>
      </c>
      <c r="I100" s="592">
        <f>I82*'Customers and Consumption'!J77</f>
        <v>5221762.6757662455</v>
      </c>
      <c r="J100" s="592">
        <f>J82*'Customers and Consumption'!K77</f>
        <v>5480450.9406911284</v>
      </c>
      <c r="K100" s="592">
        <f>K82*'Customers and Consumption'!L77</f>
        <v>5751834.9066032115</v>
      </c>
      <c r="L100" s="592">
        <f>L82*'Customers and Consumption'!M77</f>
        <v>5723075.7320701964</v>
      </c>
      <c r="M100" s="592">
        <f>M82*'Customers and Consumption'!N77</f>
        <v>5694460.3534098426</v>
      </c>
      <c r="N100" s="592">
        <f>N82*'Customers and Consumption'!O77</f>
        <v>5665988.0516427932</v>
      </c>
      <c r="O100" s="592">
        <f>O82*'Customers and Consumption'!P77</f>
        <v>5637658.1113845808</v>
      </c>
      <c r="P100" s="592">
        <f>P82*'Customers and Consumption'!Q77</f>
        <v>5609469.8208276574</v>
      </c>
    </row>
    <row r="101" spans="2:16" x14ac:dyDescent="0.3">
      <c r="B101" s="593" t="s">
        <v>1740</v>
      </c>
      <c r="G101" s="594">
        <f t="shared" ref="G101:P101" si="75">SUM(G97:G100)</f>
        <v>12635497.309719447</v>
      </c>
      <c r="H101" s="594">
        <f t="shared" si="75"/>
        <v>13428400.957678957</v>
      </c>
      <c r="I101" s="594">
        <f t="shared" si="75"/>
        <v>14093945.745583143</v>
      </c>
      <c r="J101" s="594">
        <f t="shared" si="75"/>
        <v>14792165.599156884</v>
      </c>
      <c r="K101" s="594">
        <f t="shared" si="75"/>
        <v>15524652.142357515</v>
      </c>
      <c r="L101" s="594">
        <f t="shared" si="75"/>
        <v>15447028.88164573</v>
      </c>
      <c r="M101" s="594">
        <f t="shared" si="75"/>
        <v>15369793.737237494</v>
      </c>
      <c r="N101" s="594">
        <f t="shared" si="75"/>
        <v>15292944.768551305</v>
      </c>
      <c r="O101" s="594">
        <f t="shared" si="75"/>
        <v>15216480.044708554</v>
      </c>
      <c r="P101" s="594">
        <f t="shared" si="75"/>
        <v>15140397.64448501</v>
      </c>
    </row>
    <row r="102" spans="2:16" x14ac:dyDescent="0.3">
      <c r="G102" s="592"/>
      <c r="H102" s="592"/>
      <c r="I102" s="592"/>
      <c r="J102" s="592"/>
      <c r="K102" s="592"/>
      <c r="L102" s="592"/>
      <c r="M102" s="592"/>
      <c r="N102" s="592"/>
      <c r="O102" s="592"/>
      <c r="P102" s="592"/>
    </row>
    <row r="103" spans="2:16" x14ac:dyDescent="0.3">
      <c r="B103" s="589" t="s">
        <v>1736</v>
      </c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</row>
    <row r="104" spans="2:16" x14ac:dyDescent="0.3">
      <c r="B104" s="589" t="s">
        <v>1725</v>
      </c>
      <c r="G104" s="592">
        <f>G85*'Customers and Consumption'!H43*6</f>
        <v>72306</v>
      </c>
      <c r="H104" s="592">
        <f>H85*'Customers and Consumption'!I43*6</f>
        <v>76255.167960753737</v>
      </c>
      <c r="I104" s="592">
        <f>I85*'Customers and Consumption'!J43*6</f>
        <v>80066.407474506443</v>
      </c>
      <c r="J104" s="592">
        <f>J85*'Customers and Consumption'!K43*6</f>
        <v>84068.146780004492</v>
      </c>
      <c r="K104" s="592">
        <f>K85*'Customers and Consumption'!L43*6</f>
        <v>88269.908259463875</v>
      </c>
      <c r="L104" s="592">
        <f>L85*'Customers and Consumption'!M43*6</f>
        <v>88269.908259463875</v>
      </c>
      <c r="M104" s="592">
        <f>M85*'Customers and Consumption'!N43*6</f>
        <v>88269.908259463875</v>
      </c>
      <c r="N104" s="592">
        <f>N85*'Customers and Consumption'!O43*6</f>
        <v>88269.908259463875</v>
      </c>
      <c r="O104" s="592">
        <f>O85*'Customers and Consumption'!P43*6</f>
        <v>88269.908259463875</v>
      </c>
      <c r="P104" s="592">
        <f>P85*'Customers and Consumption'!Q43*6</f>
        <v>88269.908259463875</v>
      </c>
    </row>
    <row r="105" spans="2:16" x14ac:dyDescent="0.3">
      <c r="G105" s="592"/>
      <c r="H105" s="592"/>
      <c r="I105" s="592"/>
      <c r="J105" s="592"/>
      <c r="K105" s="592"/>
      <c r="L105" s="592"/>
      <c r="M105" s="592"/>
      <c r="N105" s="592"/>
      <c r="O105" s="592"/>
      <c r="P105" s="592"/>
    </row>
    <row r="106" spans="2:16" x14ac:dyDescent="0.3">
      <c r="B106" s="589" t="str">
        <f>B97</f>
        <v>Tier 1: 0 - 7000</v>
      </c>
      <c r="G106" s="592">
        <f>G86*'Customers and Consumption'!H82</f>
        <v>453711.26104291651</v>
      </c>
      <c r="H106" s="592">
        <f>H86*'Customers and Consumption'!I82</f>
        <v>479899.44234381395</v>
      </c>
      <c r="I106" s="592">
        <f>I86*'Customers and Consumption'!J82</f>
        <v>501375.7657354041</v>
      </c>
      <c r="J106" s="592">
        <f>J86*'Customers and Consumption'!K82</f>
        <v>523813.18427902361</v>
      </c>
      <c r="K106" s="592">
        <f>K86*'Customers and Consumption'!L82</f>
        <v>547254.70808343252</v>
      </c>
      <c r="L106" s="592">
        <f>L86*'Customers and Consumption'!M82</f>
        <v>544518.43454301555</v>
      </c>
      <c r="M106" s="592">
        <f>M86*'Customers and Consumption'!N82</f>
        <v>541795.84237030032</v>
      </c>
      <c r="N106" s="592">
        <f>N86*'Customers and Consumption'!O82</f>
        <v>539086.86315844872</v>
      </c>
      <c r="O106" s="592">
        <f>O86*'Customers and Consumption'!P82</f>
        <v>536391.42884265655</v>
      </c>
      <c r="P106" s="592">
        <f>P86*'Customers and Consumption'!Q82</f>
        <v>533709.47169844329</v>
      </c>
    </row>
    <row r="107" spans="2:16" x14ac:dyDescent="0.3">
      <c r="B107" s="589" t="str">
        <f t="shared" ref="B107:B109" si="76">B98</f>
        <v>Tier 2: 7000 - 12000</v>
      </c>
      <c r="G107" s="592">
        <f>G87*'Customers and Consumption'!H83</f>
        <v>224617.05469779749</v>
      </c>
      <c r="H107" s="592">
        <f>H87*'Customers and Consumption'!I83</f>
        <v>237581.93491297713</v>
      </c>
      <c r="I107" s="592">
        <f>I87*'Customers and Consumption'!J83</f>
        <v>248214.13411135692</v>
      </c>
      <c r="J107" s="592">
        <f>J87*'Customers and Consumption'!K83</f>
        <v>259322.13891755205</v>
      </c>
      <c r="K107" s="592">
        <f>K87*'Customers and Consumption'!L83</f>
        <v>270927.24217743473</v>
      </c>
      <c r="L107" s="592">
        <f>L87*'Customers and Consumption'!M83</f>
        <v>269572.60596654768</v>
      </c>
      <c r="M107" s="592">
        <f>M87*'Customers and Consumption'!N83</f>
        <v>268224.74293671479</v>
      </c>
      <c r="N107" s="592">
        <f>N87*'Customers and Consumption'!O83</f>
        <v>266883.61922203121</v>
      </c>
      <c r="O107" s="592">
        <f>O87*'Customers and Consumption'!P83</f>
        <v>265549.2011259211</v>
      </c>
      <c r="P107" s="592">
        <f>P87*'Customers and Consumption'!Q83</f>
        <v>264221.45512029144</v>
      </c>
    </row>
    <row r="108" spans="2:16" x14ac:dyDescent="0.3">
      <c r="B108" s="589" t="str">
        <f t="shared" si="76"/>
        <v>Tier 3: 12000 - 22000</v>
      </c>
      <c r="G108" s="592">
        <f>G88*'Customers and Consumption'!H84</f>
        <v>176237.42213060599</v>
      </c>
      <c r="H108" s="592">
        <f>H88*'Customers and Consumption'!I84</f>
        <v>186409.83343939765</v>
      </c>
      <c r="I108" s="592">
        <f>I88*'Customers and Consumption'!J84</f>
        <v>194751.99330264836</v>
      </c>
      <c r="J108" s="592">
        <f>J88*'Customers and Consumption'!K84</f>
        <v>203467.47634863545</v>
      </c>
      <c r="K108" s="592">
        <f>K88*'Customers and Consumption'!L84</f>
        <v>212572.98921733958</v>
      </c>
      <c r="L108" s="592">
        <f>L88*'Customers and Consumption'!M84</f>
        <v>211510.12427125298</v>
      </c>
      <c r="M108" s="592">
        <f>M88*'Customers and Consumption'!N84</f>
        <v>210452.57364989663</v>
      </c>
      <c r="N108" s="592">
        <f>N88*'Customers and Consumption'!O84</f>
        <v>209400.3107816471</v>
      </c>
      <c r="O108" s="592">
        <f>O88*'Customers and Consumption'!P84</f>
        <v>208353.30922773894</v>
      </c>
      <c r="P108" s="592">
        <f>P88*'Customers and Consumption'!Q84</f>
        <v>207311.5426816002</v>
      </c>
    </row>
    <row r="109" spans="2:16" x14ac:dyDescent="0.3">
      <c r="B109" s="589" t="str">
        <f t="shared" si="76"/>
        <v>Tier 4: Over 22000</v>
      </c>
      <c r="G109" s="592">
        <f>G89*'Customers and Consumption'!H85</f>
        <v>370502.9743649984</v>
      </c>
      <c r="H109" s="592">
        <f>H89*'Customers and Consumption'!I85</f>
        <v>391888.37935338059</v>
      </c>
      <c r="I109" s="592">
        <f>I89*'Customers and Consumption'!J85</f>
        <v>409426.05667864339</v>
      </c>
      <c r="J109" s="592">
        <f>J89*'Customers and Consumption'!K85</f>
        <v>427748.56930126285</v>
      </c>
      <c r="K109" s="592">
        <f>K89*'Customers and Consumption'!L85</f>
        <v>446891.03949963825</v>
      </c>
      <c r="L109" s="592">
        <f>L89*'Customers and Consumption'!M85</f>
        <v>444656.58430214028</v>
      </c>
      <c r="M109" s="592">
        <f>M89*'Customers and Consumption'!N85</f>
        <v>442433.30138062942</v>
      </c>
      <c r="N109" s="592">
        <f>N89*'Customers and Consumption'!O85</f>
        <v>440221.13487372623</v>
      </c>
      <c r="O109" s="592">
        <f>O89*'Customers and Consumption'!P85</f>
        <v>438020.02919935761</v>
      </c>
      <c r="P109" s="592">
        <f>P89*'Customers and Consumption'!Q85</f>
        <v>435829.92905336077</v>
      </c>
    </row>
    <row r="110" spans="2:16" x14ac:dyDescent="0.3">
      <c r="B110" s="593" t="s">
        <v>1745</v>
      </c>
      <c r="G110" s="594">
        <f t="shared" ref="G110:P110" si="77">SUM(G106:G109)</f>
        <v>1225068.7122363183</v>
      </c>
      <c r="H110" s="594">
        <f t="shared" si="77"/>
        <v>1295779.5900495693</v>
      </c>
      <c r="I110" s="594">
        <f t="shared" si="77"/>
        <v>1353767.9498280529</v>
      </c>
      <c r="J110" s="594">
        <f t="shared" si="77"/>
        <v>1414351.3688464737</v>
      </c>
      <c r="K110" s="594">
        <f t="shared" si="77"/>
        <v>1477645.9789778451</v>
      </c>
      <c r="L110" s="594">
        <f t="shared" si="77"/>
        <v>1470257.7490829565</v>
      </c>
      <c r="M110" s="594">
        <f t="shared" si="77"/>
        <v>1462906.4603375411</v>
      </c>
      <c r="N110" s="594">
        <f t="shared" si="77"/>
        <v>1455591.9280358532</v>
      </c>
      <c r="O110" s="594">
        <f t="shared" si="77"/>
        <v>1448313.9683956741</v>
      </c>
      <c r="P110" s="594">
        <f t="shared" si="77"/>
        <v>1441072.3985536958</v>
      </c>
    </row>
    <row r="111" spans="2:16" x14ac:dyDescent="0.3">
      <c r="G111" s="592"/>
      <c r="H111" s="592"/>
      <c r="I111" s="592"/>
      <c r="J111" s="592"/>
      <c r="K111" s="592"/>
      <c r="L111" s="592"/>
      <c r="M111" s="592"/>
      <c r="N111" s="592"/>
      <c r="O111" s="592"/>
      <c r="P111" s="592"/>
    </row>
    <row r="112" spans="2:16" x14ac:dyDescent="0.3">
      <c r="B112" s="91" t="s">
        <v>38</v>
      </c>
      <c r="G112" s="592">
        <f t="shared" ref="G112:H112" si="78">G101</f>
        <v>12635497.309719447</v>
      </c>
      <c r="H112" s="592">
        <f t="shared" si="78"/>
        <v>13428400.957678957</v>
      </c>
      <c r="I112" s="592">
        <f t="shared" ref="I112:P112" si="79">I101</f>
        <v>14093945.745583143</v>
      </c>
      <c r="J112" s="592">
        <f t="shared" si="79"/>
        <v>14792165.599156884</v>
      </c>
      <c r="K112" s="592">
        <f t="shared" si="79"/>
        <v>15524652.142357515</v>
      </c>
      <c r="L112" s="592">
        <f t="shared" si="79"/>
        <v>15447028.88164573</v>
      </c>
      <c r="M112" s="592">
        <f t="shared" si="79"/>
        <v>15369793.737237494</v>
      </c>
      <c r="N112" s="592">
        <f t="shared" si="79"/>
        <v>15292944.768551305</v>
      </c>
      <c r="O112" s="592">
        <f t="shared" si="79"/>
        <v>15216480.044708554</v>
      </c>
      <c r="P112" s="592">
        <f t="shared" si="79"/>
        <v>15140397.64448501</v>
      </c>
    </row>
    <row r="113" spans="2:17" x14ac:dyDescent="0.3">
      <c r="B113" s="91" t="s">
        <v>39</v>
      </c>
      <c r="G113" s="592">
        <f t="shared" ref="G113:H113" si="80">G110</f>
        <v>1225068.7122363183</v>
      </c>
      <c r="H113" s="592">
        <f t="shared" si="80"/>
        <v>1295779.5900495693</v>
      </c>
      <c r="I113" s="592">
        <f t="shared" ref="I113:P113" si="81">I110</f>
        <v>1353767.9498280529</v>
      </c>
      <c r="J113" s="592">
        <f t="shared" si="81"/>
        <v>1414351.3688464737</v>
      </c>
      <c r="K113" s="592">
        <f t="shared" si="81"/>
        <v>1477645.9789778451</v>
      </c>
      <c r="L113" s="592">
        <f t="shared" si="81"/>
        <v>1470257.7490829565</v>
      </c>
      <c r="M113" s="592">
        <f t="shared" si="81"/>
        <v>1462906.4603375411</v>
      </c>
      <c r="N113" s="592">
        <f t="shared" si="81"/>
        <v>1455591.9280358532</v>
      </c>
      <c r="O113" s="592">
        <f t="shared" si="81"/>
        <v>1448313.9683956741</v>
      </c>
      <c r="P113" s="592">
        <f t="shared" si="81"/>
        <v>1441072.3985536958</v>
      </c>
    </row>
    <row r="114" spans="2:17" x14ac:dyDescent="0.3">
      <c r="B114" s="91" t="s">
        <v>40</v>
      </c>
      <c r="G114" s="592">
        <f>G91*'Customers and Consumption'!H68</f>
        <v>110241.12927599998</v>
      </c>
      <c r="H114" s="592">
        <f>H91*'Customers and Consumption'!I68</f>
        <v>115174.41981110098</v>
      </c>
      <c r="I114" s="592">
        <f>I91*'Customers and Consumption'!J68</f>
        <v>120328.47509764775</v>
      </c>
      <c r="J114" s="592">
        <f>J91*'Customers and Consumption'!K68</f>
        <v>125713.17435826751</v>
      </c>
      <c r="K114" s="592">
        <f>K91*'Customers and Consumption'!L68</f>
        <v>131338.8389108</v>
      </c>
      <c r="L114" s="592">
        <f>L91*'Customers and Consumption'!M68</f>
        <v>130682.144716246</v>
      </c>
      <c r="M114" s="592">
        <f>M91*'Customers and Consumption'!N68</f>
        <v>130028.73399266475</v>
      </c>
      <c r="N114" s="592">
        <f>N91*'Customers and Consumption'!O68</f>
        <v>129378.59032270144</v>
      </c>
      <c r="O114" s="592">
        <f>O91*'Customers and Consumption'!P68</f>
        <v>128731.69737108792</v>
      </c>
      <c r="P114" s="592">
        <f>P91*'Customers and Consumption'!Q68</f>
        <v>128088.03888423248</v>
      </c>
    </row>
    <row r="115" spans="2:17" x14ac:dyDescent="0.3">
      <c r="B115" s="91" t="s">
        <v>1767</v>
      </c>
      <c r="G115" s="592">
        <f t="shared" ref="G115:H115" si="82">G104+G95</f>
        <v>1309500</v>
      </c>
      <c r="H115" s="592">
        <f t="shared" si="82"/>
        <v>1387229.0040000002</v>
      </c>
      <c r="I115" s="592">
        <f t="shared" ref="I115:P115" si="83">I104+I95</f>
        <v>1462901.1642000002</v>
      </c>
      <c r="J115" s="592">
        <f t="shared" si="83"/>
        <v>1542672.4679100004</v>
      </c>
      <c r="K115" s="592">
        <f t="shared" si="83"/>
        <v>1626763.6490805005</v>
      </c>
      <c r="L115" s="592">
        <f t="shared" si="83"/>
        <v>1626763.6490805005</v>
      </c>
      <c r="M115" s="592">
        <f t="shared" si="83"/>
        <v>1626763.6490805005</v>
      </c>
      <c r="N115" s="592">
        <f t="shared" si="83"/>
        <v>1626763.6490805005</v>
      </c>
      <c r="O115" s="592">
        <f t="shared" si="83"/>
        <v>1626763.6490805005</v>
      </c>
      <c r="P115" s="592">
        <f t="shared" si="83"/>
        <v>1626763.6490805005</v>
      </c>
    </row>
    <row r="116" spans="2:17" x14ac:dyDescent="0.3">
      <c r="B116" s="903" t="s">
        <v>1746</v>
      </c>
      <c r="C116" s="902"/>
      <c r="D116" s="902"/>
      <c r="E116" s="902"/>
      <c r="F116" s="902"/>
      <c r="G116" s="904">
        <f t="shared" ref="G116:P116" si="84">SUM(G112:G115)</f>
        <v>15280307.151231766</v>
      </c>
      <c r="H116" s="904">
        <f t="shared" si="84"/>
        <v>16226583.971539628</v>
      </c>
      <c r="I116" s="904">
        <f t="shared" si="84"/>
        <v>17030943.334708843</v>
      </c>
      <c r="J116" s="904">
        <f t="shared" si="84"/>
        <v>17874902.610271625</v>
      </c>
      <c r="K116" s="904">
        <f t="shared" si="84"/>
        <v>18760400.609326661</v>
      </c>
      <c r="L116" s="904">
        <f t="shared" si="84"/>
        <v>18674732.424525429</v>
      </c>
      <c r="M116" s="904">
        <f t="shared" si="84"/>
        <v>18589492.580648202</v>
      </c>
      <c r="N116" s="904">
        <f t="shared" si="84"/>
        <v>18504678.93599036</v>
      </c>
      <c r="O116" s="904">
        <f t="shared" si="84"/>
        <v>18420289.359555814</v>
      </c>
      <c r="P116" s="904">
        <f t="shared" si="84"/>
        <v>18336321.731003437</v>
      </c>
    </row>
    <row r="117" spans="2:17" x14ac:dyDescent="0.3">
      <c r="B117" s="593"/>
      <c r="G117" s="592"/>
      <c r="H117" s="592"/>
      <c r="I117" s="592"/>
      <c r="J117" s="592"/>
      <c r="K117" s="592"/>
      <c r="L117" s="592"/>
      <c r="M117" s="592"/>
      <c r="N117" s="592"/>
      <c r="O117" s="592"/>
      <c r="P117" s="592"/>
    </row>
    <row r="118" spans="2:17" x14ac:dyDescent="0.3">
      <c r="G118" s="592">
        <f>G71-G116</f>
        <v>3475.4450293779373</v>
      </c>
      <c r="H118" s="592">
        <f t="shared" ref="H118:P118" si="85">H71-H116</f>
        <v>0</v>
      </c>
      <c r="I118" s="592">
        <f t="shared" si="85"/>
        <v>0</v>
      </c>
      <c r="J118" s="592">
        <f t="shared" si="85"/>
        <v>0</v>
      </c>
      <c r="K118" s="592">
        <f t="shared" si="85"/>
        <v>0</v>
      </c>
      <c r="L118" s="592">
        <f t="shared" si="85"/>
        <v>0</v>
      </c>
      <c r="M118" s="592">
        <f t="shared" si="85"/>
        <v>0</v>
      </c>
      <c r="N118" s="592">
        <f t="shared" si="85"/>
        <v>0</v>
      </c>
      <c r="O118" s="592">
        <f t="shared" si="85"/>
        <v>0</v>
      </c>
      <c r="P118" s="592">
        <f t="shared" si="85"/>
        <v>0</v>
      </c>
      <c r="Q118" s="592"/>
    </row>
    <row r="119" spans="2:17" x14ac:dyDescent="0.3">
      <c r="G119" s="591"/>
    </row>
    <row r="120" spans="2:17" x14ac:dyDescent="0.3">
      <c r="G120" s="591"/>
    </row>
    <row r="121" spans="2:17" x14ac:dyDescent="0.3">
      <c r="G121" s="591"/>
    </row>
    <row r="123" spans="2:17" x14ac:dyDescent="0.3">
      <c r="G123" s="591"/>
    </row>
    <row r="124" spans="2:17" x14ac:dyDescent="0.3">
      <c r="G124" s="591"/>
    </row>
    <row r="125" spans="2:17" x14ac:dyDescent="0.3">
      <c r="G125" s="591"/>
    </row>
    <row r="126" spans="2:17" x14ac:dyDescent="0.3">
      <c r="G126" s="591"/>
    </row>
    <row r="127" spans="2:17" x14ac:dyDescent="0.3">
      <c r="G127" s="591"/>
      <c r="H127" s="591"/>
      <c r="I127" s="591"/>
      <c r="J127" s="591"/>
    </row>
    <row r="128" spans="2:17" x14ac:dyDescent="0.3">
      <c r="G128" s="591"/>
      <c r="H128" s="591"/>
      <c r="I128" s="591"/>
      <c r="J128" s="591"/>
    </row>
    <row r="129" spans="7:10" x14ac:dyDescent="0.3">
      <c r="G129" s="591"/>
      <c r="H129" s="591"/>
      <c r="I129" s="591"/>
      <c r="J129" s="591"/>
    </row>
  </sheetData>
  <mergeCells count="2">
    <mergeCell ref="B25:P25"/>
    <mergeCell ref="B50:P50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3"/>
  <sheetViews>
    <sheetView showGridLines="0" zoomScaleNormal="100" workbookViewId="0">
      <pane ySplit="3" topLeftCell="A4" activePane="bottomLeft" state="frozen"/>
      <selection activeCell="B113" sqref="B113"/>
      <selection pane="bottomLeft" activeCell="E9" sqref="E9:I12"/>
    </sheetView>
  </sheetViews>
  <sheetFormatPr defaultColWidth="9" defaultRowHeight="14.4" x14ac:dyDescent="0.3"/>
  <cols>
    <col min="1" max="1" width="9" style="589"/>
    <col min="2" max="2" width="29.69921875" style="589" bestFit="1" customWidth="1"/>
    <col min="3" max="3" width="9.69921875" style="589" bestFit="1" customWidth="1"/>
    <col min="4" max="4" width="16.19921875" style="589" bestFit="1" customWidth="1"/>
    <col min="5" max="14" width="9.69921875" style="589" bestFit="1" customWidth="1"/>
    <col min="15" max="16384" width="9" style="589"/>
  </cols>
  <sheetData>
    <row r="2" spans="2:17" x14ac:dyDescent="0.3">
      <c r="B2" s="151" t="s">
        <v>1962</v>
      </c>
    </row>
    <row r="3" spans="2:17" x14ac:dyDescent="0.3">
      <c r="C3" s="154">
        <v>2014</v>
      </c>
      <c r="D3" s="154">
        <v>2015</v>
      </c>
      <c r="E3" s="154">
        <v>2016</v>
      </c>
      <c r="F3" s="154">
        <v>2017</v>
      </c>
      <c r="G3" s="154">
        <v>2018</v>
      </c>
      <c r="H3" s="154">
        <v>2019</v>
      </c>
      <c r="I3" s="154">
        <v>2020</v>
      </c>
      <c r="J3" s="154">
        <v>2021</v>
      </c>
      <c r="K3" s="154">
        <v>2022</v>
      </c>
      <c r="L3" s="154">
        <v>2023</v>
      </c>
      <c r="M3" s="154">
        <v>2024</v>
      </c>
      <c r="N3" s="154">
        <v>2025</v>
      </c>
    </row>
    <row r="4" spans="2:17" x14ac:dyDescent="0.3">
      <c r="D4" s="589" t="s">
        <v>1985</v>
      </c>
      <c r="E4" s="840">
        <f>'Control Panel'!E11</f>
        <v>2.7034748381089709E-2</v>
      </c>
    </row>
    <row r="5" spans="2:17" x14ac:dyDescent="0.3">
      <c r="D5" s="589" t="s">
        <v>1986</v>
      </c>
      <c r="E5" s="844">
        <f>'Water Rate Projections'!G5</f>
        <v>3</v>
      </c>
    </row>
    <row r="7" spans="2:17" x14ac:dyDescent="0.3">
      <c r="B7" s="593" t="s">
        <v>1739</v>
      </c>
      <c r="E7" s="591">
        <f>Dashboard!C67</f>
        <v>0.2</v>
      </c>
      <c r="F7" s="591">
        <f>Dashboard!D67</f>
        <v>0.05</v>
      </c>
      <c r="G7" s="591">
        <f>Dashboard!E67</f>
        <v>0.05</v>
      </c>
      <c r="H7" s="591">
        <f>Dashboard!F67</f>
        <v>0.05</v>
      </c>
      <c r="I7" s="591">
        <f>Dashboard!G67</f>
        <v>0.05</v>
      </c>
      <c r="J7" s="591">
        <f>Dashboard!O67</f>
        <v>0</v>
      </c>
      <c r="K7" s="591">
        <f>Dashboard!P67</f>
        <v>0</v>
      </c>
      <c r="L7" s="591">
        <f>Dashboard!Q67</f>
        <v>0</v>
      </c>
      <c r="M7" s="591">
        <f>Dashboard!R67</f>
        <v>0</v>
      </c>
      <c r="N7" s="591">
        <f>Dashboard!S67</f>
        <v>0</v>
      </c>
    </row>
    <row r="8" spans="2:17" x14ac:dyDescent="0.3">
      <c r="B8" s="589" t="s">
        <v>1735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</row>
    <row r="9" spans="2:17" x14ac:dyDescent="0.3">
      <c r="B9" s="589" t="s">
        <v>1737</v>
      </c>
      <c r="C9" s="590">
        <v>0.8</v>
      </c>
      <c r="D9" s="590">
        <v>0.84</v>
      </c>
      <c r="E9" s="590">
        <f t="shared" ref="E9:N9" si="0">D9*(1+E$7)</f>
        <v>1.008</v>
      </c>
      <c r="F9" s="590">
        <f t="shared" si="0"/>
        <v>1.0584</v>
      </c>
      <c r="G9" s="590">
        <f t="shared" si="0"/>
        <v>1.1113200000000001</v>
      </c>
      <c r="H9" s="590">
        <f t="shared" si="0"/>
        <v>1.1668860000000001</v>
      </c>
      <c r="I9" s="590">
        <f t="shared" si="0"/>
        <v>1.2252303000000002</v>
      </c>
      <c r="J9" s="590">
        <f t="shared" si="0"/>
        <v>1.2252303000000002</v>
      </c>
      <c r="K9" s="590">
        <f t="shared" si="0"/>
        <v>1.2252303000000002</v>
      </c>
      <c r="L9" s="590">
        <f t="shared" si="0"/>
        <v>1.2252303000000002</v>
      </c>
      <c r="M9" s="590">
        <f t="shared" si="0"/>
        <v>1.2252303000000002</v>
      </c>
      <c r="N9" s="590">
        <f t="shared" si="0"/>
        <v>1.2252303000000002</v>
      </c>
      <c r="O9" s="590"/>
      <c r="P9" s="590">
        <f>D9*(1+E4)</f>
        <v>0.86270918864011537</v>
      </c>
      <c r="Q9" s="780">
        <f>(E9-P9)/P9</f>
        <v>0.16841226832057499</v>
      </c>
    </row>
    <row r="10" spans="2:17" x14ac:dyDescent="0.3"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</row>
    <row r="11" spans="2:17" x14ac:dyDescent="0.3">
      <c r="B11" s="589" t="s">
        <v>1736</v>
      </c>
      <c r="C11" s="590"/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</row>
    <row r="12" spans="2:17" x14ac:dyDescent="0.3">
      <c r="B12" s="589" t="s">
        <v>1737</v>
      </c>
      <c r="C12" s="590">
        <v>1.82</v>
      </c>
      <c r="D12" s="590">
        <v>1.91</v>
      </c>
      <c r="E12" s="590">
        <f t="shared" ref="E12:N12" si="1">D12*(1+E$7)</f>
        <v>2.2919999999999998</v>
      </c>
      <c r="F12" s="590">
        <f>E12*(1+F$7)</f>
        <v>2.4066000000000001</v>
      </c>
      <c r="G12" s="590">
        <f t="shared" si="1"/>
        <v>2.5269300000000001</v>
      </c>
      <c r="H12" s="590">
        <f t="shared" si="1"/>
        <v>2.6532765</v>
      </c>
      <c r="I12" s="590">
        <f t="shared" si="1"/>
        <v>2.7859403250000003</v>
      </c>
      <c r="J12" s="590">
        <f t="shared" si="1"/>
        <v>2.7859403250000003</v>
      </c>
      <c r="K12" s="590">
        <f t="shared" si="1"/>
        <v>2.7859403250000003</v>
      </c>
      <c r="L12" s="590">
        <f t="shared" si="1"/>
        <v>2.7859403250000003</v>
      </c>
      <c r="M12" s="590">
        <f t="shared" si="1"/>
        <v>2.7859403250000003</v>
      </c>
      <c r="N12" s="590">
        <f t="shared" si="1"/>
        <v>2.7859403250000003</v>
      </c>
      <c r="O12" s="590"/>
      <c r="P12" s="590"/>
      <c r="Q12" s="590"/>
    </row>
    <row r="13" spans="2:17" x14ac:dyDescent="0.3">
      <c r="C13" s="590"/>
      <c r="D13" s="590"/>
      <c r="E13" s="590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</row>
    <row r="14" spans="2:17" x14ac:dyDescent="0.3">
      <c r="B14" s="593" t="s">
        <v>1743</v>
      </c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</row>
    <row r="15" spans="2:17" x14ac:dyDescent="0.3">
      <c r="B15" s="91" t="s">
        <v>43</v>
      </c>
      <c r="C15" s="592">
        <f>C9*'Customers and Consumption'!F58</f>
        <v>1384704</v>
      </c>
      <c r="D15" s="592">
        <f>$D$9*'Customers and Consumption'!G58</f>
        <v>1434701.5536</v>
      </c>
      <c r="E15" s="592">
        <f>$D$9*'Customers and Consumption'!H58</f>
        <v>1433974.7044044612</v>
      </c>
      <c r="F15" s="592">
        <f>$D$9*'Customers and Consumption'!I58</f>
        <v>1433592.9120035677</v>
      </c>
      <c r="G15" s="592">
        <f>$D$9*'Customers and Consumption'!J58</f>
        <v>1432993.1943779122</v>
      </c>
      <c r="H15" s="592">
        <f>$D$9*'Customers and Consumption'!K58</f>
        <v>1432363.6341057129</v>
      </c>
      <c r="I15" s="592">
        <f>$D$9*'Customers and Consumption'!L58</f>
        <v>1431704.5446063762</v>
      </c>
      <c r="J15" s="592">
        <f>$D$9*'Customers and Consumption'!M58</f>
        <v>1424546.0218833445</v>
      </c>
      <c r="K15" s="592">
        <f>$D$9*'Customers and Consumption'!N58</f>
        <v>1417423.2917739274</v>
      </c>
      <c r="L15" s="592">
        <f>$D$9*'Customers and Consumption'!O58</f>
        <v>1410336.1753150579</v>
      </c>
      <c r="M15" s="592">
        <f>$D$9*'Customers and Consumption'!P58</f>
        <v>1403284.4944384827</v>
      </c>
      <c r="N15" s="592">
        <f>$D$9*'Customers and Consumption'!Q58</f>
        <v>1396268.0719662902</v>
      </c>
      <c r="O15" s="590"/>
      <c r="P15" s="590"/>
      <c r="Q15" s="590"/>
    </row>
    <row r="16" spans="2:17" x14ac:dyDescent="0.3">
      <c r="B16" s="91" t="s">
        <v>44</v>
      </c>
      <c r="C16" s="592">
        <f>C12*'Customers and Consumption'!F65</f>
        <v>221235.56</v>
      </c>
      <c r="D16" s="592">
        <f>$D$12*'Customers and Consumption'!G65</f>
        <v>225202.17899999997</v>
      </c>
      <c r="E16" s="592">
        <f>$D$12*'Customers and Consumption'!H65</f>
        <v>224076.16810499999</v>
      </c>
      <c r="F16" s="592">
        <f>$D$12*'Customers and Consumption'!I65</f>
        <v>222955.78726447499</v>
      </c>
      <c r="G16" s="592">
        <f>$D$12*'Customers and Consumption'!J65</f>
        <v>221841.00832815259</v>
      </c>
      <c r="H16" s="592">
        <f>$D$12*'Customers and Consumption'!K65</f>
        <v>220731.80328651183</v>
      </c>
      <c r="I16" s="592">
        <f>$D$12*'Customers and Consumption'!L65</f>
        <v>219628.1442700793</v>
      </c>
      <c r="J16" s="592">
        <f>$D$12*'Customers and Consumption'!M65</f>
        <v>218530.00354872888</v>
      </c>
      <c r="K16" s="592">
        <f>$D$12*'Customers and Consumption'!N65</f>
        <v>217437.35353098527</v>
      </c>
      <c r="L16" s="592">
        <f>$D$12*'Customers and Consumption'!O65</f>
        <v>216350.16676333034</v>
      </c>
      <c r="M16" s="592">
        <f>$D$12*'Customers and Consumption'!P65</f>
        <v>215268.41592951366</v>
      </c>
      <c r="N16" s="592">
        <f>$D$12*'Customers and Consumption'!Q65</f>
        <v>214192.07384986608</v>
      </c>
      <c r="O16" s="590"/>
      <c r="P16" s="590"/>
      <c r="Q16" s="590"/>
    </row>
    <row r="17" spans="2:17" x14ac:dyDescent="0.3">
      <c r="B17" s="593" t="s">
        <v>1742</v>
      </c>
      <c r="C17" s="594">
        <f>C15+C16</f>
        <v>1605939.56</v>
      </c>
      <c r="D17" s="594">
        <f t="shared" ref="D17" si="2">D15+D16</f>
        <v>1659903.7326</v>
      </c>
      <c r="E17" s="594">
        <f t="shared" ref="E17" si="3">E15+E16</f>
        <v>1658050.8725094611</v>
      </c>
      <c r="F17" s="594">
        <f>F15+F16</f>
        <v>1656548.6992680426</v>
      </c>
      <c r="G17" s="594">
        <f t="shared" ref="G17" si="4">G15+G16</f>
        <v>1654834.2027060648</v>
      </c>
      <c r="H17" s="594">
        <f t="shared" ref="H17" si="5">H15+H16</f>
        <v>1653095.4373922248</v>
      </c>
      <c r="I17" s="594">
        <f t="shared" ref="I17" si="6">I15+I16</f>
        <v>1651332.6888764554</v>
      </c>
      <c r="J17" s="594">
        <f t="shared" ref="J17" si="7">J15+J16</f>
        <v>1643076.0254320735</v>
      </c>
      <c r="K17" s="594">
        <f t="shared" ref="K17" si="8">K15+K16</f>
        <v>1634860.6453049127</v>
      </c>
      <c r="L17" s="594">
        <f t="shared" ref="L17" si="9">L15+L16</f>
        <v>1626686.3420783882</v>
      </c>
      <c r="M17" s="594">
        <f t="shared" ref="M17" si="10">M15+M16</f>
        <v>1618552.9103679964</v>
      </c>
      <c r="N17" s="594">
        <f t="shared" ref="N17" si="11">N15+N16</f>
        <v>1610460.1458161564</v>
      </c>
      <c r="O17" s="590"/>
      <c r="P17" s="590"/>
      <c r="Q17" s="590"/>
    </row>
    <row r="18" spans="2:17" x14ac:dyDescent="0.3">
      <c r="B18" s="593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</row>
    <row r="19" spans="2:17" x14ac:dyDescent="0.3">
      <c r="B19" s="593" t="s">
        <v>1744</v>
      </c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</row>
    <row r="20" spans="2:17" x14ac:dyDescent="0.3">
      <c r="B20" s="91" t="s">
        <v>43</v>
      </c>
      <c r="C20" s="592">
        <f>C9*'Customers and Consumption'!F58</f>
        <v>1384704</v>
      </c>
      <c r="D20" s="592">
        <f>D9*'Customers and Consumption'!G58</f>
        <v>1434701.5536</v>
      </c>
      <c r="E20" s="592">
        <f>D9*(1+E4)*'Customers and Consumption'!H58*(E5/12)+E9*'Customers and Consumption'!H58*(12-E5)/12</f>
        <v>1658762.6963947359</v>
      </c>
      <c r="F20" s="592">
        <f>F9*'Customers and Consumption'!I58</f>
        <v>1806327.0691244951</v>
      </c>
      <c r="G20" s="592">
        <f>G9*'Customers and Consumption'!J58</f>
        <v>1895849.996161978</v>
      </c>
      <c r="H20" s="592">
        <f>H9*'Customers and Consumption'!K58</f>
        <v>1989767.942317951</v>
      </c>
      <c r="I20" s="592">
        <f>I9*'Customers and Consumption'!L58</f>
        <v>2088294.9865469453</v>
      </c>
      <c r="J20" s="592">
        <f>J9*'Customers and Consumption'!M58</f>
        <v>2077853.5116142109</v>
      </c>
      <c r="K20" s="592">
        <f>K9*'Customers and Consumption'!N58</f>
        <v>2067464.2440561394</v>
      </c>
      <c r="L20" s="592">
        <f>L9*'Customers and Consumption'!O58</f>
        <v>2057126.9228358588</v>
      </c>
      <c r="M20" s="592">
        <f>M9*'Customers and Consumption'!P58</f>
        <v>2046841.2882216794</v>
      </c>
      <c r="N20" s="592">
        <f>N9*'Customers and Consumption'!Q58</f>
        <v>2036607.081780571</v>
      </c>
    </row>
    <row r="21" spans="2:17" x14ac:dyDescent="0.3">
      <c r="B21" s="91" t="s">
        <v>44</v>
      </c>
      <c r="C21" s="592">
        <f>C12*'Customers and Consumption'!F65</f>
        <v>221235.56</v>
      </c>
      <c r="D21" s="592">
        <f>D12*'Customers and Consumption'!G65</f>
        <v>225202.17899999997</v>
      </c>
      <c r="E21" s="592">
        <f>D12*(1+E4)*'Customers and Consumption'!H65*(E5/12)+E12*'Customers and Consumption'!H65*(12-E5)/12</f>
        <v>259202.05402647934</v>
      </c>
      <c r="F21" s="592">
        <f>F12*'Customers and Consumption'!I65</f>
        <v>280924.29195323854</v>
      </c>
      <c r="G21" s="592">
        <f>G12*'Customers and Consumption'!J65</f>
        <v>293495.65401814593</v>
      </c>
      <c r="H21" s="592">
        <f>H12*'Customers and Consumption'!K65</f>
        <v>306629.58453545795</v>
      </c>
      <c r="I21" s="592">
        <f>I12*'Customers and Consumption'!L65</f>
        <v>320351.25844341976</v>
      </c>
      <c r="J21" s="592">
        <f>J12*'Customers and Consumption'!M65</f>
        <v>318749.50215120264</v>
      </c>
      <c r="K21" s="592">
        <f>K12*'Customers and Consumption'!N65</f>
        <v>317155.75464044663</v>
      </c>
      <c r="L21" s="592">
        <f>L12*'Customers and Consumption'!O65</f>
        <v>315569.97586724441</v>
      </c>
      <c r="M21" s="592">
        <f>M12*'Customers and Consumption'!P65</f>
        <v>313992.12598790816</v>
      </c>
      <c r="N21" s="592">
        <f>N12*'Customers and Consumption'!Q65</f>
        <v>312422.1653579686</v>
      </c>
    </row>
    <row r="22" spans="2:17" x14ac:dyDescent="0.3">
      <c r="B22" s="593" t="s">
        <v>1742</v>
      </c>
      <c r="C22" s="594">
        <f>C20+C21</f>
        <v>1605939.56</v>
      </c>
      <c r="D22" s="594">
        <f t="shared" ref="D22:N22" si="12">D20+D21</f>
        <v>1659903.7326</v>
      </c>
      <c r="E22" s="594">
        <f t="shared" si="12"/>
        <v>1917964.7504212153</v>
      </c>
      <c r="F22" s="594">
        <f>F20+F21</f>
        <v>2087251.3610777338</v>
      </c>
      <c r="G22" s="594">
        <f t="shared" si="12"/>
        <v>2189345.6501801237</v>
      </c>
      <c r="H22" s="594">
        <f t="shared" si="12"/>
        <v>2296397.5268534091</v>
      </c>
      <c r="I22" s="594">
        <f t="shared" si="12"/>
        <v>2408646.2449903651</v>
      </c>
      <c r="J22" s="594">
        <f t="shared" si="12"/>
        <v>2396603.0137654133</v>
      </c>
      <c r="K22" s="594">
        <f t="shared" si="12"/>
        <v>2384619.9986965861</v>
      </c>
      <c r="L22" s="594">
        <f t="shared" si="12"/>
        <v>2372696.898703103</v>
      </c>
      <c r="M22" s="594">
        <f t="shared" si="12"/>
        <v>2360833.4142095875</v>
      </c>
      <c r="N22" s="594">
        <f t="shared" si="12"/>
        <v>2349029.2471385398</v>
      </c>
    </row>
    <row r="23" spans="2:17" x14ac:dyDescent="0.3">
      <c r="B23" s="842" t="s">
        <v>1987</v>
      </c>
      <c r="C23" s="593"/>
      <c r="D23" s="843">
        <f t="shared" ref="D23" si="13">(D22-C22)/C22</f>
        <v>3.3602866474003498E-2</v>
      </c>
      <c r="E23" s="843">
        <f t="shared" ref="E23" si="14">(E22-D22)/D22</f>
        <v>0.15546746040326082</v>
      </c>
      <c r="F23" s="843">
        <f>(F22-E22)/E22</f>
        <v>8.826367148788343E-2</v>
      </c>
      <c r="G23" s="843">
        <f t="shared" ref="G23" si="15">(G22-F22)/F22</f>
        <v>4.8913269865913253E-2</v>
      </c>
      <c r="H23" s="843">
        <f t="shared" ref="H23" si="16">(H22-G22)/G22</f>
        <v>4.8896745319533225E-2</v>
      </c>
      <c r="I23" s="843">
        <f t="shared" ref="I23" si="17">(I22-H22)/H22</f>
        <v>4.888035143060028E-2</v>
      </c>
      <c r="J23" s="843">
        <f t="shared" ref="J23" si="18">(J22-I22)/I22</f>
        <v>-4.9999999999999897E-3</v>
      </c>
      <c r="K23" s="843">
        <f t="shared" ref="K23" si="19">(K22-J22)/J22</f>
        <v>-5.0000000000000547E-3</v>
      </c>
      <c r="L23" s="843">
        <f t="shared" ref="L23" si="20">(L22-K22)/K22</f>
        <v>-5.0000000000000972E-3</v>
      </c>
      <c r="M23" s="843">
        <f t="shared" ref="M23" si="21">(M22-L22)/L22</f>
        <v>-4.9999999999999741E-3</v>
      </c>
      <c r="N23" s="843">
        <f t="shared" ref="N23" si="22">(N22-M22)/M22</f>
        <v>-4.9999999999999012E-3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4"/>
  <sheetViews>
    <sheetView showGridLines="0" zoomScaleNormal="100" workbookViewId="0">
      <pane ySplit="3" topLeftCell="A4" activePane="bottomLeft" state="frozen"/>
      <selection activeCell="B113" sqref="B113"/>
      <selection pane="bottomLeft" activeCell="F9" sqref="F9:J12"/>
    </sheetView>
  </sheetViews>
  <sheetFormatPr defaultColWidth="9" defaultRowHeight="14.4" x14ac:dyDescent="0.3"/>
  <cols>
    <col min="1" max="1" width="9" style="589"/>
    <col min="2" max="2" width="29.69921875" style="589" bestFit="1" customWidth="1"/>
    <col min="3" max="3" width="14.09765625" style="589" customWidth="1"/>
    <col min="4" max="4" width="9.5" style="589" customWidth="1"/>
    <col min="5" max="5" width="11.8984375" style="589" customWidth="1"/>
    <col min="6" max="15" width="11.69921875" style="589" bestFit="1" customWidth="1"/>
    <col min="16" max="16384" width="9" style="589"/>
  </cols>
  <sheetData>
    <row r="2" spans="2:18" x14ac:dyDescent="0.3">
      <c r="B2" s="151" t="s">
        <v>1963</v>
      </c>
      <c r="C2" s="151"/>
    </row>
    <row r="3" spans="2:18" x14ac:dyDescent="0.3">
      <c r="D3" s="154">
        <v>2014</v>
      </c>
      <c r="E3" s="154">
        <v>2015</v>
      </c>
      <c r="F3" s="154">
        <v>2016</v>
      </c>
      <c r="G3" s="154">
        <v>2017</v>
      </c>
      <c r="H3" s="154">
        <v>2018</v>
      </c>
      <c r="I3" s="154">
        <v>2019</v>
      </c>
      <c r="J3" s="154">
        <v>2020</v>
      </c>
      <c r="K3" s="154">
        <v>2021</v>
      </c>
      <c r="L3" s="154">
        <v>2022</v>
      </c>
      <c r="M3" s="154">
        <v>2023</v>
      </c>
      <c r="N3" s="154">
        <v>2024</v>
      </c>
      <c r="O3" s="154">
        <v>2025</v>
      </c>
    </row>
    <row r="4" spans="2:18" x14ac:dyDescent="0.3">
      <c r="E4" s="589" t="s">
        <v>1985</v>
      </c>
      <c r="F4" s="840">
        <f>'Control Panel'!E11</f>
        <v>2.7034748381089709E-2</v>
      </c>
    </row>
    <row r="5" spans="2:18" x14ac:dyDescent="0.3">
      <c r="E5" s="589" t="s">
        <v>1986</v>
      </c>
      <c r="F5" s="844">
        <f>'Water Rate Projections'!G5</f>
        <v>3</v>
      </c>
    </row>
    <row r="7" spans="2:18" x14ac:dyDescent="0.3">
      <c r="B7" s="593" t="s">
        <v>1739</v>
      </c>
      <c r="C7" s="593"/>
      <c r="F7" s="591">
        <f>Dashboard!C82</f>
        <v>1</v>
      </c>
      <c r="G7" s="591">
        <f>Dashboard!D82</f>
        <v>0.05</v>
      </c>
      <c r="H7" s="591">
        <f>Dashboard!E82</f>
        <v>0.04</v>
      </c>
      <c r="I7" s="591">
        <f>Dashboard!F82</f>
        <v>0.03</v>
      </c>
      <c r="J7" s="591">
        <f>Dashboard!G82</f>
        <v>0.03</v>
      </c>
      <c r="K7" s="591">
        <f>Dashboard!O82</f>
        <v>0</v>
      </c>
      <c r="L7" s="591">
        <f>Dashboard!P82</f>
        <v>0</v>
      </c>
      <c r="M7" s="591">
        <f>Dashboard!Q82</f>
        <v>0</v>
      </c>
      <c r="N7" s="591">
        <f>Dashboard!R82</f>
        <v>0</v>
      </c>
      <c r="O7" s="591">
        <f>Dashboard!S82</f>
        <v>0</v>
      </c>
    </row>
    <row r="8" spans="2:18" x14ac:dyDescent="0.3">
      <c r="B8" s="589" t="s">
        <v>1735</v>
      </c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</row>
    <row r="9" spans="2:18" x14ac:dyDescent="0.3">
      <c r="B9" s="589" t="s">
        <v>1738</v>
      </c>
      <c r="D9" s="590">
        <v>0.83</v>
      </c>
      <c r="E9" s="590">
        <v>0.88</v>
      </c>
      <c r="F9" s="590">
        <f t="shared" ref="F9:O9" si="0">E9*(1+F$7)</f>
        <v>1.76</v>
      </c>
      <c r="G9" s="590">
        <f t="shared" si="0"/>
        <v>1.8480000000000001</v>
      </c>
      <c r="H9" s="590">
        <f>G9*(1+H$7)</f>
        <v>1.9219200000000001</v>
      </c>
      <c r="I9" s="590">
        <f t="shared" si="0"/>
        <v>1.9795776</v>
      </c>
      <c r="J9" s="590">
        <f t="shared" si="0"/>
        <v>2.038964928</v>
      </c>
      <c r="K9" s="590">
        <f t="shared" si="0"/>
        <v>2.038964928</v>
      </c>
      <c r="L9" s="590">
        <f t="shared" si="0"/>
        <v>2.038964928</v>
      </c>
      <c r="M9" s="590">
        <f t="shared" si="0"/>
        <v>2.038964928</v>
      </c>
      <c r="N9" s="590">
        <f t="shared" si="0"/>
        <v>2.038964928</v>
      </c>
      <c r="O9" s="590">
        <f t="shared" si="0"/>
        <v>2.038964928</v>
      </c>
      <c r="P9" s="590"/>
      <c r="Q9" s="590">
        <f>E9*(1+F4)</f>
        <v>0.90379057857535905</v>
      </c>
      <c r="R9" s="590"/>
    </row>
    <row r="10" spans="2:18" x14ac:dyDescent="0.3"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780">
        <f>(F9-Q9)/Q9</f>
        <v>0.94735378053429142</v>
      </c>
      <c r="R10" s="590"/>
    </row>
    <row r="11" spans="2:18" x14ac:dyDescent="0.3">
      <c r="B11" s="589" t="s">
        <v>1736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</row>
    <row r="12" spans="2:18" x14ac:dyDescent="0.3">
      <c r="B12" s="589" t="s">
        <v>1738</v>
      </c>
      <c r="D12" s="590">
        <v>0.62</v>
      </c>
      <c r="E12" s="590">
        <v>0.66</v>
      </c>
      <c r="F12" s="590">
        <f t="shared" ref="F12:O12" si="1">E12*(1+F$7)</f>
        <v>1.32</v>
      </c>
      <c r="G12" s="590">
        <f t="shared" si="1"/>
        <v>1.3860000000000001</v>
      </c>
      <c r="H12" s="590">
        <f>G12*(1+H$7)</f>
        <v>1.4414400000000003</v>
      </c>
      <c r="I12" s="590">
        <f t="shared" si="1"/>
        <v>1.4846832000000003</v>
      </c>
      <c r="J12" s="590">
        <f t="shared" si="1"/>
        <v>1.5292236960000003</v>
      </c>
      <c r="K12" s="590">
        <f t="shared" si="1"/>
        <v>1.5292236960000003</v>
      </c>
      <c r="L12" s="590">
        <f t="shared" si="1"/>
        <v>1.5292236960000003</v>
      </c>
      <c r="M12" s="590">
        <f t="shared" si="1"/>
        <v>1.5292236960000003</v>
      </c>
      <c r="N12" s="590">
        <f t="shared" si="1"/>
        <v>1.5292236960000003</v>
      </c>
      <c r="O12" s="590">
        <f t="shared" si="1"/>
        <v>1.5292236960000003</v>
      </c>
      <c r="P12" s="590"/>
      <c r="Q12" s="590"/>
      <c r="R12" s="590"/>
    </row>
    <row r="13" spans="2:18" x14ac:dyDescent="0.3">
      <c r="D13" s="590"/>
      <c r="E13" s="590"/>
      <c r="F13" s="590"/>
      <c r="G13" s="590"/>
      <c r="H13" s="590"/>
      <c r="I13" s="590"/>
      <c r="J13" s="590"/>
      <c r="K13" s="590"/>
      <c r="L13" s="590"/>
      <c r="M13" s="590"/>
      <c r="N13" s="590"/>
      <c r="O13" s="590"/>
      <c r="P13" s="590"/>
      <c r="Q13" s="590"/>
      <c r="R13" s="590"/>
    </row>
    <row r="14" spans="2:18" x14ac:dyDescent="0.3">
      <c r="B14" s="593" t="s">
        <v>1743</v>
      </c>
      <c r="C14" s="593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</row>
    <row r="15" spans="2:18" x14ac:dyDescent="0.3">
      <c r="B15" s="91" t="s">
        <v>2280</v>
      </c>
      <c r="C15" s="91"/>
      <c r="D15" s="592">
        <f>D9*'Customers and Consumption'!F58</f>
        <v>1436630.4</v>
      </c>
      <c r="E15" s="592">
        <f>$E$9*'Customers and Consumption'!G58</f>
        <v>1503020.6751999999</v>
      </c>
      <c r="F15" s="592">
        <f>$E$9*'Customers and Consumption'!H58</f>
        <v>1502259.214138007</v>
      </c>
      <c r="G15" s="592">
        <f>$E$9*'Customers and Consumption'!I58</f>
        <v>1501859.2411465948</v>
      </c>
      <c r="H15" s="592">
        <f>$E$9*'Customers and Consumption'!J58</f>
        <v>1501230.9655387653</v>
      </c>
      <c r="I15" s="592">
        <f>$E$9*'Customers and Consumption'!K58</f>
        <v>1500571.4262059848</v>
      </c>
      <c r="J15" s="592">
        <f>$E$9*'Customers and Consumption'!L58</f>
        <v>1499880.9514923943</v>
      </c>
      <c r="K15" s="592">
        <f>$E$9*'Customers and Consumption'!M58</f>
        <v>1492381.5467349323</v>
      </c>
      <c r="L15" s="592">
        <f>$E$9*'Customers and Consumption'!N58</f>
        <v>1484919.6390012575</v>
      </c>
      <c r="M15" s="592">
        <f>$E$9*'Customers and Consumption'!O58</f>
        <v>1477495.0408062511</v>
      </c>
      <c r="N15" s="592">
        <f>$E$9*'Customers and Consumption'!P58</f>
        <v>1470107.5656022199</v>
      </c>
      <c r="O15" s="592">
        <f>$E$9*'Customers and Consumption'!Q58</f>
        <v>1462757.0277742087</v>
      </c>
      <c r="P15" s="590"/>
      <c r="Q15" s="590"/>
      <c r="R15" s="590"/>
    </row>
    <row r="16" spans="2:18" x14ac:dyDescent="0.3">
      <c r="B16" s="91" t="s">
        <v>2281</v>
      </c>
      <c r="C16" s="91"/>
      <c r="D16" s="592">
        <f>D12*'Customers and Consumption'!F65</f>
        <v>75365.960000000006</v>
      </c>
      <c r="E16" s="592">
        <f>$E$12*'Customers and Consumption'!G65</f>
        <v>77818.554000000004</v>
      </c>
      <c r="F16" s="592">
        <f>$E$12*'Customers and Consumption'!H65</f>
        <v>77429.461230000001</v>
      </c>
      <c r="G16" s="592">
        <f>$E$12*'Customers and Consumption'!I65</f>
        <v>77042.313923850001</v>
      </c>
      <c r="H16" s="592">
        <f>$E$12*'Customers and Consumption'!J65</f>
        <v>76657.102354230752</v>
      </c>
      <c r="I16" s="592">
        <f>$E$12*'Customers and Consumption'!K65</f>
        <v>76273.816842459593</v>
      </c>
      <c r="J16" s="592">
        <f>$E$12*'Customers and Consumption'!L65</f>
        <v>75892.447758247305</v>
      </c>
      <c r="K16" s="592">
        <f>$E$12*'Customers and Consumption'!M65</f>
        <v>75512.985519456066</v>
      </c>
      <c r="L16" s="592">
        <f>$E$12*'Customers and Consumption'!N65</f>
        <v>75135.420591858798</v>
      </c>
      <c r="M16" s="592">
        <f>$E$12*'Customers and Consumption'!O65</f>
        <v>74759.74348889949</v>
      </c>
      <c r="N16" s="592">
        <f>$E$12*'Customers and Consumption'!P65</f>
        <v>74385.94477145499</v>
      </c>
      <c r="O16" s="592">
        <f>$E$12*'Customers and Consumption'!Q65</f>
        <v>74014.015047597713</v>
      </c>
      <c r="P16" s="590"/>
      <c r="Q16" s="590"/>
      <c r="R16" s="590"/>
    </row>
    <row r="17" spans="2:18" x14ac:dyDescent="0.3">
      <c r="B17" s="593" t="s">
        <v>1741</v>
      </c>
      <c r="C17" s="593"/>
      <c r="D17" s="594">
        <f>D15+D16</f>
        <v>1511996.3599999999</v>
      </c>
      <c r="E17" s="594">
        <f>E15+E16</f>
        <v>1580839.2291999999</v>
      </c>
      <c r="F17" s="594">
        <f t="shared" ref="F17:O17" si="2">F15+F16</f>
        <v>1579688.675368007</v>
      </c>
      <c r="G17" s="594">
        <f t="shared" si="2"/>
        <v>1578901.5550704447</v>
      </c>
      <c r="H17" s="594">
        <f t="shared" si="2"/>
        <v>1577888.0678929961</v>
      </c>
      <c r="I17" s="594">
        <f t="shared" si="2"/>
        <v>1576845.2430484444</v>
      </c>
      <c r="J17" s="594">
        <f t="shared" si="2"/>
        <v>1575773.3992506417</v>
      </c>
      <c r="K17" s="594">
        <f t="shared" si="2"/>
        <v>1567894.5322543883</v>
      </c>
      <c r="L17" s="594">
        <f t="shared" si="2"/>
        <v>1560055.0595931164</v>
      </c>
      <c r="M17" s="594">
        <f t="shared" si="2"/>
        <v>1552254.7842951505</v>
      </c>
      <c r="N17" s="594">
        <f t="shared" si="2"/>
        <v>1544493.5103736748</v>
      </c>
      <c r="O17" s="594">
        <f t="shared" si="2"/>
        <v>1536771.0428218064</v>
      </c>
      <c r="P17" s="590"/>
      <c r="Q17" s="590"/>
      <c r="R17" s="590"/>
    </row>
    <row r="18" spans="2:18" x14ac:dyDescent="0.3">
      <c r="B18" s="593"/>
      <c r="C18" s="593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</row>
    <row r="19" spans="2:18" x14ac:dyDescent="0.3">
      <c r="B19" s="593" t="s">
        <v>1744</v>
      </c>
      <c r="C19" s="593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</row>
    <row r="20" spans="2:18" x14ac:dyDescent="0.3">
      <c r="B20" s="91" t="s">
        <v>2280</v>
      </c>
      <c r="C20" s="91"/>
      <c r="D20" s="592">
        <f>D9*'Customers and Consumption'!F58</f>
        <v>1436630.4</v>
      </c>
      <c r="E20" s="592">
        <f>E9*'Customers and Consumption'!G58</f>
        <v>1503020.6751999999</v>
      </c>
      <c r="F20" s="592">
        <f>E9*(1+F4)*'Customers and Consumption'!H58*(F5/12)+F9*'Customers and Consumption'!H58*(12-F5)/12</f>
        <v>2639106.9247058611</v>
      </c>
      <c r="G20" s="592">
        <f>G9*'Customers and Consumption'!I58</f>
        <v>3153904.4064078489</v>
      </c>
      <c r="H20" s="592">
        <f>H9*'Customers and Consumption'!J58</f>
        <v>3278688.4287366634</v>
      </c>
      <c r="I20" s="592">
        <f>I9*'Customers and Consumption'!K58</f>
        <v>3375565.434678887</v>
      </c>
      <c r="J20" s="592">
        <f>J9*'Customers and Consumption'!L58</f>
        <v>3475232.5639412059</v>
      </c>
      <c r="K20" s="592">
        <f>K9*'Customers and Consumption'!M58</f>
        <v>3457856.4011214999</v>
      </c>
      <c r="L20" s="592">
        <f>L9*'Customers and Consumption'!N58</f>
        <v>3440567.1191158919</v>
      </c>
      <c r="M20" s="592">
        <f>M9*'Customers and Consumption'!O58</f>
        <v>3423364.2835203125</v>
      </c>
      <c r="N20" s="592">
        <f>N9*'Customers and Consumption'!P58</f>
        <v>3406247.4621027107</v>
      </c>
      <c r="O20" s="592">
        <f>O9*'Customers and Consumption'!Q58</f>
        <v>3389216.2247921973</v>
      </c>
    </row>
    <row r="21" spans="2:18" x14ac:dyDescent="0.3">
      <c r="B21" s="91" t="s">
        <v>2281</v>
      </c>
      <c r="C21" s="91"/>
      <c r="D21" s="592">
        <f>D12*'Customers and Consumption'!F65</f>
        <v>75365.960000000006</v>
      </c>
      <c r="E21" s="592">
        <f>E12*'Customers and Consumption'!G65</f>
        <v>77818.554000000004</v>
      </c>
      <c r="F21" s="592">
        <f>E12*(1+F4)*'Customers and Consumption'!H65*(F5/12)+F12*'Customers and Consumption'!H65*(12-F5)/12</f>
        <v>136024.8786529091</v>
      </c>
      <c r="G21" s="592">
        <f>G12*'Customers and Consumption'!I65</f>
        <v>161788.85924008503</v>
      </c>
      <c r="H21" s="592">
        <f>H12*'Customers and Consumption'!J65</f>
        <v>167419.11154163998</v>
      </c>
      <c r="I21" s="592">
        <f>I12*'Customers and Consumption'!K65</f>
        <v>171579.47646344974</v>
      </c>
      <c r="J21" s="592">
        <f>J12*'Customers and Consumption'!L65</f>
        <v>175843.22645356649</v>
      </c>
      <c r="K21" s="592">
        <f>K12*'Customers and Consumption'!M65</f>
        <v>174964.01032129864</v>
      </c>
      <c r="L21" s="592">
        <f>L12*'Customers and Consumption'!N65</f>
        <v>174089.19026969216</v>
      </c>
      <c r="M21" s="592">
        <f>M12*'Customers and Consumption'!O65</f>
        <v>173218.7443183437</v>
      </c>
      <c r="N21" s="592">
        <f>N12*'Customers and Consumption'!P65</f>
        <v>172352.65059675195</v>
      </c>
      <c r="O21" s="592">
        <f>O12*'Customers and Consumption'!Q65</f>
        <v>171490.88734376821</v>
      </c>
    </row>
    <row r="22" spans="2:18" x14ac:dyDescent="0.3">
      <c r="B22" s="593" t="s">
        <v>1741</v>
      </c>
      <c r="C22" s="593"/>
      <c r="D22" s="594">
        <f>D20+D21</f>
        <v>1511996.3599999999</v>
      </c>
      <c r="E22" s="594">
        <f t="shared" ref="E22:O22" si="3">E20+E21</f>
        <v>1580839.2291999999</v>
      </c>
      <c r="F22" s="594">
        <f t="shared" si="3"/>
        <v>2775131.8033587704</v>
      </c>
      <c r="G22" s="594">
        <f t="shared" si="3"/>
        <v>3315693.2656479338</v>
      </c>
      <c r="H22" s="594">
        <f>H20+H21</f>
        <v>3446107.5402783034</v>
      </c>
      <c r="I22" s="594">
        <f>I20+I21</f>
        <v>3547144.9111423367</v>
      </c>
      <c r="J22" s="594">
        <f t="shared" si="3"/>
        <v>3651075.7903947723</v>
      </c>
      <c r="K22" s="594">
        <f t="shared" si="3"/>
        <v>3632820.4114427986</v>
      </c>
      <c r="L22" s="594">
        <f t="shared" si="3"/>
        <v>3614656.3093855842</v>
      </c>
      <c r="M22" s="594">
        <f t="shared" si="3"/>
        <v>3596583.0278386562</v>
      </c>
      <c r="N22" s="594">
        <f t="shared" si="3"/>
        <v>3578600.1126994626</v>
      </c>
      <c r="O22" s="594">
        <f t="shared" si="3"/>
        <v>3560707.1121359654</v>
      </c>
    </row>
    <row r="23" spans="2:18" x14ac:dyDescent="0.3">
      <c r="B23" s="842" t="s">
        <v>1987</v>
      </c>
      <c r="C23" s="842"/>
      <c r="D23" s="593"/>
      <c r="E23" s="843">
        <f>(E22-D22)/D22</f>
        <v>4.5531107760074289E-2</v>
      </c>
      <c r="F23" s="843">
        <f t="shared" ref="F23:O23" si="4">(F22-E22)/E22</f>
        <v>0.75548009696289897</v>
      </c>
      <c r="G23" s="843">
        <f t="shared" si="4"/>
        <v>0.1947876715747037</v>
      </c>
      <c r="H23" s="843">
        <f t="shared" si="4"/>
        <v>3.9332430409507381E-2</v>
      </c>
      <c r="I23" s="843">
        <f t="shared" si="4"/>
        <v>2.931927390051025E-2</v>
      </c>
      <c r="J23" s="843">
        <f t="shared" si="4"/>
        <v>2.9299868445173086E-2</v>
      </c>
      <c r="K23" s="843">
        <f t="shared" si="4"/>
        <v>-4.9999999999999689E-3</v>
      </c>
      <c r="L23" s="843">
        <f t="shared" si="4"/>
        <v>-5.0000000000001016E-3</v>
      </c>
      <c r="M23" s="843">
        <f t="shared" si="4"/>
        <v>-5.0000000000000183E-3</v>
      </c>
      <c r="N23" s="843">
        <f t="shared" si="4"/>
        <v>-5.0000000000001016E-3</v>
      </c>
      <c r="O23" s="843">
        <f t="shared" si="4"/>
        <v>-4.9999999999999654E-3</v>
      </c>
    </row>
    <row r="25" spans="2:18" x14ac:dyDescent="0.3">
      <c r="B25" s="707" t="s">
        <v>1930</v>
      </c>
      <c r="C25" s="707"/>
    </row>
    <row r="26" spans="2:18" x14ac:dyDescent="0.3">
      <c r="B26" s="589" t="s">
        <v>1933</v>
      </c>
      <c r="F26" s="592">
        <f>'Revenue Requirements'!F77</f>
        <v>4019214.9075407786</v>
      </c>
      <c r="G26" s="592">
        <f>'Revenue Requirements'!G77</f>
        <v>2011090.0842677434</v>
      </c>
      <c r="H26" s="592">
        <f>'Revenue Requirements'!H77</f>
        <v>3128106.7445656583</v>
      </c>
      <c r="I26" s="592">
        <f>'Revenue Requirements'!I77</f>
        <v>3676017.8815125036</v>
      </c>
      <c r="J26" s="592">
        <f>'Revenue Requirements'!J77</f>
        <v>3860858.9921343299</v>
      </c>
      <c r="K26" s="592">
        <f>'Revenue Requirements'!K77</f>
        <v>3769757.423961475</v>
      </c>
      <c r="L26" s="592">
        <f>'Revenue Requirements'!L77</f>
        <v>3881285.4948661909</v>
      </c>
      <c r="M26" s="592">
        <f>'Revenue Requirements'!M77</f>
        <v>3936669.6227573436</v>
      </c>
      <c r="N26" s="592">
        <f>'Revenue Requirements'!N77</f>
        <v>4172219.9894443983</v>
      </c>
      <c r="O26" s="592">
        <f>'Revenue Requirements'!O77</f>
        <v>4113145.6312457798</v>
      </c>
    </row>
    <row r="29" spans="2:18" x14ac:dyDescent="0.3">
      <c r="B29" s="589" t="s">
        <v>1931</v>
      </c>
      <c r="F29" s="781">
        <v>1877.05</v>
      </c>
      <c r="G29" s="782">
        <f>F29</f>
        <v>1877.05</v>
      </c>
      <c r="H29" s="782">
        <f>G29</f>
        <v>1877.05</v>
      </c>
      <c r="I29" s="782">
        <f t="shared" ref="I29:O30" si="5">H29</f>
        <v>1877.05</v>
      </c>
      <c r="J29" s="782">
        <f t="shared" si="5"/>
        <v>1877.05</v>
      </c>
      <c r="K29" s="782">
        <f t="shared" si="5"/>
        <v>1877.05</v>
      </c>
      <c r="L29" s="782">
        <f t="shared" si="5"/>
        <v>1877.05</v>
      </c>
      <c r="M29" s="782">
        <f t="shared" si="5"/>
        <v>1877.05</v>
      </c>
      <c r="N29" s="782">
        <f t="shared" si="5"/>
        <v>1877.05</v>
      </c>
      <c r="O29" s="782">
        <f t="shared" si="5"/>
        <v>1877.05</v>
      </c>
    </row>
    <row r="30" spans="2:18" x14ac:dyDescent="0.3">
      <c r="B30" s="589" t="s">
        <v>1932</v>
      </c>
      <c r="F30" s="781">
        <v>1107.75</v>
      </c>
      <c r="G30" s="782">
        <f>F30</f>
        <v>1107.75</v>
      </c>
      <c r="H30" s="782">
        <f>G30</f>
        <v>1107.75</v>
      </c>
      <c r="I30" s="782">
        <f t="shared" si="5"/>
        <v>1107.75</v>
      </c>
      <c r="J30" s="782">
        <f t="shared" si="5"/>
        <v>1107.75</v>
      </c>
      <c r="K30" s="782">
        <f t="shared" si="5"/>
        <v>1107.75</v>
      </c>
      <c r="L30" s="782">
        <f t="shared" si="5"/>
        <v>1107.75</v>
      </c>
      <c r="M30" s="782">
        <f t="shared" si="5"/>
        <v>1107.75</v>
      </c>
      <c r="N30" s="782">
        <f t="shared" si="5"/>
        <v>1107.75</v>
      </c>
      <c r="O30" s="782">
        <f t="shared" si="5"/>
        <v>1107.75</v>
      </c>
    </row>
    <row r="31" spans="2:18" x14ac:dyDescent="0.3">
      <c r="B31" s="589" t="s">
        <v>1943</v>
      </c>
      <c r="F31" s="783">
        <f>SUM(F29:F30)</f>
        <v>2984.8</v>
      </c>
      <c r="G31" s="783">
        <f t="shared" ref="G31" si="6">SUM(G29:G30)</f>
        <v>2984.8</v>
      </c>
      <c r="H31" s="783">
        <f>SUM(H29:H30)</f>
        <v>2984.8</v>
      </c>
      <c r="I31" s="783">
        <f t="shared" ref="I31" si="7">SUM(I29:I30)</f>
        <v>2984.8</v>
      </c>
      <c r="J31" s="783">
        <f t="shared" ref="J31" si="8">SUM(J29:J30)</f>
        <v>2984.8</v>
      </c>
      <c r="K31" s="783">
        <f t="shared" ref="K31" si="9">SUM(K29:K30)</f>
        <v>2984.8</v>
      </c>
      <c r="L31" s="783">
        <f t="shared" ref="L31" si="10">SUM(L29:L30)</f>
        <v>2984.8</v>
      </c>
      <c r="M31" s="783">
        <f t="shared" ref="M31" si="11">SUM(M29:M30)</f>
        <v>2984.8</v>
      </c>
      <c r="N31" s="783">
        <f t="shared" ref="N31" si="12">SUM(N29:N30)</f>
        <v>2984.8</v>
      </c>
      <c r="O31" s="783">
        <f t="shared" ref="O31" si="13">SUM(O29:O30)</f>
        <v>2984.8</v>
      </c>
    </row>
    <row r="32" spans="2:18" x14ac:dyDescent="0.3">
      <c r="F32" s="781"/>
    </row>
    <row r="33" spans="1:15" x14ac:dyDescent="0.3">
      <c r="B33" s="589" t="s">
        <v>1934</v>
      </c>
      <c r="F33" s="781">
        <f>F29*43560</f>
        <v>81764298</v>
      </c>
      <c r="G33" s="781">
        <f t="shared" ref="G33:O33" si="14">G29*43560</f>
        <v>81764298</v>
      </c>
      <c r="H33" s="781">
        <f>H29*43560</f>
        <v>81764298</v>
      </c>
      <c r="I33" s="781">
        <f t="shared" si="14"/>
        <v>81764298</v>
      </c>
      <c r="J33" s="781">
        <f t="shared" si="14"/>
        <v>81764298</v>
      </c>
      <c r="K33" s="781">
        <f t="shared" si="14"/>
        <v>81764298</v>
      </c>
      <c r="L33" s="781">
        <f t="shared" si="14"/>
        <v>81764298</v>
      </c>
      <c r="M33" s="781">
        <f t="shared" si="14"/>
        <v>81764298</v>
      </c>
      <c r="N33" s="781">
        <f t="shared" si="14"/>
        <v>81764298</v>
      </c>
      <c r="O33" s="781">
        <f t="shared" si="14"/>
        <v>81764298</v>
      </c>
    </row>
    <row r="34" spans="1:15" x14ac:dyDescent="0.3">
      <c r="B34" s="589" t="s">
        <v>1935</v>
      </c>
      <c r="F34" s="781">
        <f>F30*43560</f>
        <v>48253590</v>
      </c>
      <c r="G34" s="781">
        <f t="shared" ref="G34:O34" si="15">G30*43560</f>
        <v>48253590</v>
      </c>
      <c r="H34" s="781">
        <f>H30*43560</f>
        <v>48253590</v>
      </c>
      <c r="I34" s="781">
        <f t="shared" si="15"/>
        <v>48253590</v>
      </c>
      <c r="J34" s="781">
        <f t="shared" si="15"/>
        <v>48253590</v>
      </c>
      <c r="K34" s="781">
        <f t="shared" si="15"/>
        <v>48253590</v>
      </c>
      <c r="L34" s="781">
        <f t="shared" si="15"/>
        <v>48253590</v>
      </c>
      <c r="M34" s="781">
        <f t="shared" si="15"/>
        <v>48253590</v>
      </c>
      <c r="N34" s="781">
        <f t="shared" si="15"/>
        <v>48253590</v>
      </c>
      <c r="O34" s="781">
        <f t="shared" si="15"/>
        <v>48253590</v>
      </c>
    </row>
    <row r="35" spans="1:15" x14ac:dyDescent="0.3">
      <c r="B35" s="589" t="s">
        <v>1936</v>
      </c>
      <c r="F35" s="783">
        <f>SUM(F33:F34)</f>
        <v>130017888</v>
      </c>
      <c r="G35" s="783">
        <f t="shared" ref="G35:O35" si="16">SUM(G33:G34)</f>
        <v>130017888</v>
      </c>
      <c r="H35" s="783">
        <f>SUM(H33:H34)</f>
        <v>130017888</v>
      </c>
      <c r="I35" s="783">
        <f t="shared" si="16"/>
        <v>130017888</v>
      </c>
      <c r="J35" s="783">
        <f t="shared" si="16"/>
        <v>130017888</v>
      </c>
      <c r="K35" s="783">
        <f t="shared" si="16"/>
        <v>130017888</v>
      </c>
      <c r="L35" s="783">
        <f t="shared" si="16"/>
        <v>130017888</v>
      </c>
      <c r="M35" s="783">
        <f t="shared" si="16"/>
        <v>130017888</v>
      </c>
      <c r="N35" s="783">
        <f t="shared" si="16"/>
        <v>130017888</v>
      </c>
      <c r="O35" s="783">
        <f t="shared" si="16"/>
        <v>130017888</v>
      </c>
    </row>
    <row r="36" spans="1:15" x14ac:dyDescent="0.3">
      <c r="F36" s="785"/>
      <c r="G36" s="785"/>
      <c r="H36" s="785"/>
      <c r="I36" s="785"/>
      <c r="J36" s="785"/>
      <c r="K36" s="785"/>
      <c r="L36" s="785"/>
      <c r="M36" s="785"/>
      <c r="N36" s="785"/>
      <c r="O36" s="785"/>
    </row>
    <row r="37" spans="1:15" x14ac:dyDescent="0.3">
      <c r="B37" s="589" t="s">
        <v>1942</v>
      </c>
      <c r="F37" s="786">
        <f>F26/F31</f>
        <v>1346.5608776269025</v>
      </c>
      <c r="G37" s="786">
        <f t="shared" ref="G37:O37" si="17">G26/G31</f>
        <v>673.7771657289411</v>
      </c>
      <c r="H37" s="786">
        <f>H26/H31</f>
        <v>1048.0121765497381</v>
      </c>
      <c r="I37" s="786">
        <f t="shared" si="17"/>
        <v>1231.579295601884</v>
      </c>
      <c r="J37" s="786">
        <f t="shared" si="17"/>
        <v>1293.5067649873793</v>
      </c>
      <c r="K37" s="786">
        <f t="shared" si="17"/>
        <v>1262.9849316408049</v>
      </c>
      <c r="L37" s="786">
        <f t="shared" si="17"/>
        <v>1300.3502730052903</v>
      </c>
      <c r="M37" s="786">
        <f t="shared" si="17"/>
        <v>1318.9056629447009</v>
      </c>
      <c r="N37" s="786">
        <f t="shared" si="17"/>
        <v>1397.8222961151159</v>
      </c>
      <c r="O37" s="786">
        <f t="shared" si="17"/>
        <v>1378.0305652793418</v>
      </c>
    </row>
    <row r="38" spans="1:15" x14ac:dyDescent="0.3">
      <c r="B38" s="589" t="s">
        <v>1937</v>
      </c>
      <c r="F38" s="784">
        <f>F22/F35</f>
        <v>2.1344230751992915E-2</v>
      </c>
      <c r="G38" s="784">
        <f t="shared" ref="G38:O38" si="18">G22/G35</f>
        <v>2.55018237617268E-2</v>
      </c>
      <c r="H38" s="784">
        <f>H22/H35</f>
        <v>2.6504872470150442E-2</v>
      </c>
      <c r="I38" s="784">
        <f t="shared" si="18"/>
        <v>2.7281976085800876E-2</v>
      </c>
      <c r="J38" s="784">
        <f t="shared" si="18"/>
        <v>2.8081334396039201E-2</v>
      </c>
      <c r="K38" s="784">
        <f t="shared" si="18"/>
        <v>2.7940927724059005E-2</v>
      </c>
      <c r="L38" s="784">
        <f t="shared" si="18"/>
        <v>2.7801223085438708E-2</v>
      </c>
      <c r="M38" s="784">
        <f t="shared" si="18"/>
        <v>2.7662216970011512E-2</v>
      </c>
      <c r="N38" s="784">
        <f t="shared" si="18"/>
        <v>2.7523905885161452E-2</v>
      </c>
      <c r="O38" s="784">
        <f t="shared" si="18"/>
        <v>2.7386286355735645E-2</v>
      </c>
    </row>
    <row r="39" spans="1:15" x14ac:dyDescent="0.3">
      <c r="F39" s="784">
        <f>E22/F35</f>
        <v>1.2158628735762882E-2</v>
      </c>
    </row>
    <row r="40" spans="1:15" ht="57.6" x14ac:dyDescent="0.3">
      <c r="A40" s="589" t="s">
        <v>2120</v>
      </c>
      <c r="B40" s="956" t="s">
        <v>1938</v>
      </c>
      <c r="C40" s="932" t="s">
        <v>2119</v>
      </c>
      <c r="D40" s="955" t="s">
        <v>2139</v>
      </c>
      <c r="E40" s="955" t="s">
        <v>2118</v>
      </c>
      <c r="F40" s="955" t="s">
        <v>2117</v>
      </c>
      <c r="G40" s="932"/>
      <c r="H40" s="932"/>
      <c r="I40" s="932"/>
      <c r="J40" s="932"/>
      <c r="K40" s="932"/>
      <c r="L40" s="932"/>
      <c r="M40" s="932"/>
      <c r="N40" s="932"/>
      <c r="O40" s="932"/>
    </row>
    <row r="41" spans="1:15" ht="15" x14ac:dyDescent="0.25">
      <c r="A41" s="589">
        <v>200715</v>
      </c>
      <c r="B41" s="589" t="s">
        <v>2121</v>
      </c>
      <c r="C41" s="934">
        <v>4</v>
      </c>
      <c r="D41" s="954">
        <v>958</v>
      </c>
      <c r="E41" s="590">
        <f t="shared" ref="E41:E48" si="19">C41*F$9</f>
        <v>7.04</v>
      </c>
      <c r="F41" s="590">
        <f t="shared" ref="F41:F47" si="20">F$38*$D41/6</f>
        <v>3.4079621767348685</v>
      </c>
      <c r="G41" s="590"/>
      <c r="H41" s="590"/>
      <c r="I41" s="590"/>
      <c r="J41" s="590"/>
      <c r="K41" s="590"/>
      <c r="L41" s="590"/>
      <c r="M41" s="590"/>
      <c r="N41" s="590"/>
      <c r="O41" s="590"/>
    </row>
    <row r="42" spans="1:15" ht="15" x14ac:dyDescent="0.25">
      <c r="A42" s="589">
        <v>201385</v>
      </c>
      <c r="B42" s="589" t="s">
        <v>2122</v>
      </c>
      <c r="C42" s="934">
        <v>4</v>
      </c>
      <c r="D42" s="954">
        <v>1962</v>
      </c>
      <c r="E42" s="590">
        <f t="shared" si="19"/>
        <v>7.04</v>
      </c>
      <c r="F42" s="590">
        <f t="shared" si="20"/>
        <v>6.9795634559016833</v>
      </c>
      <c r="G42" s="590"/>
      <c r="H42" s="590"/>
      <c r="I42" s="590"/>
      <c r="J42" s="590"/>
      <c r="K42" s="590"/>
      <c r="L42" s="590"/>
      <c r="M42" s="590"/>
      <c r="N42" s="590"/>
      <c r="O42" s="590"/>
    </row>
    <row r="43" spans="1:15" ht="15" x14ac:dyDescent="0.25">
      <c r="A43" s="589">
        <v>217700</v>
      </c>
      <c r="B43" s="589" t="s">
        <v>2123</v>
      </c>
      <c r="C43" s="933">
        <v>11</v>
      </c>
      <c r="D43" s="781">
        <v>4027</v>
      </c>
      <c r="E43" s="590">
        <f t="shared" si="19"/>
        <v>19.36</v>
      </c>
      <c r="F43" s="590">
        <f t="shared" si="20"/>
        <v>14.325536206379246</v>
      </c>
      <c r="G43" s="590"/>
      <c r="H43" s="590"/>
      <c r="I43" s="590"/>
      <c r="J43" s="590"/>
      <c r="K43" s="590"/>
      <c r="L43" s="590"/>
      <c r="M43" s="590"/>
      <c r="N43" s="590"/>
      <c r="O43" s="590"/>
    </row>
    <row r="44" spans="1:15" ht="15" x14ac:dyDescent="0.25">
      <c r="A44" s="589">
        <v>106925</v>
      </c>
      <c r="B44" s="589" t="s">
        <v>2123</v>
      </c>
      <c r="C44" s="933">
        <v>10</v>
      </c>
      <c r="D44" s="781">
        <v>4349</v>
      </c>
      <c r="E44" s="590">
        <f t="shared" si="19"/>
        <v>17.600000000000001</v>
      </c>
      <c r="F44" s="590">
        <f t="shared" si="20"/>
        <v>15.471009923402866</v>
      </c>
      <c r="G44" s="590"/>
      <c r="H44" s="590"/>
      <c r="I44" s="590"/>
      <c r="J44" s="590"/>
      <c r="K44" s="590"/>
      <c r="L44" s="590"/>
      <c r="M44" s="590"/>
      <c r="N44" s="590"/>
      <c r="O44" s="590"/>
    </row>
    <row r="45" spans="1:15" ht="15" x14ac:dyDescent="0.25">
      <c r="A45" s="589">
        <v>155905</v>
      </c>
      <c r="B45" s="589" t="s">
        <v>2124</v>
      </c>
      <c r="C45" s="933">
        <v>14</v>
      </c>
      <c r="D45" s="781">
        <v>11725</v>
      </c>
      <c r="E45" s="590">
        <f t="shared" si="19"/>
        <v>24.64</v>
      </c>
      <c r="F45" s="590">
        <f t="shared" si="20"/>
        <v>41.71018426118615</v>
      </c>
      <c r="G45" s="590"/>
      <c r="H45" s="590"/>
      <c r="I45" s="590"/>
      <c r="J45" s="590"/>
      <c r="K45" s="590"/>
      <c r="L45" s="590"/>
      <c r="M45" s="590"/>
      <c r="N45" s="590"/>
      <c r="O45" s="590"/>
    </row>
    <row r="46" spans="1:15" ht="15" x14ac:dyDescent="0.25">
      <c r="A46" s="589">
        <v>164775</v>
      </c>
      <c r="B46" s="589" t="s">
        <v>1940</v>
      </c>
      <c r="C46" s="933">
        <v>18</v>
      </c>
      <c r="D46" s="781">
        <v>158816</v>
      </c>
      <c r="E46" s="590">
        <f t="shared" si="19"/>
        <v>31.68</v>
      </c>
      <c r="F46" s="590">
        <f t="shared" si="20"/>
        <v>564.9675585180845</v>
      </c>
      <c r="G46" s="590"/>
      <c r="H46" s="590"/>
      <c r="I46" s="590"/>
      <c r="J46" s="590"/>
      <c r="K46" s="590"/>
      <c r="L46" s="590"/>
      <c r="M46" s="590"/>
      <c r="N46" s="590"/>
      <c r="O46" s="590"/>
    </row>
    <row r="47" spans="1:15" ht="15" x14ac:dyDescent="0.25">
      <c r="A47" s="589">
        <v>180720</v>
      </c>
      <c r="B47" s="589" t="s">
        <v>1941</v>
      </c>
      <c r="C47" s="933">
        <v>129</v>
      </c>
      <c r="D47" s="781">
        <v>404649</v>
      </c>
      <c r="E47" s="590">
        <f t="shared" si="19"/>
        <v>227.04</v>
      </c>
      <c r="F47" s="590">
        <f t="shared" si="20"/>
        <v>1439.4869382605302</v>
      </c>
      <c r="G47" s="590"/>
      <c r="H47" s="590"/>
      <c r="I47" s="590"/>
      <c r="J47" s="590"/>
      <c r="K47" s="590"/>
      <c r="L47" s="590"/>
      <c r="M47" s="590"/>
      <c r="N47" s="590"/>
      <c r="O47" s="590"/>
    </row>
    <row r="48" spans="1:15" ht="15" x14ac:dyDescent="0.25">
      <c r="A48" s="589">
        <v>226430</v>
      </c>
      <c r="B48" s="589" t="s">
        <v>1939</v>
      </c>
      <c r="C48" s="933">
        <v>75</v>
      </c>
      <c r="D48" s="781">
        <v>39453</v>
      </c>
      <c r="E48" s="590">
        <f t="shared" si="19"/>
        <v>132</v>
      </c>
      <c r="F48" s="590">
        <f t="shared" ref="F48" si="21">F$38*$D48/6</f>
        <v>140.3489893097294</v>
      </c>
      <c r="G48" s="590"/>
      <c r="H48" s="590"/>
      <c r="I48" s="590"/>
      <c r="J48" s="590"/>
      <c r="K48" s="590"/>
      <c r="L48" s="590"/>
      <c r="M48" s="590"/>
      <c r="N48" s="590"/>
      <c r="O48" s="590"/>
    </row>
    <row r="49" spans="3:8" ht="15" x14ac:dyDescent="0.25">
      <c r="C49" s="935" t="s">
        <v>2125</v>
      </c>
      <c r="F49" s="781">
        <f t="shared" ref="F49:F54" si="22">F43/$E$9</f>
        <v>16.279018416340051</v>
      </c>
    </row>
    <row r="50" spans="3:8" ht="15.75" x14ac:dyDescent="0.25">
      <c r="D50"/>
      <c r="F50" s="781">
        <f t="shared" si="22"/>
        <v>17.580693094775985</v>
      </c>
    </row>
    <row r="51" spans="3:8" ht="15" x14ac:dyDescent="0.25">
      <c r="F51" s="781">
        <f t="shared" si="22"/>
        <v>47.397936660438809</v>
      </c>
    </row>
    <row r="52" spans="3:8" ht="15" x14ac:dyDescent="0.25">
      <c r="F52" s="781">
        <f t="shared" si="22"/>
        <v>642.00858922509599</v>
      </c>
    </row>
    <row r="53" spans="3:8" ht="15" x14ac:dyDescent="0.25">
      <c r="F53" s="781">
        <f t="shared" si="22"/>
        <v>1635.7806116596935</v>
      </c>
    </row>
    <row r="54" spans="3:8" ht="15" x14ac:dyDescent="0.25">
      <c r="F54" s="781">
        <f t="shared" si="22"/>
        <v>159.48748785196523</v>
      </c>
      <c r="H54" s="78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4"/>
  <sheetViews>
    <sheetView showGridLines="0" zoomScale="85" zoomScaleNormal="85" zoomScaleSheetLayoutView="80" workbookViewId="0">
      <pane xSplit="4" ySplit="4" topLeftCell="E132" activePane="bottomRight" state="frozen"/>
      <selection activeCell="B113" sqref="B113"/>
      <selection pane="topRight" activeCell="B113" sqref="B113"/>
      <selection pane="bottomLeft" activeCell="B113" sqref="B113"/>
      <selection pane="bottomRight" activeCell="F163" sqref="F163"/>
    </sheetView>
  </sheetViews>
  <sheetFormatPr defaultColWidth="9" defaultRowHeight="14.4" x14ac:dyDescent="0.3"/>
  <cols>
    <col min="1" max="1" width="5" style="483" customWidth="1"/>
    <col min="2" max="2" width="33.19921875" style="945" customWidth="1"/>
    <col min="3" max="3" width="8.59765625" style="483" customWidth="1"/>
    <col min="4" max="4" width="12.69921875" style="521" customWidth="1"/>
    <col min="5" max="5" width="13.19921875" style="483" customWidth="1"/>
    <col min="6" max="6" width="12.09765625" style="483" bestFit="1" customWidth="1"/>
    <col min="7" max="7" width="12.3984375" style="483" bestFit="1" customWidth="1"/>
    <col min="8" max="10" width="12.59765625" style="483" bestFit="1" customWidth="1"/>
    <col min="11" max="15" width="12.5" style="483" bestFit="1" customWidth="1"/>
    <col min="16" max="16" width="4.5" style="483" bestFit="1" customWidth="1"/>
    <col min="17" max="16384" width="9" style="483"/>
  </cols>
  <sheetData>
    <row r="1" spans="2:15" x14ac:dyDescent="0.3">
      <c r="C1" s="479"/>
      <c r="D1" s="482"/>
      <c r="E1" s="484"/>
      <c r="F1" s="485"/>
      <c r="G1" s="485"/>
    </row>
    <row r="2" spans="2:15" s="488" customFormat="1" x14ac:dyDescent="0.3">
      <c r="B2" s="479" t="s">
        <v>1964</v>
      </c>
      <c r="C2" s="479"/>
      <c r="D2" s="482" t="s">
        <v>1925</v>
      </c>
      <c r="E2" s="486"/>
      <c r="F2" s="487"/>
      <c r="G2" s="487"/>
    </row>
    <row r="3" spans="2:15" s="488" customFormat="1" x14ac:dyDescent="0.3">
      <c r="B3" s="479"/>
      <c r="C3" s="479"/>
      <c r="D3" s="630">
        <v>6494050</v>
      </c>
    </row>
    <row r="4" spans="2:15" x14ac:dyDescent="0.3">
      <c r="B4" s="946"/>
      <c r="C4" s="489"/>
      <c r="D4" s="490"/>
      <c r="E4" s="480">
        <v>2015</v>
      </c>
      <c r="F4" s="480">
        <f>E4+1</f>
        <v>2016</v>
      </c>
      <c r="G4" s="480">
        <f t="shared" ref="G4:O4" si="0">F4+1</f>
        <v>2017</v>
      </c>
      <c r="H4" s="480">
        <f t="shared" si="0"/>
        <v>2018</v>
      </c>
      <c r="I4" s="480">
        <f t="shared" si="0"/>
        <v>2019</v>
      </c>
      <c r="J4" s="480">
        <f t="shared" si="0"/>
        <v>2020</v>
      </c>
      <c r="K4" s="480">
        <f t="shared" si="0"/>
        <v>2021</v>
      </c>
      <c r="L4" s="480">
        <f t="shared" si="0"/>
        <v>2022</v>
      </c>
      <c r="M4" s="480">
        <f t="shared" si="0"/>
        <v>2023</v>
      </c>
      <c r="N4" s="480">
        <f t="shared" si="0"/>
        <v>2024</v>
      </c>
      <c r="O4" s="480">
        <f t="shared" si="0"/>
        <v>2025</v>
      </c>
    </row>
    <row r="5" spans="2:15" s="493" customFormat="1" ht="15" thickBot="1" x14ac:dyDescent="0.35">
      <c r="B5" s="947"/>
      <c r="C5" s="491"/>
      <c r="D5" s="492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2:15" ht="15.6" x14ac:dyDescent="0.3">
      <c r="B6" s="1123" t="s">
        <v>10</v>
      </c>
      <c r="C6" s="1124"/>
      <c r="D6" s="1125"/>
      <c r="E6" s="1126"/>
      <c r="F6" s="1126"/>
      <c r="G6" s="1126"/>
      <c r="H6" s="1126"/>
      <c r="I6" s="1126"/>
      <c r="J6" s="1126"/>
      <c r="K6" s="1126"/>
      <c r="L6" s="1126"/>
      <c r="M6" s="1126"/>
      <c r="N6" s="1126"/>
      <c r="O6" s="1127"/>
    </row>
    <row r="7" spans="2:15" s="497" customFormat="1" x14ac:dyDescent="0.3">
      <c r="B7" s="996" t="s">
        <v>1635</v>
      </c>
      <c r="C7" s="495"/>
      <c r="D7" s="496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997"/>
    </row>
    <row r="8" spans="2:15" x14ac:dyDescent="0.3">
      <c r="B8" s="998" t="s">
        <v>1636</v>
      </c>
      <c r="C8" s="498"/>
      <c r="D8" s="499"/>
      <c r="E8" s="500">
        <f>'Water Rate Projections'!F71</f>
        <v>14411439.396600001</v>
      </c>
      <c r="F8" s="500">
        <f>'Water Rate Projections'!G71</f>
        <v>15283782.596261144</v>
      </c>
      <c r="G8" s="500">
        <f>'Water Rate Projections'!H71</f>
        <v>16226583.971539626</v>
      </c>
      <c r="H8" s="500">
        <f>'Water Rate Projections'!I71</f>
        <v>17030943.334708843</v>
      </c>
      <c r="I8" s="500">
        <f>'Water Rate Projections'!J71</f>
        <v>17874902.610271629</v>
      </c>
      <c r="J8" s="500">
        <f>'Water Rate Projections'!K71</f>
        <v>18760400.609326657</v>
      </c>
      <c r="K8" s="500">
        <f>'Water Rate Projections'!L71</f>
        <v>18674732.424525429</v>
      </c>
      <c r="L8" s="500">
        <f>'Water Rate Projections'!M71</f>
        <v>18589492.580648202</v>
      </c>
      <c r="M8" s="500">
        <f>'Water Rate Projections'!N71</f>
        <v>18504678.935990363</v>
      </c>
      <c r="N8" s="500">
        <f>'Water Rate Projections'!O71</f>
        <v>18420289.359555814</v>
      </c>
      <c r="O8" s="999">
        <f>'Water Rate Projections'!P71</f>
        <v>18336321.731003437</v>
      </c>
    </row>
    <row r="9" spans="2:15" x14ac:dyDescent="0.3">
      <c r="B9" s="1000" t="s">
        <v>356</v>
      </c>
      <c r="C9" s="501"/>
      <c r="D9" s="502"/>
      <c r="E9" s="500">
        <f>'Misc Revenues'!R26</f>
        <v>1151586.02</v>
      </c>
      <c r="F9" s="500">
        <f>'Misc Revenues'!S26</f>
        <v>1301321.83</v>
      </c>
      <c r="G9" s="500">
        <f>'Misc Revenues'!T26</f>
        <v>1338218.1348999999</v>
      </c>
      <c r="H9" s="500">
        <f>'Misc Revenues'!U26</f>
        <v>1376221.328947</v>
      </c>
      <c r="I9" s="500">
        <f>'Misc Revenues'!V26</f>
        <v>1415364.61881541</v>
      </c>
      <c r="J9" s="500">
        <f>'Misc Revenues'!W26</f>
        <v>1455682.2073798722</v>
      </c>
      <c r="K9" s="500">
        <f>'Misc Revenues'!X26</f>
        <v>1497209.3236012687</v>
      </c>
      <c r="L9" s="500">
        <f>'Misc Revenues'!Y26</f>
        <v>1539982.2533093067</v>
      </c>
      <c r="M9" s="500">
        <f>'Misc Revenues'!Z26</f>
        <v>1584038.3709085858</v>
      </c>
      <c r="N9" s="500">
        <f>'Misc Revenues'!AA26</f>
        <v>1629416.1720358434</v>
      </c>
      <c r="O9" s="999">
        <f>'Misc Revenues'!AB26</f>
        <v>1676155.3071969186</v>
      </c>
    </row>
    <row r="10" spans="2:15" s="497" customFormat="1" x14ac:dyDescent="0.3">
      <c r="B10" s="996" t="s">
        <v>1637</v>
      </c>
      <c r="C10" s="495"/>
      <c r="D10" s="496"/>
      <c r="E10" s="503">
        <f t="shared" ref="E10:O10" si="1">SUM(E8:E9)</f>
        <v>15563025.4166</v>
      </c>
      <c r="F10" s="503">
        <f t="shared" si="1"/>
        <v>16585104.426261144</v>
      </c>
      <c r="G10" s="503">
        <f t="shared" si="1"/>
        <v>17564802.106439628</v>
      </c>
      <c r="H10" s="503">
        <f t="shared" si="1"/>
        <v>18407164.663655844</v>
      </c>
      <c r="I10" s="503">
        <f t="shared" si="1"/>
        <v>19290267.22908704</v>
      </c>
      <c r="J10" s="503">
        <f t="shared" si="1"/>
        <v>20216082.816706531</v>
      </c>
      <c r="K10" s="503">
        <f t="shared" si="1"/>
        <v>20171941.748126697</v>
      </c>
      <c r="L10" s="503">
        <f t="shared" si="1"/>
        <v>20129474.833957508</v>
      </c>
      <c r="M10" s="503">
        <f t="shared" si="1"/>
        <v>20088717.306898948</v>
      </c>
      <c r="N10" s="503">
        <f t="shared" si="1"/>
        <v>20049705.531591658</v>
      </c>
      <c r="O10" s="1005">
        <f t="shared" si="1"/>
        <v>20012477.038200356</v>
      </c>
    </row>
    <row r="11" spans="2:15" x14ac:dyDescent="0.3">
      <c r="B11" s="1000"/>
      <c r="C11" s="504"/>
      <c r="D11" s="502"/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1002"/>
    </row>
    <row r="12" spans="2:15" s="497" customFormat="1" x14ac:dyDescent="0.3">
      <c r="B12" s="996" t="s">
        <v>1638</v>
      </c>
      <c r="C12" s="495"/>
      <c r="D12" s="49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1003"/>
    </row>
    <row r="13" spans="2:15" x14ac:dyDescent="0.3">
      <c r="B13" s="1000" t="s">
        <v>1639</v>
      </c>
      <c r="C13" s="501"/>
      <c r="D13" s="502"/>
      <c r="E13" s="500">
        <f>'Revenue Requirements'!E8</f>
        <v>13076558.800000001</v>
      </c>
      <c r="F13" s="500">
        <f>'Revenue Requirements'!F8</f>
        <v>12519421.224169997</v>
      </c>
      <c r="G13" s="500">
        <f>'Revenue Requirements'!G8</f>
        <v>12918559.413494878</v>
      </c>
      <c r="H13" s="500">
        <f>'Revenue Requirements'!H8</f>
        <v>13330076.727931121</v>
      </c>
      <c r="I13" s="500">
        <f>'Revenue Requirements'!I8</f>
        <v>13755618.888539981</v>
      </c>
      <c r="J13" s="500">
        <f>'Revenue Requirements'!J8</f>
        <v>14195754.508831505</v>
      </c>
      <c r="K13" s="500">
        <f>'Revenue Requirements'!K8</f>
        <v>14606906.19436045</v>
      </c>
      <c r="L13" s="500">
        <f>'Revenue Requirements'!L8</f>
        <v>15031687.722448047</v>
      </c>
      <c r="M13" s="500">
        <f>'Revenue Requirements'!M8</f>
        <v>15470685.284164215</v>
      </c>
      <c r="N13" s="500">
        <f>'Revenue Requirements'!N8</f>
        <v>15924520.514148638</v>
      </c>
      <c r="O13" s="999">
        <f>'Revenue Requirements'!O8</f>
        <v>16393853.286241982</v>
      </c>
    </row>
    <row r="14" spans="2:15" x14ac:dyDescent="0.3">
      <c r="B14" s="1000" t="s">
        <v>1640</v>
      </c>
      <c r="C14" s="501"/>
      <c r="D14" s="502"/>
      <c r="E14" s="500">
        <f>'Revenue Requirements'!E12</f>
        <v>946328.51</v>
      </c>
      <c r="F14" s="500">
        <f>'Revenue Requirements'!F12</f>
        <v>1000276.12</v>
      </c>
      <c r="G14" s="500">
        <f>'Revenue Requirements'!G12</f>
        <v>1385588.6999231174</v>
      </c>
      <c r="H14" s="500">
        <f>'Revenue Requirements'!H12</f>
        <v>2667146.3947200999</v>
      </c>
      <c r="I14" s="500">
        <f>'Revenue Requirements'!I12</f>
        <v>3390351.8143577846</v>
      </c>
      <c r="J14" s="500">
        <f>'Revenue Requirements'!J12</f>
        <v>3393479.6321049426</v>
      </c>
      <c r="K14" s="500">
        <f>'Revenue Requirements'!K12</f>
        <v>3394580.7374256793</v>
      </c>
      <c r="L14" s="500">
        <f>'Revenue Requirements'!L12</f>
        <v>3390303.3363389433</v>
      </c>
      <c r="M14" s="500">
        <f>'Revenue Requirements'!M12</f>
        <v>3394462.3761405218</v>
      </c>
      <c r="N14" s="500">
        <f>'Revenue Requirements'!N12</f>
        <v>3392910.4090496795</v>
      </c>
      <c r="O14" s="999">
        <f>'Revenue Requirements'!O12</f>
        <v>3395186.7075874689</v>
      </c>
    </row>
    <row r="15" spans="2:15" x14ac:dyDescent="0.3">
      <c r="B15" s="1000" t="s">
        <v>351</v>
      </c>
      <c r="C15" s="501"/>
      <c r="D15" s="502"/>
      <c r="E15" s="500">
        <f>'Revenue Requirements'!E11</f>
        <v>0</v>
      </c>
      <c r="F15" s="500">
        <f>'Revenue Requirements'!F11</f>
        <v>326000</v>
      </c>
      <c r="G15" s="500">
        <f>'Revenue Requirements'!G11</f>
        <v>2764000</v>
      </c>
      <c r="H15" s="500">
        <f>'Revenue Requirements'!H11</f>
        <v>5217500</v>
      </c>
      <c r="I15" s="500">
        <f>'Revenue Requirements'!I11</f>
        <v>2037500</v>
      </c>
      <c r="J15" s="500">
        <f>'Revenue Requirements'!J11</f>
        <v>500000</v>
      </c>
      <c r="K15" s="500">
        <f>'Revenue Requirements'!K11</f>
        <v>447000</v>
      </c>
      <c r="L15" s="500">
        <f>'Revenue Requirements'!L11</f>
        <v>467000</v>
      </c>
      <c r="M15" s="500">
        <f>'Revenue Requirements'!M11</f>
        <v>452000</v>
      </c>
      <c r="N15" s="500">
        <f>'Revenue Requirements'!N11</f>
        <v>312000</v>
      </c>
      <c r="O15" s="999">
        <f>'Revenue Requirements'!O11</f>
        <v>292000</v>
      </c>
    </row>
    <row r="16" spans="2:15" x14ac:dyDescent="0.3">
      <c r="B16" s="1000" t="s">
        <v>1641</v>
      </c>
      <c r="C16" s="501"/>
      <c r="D16" s="502"/>
      <c r="E16" s="500">
        <f>'Revenue Requirements'!E13</f>
        <v>0</v>
      </c>
      <c r="F16" s="500">
        <f>'Revenue Requirements'!F13</f>
        <v>0</v>
      </c>
      <c r="G16" s="500">
        <f>'Revenue Requirements'!G13</f>
        <v>0</v>
      </c>
      <c r="H16" s="500">
        <f>'Revenue Requirements'!H13</f>
        <v>139058.01042270087</v>
      </c>
      <c r="I16" s="500">
        <f>'Revenue Requirements'!I13</f>
        <v>298214.51330104814</v>
      </c>
      <c r="J16" s="500">
        <f>'Revenue Requirements'!J13</f>
        <v>453865.45780153637</v>
      </c>
      <c r="K16" s="500">
        <f>'Revenue Requirements'!K13</f>
        <v>609516.40230202465</v>
      </c>
      <c r="L16" s="500">
        <f>'Revenue Requirements'!L13</f>
        <v>765167.34680251288</v>
      </c>
      <c r="M16" s="500">
        <f>'Revenue Requirements'!M13</f>
        <v>920818.29130300111</v>
      </c>
      <c r="N16" s="500">
        <f>'Revenue Requirements'!N13</f>
        <v>1076469.2358034893</v>
      </c>
      <c r="O16" s="999">
        <f>'Revenue Requirements'!O13</f>
        <v>1232120.1803039776</v>
      </c>
    </row>
    <row r="17" spans="2:15" s="497" customFormat="1" x14ac:dyDescent="0.3">
      <c r="B17" s="996" t="s">
        <v>1642</v>
      </c>
      <c r="C17" s="495"/>
      <c r="D17" s="496"/>
      <c r="E17" s="503">
        <f t="shared" ref="E17:O17" si="2">SUM(E13:E16)</f>
        <v>14022887.310000001</v>
      </c>
      <c r="F17" s="503">
        <f t="shared" si="2"/>
        <v>13845697.344169997</v>
      </c>
      <c r="G17" s="503">
        <f t="shared" si="2"/>
        <v>17068148.113417994</v>
      </c>
      <c r="H17" s="503">
        <f>SUM(H13:H16)</f>
        <v>21353781.133073919</v>
      </c>
      <c r="I17" s="503">
        <f t="shared" si="2"/>
        <v>19481685.216198813</v>
      </c>
      <c r="J17" s="503">
        <f t="shared" si="2"/>
        <v>18543099.598737985</v>
      </c>
      <c r="K17" s="503">
        <f t="shared" si="2"/>
        <v>19058003.33408815</v>
      </c>
      <c r="L17" s="503">
        <f t="shared" si="2"/>
        <v>19654158.405589506</v>
      </c>
      <c r="M17" s="503">
        <f t="shared" si="2"/>
        <v>20237965.951607738</v>
      </c>
      <c r="N17" s="503">
        <f t="shared" si="2"/>
        <v>20705900.159001805</v>
      </c>
      <c r="O17" s="1005">
        <f t="shared" si="2"/>
        <v>21313160.174133427</v>
      </c>
    </row>
    <row r="18" spans="2:15" x14ac:dyDescent="0.3">
      <c r="B18" s="1000"/>
      <c r="C18" s="504"/>
      <c r="D18" s="502"/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1006"/>
    </row>
    <row r="19" spans="2:15" x14ac:dyDescent="0.3">
      <c r="B19" s="1007" t="s">
        <v>1643</v>
      </c>
      <c r="C19" s="1008"/>
      <c r="D19" s="1009"/>
      <c r="E19" s="507">
        <f t="shared" ref="E19:O19" si="3">E10-E17</f>
        <v>1540138.1065999996</v>
      </c>
      <c r="F19" s="507">
        <f t="shared" si="3"/>
        <v>2739407.0820911471</v>
      </c>
      <c r="G19" s="507">
        <f t="shared" si="3"/>
        <v>496653.99302163348</v>
      </c>
      <c r="H19" s="1179">
        <f>H10-H17</f>
        <v>-2946616.4694180749</v>
      </c>
      <c r="I19" s="507">
        <f t="shared" si="3"/>
        <v>-191417.98711177334</v>
      </c>
      <c r="J19" s="507">
        <f t="shared" si="3"/>
        <v>1672983.2179685459</v>
      </c>
      <c r="K19" s="507">
        <f t="shared" si="3"/>
        <v>1113938.4140385464</v>
      </c>
      <c r="L19" s="507">
        <f t="shared" si="3"/>
        <v>475316.42836800218</v>
      </c>
      <c r="M19" s="507">
        <f t="shared" si="3"/>
        <v>-149248.64470878989</v>
      </c>
      <c r="N19" s="507">
        <f t="shared" si="3"/>
        <v>-656194.62741014734</v>
      </c>
      <c r="O19" s="1010">
        <f t="shared" si="3"/>
        <v>-1300683.1359330714</v>
      </c>
    </row>
    <row r="20" spans="2:15" x14ac:dyDescent="0.3">
      <c r="B20" s="1000"/>
      <c r="C20" s="504"/>
      <c r="D20" s="502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1011"/>
    </row>
    <row r="21" spans="2:15" ht="15.6" x14ac:dyDescent="0.3">
      <c r="B21" s="1130" t="s">
        <v>2262</v>
      </c>
      <c r="C21" s="1027"/>
      <c r="D21" s="1131"/>
      <c r="E21" s="1128"/>
      <c r="F21" s="1128"/>
      <c r="G21" s="1128"/>
      <c r="H21" s="1128"/>
      <c r="I21" s="1128"/>
      <c r="J21" s="1128"/>
      <c r="K21" s="1128"/>
      <c r="L21" s="1128"/>
      <c r="M21" s="1128"/>
      <c r="N21" s="1128"/>
      <c r="O21" s="1129"/>
    </row>
    <row r="22" spans="2:15" x14ac:dyDescent="0.3">
      <c r="B22" s="1014" t="s">
        <v>1645</v>
      </c>
      <c r="C22" s="1015"/>
      <c r="D22" s="502"/>
      <c r="E22" s="500"/>
      <c r="F22" s="500">
        <f>E25</f>
        <v>4545835</v>
      </c>
      <c r="G22" s="500">
        <f t="shared" ref="G22:O22" si="4">F25</f>
        <v>7285242.0820911471</v>
      </c>
      <c r="H22" s="500">
        <f>G25</f>
        <v>7781896.0751127806</v>
      </c>
      <c r="I22" s="500">
        <f t="shared" si="4"/>
        <v>4835279.6056947056</v>
      </c>
      <c r="J22" s="500">
        <f t="shared" si="4"/>
        <v>4643861.6185829323</v>
      </c>
      <c r="K22" s="500">
        <f t="shared" si="4"/>
        <v>6316844.8365514781</v>
      </c>
      <c r="L22" s="500">
        <f t="shared" si="4"/>
        <v>7430783.2505900245</v>
      </c>
      <c r="M22" s="500">
        <f t="shared" si="4"/>
        <v>7906099.6789580267</v>
      </c>
      <c r="N22" s="500">
        <f t="shared" si="4"/>
        <v>7756851.0342492368</v>
      </c>
      <c r="O22" s="999">
        <f t="shared" si="4"/>
        <v>7100656.4068390895</v>
      </c>
    </row>
    <row r="23" spans="2:15" x14ac:dyDescent="0.3">
      <c r="B23" s="1016" t="s">
        <v>2261</v>
      </c>
      <c r="C23" s="767"/>
      <c r="D23" s="1017"/>
      <c r="E23" s="500"/>
      <c r="F23" s="500">
        <f>F19</f>
        <v>2739407.0820911471</v>
      </c>
      <c r="G23" s="500">
        <f>G19</f>
        <v>496653.99302163348</v>
      </c>
      <c r="H23" s="500">
        <f>H19</f>
        <v>-2946616.4694180749</v>
      </c>
      <c r="I23" s="500">
        <f t="shared" ref="I23:O23" si="5">I19</f>
        <v>-191417.98711177334</v>
      </c>
      <c r="J23" s="500">
        <f t="shared" si="5"/>
        <v>1672983.2179685459</v>
      </c>
      <c r="K23" s="500">
        <f t="shared" si="5"/>
        <v>1113938.4140385464</v>
      </c>
      <c r="L23" s="500">
        <f t="shared" si="5"/>
        <v>475316.42836800218</v>
      </c>
      <c r="M23" s="500">
        <f t="shared" si="5"/>
        <v>-149248.64470878989</v>
      </c>
      <c r="N23" s="500">
        <f t="shared" si="5"/>
        <v>-656194.62741014734</v>
      </c>
      <c r="O23" s="999">
        <f t="shared" si="5"/>
        <v>-1300683.1359330714</v>
      </c>
    </row>
    <row r="24" spans="2:15" x14ac:dyDescent="0.3">
      <c r="B24" s="1016" t="s">
        <v>2260</v>
      </c>
      <c r="C24" s="767"/>
      <c r="D24" s="1017"/>
      <c r="E24" s="500"/>
      <c r="F24" s="500">
        <f>'Capital Improvement Plan'!G30*-1</f>
        <v>0</v>
      </c>
      <c r="G24" s="500">
        <f>'Capital Improvement Plan'!H30*-1</f>
        <v>0</v>
      </c>
      <c r="H24" s="500">
        <f>'Capital Improvement Plan'!I30*-1</f>
        <v>0</v>
      </c>
      <c r="I24" s="500">
        <f>'Capital Improvement Plan'!J30*-1</f>
        <v>0</v>
      </c>
      <c r="J24" s="500">
        <f>'Capital Improvement Plan'!K30*-1</f>
        <v>0</v>
      </c>
      <c r="K24" s="500">
        <f>'Capital Improvement Plan'!L30*-1</f>
        <v>0</v>
      </c>
      <c r="L24" s="500">
        <f>'Capital Improvement Plan'!M30*-1</f>
        <v>0</v>
      </c>
      <c r="M24" s="500">
        <f>'Capital Improvement Plan'!N30*-1</f>
        <v>0</v>
      </c>
      <c r="N24" s="500">
        <f>'Capital Improvement Plan'!O30*-1</f>
        <v>0</v>
      </c>
      <c r="O24" s="999">
        <f>'Capital Improvement Plan'!P30*-1</f>
        <v>0</v>
      </c>
    </row>
    <row r="25" spans="2:15" s="1172" customFormat="1" ht="15.6" x14ac:dyDescent="0.3">
      <c r="B25" s="1166" t="str">
        <f>"Ending "&amp;B21</f>
        <v>Ending Total Water Cash Balance</v>
      </c>
      <c r="C25" s="1167"/>
      <c r="D25" s="1168">
        <v>0.7</v>
      </c>
      <c r="E25" s="1169">
        <f>D3*D25</f>
        <v>4545835</v>
      </c>
      <c r="F25" s="1170">
        <f>SUM(F22:F24)</f>
        <v>7285242.0820911471</v>
      </c>
      <c r="G25" s="1170">
        <f>SUM(G22:G24)</f>
        <v>7781896.0751127806</v>
      </c>
      <c r="H25" s="1170">
        <f t="shared" ref="H25:O25" si="6">SUM(H22:H24)</f>
        <v>4835279.6056947056</v>
      </c>
      <c r="I25" s="1170">
        <f t="shared" si="6"/>
        <v>4643861.6185829323</v>
      </c>
      <c r="J25" s="1170">
        <f t="shared" si="6"/>
        <v>6316844.8365514781</v>
      </c>
      <c r="K25" s="1170">
        <f>SUM(K22:K24)</f>
        <v>7430783.2505900245</v>
      </c>
      <c r="L25" s="1170">
        <f t="shared" si="6"/>
        <v>7906099.6789580267</v>
      </c>
      <c r="M25" s="1170">
        <f t="shared" si="6"/>
        <v>7756851.0342492368</v>
      </c>
      <c r="N25" s="1170">
        <f t="shared" si="6"/>
        <v>7100656.4068390895</v>
      </c>
      <c r="O25" s="1170">
        <f t="shared" si="6"/>
        <v>5799973.2709060181</v>
      </c>
    </row>
    <row r="26" spans="2:15" ht="15.6" x14ac:dyDescent="0.3">
      <c r="B26" s="1022" t="s">
        <v>1646</v>
      </c>
      <c r="C26" s="768"/>
      <c r="D26" s="769"/>
      <c r="E26"/>
      <c r="F26" s="516">
        <v>90</v>
      </c>
      <c r="G26" s="516">
        <v>90</v>
      </c>
      <c r="H26" s="516">
        <v>90</v>
      </c>
      <c r="I26" s="516">
        <v>90</v>
      </c>
      <c r="J26" s="516">
        <v>90</v>
      </c>
      <c r="K26" s="516">
        <v>90</v>
      </c>
      <c r="L26" s="516">
        <v>90</v>
      </c>
      <c r="M26" s="516">
        <v>90</v>
      </c>
      <c r="N26" s="516">
        <v>90</v>
      </c>
      <c r="O26" s="1023">
        <v>90</v>
      </c>
    </row>
    <row r="27" spans="2:15" ht="15.6" x14ac:dyDescent="0.3">
      <c r="B27" s="1021" t="s">
        <v>2313</v>
      </c>
      <c r="C27" s="768"/>
      <c r="D27" s="769"/>
      <c r="E27"/>
      <c r="F27" s="1120">
        <f>ROUNDUP((F13)*(F26/365)+'Asset Replacement'!D28,-2)</f>
        <v>4360900</v>
      </c>
      <c r="G27" s="1120">
        <f>ROUNDUP((G13)*(G26/365)+'Asset Replacement'!E28,-2)</f>
        <v>4682800</v>
      </c>
      <c r="H27" s="1120">
        <f>ROUNDUP((H13)*(H26/365)+'Asset Replacement'!F28,-2)</f>
        <v>5088200</v>
      </c>
      <c r="I27" s="1120">
        <f>ROUNDUP((I13)*(I26/365)+'Asset Replacement'!G28,-2)</f>
        <v>5710700</v>
      </c>
      <c r="J27" s="1120">
        <f>ROUNDUP((J13)*(J26/365)+'Asset Replacement'!H28,-2)</f>
        <v>6223800</v>
      </c>
      <c r="K27" s="1120">
        <f>ROUNDUP((K13)*(K26/365)+'Asset Replacement'!I28,-2)</f>
        <v>6819900</v>
      </c>
      <c r="L27" s="1120">
        <f>ROUNDUP((L13)*(L26/365)+'Asset Replacement'!J28,-2)</f>
        <v>7464300</v>
      </c>
      <c r="M27" s="1120">
        <f>ROUNDUP((M13)*(M26/365)+'Asset Replacement'!K28,-2)</f>
        <v>8160100</v>
      </c>
      <c r="N27" s="1120">
        <f>ROUNDUP((N13)*(N26/365)+'Asset Replacement'!L28,-2)</f>
        <v>8783900</v>
      </c>
      <c r="O27" s="1121">
        <f>ROUNDUP((O13)*(O26/365)+'Asset Replacement'!M28,-2)</f>
        <v>10347400</v>
      </c>
    </row>
    <row r="28" spans="2:15" ht="15.6" x14ac:dyDescent="0.3">
      <c r="B28" s="1031"/>
      <c r="C28" s="768"/>
      <c r="D28" s="769"/>
      <c r="E28"/>
      <c r="F28" s="1118" t="str">
        <f t="shared" ref="F28:O28" si="7">IF(F25&lt;F27,"NO","YES")</f>
        <v>YES</v>
      </c>
      <c r="G28" s="1118" t="str">
        <f t="shared" si="7"/>
        <v>YES</v>
      </c>
      <c r="H28" s="1118" t="str">
        <f t="shared" si="7"/>
        <v>NO</v>
      </c>
      <c r="I28" s="1118" t="str">
        <f t="shared" si="7"/>
        <v>NO</v>
      </c>
      <c r="J28" s="1118" t="str">
        <f t="shared" si="7"/>
        <v>YES</v>
      </c>
      <c r="K28" s="1118" t="str">
        <f t="shared" si="7"/>
        <v>YES</v>
      </c>
      <c r="L28" s="1118" t="str">
        <f t="shared" si="7"/>
        <v>YES</v>
      </c>
      <c r="M28" s="1118" t="str">
        <f t="shared" si="7"/>
        <v>NO</v>
      </c>
      <c r="N28" s="1118" t="str">
        <f t="shared" si="7"/>
        <v>NO</v>
      </c>
      <c r="O28" s="1119" t="str">
        <f t="shared" si="7"/>
        <v>NO</v>
      </c>
    </row>
    <row r="29" spans="2:15" ht="15.6" x14ac:dyDescent="0.3">
      <c r="B29" s="1026" t="s">
        <v>1647</v>
      </c>
      <c r="C29" s="1024"/>
      <c r="D29" s="1025"/>
      <c r="E29"/>
      <c r="F29" s="1028">
        <f>IF(F25&lt;F27,(F27-F25)/F8,0)</f>
        <v>0</v>
      </c>
      <c r="G29" s="1028">
        <f t="shared" ref="G29:O29" si="8">IF(G25&lt;G27,(G27-G25)/G8,0)</f>
        <v>0</v>
      </c>
      <c r="H29" s="1028">
        <f t="shared" si="8"/>
        <v>1.4850639176859092E-2</v>
      </c>
      <c r="I29" s="1028">
        <f t="shared" si="8"/>
        <v>5.9683591271933421E-2</v>
      </c>
      <c r="J29" s="1028">
        <f t="shared" si="8"/>
        <v>0</v>
      </c>
      <c r="K29" s="1028">
        <f t="shared" si="8"/>
        <v>0</v>
      </c>
      <c r="L29" s="1028">
        <f t="shared" si="8"/>
        <v>0</v>
      </c>
      <c r="M29" s="1028">
        <f t="shared" si="8"/>
        <v>2.1791729926557705E-2</v>
      </c>
      <c r="N29" s="1028">
        <f t="shared" si="8"/>
        <v>9.1379867075090299E-2</v>
      </c>
      <c r="O29" s="1029">
        <f t="shared" si="8"/>
        <v>0.24800103291191153</v>
      </c>
    </row>
    <row r="30" spans="2:15" x14ac:dyDescent="0.3">
      <c r="B30" s="1160" t="s">
        <v>2275</v>
      </c>
      <c r="C30" s="1161"/>
      <c r="D30" s="1162"/>
      <c r="E30" s="1163"/>
      <c r="F30" s="1164">
        <f>ROUNDUP(F13*(F26/365),-2)</f>
        <v>3087000</v>
      </c>
      <c r="G30" s="1164">
        <f t="shared" ref="G30:O30" si="9">ROUNDUP(G13*(G26/365),-2)</f>
        <v>3185400</v>
      </c>
      <c r="H30" s="1164">
        <f>ROUNDUP(H13*(H26/365),-2)</f>
        <v>3286900</v>
      </c>
      <c r="I30" s="1164">
        <f t="shared" si="9"/>
        <v>3391800</v>
      </c>
      <c r="J30" s="1164">
        <f>ROUNDUP(J13*(J26/365),-2)</f>
        <v>3500400</v>
      </c>
      <c r="K30" s="1164">
        <f t="shared" si="9"/>
        <v>3601800</v>
      </c>
      <c r="L30" s="1164">
        <f t="shared" si="9"/>
        <v>3706500</v>
      </c>
      <c r="M30" s="1164">
        <f t="shared" si="9"/>
        <v>3814700</v>
      </c>
      <c r="N30" s="1164">
        <f t="shared" si="9"/>
        <v>3926600</v>
      </c>
      <c r="O30" s="1165">
        <f t="shared" si="9"/>
        <v>4042400</v>
      </c>
    </row>
    <row r="31" spans="2:15" x14ac:dyDescent="0.3">
      <c r="B31" s="1160" t="s">
        <v>2276</v>
      </c>
      <c r="C31" s="1161"/>
      <c r="D31" s="1162"/>
      <c r="E31" s="1163"/>
      <c r="F31" s="1164">
        <f>ROUNDUP('Asset Replacement'!D28,-2)</f>
        <v>1274000</v>
      </c>
      <c r="G31" s="1164">
        <f>ROUNDUP('Asset Replacement'!E28,-2)</f>
        <v>1497400</v>
      </c>
      <c r="H31" s="1164">
        <f>ROUNDUP('Asset Replacement'!F28,-2)</f>
        <v>1801300</v>
      </c>
      <c r="I31" s="1164">
        <f>ROUNDUP('Asset Replacement'!G28,-2)</f>
        <v>2318900</v>
      </c>
      <c r="J31" s="1164">
        <f>ROUNDUP('Asset Replacement'!H28,-2)</f>
        <v>2723500</v>
      </c>
      <c r="K31" s="1164">
        <f>ROUNDUP('Asset Replacement'!I28,-2)</f>
        <v>3218200</v>
      </c>
      <c r="L31" s="1164">
        <f>ROUNDUP('Asset Replacement'!J28,-2)</f>
        <v>3757800</v>
      </c>
      <c r="M31" s="1164">
        <f>ROUNDUP('Asset Replacement'!K28,-2)</f>
        <v>4345400</v>
      </c>
      <c r="N31" s="1164">
        <f>ROUNDUP('Asset Replacement'!L28,-2)</f>
        <v>4857300</v>
      </c>
      <c r="O31" s="1165">
        <f>ROUNDUP('Asset Replacement'!M28,-2)</f>
        <v>6305100</v>
      </c>
    </row>
    <row r="32" spans="2:15" x14ac:dyDescent="0.3">
      <c r="B32" s="1007"/>
      <c r="C32" s="1012"/>
      <c r="D32" s="1009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1019"/>
    </row>
    <row r="33" spans="2:16" x14ac:dyDescent="0.3">
      <c r="B33" s="1122" t="s">
        <v>1649</v>
      </c>
      <c r="C33" s="1012"/>
      <c r="D33" s="1009"/>
      <c r="E33" s="509"/>
      <c r="F33" s="509"/>
      <c r="G33" s="509"/>
      <c r="H33" s="509"/>
      <c r="I33" s="509"/>
      <c r="J33" s="509"/>
      <c r="K33" s="509"/>
      <c r="L33" s="509"/>
      <c r="M33" s="509"/>
      <c r="N33" s="509"/>
      <c r="O33" s="1013"/>
    </row>
    <row r="34" spans="2:16" x14ac:dyDescent="0.3">
      <c r="B34" s="1014" t="s">
        <v>1645</v>
      </c>
      <c r="C34" s="1015"/>
      <c r="D34" s="1020"/>
      <c r="E34" s="500"/>
      <c r="F34" s="500">
        <f>E37</f>
        <v>1098335.5757516234</v>
      </c>
      <c r="G34" s="500">
        <f>F37</f>
        <v>1273900.4151399897</v>
      </c>
      <c r="H34" s="500">
        <f t="shared" ref="H34:O34" si="10">G37</f>
        <v>1497378.7472919915</v>
      </c>
      <c r="I34" s="500">
        <f t="shared" si="10"/>
        <v>1801245.0473011846</v>
      </c>
      <c r="J34" s="500">
        <f>I37</f>
        <v>2318876.4643496117</v>
      </c>
      <c r="K34" s="500">
        <f t="shared" si="10"/>
        <v>2723422.3477948746</v>
      </c>
      <c r="L34" s="500">
        <f t="shared" si="10"/>
        <v>3218189.1601328687</v>
      </c>
      <c r="M34" s="500">
        <f t="shared" si="10"/>
        <v>3757770.5940624122</v>
      </c>
      <c r="N34" s="500">
        <f t="shared" si="10"/>
        <v>4345351.2607417237</v>
      </c>
      <c r="O34" s="999">
        <f t="shared" si="10"/>
        <v>4857264.2053807927</v>
      </c>
    </row>
    <row r="35" spans="2:16" x14ac:dyDescent="0.3">
      <c r="B35" s="1016" t="s">
        <v>1651</v>
      </c>
      <c r="C35" s="767"/>
      <c r="D35" s="1017"/>
      <c r="E35" s="500"/>
      <c r="F35" s="500">
        <f>'Asset Replacement'!D24</f>
        <v>175564.83938836635</v>
      </c>
      <c r="G35" s="500">
        <f>'Asset Replacement'!E24</f>
        <v>223478.33215200171</v>
      </c>
      <c r="H35" s="500">
        <f>'Asset Replacement'!F24</f>
        <v>303866.30000919307</v>
      </c>
      <c r="I35" s="500">
        <f>'Asset Replacement'!G24</f>
        <v>517631.41704842728</v>
      </c>
      <c r="J35" s="500">
        <f>'Asset Replacement'!H24</f>
        <v>404545.88344526291</v>
      </c>
      <c r="K35" s="500">
        <f>'Asset Replacement'!I24</f>
        <v>494766.81233799411</v>
      </c>
      <c r="L35" s="500">
        <f>'Asset Replacement'!J24</f>
        <v>539581.43392954359</v>
      </c>
      <c r="M35" s="500">
        <f>'Asset Replacement'!K24</f>
        <v>587580.66667931119</v>
      </c>
      <c r="N35" s="500">
        <f>'Asset Replacement'!L24</f>
        <v>511912.94463906897</v>
      </c>
      <c r="O35" s="999">
        <f>'Asset Replacement'!M24</f>
        <v>1447749.2293225508</v>
      </c>
    </row>
    <row r="36" spans="2:16" x14ac:dyDescent="0.3">
      <c r="B36" s="1016" t="s">
        <v>2128</v>
      </c>
      <c r="C36" s="767"/>
      <c r="D36" s="1017"/>
      <c r="E36" s="514"/>
      <c r="F36" s="514">
        <f>F24</f>
        <v>0</v>
      </c>
      <c r="G36" s="514">
        <f>G24</f>
        <v>0</v>
      </c>
      <c r="H36" s="514">
        <f t="shared" ref="H36:O36" si="11">H24</f>
        <v>0</v>
      </c>
      <c r="I36" s="514">
        <f t="shared" si="11"/>
        <v>0</v>
      </c>
      <c r="J36" s="514">
        <f t="shared" si="11"/>
        <v>0</v>
      </c>
      <c r="K36" s="514">
        <f t="shared" si="11"/>
        <v>0</v>
      </c>
      <c r="L36" s="514">
        <f t="shared" si="11"/>
        <v>0</v>
      </c>
      <c r="M36" s="514">
        <f t="shared" si="11"/>
        <v>0</v>
      </c>
      <c r="N36" s="514">
        <f t="shared" si="11"/>
        <v>0</v>
      </c>
      <c r="O36" s="1018">
        <f t="shared" si="11"/>
        <v>0</v>
      </c>
    </row>
    <row r="37" spans="2:16" x14ac:dyDescent="0.3">
      <c r="B37" s="1007" t="str">
        <f>"Ending "&amp;B33</f>
        <v>Ending 3R Reserve Cash Balance</v>
      </c>
      <c r="C37" s="1012"/>
      <c r="D37" s="1009"/>
      <c r="E37" s="914">
        <f>'Asset Replacement'!D26</f>
        <v>1098335.5757516234</v>
      </c>
      <c r="F37" s="515">
        <f>SUM(F34:F36)</f>
        <v>1273900.4151399897</v>
      </c>
      <c r="G37" s="515">
        <f>SUM(G34:G36)</f>
        <v>1497378.7472919915</v>
      </c>
      <c r="H37" s="515">
        <f t="shared" ref="H37:O37" si="12">SUM(H34:H36)</f>
        <v>1801245.0473011846</v>
      </c>
      <c r="I37" s="515">
        <f t="shared" si="12"/>
        <v>2318876.4643496117</v>
      </c>
      <c r="J37" s="515">
        <f t="shared" si="12"/>
        <v>2723422.3477948746</v>
      </c>
      <c r="K37" s="515">
        <f t="shared" si="12"/>
        <v>3218189.1601328687</v>
      </c>
      <c r="L37" s="515">
        <f t="shared" si="12"/>
        <v>3757770.5940624122</v>
      </c>
      <c r="M37" s="515">
        <f t="shared" si="12"/>
        <v>4345351.2607417237</v>
      </c>
      <c r="N37" s="515">
        <f t="shared" si="12"/>
        <v>4857264.2053807927</v>
      </c>
      <c r="O37" s="1019">
        <f t="shared" si="12"/>
        <v>6305013.4347033435</v>
      </c>
    </row>
    <row r="38" spans="2:16" x14ac:dyDescent="0.3">
      <c r="B38" s="1007"/>
      <c r="C38" s="1012"/>
      <c r="D38" s="1009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1019"/>
    </row>
    <row r="39" spans="2:16" s="510" customFormat="1" x14ac:dyDescent="0.3">
      <c r="B39" s="1122" t="s">
        <v>1644</v>
      </c>
      <c r="C39" s="767"/>
      <c r="D39" s="1017"/>
      <c r="E39" s="1030"/>
      <c r="F39" s="1030"/>
      <c r="G39" s="1030"/>
      <c r="H39" s="1030"/>
      <c r="I39" s="1030"/>
      <c r="J39" s="1030"/>
      <c r="K39" s="1030"/>
      <c r="L39" s="1030"/>
      <c r="M39" s="1030"/>
      <c r="N39" s="1030"/>
      <c r="O39" s="1032"/>
    </row>
    <row r="40" spans="2:16" x14ac:dyDescent="0.3">
      <c r="B40" s="1014" t="s">
        <v>1645</v>
      </c>
      <c r="C40" s="1015"/>
      <c r="D40" s="1020"/>
      <c r="E40" s="500"/>
      <c r="F40" s="500">
        <f>E42</f>
        <v>3447499.4242483769</v>
      </c>
      <c r="G40" s="500">
        <f>F42</f>
        <v>6011341.6669511572</v>
      </c>
      <c r="H40" s="500">
        <f t="shared" ref="H40:O40" si="13">G42</f>
        <v>6284517.3278207891</v>
      </c>
      <c r="I40" s="500">
        <f t="shared" si="13"/>
        <v>3034034.5583935212</v>
      </c>
      <c r="J40" s="500">
        <f t="shared" si="13"/>
        <v>2324985.1542333206</v>
      </c>
      <c r="K40" s="500">
        <f t="shared" si="13"/>
        <v>3593422.4887566036</v>
      </c>
      <c r="L40" s="500">
        <f t="shared" si="13"/>
        <v>4212594.0904571563</v>
      </c>
      <c r="M40" s="500">
        <f t="shared" si="13"/>
        <v>4148329.084895615</v>
      </c>
      <c r="N40" s="500">
        <f t="shared" si="13"/>
        <v>3411499.773507514</v>
      </c>
      <c r="O40" s="999">
        <f t="shared" si="13"/>
        <v>2243392.2014582977</v>
      </c>
    </row>
    <row r="41" spans="2:16" x14ac:dyDescent="0.3">
      <c r="B41" s="1016" t="s">
        <v>1650</v>
      </c>
      <c r="C41" s="767"/>
      <c r="D41" s="1017"/>
      <c r="E41" s="514"/>
      <c r="F41" s="514">
        <f t="shared" ref="F41:O41" si="14">F23-F35</f>
        <v>2563842.2427027808</v>
      </c>
      <c r="G41" s="514">
        <f>G23-G35</f>
        <v>273175.6608696318</v>
      </c>
      <c r="H41" s="514">
        <f t="shared" si="14"/>
        <v>-3250482.7694272678</v>
      </c>
      <c r="I41" s="514">
        <f t="shared" si="14"/>
        <v>-709049.40416020062</v>
      </c>
      <c r="J41" s="514">
        <f t="shared" si="14"/>
        <v>1268437.3345232829</v>
      </c>
      <c r="K41" s="514">
        <f t="shared" si="14"/>
        <v>619171.60170055227</v>
      </c>
      <c r="L41" s="514">
        <f t="shared" si="14"/>
        <v>-64265.005561541417</v>
      </c>
      <c r="M41" s="514">
        <f t="shared" si="14"/>
        <v>-736829.31138810108</v>
      </c>
      <c r="N41" s="514">
        <f t="shared" si="14"/>
        <v>-1168107.5720492164</v>
      </c>
      <c r="O41" s="1018">
        <f t="shared" si="14"/>
        <v>-2748432.3652556222</v>
      </c>
    </row>
    <row r="42" spans="2:16" x14ac:dyDescent="0.3">
      <c r="B42" s="1007" t="str">
        <f>"Ending "&amp;B39</f>
        <v>Ending Operating Cash Balance</v>
      </c>
      <c r="C42" s="1012"/>
      <c r="D42" s="1009"/>
      <c r="E42" s="914">
        <f>E25-E37</f>
        <v>3447499.4242483769</v>
      </c>
      <c r="F42" s="515">
        <f t="shared" ref="F42:O42" si="15">SUM(F40:F41)</f>
        <v>6011341.6669511572</v>
      </c>
      <c r="G42" s="515">
        <f>SUM(G40:G41)</f>
        <v>6284517.3278207891</v>
      </c>
      <c r="H42" s="515">
        <f t="shared" si="15"/>
        <v>3034034.5583935212</v>
      </c>
      <c r="I42" s="515">
        <f t="shared" si="15"/>
        <v>2324985.1542333206</v>
      </c>
      <c r="J42" s="515">
        <f t="shared" si="15"/>
        <v>3593422.4887566036</v>
      </c>
      <c r="K42" s="515">
        <f t="shared" si="15"/>
        <v>4212594.0904571563</v>
      </c>
      <c r="L42" s="515">
        <f t="shared" si="15"/>
        <v>4148329.084895615</v>
      </c>
      <c r="M42" s="515">
        <f t="shared" si="15"/>
        <v>3411499.773507514</v>
      </c>
      <c r="N42" s="515">
        <f t="shared" si="15"/>
        <v>2243392.2014582977</v>
      </c>
      <c r="O42" s="1019">
        <f t="shared" si="15"/>
        <v>-505040.16379732452</v>
      </c>
    </row>
    <row r="43" spans="2:16" ht="15" thickBot="1" x14ac:dyDescent="0.35">
      <c r="B43" s="1033"/>
      <c r="C43" s="1034"/>
      <c r="D43" s="1035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1036"/>
    </row>
    <row r="44" spans="2:16" s="493" customFormat="1" ht="15" thickBot="1" x14ac:dyDescent="0.35">
      <c r="B44" s="948"/>
      <c r="C44" s="518"/>
      <c r="D44" s="519"/>
      <c r="E44" s="1147">
        <f>(E42+E37)-E25</f>
        <v>0</v>
      </c>
      <c r="F44" s="518">
        <f t="shared" ref="F44:O44" si="16">(F42+F37)-F25</f>
        <v>0</v>
      </c>
      <c r="G44" s="518">
        <f t="shared" si="16"/>
        <v>0</v>
      </c>
      <c r="H44" s="518">
        <f t="shared" si="16"/>
        <v>0</v>
      </c>
      <c r="I44" s="518">
        <f t="shared" si="16"/>
        <v>0</v>
      </c>
      <c r="J44" s="518">
        <f t="shared" si="16"/>
        <v>0</v>
      </c>
      <c r="K44" s="518">
        <f t="shared" si="16"/>
        <v>0</v>
      </c>
      <c r="L44" s="518">
        <f t="shared" si="16"/>
        <v>0</v>
      </c>
      <c r="M44" s="518">
        <f t="shared" si="16"/>
        <v>0</v>
      </c>
      <c r="N44" s="518">
        <f t="shared" si="16"/>
        <v>0</v>
      </c>
      <c r="O44" s="518">
        <f t="shared" si="16"/>
        <v>0</v>
      </c>
    </row>
    <row r="45" spans="2:16" x14ac:dyDescent="0.3">
      <c r="B45" s="1132" t="s">
        <v>13</v>
      </c>
      <c r="C45" s="1133"/>
      <c r="D45" s="1134"/>
      <c r="E45" s="1135"/>
      <c r="F45" s="1135"/>
      <c r="G45" s="1135"/>
      <c r="H45" s="1135"/>
      <c r="I45" s="1135"/>
      <c r="J45" s="1135"/>
      <c r="K45" s="1135"/>
      <c r="L45" s="1135"/>
      <c r="M45" s="1135"/>
      <c r="N45" s="1135"/>
      <c r="O45" s="1136"/>
    </row>
    <row r="46" spans="2:16" s="497" customFormat="1" x14ac:dyDescent="0.3">
      <c r="B46" s="996" t="s">
        <v>1635</v>
      </c>
      <c r="C46" s="495"/>
      <c r="D46" s="496"/>
      <c r="E46" s="495"/>
      <c r="F46" s="495"/>
      <c r="G46" s="495"/>
      <c r="H46" s="495"/>
      <c r="I46" s="495"/>
      <c r="J46" s="495"/>
      <c r="K46" s="495"/>
      <c r="L46" s="495"/>
      <c r="M46" s="495"/>
      <c r="N46" s="495"/>
      <c r="O46" s="997"/>
    </row>
    <row r="47" spans="2:16" x14ac:dyDescent="0.3">
      <c r="B47" s="998" t="s">
        <v>1636</v>
      </c>
      <c r="C47" s="501"/>
      <c r="D47" s="502"/>
      <c r="E47" s="500">
        <f>'Sewer Rate Projections'!D22</f>
        <v>1659903.7326</v>
      </c>
      <c r="F47" s="500">
        <f>'Sewer Rate Projections'!E22</f>
        <v>1917964.7504212153</v>
      </c>
      <c r="G47" s="500">
        <f>'Sewer Rate Projections'!F22</f>
        <v>2087251.3610777338</v>
      </c>
      <c r="H47" s="500">
        <f>'Sewer Rate Projections'!G22</f>
        <v>2189345.6501801237</v>
      </c>
      <c r="I47" s="500">
        <f>'Sewer Rate Projections'!H22</f>
        <v>2296397.5268534091</v>
      </c>
      <c r="J47" s="500">
        <f>'Sewer Rate Projections'!I22</f>
        <v>2408646.2449903651</v>
      </c>
      <c r="K47" s="500">
        <f>'Sewer Rate Projections'!J22</f>
        <v>2396603.0137654133</v>
      </c>
      <c r="L47" s="500">
        <f>'Sewer Rate Projections'!K22</f>
        <v>2384619.9986965861</v>
      </c>
      <c r="M47" s="500">
        <f>'Sewer Rate Projections'!L22</f>
        <v>2372696.898703103</v>
      </c>
      <c r="N47" s="500">
        <f>'Sewer Rate Projections'!M22</f>
        <v>2360833.4142095875</v>
      </c>
      <c r="O47" s="999">
        <f>'Sewer Rate Projections'!N22</f>
        <v>2349029.2471385398</v>
      </c>
      <c r="P47" s="500"/>
    </row>
    <row r="48" spans="2:16" x14ac:dyDescent="0.3">
      <c r="B48" s="1000" t="s">
        <v>356</v>
      </c>
      <c r="C48" s="501"/>
      <c r="D48" s="502"/>
      <c r="E48" s="500">
        <f>'Misc Revenues'!R38</f>
        <v>93607.56</v>
      </c>
      <c r="F48" s="500">
        <f>'Misc Revenues'!S38</f>
        <v>96521.99</v>
      </c>
      <c r="G48" s="500">
        <f>'Misc Revenues'!T38</f>
        <v>99417.64969999998</v>
      </c>
      <c r="H48" s="500">
        <f>'Misc Revenues'!U38</f>
        <v>102400.17919099999</v>
      </c>
      <c r="I48" s="500">
        <f>'Misc Revenues'!V38</f>
        <v>105472.18456672999</v>
      </c>
      <c r="J48" s="500">
        <f>'Misc Revenues'!W38</f>
        <v>108636.35010373189</v>
      </c>
      <c r="K48" s="500">
        <f>'Misc Revenues'!X38</f>
        <v>111895.44060684385</v>
      </c>
      <c r="L48" s="500">
        <f>'Misc Revenues'!Y38</f>
        <v>115252.30382504918</v>
      </c>
      <c r="M48" s="500">
        <f>'Misc Revenues'!Z38</f>
        <v>118709.87293980067</v>
      </c>
      <c r="N48" s="500">
        <f>'Misc Revenues'!AA38</f>
        <v>122271.16912799468</v>
      </c>
      <c r="O48" s="999">
        <f>'Misc Revenues'!AB38</f>
        <v>125939.30420183451</v>
      </c>
    </row>
    <row r="49" spans="2:15" x14ac:dyDescent="0.3">
      <c r="B49" s="1000" t="s">
        <v>1637</v>
      </c>
      <c r="C49" s="504"/>
      <c r="D49" s="502"/>
      <c r="E49" s="520">
        <f t="shared" ref="E49:O49" si="17">SUM(E47:E48)</f>
        <v>1753511.2926</v>
      </c>
      <c r="F49" s="520">
        <f t="shared" si="17"/>
        <v>2014486.7404212153</v>
      </c>
      <c r="G49" s="520">
        <f t="shared" si="17"/>
        <v>2186669.0107777338</v>
      </c>
      <c r="H49" s="520">
        <f t="shared" si="17"/>
        <v>2291745.8293711236</v>
      </c>
      <c r="I49" s="520">
        <f t="shared" si="17"/>
        <v>2401869.7114201393</v>
      </c>
      <c r="J49" s="520">
        <f t="shared" si="17"/>
        <v>2517282.5950940968</v>
      </c>
      <c r="K49" s="520">
        <f t="shared" si="17"/>
        <v>2508498.454372257</v>
      </c>
      <c r="L49" s="520">
        <f t="shared" si="17"/>
        <v>2499872.3025216353</v>
      </c>
      <c r="M49" s="520">
        <f t="shared" si="17"/>
        <v>2491406.7716429038</v>
      </c>
      <c r="N49" s="520">
        <f t="shared" si="17"/>
        <v>2483104.5833375822</v>
      </c>
      <c r="O49" s="1001">
        <f t="shared" si="17"/>
        <v>2474968.5513403742</v>
      </c>
    </row>
    <row r="50" spans="2:15" x14ac:dyDescent="0.3">
      <c r="B50" s="1000"/>
      <c r="C50" s="504"/>
      <c r="D50" s="502"/>
      <c r="E50" s="505"/>
      <c r="F50" s="505"/>
      <c r="G50" s="505"/>
      <c r="H50" s="505"/>
      <c r="I50" s="505"/>
      <c r="J50" s="505"/>
      <c r="K50" s="505"/>
      <c r="L50" s="505"/>
      <c r="M50" s="505"/>
      <c r="N50" s="505"/>
      <c r="O50" s="1002"/>
    </row>
    <row r="51" spans="2:15" s="497" customFormat="1" x14ac:dyDescent="0.3">
      <c r="B51" s="996" t="s">
        <v>1638</v>
      </c>
      <c r="C51" s="495"/>
      <c r="D51" s="49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1003"/>
    </row>
    <row r="52" spans="2:15" x14ac:dyDescent="0.3">
      <c r="B52" s="1000" t="s">
        <v>1648</v>
      </c>
      <c r="C52" s="501"/>
      <c r="D52" s="502"/>
      <c r="E52" s="500">
        <f>'Revenue Requirements'!E35</f>
        <v>1343132.6</v>
      </c>
      <c r="F52" s="500">
        <f>'Revenue Requirements'!F35</f>
        <v>1263535.619465</v>
      </c>
      <c r="G52" s="500">
        <f>'Revenue Requirements'!G35</f>
        <v>1258850.3912375541</v>
      </c>
      <c r="H52" s="500">
        <f>'Revenue Requirements'!H35</f>
        <v>1306082.6230100906</v>
      </c>
      <c r="I52" s="500">
        <f>'Revenue Requirements'!I35</f>
        <v>1355330.0612126112</v>
      </c>
      <c r="J52" s="500">
        <f>'Revenue Requirements'!J35</f>
        <v>1406696.6431072163</v>
      </c>
      <c r="K52" s="500">
        <f>'Revenue Requirements'!K35</f>
        <v>1460292.9688936626</v>
      </c>
      <c r="L52" s="500">
        <f>'Revenue Requirements'!L35</f>
        <v>1516236.8144798349</v>
      </c>
      <c r="M52" s="500">
        <f>'Revenue Requirements'!M35</f>
        <v>1574653.6886673693</v>
      </c>
      <c r="N52" s="500">
        <f>'Revenue Requirements'!N35</f>
        <v>1635677.4388613196</v>
      </c>
      <c r="O52" s="999">
        <f>'Revenue Requirements'!O35</f>
        <v>1699450.9098063414</v>
      </c>
    </row>
    <row r="53" spans="2:15" x14ac:dyDescent="0.3">
      <c r="B53" s="1000" t="s">
        <v>1640</v>
      </c>
      <c r="C53" s="501"/>
      <c r="D53" s="502"/>
      <c r="E53" s="500">
        <f>'Revenue Requirements'!E39</f>
        <v>0</v>
      </c>
      <c r="F53" s="500">
        <f>'Revenue Requirements'!F39</f>
        <v>0</v>
      </c>
      <c r="G53" s="500">
        <f>'Revenue Requirements'!G39</f>
        <v>0</v>
      </c>
      <c r="H53" s="500">
        <f>'Revenue Requirements'!H39</f>
        <v>0</v>
      </c>
      <c r="I53" s="500">
        <f>'Revenue Requirements'!I39</f>
        <v>0</v>
      </c>
      <c r="J53" s="500">
        <f>'Revenue Requirements'!J39</f>
        <v>0</v>
      </c>
      <c r="K53" s="500">
        <f>'Revenue Requirements'!K39</f>
        <v>0</v>
      </c>
      <c r="L53" s="500">
        <f>'Revenue Requirements'!L39</f>
        <v>0</v>
      </c>
      <c r="M53" s="500">
        <f>'Revenue Requirements'!M39</f>
        <v>0</v>
      </c>
      <c r="N53" s="500">
        <f>'Revenue Requirements'!N39</f>
        <v>0</v>
      </c>
      <c r="O53" s="999">
        <f>'Revenue Requirements'!O39</f>
        <v>0</v>
      </c>
    </row>
    <row r="54" spans="2:15" x14ac:dyDescent="0.3">
      <c r="B54" s="1000" t="s">
        <v>351</v>
      </c>
      <c r="C54" s="501"/>
      <c r="D54" s="502"/>
      <c r="E54" s="500">
        <f>'Revenue Requirements'!E38</f>
        <v>0</v>
      </c>
      <c r="F54" s="500">
        <f>'Revenue Requirements'!F38</f>
        <v>530000</v>
      </c>
      <c r="G54" s="500">
        <f>'Revenue Requirements'!G38</f>
        <v>750000</v>
      </c>
      <c r="H54" s="500">
        <f>'Revenue Requirements'!H38</f>
        <v>650000</v>
      </c>
      <c r="I54" s="500">
        <f>'Revenue Requirements'!I38</f>
        <v>650000</v>
      </c>
      <c r="J54" s="500">
        <f>'Revenue Requirements'!J38</f>
        <v>670000</v>
      </c>
      <c r="K54" s="500">
        <f>'Revenue Requirements'!K38</f>
        <v>650000</v>
      </c>
      <c r="L54" s="500">
        <f>'Revenue Requirements'!L38</f>
        <v>700000</v>
      </c>
      <c r="M54" s="500">
        <f>'Revenue Requirements'!M38</f>
        <v>800000</v>
      </c>
      <c r="N54" s="500">
        <f>'Revenue Requirements'!N38</f>
        <v>700000</v>
      </c>
      <c r="O54" s="999">
        <f>'Revenue Requirements'!O38</f>
        <v>700000</v>
      </c>
    </row>
    <row r="55" spans="2:15" x14ac:dyDescent="0.3">
      <c r="B55" s="1004" t="s">
        <v>1641</v>
      </c>
      <c r="C55" s="501"/>
      <c r="D55" s="502"/>
      <c r="E55" s="500">
        <f>'Revenue Requirements'!E40</f>
        <v>0</v>
      </c>
      <c r="F55" s="500">
        <f>'Revenue Requirements'!F40</f>
        <v>0</v>
      </c>
      <c r="G55" s="500">
        <f>'Revenue Requirements'!G40</f>
        <v>0</v>
      </c>
      <c r="H55" s="500">
        <f>'Revenue Requirements'!H40</f>
        <v>0</v>
      </c>
      <c r="I55" s="500">
        <f>'Revenue Requirements'!I40</f>
        <v>0</v>
      </c>
      <c r="J55" s="500">
        <f>'Revenue Requirements'!J40</f>
        <v>0</v>
      </c>
      <c r="K55" s="500">
        <f>'Revenue Requirements'!K40</f>
        <v>0</v>
      </c>
      <c r="L55" s="500">
        <f>'Revenue Requirements'!L40</f>
        <v>0</v>
      </c>
      <c r="M55" s="500">
        <f>'Revenue Requirements'!M40</f>
        <v>0</v>
      </c>
      <c r="N55" s="500">
        <f>'Revenue Requirements'!N40</f>
        <v>0</v>
      </c>
      <c r="O55" s="999">
        <f>'Revenue Requirements'!O40</f>
        <v>0</v>
      </c>
    </row>
    <row r="56" spans="2:15" s="497" customFormat="1" x14ac:dyDescent="0.3">
      <c r="B56" s="996" t="s">
        <v>1642</v>
      </c>
      <c r="C56" s="495"/>
      <c r="D56" s="496"/>
      <c r="E56" s="503">
        <f t="shared" ref="E56:O56" si="18">SUM(E52:E55)</f>
        <v>1343132.6</v>
      </c>
      <c r="F56" s="503">
        <f t="shared" si="18"/>
        <v>1793535.619465</v>
      </c>
      <c r="G56" s="503">
        <f t="shared" si="18"/>
        <v>2008850.3912375541</v>
      </c>
      <c r="H56" s="503">
        <f t="shared" si="18"/>
        <v>1956082.6230100906</v>
      </c>
      <c r="I56" s="503">
        <f t="shared" si="18"/>
        <v>2005330.0612126112</v>
      </c>
      <c r="J56" s="503">
        <f t="shared" si="18"/>
        <v>2076696.6431072163</v>
      </c>
      <c r="K56" s="503">
        <f t="shared" si="18"/>
        <v>2110292.9688936626</v>
      </c>
      <c r="L56" s="503">
        <f t="shared" si="18"/>
        <v>2216236.8144798349</v>
      </c>
      <c r="M56" s="503">
        <f t="shared" si="18"/>
        <v>2374653.6886673691</v>
      </c>
      <c r="N56" s="503">
        <f t="shared" si="18"/>
        <v>2335677.4388613198</v>
      </c>
      <c r="O56" s="1005">
        <f t="shared" si="18"/>
        <v>2399450.9098063414</v>
      </c>
    </row>
    <row r="57" spans="2:15" x14ac:dyDescent="0.3">
      <c r="B57" s="1000"/>
      <c r="C57" s="504"/>
      <c r="D57" s="502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1006"/>
    </row>
    <row r="58" spans="2:15" x14ac:dyDescent="0.3">
      <c r="B58" s="1007" t="s">
        <v>1643</v>
      </c>
      <c r="C58" s="1008"/>
      <c r="D58" s="1009"/>
      <c r="E58" s="507">
        <f t="shared" ref="E58:O58" si="19">E49-E56</f>
        <v>410378.69259999995</v>
      </c>
      <c r="F58" s="507">
        <f t="shared" si="19"/>
        <v>220951.12095621531</v>
      </c>
      <c r="G58" s="507">
        <f t="shared" si="19"/>
        <v>177818.61954017961</v>
      </c>
      <c r="H58" s="507">
        <f t="shared" si="19"/>
        <v>335663.20636103302</v>
      </c>
      <c r="I58" s="507">
        <f t="shared" si="19"/>
        <v>396539.65020752815</v>
      </c>
      <c r="J58" s="507">
        <f t="shared" si="19"/>
        <v>440585.95198688051</v>
      </c>
      <c r="K58" s="507">
        <f t="shared" si="19"/>
        <v>398205.48547859443</v>
      </c>
      <c r="L58" s="507">
        <f t="shared" si="19"/>
        <v>283635.48804180045</v>
      </c>
      <c r="M58" s="507">
        <f t="shared" si="19"/>
        <v>116753.08297553472</v>
      </c>
      <c r="N58" s="507">
        <f t="shared" si="19"/>
        <v>147427.14447626239</v>
      </c>
      <c r="O58" s="1010">
        <f t="shared" si="19"/>
        <v>75517.641534032766</v>
      </c>
    </row>
    <row r="59" spans="2:15" x14ac:dyDescent="0.3">
      <c r="B59" s="1000"/>
      <c r="C59" s="504"/>
      <c r="D59" s="502"/>
      <c r="E59" s="508"/>
      <c r="F59" s="508"/>
      <c r="G59" s="508"/>
      <c r="H59" s="508"/>
      <c r="I59" s="508"/>
      <c r="J59" s="508"/>
      <c r="K59" s="508"/>
      <c r="L59" s="508"/>
      <c r="M59" s="508"/>
      <c r="N59" s="508"/>
      <c r="O59" s="1011"/>
    </row>
    <row r="60" spans="2:15" ht="15.6" x14ac:dyDescent="0.3">
      <c r="B60" s="1130" t="s">
        <v>2263</v>
      </c>
      <c r="C60" s="1027"/>
      <c r="D60" s="1131"/>
      <c r="E60" s="1128"/>
      <c r="F60" s="1128"/>
      <c r="G60" s="1128"/>
      <c r="H60" s="1128"/>
      <c r="I60" s="1128"/>
      <c r="J60" s="1128"/>
      <c r="K60" s="1128"/>
      <c r="L60" s="1128"/>
      <c r="M60" s="1128"/>
      <c r="N60" s="1128"/>
      <c r="O60" s="1129"/>
    </row>
    <row r="61" spans="2:15" x14ac:dyDescent="0.3">
      <c r="B61" s="1014" t="s">
        <v>1645</v>
      </c>
      <c r="C61" s="1015"/>
      <c r="D61" s="502"/>
      <c r="E61" s="500"/>
      <c r="F61" s="500">
        <f>E64</f>
        <v>974107.5</v>
      </c>
      <c r="G61" s="500">
        <f>F64</f>
        <v>1195058.6209562153</v>
      </c>
      <c r="H61" s="500">
        <f>G64</f>
        <v>1372877.2404963949</v>
      </c>
      <c r="I61" s="500">
        <f t="shared" ref="I61:O61" si="20">H64</f>
        <v>1708540.4468574279</v>
      </c>
      <c r="J61" s="500">
        <f t="shared" si="20"/>
        <v>2105080.0970649561</v>
      </c>
      <c r="K61" s="500">
        <f t="shared" si="20"/>
        <v>2545666.0490518366</v>
      </c>
      <c r="L61" s="500">
        <f t="shared" si="20"/>
        <v>2943871.534530431</v>
      </c>
      <c r="M61" s="500">
        <f t="shared" si="20"/>
        <v>3227507.0225722315</v>
      </c>
      <c r="N61" s="500">
        <f t="shared" si="20"/>
        <v>3344260.1055477662</v>
      </c>
      <c r="O61" s="999">
        <f t="shared" si="20"/>
        <v>3491687.2500240286</v>
      </c>
    </row>
    <row r="62" spans="2:15" x14ac:dyDescent="0.3">
      <c r="B62" s="1016" t="s">
        <v>2261</v>
      </c>
      <c r="C62" s="767"/>
      <c r="D62" s="1017"/>
      <c r="E62" s="500"/>
      <c r="F62" s="500">
        <f>F58</f>
        <v>220951.12095621531</v>
      </c>
      <c r="G62" s="500">
        <f>G58</f>
        <v>177818.61954017961</v>
      </c>
      <c r="H62" s="500">
        <f>H58</f>
        <v>335663.20636103302</v>
      </c>
      <c r="I62" s="500">
        <f t="shared" ref="I62:O62" si="21">I58</f>
        <v>396539.65020752815</v>
      </c>
      <c r="J62" s="500">
        <f t="shared" si="21"/>
        <v>440585.95198688051</v>
      </c>
      <c r="K62" s="500">
        <f t="shared" si="21"/>
        <v>398205.48547859443</v>
      </c>
      <c r="L62" s="500">
        <f t="shared" si="21"/>
        <v>283635.48804180045</v>
      </c>
      <c r="M62" s="500">
        <f t="shared" si="21"/>
        <v>116753.08297553472</v>
      </c>
      <c r="N62" s="500">
        <f t="shared" si="21"/>
        <v>147427.14447626239</v>
      </c>
      <c r="O62" s="999">
        <f t="shared" si="21"/>
        <v>75517.641534032766</v>
      </c>
    </row>
    <row r="63" spans="2:15" x14ac:dyDescent="0.3">
      <c r="B63" s="1016" t="s">
        <v>2260</v>
      </c>
      <c r="C63" s="767"/>
      <c r="D63" s="1017"/>
      <c r="E63" s="500"/>
      <c r="F63" s="500">
        <f>'Capital Improvement Plan'!G66*-1</f>
        <v>0</v>
      </c>
      <c r="G63" s="500">
        <f>'Capital Improvement Plan'!H66*-1</f>
        <v>0</v>
      </c>
      <c r="H63" s="500">
        <f>'Capital Improvement Plan'!I66*-1</f>
        <v>0</v>
      </c>
      <c r="I63" s="500">
        <f>'Capital Improvement Plan'!J66*-1</f>
        <v>0</v>
      </c>
      <c r="J63" s="500">
        <f>'Capital Improvement Plan'!K66*-1</f>
        <v>0</v>
      </c>
      <c r="K63" s="500">
        <f>'Capital Improvement Plan'!L66*-1</f>
        <v>0</v>
      </c>
      <c r="L63" s="500">
        <f>'Capital Improvement Plan'!M66*-1</f>
        <v>0</v>
      </c>
      <c r="M63" s="500">
        <f>'Capital Improvement Plan'!N66*-1</f>
        <v>0</v>
      </c>
      <c r="N63" s="500">
        <f>'Capital Improvement Plan'!O66*-1</f>
        <v>0</v>
      </c>
      <c r="O63" s="999">
        <f>'Capital Improvement Plan'!P66*-1</f>
        <v>0</v>
      </c>
    </row>
    <row r="64" spans="2:15" s="1172" customFormat="1" ht="15.6" x14ac:dyDescent="0.3">
      <c r="B64" s="1166" t="str">
        <f>"Ending "&amp;B60</f>
        <v>Ending Total Sewer Cash Balance</v>
      </c>
      <c r="C64" s="1167"/>
      <c r="D64" s="1168">
        <v>0.15</v>
      </c>
      <c r="E64" s="1169">
        <f>D64*D3</f>
        <v>974107.5</v>
      </c>
      <c r="F64" s="1170">
        <f>SUM(F61:F63)</f>
        <v>1195058.6209562153</v>
      </c>
      <c r="G64" s="1170">
        <f>SUM(G61:G63)</f>
        <v>1372877.2404963949</v>
      </c>
      <c r="H64" s="1170">
        <f>H61+H62</f>
        <v>1708540.4468574279</v>
      </c>
      <c r="I64" s="1170">
        <f t="shared" ref="I64:O64" si="22">I61+I62</f>
        <v>2105080.0970649561</v>
      </c>
      <c r="J64" s="1170">
        <f t="shared" si="22"/>
        <v>2545666.0490518366</v>
      </c>
      <c r="K64" s="1170">
        <f t="shared" si="22"/>
        <v>2943871.534530431</v>
      </c>
      <c r="L64" s="1170">
        <f t="shared" si="22"/>
        <v>3227507.0225722315</v>
      </c>
      <c r="M64" s="1170">
        <f t="shared" si="22"/>
        <v>3344260.1055477662</v>
      </c>
      <c r="N64" s="1170">
        <f t="shared" si="22"/>
        <v>3491687.2500240286</v>
      </c>
      <c r="O64" s="1171">
        <f t="shared" si="22"/>
        <v>3567204.8915580614</v>
      </c>
    </row>
    <row r="65" spans="2:15" ht="15.6" x14ac:dyDescent="0.3">
      <c r="B65" s="1022" t="s">
        <v>1646</v>
      </c>
      <c r="C65" s="768"/>
      <c r="D65" s="769"/>
      <c r="E65"/>
      <c r="F65" s="516">
        <v>90</v>
      </c>
      <c r="G65" s="516">
        <v>90</v>
      </c>
      <c r="H65" s="516">
        <v>90</v>
      </c>
      <c r="I65" s="516">
        <v>90</v>
      </c>
      <c r="J65" s="516">
        <v>90</v>
      </c>
      <c r="K65" s="516">
        <v>90</v>
      </c>
      <c r="L65" s="516">
        <v>90</v>
      </c>
      <c r="M65" s="516">
        <v>90</v>
      </c>
      <c r="N65" s="516">
        <v>90</v>
      </c>
      <c r="O65" s="1023">
        <v>90</v>
      </c>
    </row>
    <row r="66" spans="2:15" ht="15.6" x14ac:dyDescent="0.3">
      <c r="B66" s="1021" t="s">
        <v>2313</v>
      </c>
      <c r="C66" s="768"/>
      <c r="D66" s="769"/>
      <c r="E66"/>
      <c r="F66" s="1120">
        <f>ROUNDUP((F52)*(F65/365)+'Asset Replacement'!E55,-2)</f>
        <v>1399600</v>
      </c>
      <c r="G66" s="1120">
        <f>ROUNDUP((G52)*(G65/365)+'Asset Replacement'!F55,-2)</f>
        <v>1564500</v>
      </c>
      <c r="H66" s="1120">
        <f>ROUNDUP((H52)*(H65/365)+'Asset Replacement'!G55,-2)</f>
        <v>1807400</v>
      </c>
      <c r="I66" s="1120">
        <f>ROUNDUP((I52)*(I65/365)+'Asset Replacement'!H55,-2)</f>
        <v>2062600</v>
      </c>
      <c r="J66" s="1120">
        <f>ROUNDUP((J52)*(J65/365)+'Asset Replacement'!I55,-2)</f>
        <v>2268900</v>
      </c>
      <c r="K66" s="1120">
        <f>ROUNDUP((K52)*(K65/365)+'Asset Replacement'!J55,-2)</f>
        <v>2482000</v>
      </c>
      <c r="L66" s="1120">
        <f>ROUNDUP((L52)*(L65/365)+'Asset Replacement'!K55,-2)</f>
        <v>2695300</v>
      </c>
      <c r="M66" s="1120">
        <f>ROUNDUP((M52)*(M65/365)+'Asset Replacement'!L55,-2)</f>
        <v>2921600</v>
      </c>
      <c r="N66" s="1120">
        <f>ROUNDUP((N52)*(N65/365)+'Asset Replacement'!M55,-2)</f>
        <v>3124800</v>
      </c>
      <c r="O66" s="1121">
        <f>ROUNDUP((O52)*(O65/365)+'Asset Replacement'!N55,-2)</f>
        <v>3281700</v>
      </c>
    </row>
    <row r="67" spans="2:15" ht="15.6" x14ac:dyDescent="0.3">
      <c r="B67" s="1031"/>
      <c r="C67" s="768"/>
      <c r="D67" s="769"/>
      <c r="E67"/>
      <c r="F67" s="1118" t="str">
        <f t="shared" ref="F67:O67" si="23">IF(F64&lt;F66,"NO","YES")</f>
        <v>NO</v>
      </c>
      <c r="G67" s="1118" t="str">
        <f t="shared" si="23"/>
        <v>NO</v>
      </c>
      <c r="H67" s="1118" t="str">
        <f t="shared" si="23"/>
        <v>NO</v>
      </c>
      <c r="I67" s="1118" t="str">
        <f t="shared" si="23"/>
        <v>YES</v>
      </c>
      <c r="J67" s="1118" t="str">
        <f t="shared" si="23"/>
        <v>YES</v>
      </c>
      <c r="K67" s="1118" t="str">
        <f t="shared" si="23"/>
        <v>YES</v>
      </c>
      <c r="L67" s="1118" t="str">
        <f t="shared" si="23"/>
        <v>YES</v>
      </c>
      <c r="M67" s="1118" t="str">
        <f t="shared" si="23"/>
        <v>YES</v>
      </c>
      <c r="N67" s="1118" t="str">
        <f t="shared" si="23"/>
        <v>YES</v>
      </c>
      <c r="O67" s="1119" t="str">
        <f t="shared" si="23"/>
        <v>YES</v>
      </c>
    </row>
    <row r="68" spans="2:15" x14ac:dyDescent="0.3">
      <c r="B68" s="1026" t="s">
        <v>1647</v>
      </c>
      <c r="C68" s="1024"/>
      <c r="D68" s="1025"/>
      <c r="E68" s="1027"/>
      <c r="F68" s="1028">
        <f>IF(F64&lt;F66,(F66-F64)/F49,0)</f>
        <v>0.10153523224531946</v>
      </c>
      <c r="G68" s="1028">
        <f t="shared" ref="G68:O68" si="24">IF(G64&lt;G66,(G66-G64)/G49,0)</f>
        <v>8.7632265587122629E-2</v>
      </c>
      <c r="H68" s="1028">
        <f t="shared" si="24"/>
        <v>4.313722397814946E-2</v>
      </c>
      <c r="I68" s="1028">
        <f t="shared" si="24"/>
        <v>0</v>
      </c>
      <c r="J68" s="1028">
        <f t="shared" si="24"/>
        <v>0</v>
      </c>
      <c r="K68" s="1028">
        <f t="shared" si="24"/>
        <v>0</v>
      </c>
      <c r="L68" s="1028">
        <f t="shared" si="24"/>
        <v>0</v>
      </c>
      <c r="M68" s="1028">
        <f t="shared" si="24"/>
        <v>0</v>
      </c>
      <c r="N68" s="1028">
        <f t="shared" si="24"/>
        <v>0</v>
      </c>
      <c r="O68" s="1029">
        <f t="shared" si="24"/>
        <v>0</v>
      </c>
    </row>
    <row r="69" spans="2:15" x14ac:dyDescent="0.3">
      <c r="B69" s="1160" t="s">
        <v>2275</v>
      </c>
      <c r="C69" s="1161"/>
      <c r="D69" s="1162"/>
      <c r="E69" s="1163"/>
      <c r="F69" s="1164">
        <f>ROUNDUP(F52*(F65/365),-2)</f>
        <v>311600</v>
      </c>
      <c r="G69" s="1164">
        <f t="shared" ref="G69:O69" si="25">ROUNDUP(G52*(G65/365),-2)</f>
        <v>310500</v>
      </c>
      <c r="H69" s="1164">
        <f t="shared" si="25"/>
        <v>322100</v>
      </c>
      <c r="I69" s="1164">
        <f t="shared" si="25"/>
        <v>334200</v>
      </c>
      <c r="J69" s="1164">
        <f t="shared" si="25"/>
        <v>346900</v>
      </c>
      <c r="K69" s="1164">
        <f t="shared" si="25"/>
        <v>360100</v>
      </c>
      <c r="L69" s="1164">
        <f t="shared" si="25"/>
        <v>373900</v>
      </c>
      <c r="M69" s="1164">
        <f t="shared" si="25"/>
        <v>388300</v>
      </c>
      <c r="N69" s="1164">
        <f t="shared" si="25"/>
        <v>403400</v>
      </c>
      <c r="O69" s="1165">
        <f t="shared" si="25"/>
        <v>419100</v>
      </c>
    </row>
    <row r="70" spans="2:15" x14ac:dyDescent="0.3">
      <c r="B70" s="1160" t="s">
        <v>2276</v>
      </c>
      <c r="C70" s="1161"/>
      <c r="D70" s="1162"/>
      <c r="E70" s="1163"/>
      <c r="F70" s="1164">
        <f>ROUNDUP('Asset Replacement'!D57,-2)</f>
        <v>1088000</v>
      </c>
      <c r="G70" s="1164">
        <f>ROUNDUP('Asset Replacement'!E57,-2)</f>
        <v>1254100</v>
      </c>
      <c r="H70" s="1164">
        <f>ROUNDUP('Asset Replacement'!F57,-2)</f>
        <v>1485300</v>
      </c>
      <c r="I70" s="1164">
        <f>ROUNDUP('Asset Replacement'!G57,-2)</f>
        <v>1728400</v>
      </c>
      <c r="J70" s="1164">
        <f>ROUNDUP('Asset Replacement'!H57,-2)</f>
        <v>1922000</v>
      </c>
      <c r="K70" s="1164">
        <f>ROUNDUP('Asset Replacement'!I57,-2)</f>
        <v>2121900</v>
      </c>
      <c r="L70" s="1164">
        <f>ROUNDUP('Asset Replacement'!J57,-2)</f>
        <v>2321400</v>
      </c>
      <c r="M70" s="1164">
        <f>ROUNDUP('Asset Replacement'!K57,-2)</f>
        <v>2533300</v>
      </c>
      <c r="N70" s="1164">
        <f>ROUNDUP('Asset Replacement'!L57,-2)</f>
        <v>2721400</v>
      </c>
      <c r="O70" s="1165">
        <f>ROUNDUP('Asset Replacement'!M57,-2)</f>
        <v>2862600</v>
      </c>
    </row>
    <row r="71" spans="2:15" x14ac:dyDescent="0.3">
      <c r="B71" s="1007"/>
      <c r="C71" s="1012"/>
      <c r="D71" s="1009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1019"/>
    </row>
    <row r="72" spans="2:15" x14ac:dyDescent="0.3">
      <c r="B72" s="1122" t="s">
        <v>1649</v>
      </c>
      <c r="C72" s="1012"/>
      <c r="D72" s="1009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1013"/>
    </row>
    <row r="73" spans="2:15" x14ac:dyDescent="0.3">
      <c r="B73" s="1014" t="s">
        <v>1645</v>
      </c>
      <c r="C73" s="1015"/>
      <c r="D73" s="1020"/>
      <c r="E73" s="500"/>
      <c r="F73" s="500">
        <f>E76</f>
        <v>547590.47277056705</v>
      </c>
      <c r="G73" s="500">
        <f t="shared" ref="G73:O73" si="26">F76</f>
        <v>1087966.9934278834</v>
      </c>
      <c r="H73" s="500">
        <f>G76</f>
        <v>1254082.1901765517</v>
      </c>
      <c r="I73" s="500">
        <f t="shared" si="26"/>
        <v>1485292.299039779</v>
      </c>
      <c r="J73" s="500">
        <f t="shared" si="26"/>
        <v>1728333.9048353252</v>
      </c>
      <c r="K73" s="500">
        <f t="shared" si="26"/>
        <v>1921976.3294242627</v>
      </c>
      <c r="L73" s="500">
        <f t="shared" si="26"/>
        <v>2121837.6883058939</v>
      </c>
      <c r="M73" s="500">
        <f t="shared" si="26"/>
        <v>2321382.3756308565</v>
      </c>
      <c r="N73" s="500">
        <f t="shared" si="26"/>
        <v>2533295.5254581724</v>
      </c>
      <c r="O73" s="999">
        <f t="shared" si="26"/>
        <v>2721397.7650025622</v>
      </c>
    </row>
    <row r="74" spans="2:15" x14ac:dyDescent="0.3">
      <c r="B74" s="1016" t="s">
        <v>1651</v>
      </c>
      <c r="C74" s="767"/>
      <c r="D74" s="1017"/>
      <c r="E74" s="500"/>
      <c r="F74" s="500">
        <f>'Asset Replacement'!D53</f>
        <v>540376.52065731643</v>
      </c>
      <c r="G74" s="500">
        <f>'Asset Replacement'!E53</f>
        <v>166115.1967486683</v>
      </c>
      <c r="H74" s="500">
        <f>'Asset Replacement'!F53</f>
        <v>231210.10886322736</v>
      </c>
      <c r="I74" s="500">
        <f>'Asset Replacement'!G53</f>
        <v>243041.60579554609</v>
      </c>
      <c r="J74" s="500">
        <f>'Asset Replacement'!H53</f>
        <v>193642.42458893757</v>
      </c>
      <c r="K74" s="500">
        <f>'Asset Replacement'!I53</f>
        <v>199861.35888163125</v>
      </c>
      <c r="L74" s="500">
        <f>'Asset Replacement'!J53</f>
        <v>199544.68732496237</v>
      </c>
      <c r="M74" s="500">
        <f>'Asset Replacement'!K53</f>
        <v>211913.14982731611</v>
      </c>
      <c r="N74" s="500">
        <f>'Asset Replacement'!L53</f>
        <v>188102.23954438968</v>
      </c>
      <c r="O74" s="999">
        <f>'Asset Replacement'!M53</f>
        <v>141167.49649500952</v>
      </c>
    </row>
    <row r="75" spans="2:15" x14ac:dyDescent="0.3">
      <c r="B75" s="1016" t="s">
        <v>2128</v>
      </c>
      <c r="C75" s="767"/>
      <c r="D75" s="1017"/>
      <c r="E75" s="514"/>
      <c r="F75" s="514">
        <f>F63</f>
        <v>0</v>
      </c>
      <c r="G75" s="514">
        <f t="shared" ref="G75:O75" si="27">G63</f>
        <v>0</v>
      </c>
      <c r="H75" s="514">
        <f t="shared" si="27"/>
        <v>0</v>
      </c>
      <c r="I75" s="514">
        <f t="shared" si="27"/>
        <v>0</v>
      </c>
      <c r="J75" s="514">
        <f t="shared" si="27"/>
        <v>0</v>
      </c>
      <c r="K75" s="514">
        <f t="shared" si="27"/>
        <v>0</v>
      </c>
      <c r="L75" s="514">
        <f t="shared" si="27"/>
        <v>0</v>
      </c>
      <c r="M75" s="514">
        <f t="shared" si="27"/>
        <v>0</v>
      </c>
      <c r="N75" s="514">
        <f t="shared" si="27"/>
        <v>0</v>
      </c>
      <c r="O75" s="1018">
        <f t="shared" si="27"/>
        <v>0</v>
      </c>
    </row>
    <row r="76" spans="2:15" x14ac:dyDescent="0.3">
      <c r="B76" s="1007" t="str">
        <f>"Ending "&amp;B72</f>
        <v>Ending 3R Reserve Cash Balance</v>
      </c>
      <c r="C76" s="1012"/>
      <c r="D76" s="1009"/>
      <c r="E76" s="914">
        <f>'Asset Replacement'!D55</f>
        <v>547590.47277056705</v>
      </c>
      <c r="F76" s="515">
        <f>SUM(F73:F75)</f>
        <v>1087966.9934278834</v>
      </c>
      <c r="G76" s="515">
        <f t="shared" ref="G76:O76" si="28">SUM(G73:G75)</f>
        <v>1254082.1901765517</v>
      </c>
      <c r="H76" s="515">
        <f>SUM(H73:H75)</f>
        <v>1485292.299039779</v>
      </c>
      <c r="I76" s="515">
        <f t="shared" si="28"/>
        <v>1728333.9048353252</v>
      </c>
      <c r="J76" s="515">
        <f t="shared" si="28"/>
        <v>1921976.3294242627</v>
      </c>
      <c r="K76" s="515">
        <f t="shared" si="28"/>
        <v>2121837.6883058939</v>
      </c>
      <c r="L76" s="515">
        <f t="shared" si="28"/>
        <v>2321382.3756308565</v>
      </c>
      <c r="M76" s="515">
        <f t="shared" si="28"/>
        <v>2533295.5254581724</v>
      </c>
      <c r="N76" s="515">
        <f t="shared" si="28"/>
        <v>2721397.7650025622</v>
      </c>
      <c r="O76" s="1019">
        <f t="shared" si="28"/>
        <v>2862565.2614975716</v>
      </c>
    </row>
    <row r="77" spans="2:15" x14ac:dyDescent="0.3">
      <c r="B77" s="1007"/>
      <c r="C77" s="1012"/>
      <c r="D77" s="1009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1019"/>
    </row>
    <row r="78" spans="2:15" s="510" customFormat="1" x14ac:dyDescent="0.3">
      <c r="B78" s="1122" t="s">
        <v>1644</v>
      </c>
      <c r="C78" s="767"/>
      <c r="D78" s="1017"/>
      <c r="E78" s="1030"/>
      <c r="F78" s="1030"/>
      <c r="G78" s="1030"/>
      <c r="H78" s="1030"/>
      <c r="I78" s="1030"/>
      <c r="J78" s="1030"/>
      <c r="K78" s="1030"/>
      <c r="L78" s="1030"/>
      <c r="M78" s="1030"/>
      <c r="N78" s="1030"/>
      <c r="O78" s="1032"/>
    </row>
    <row r="79" spans="2:15" x14ac:dyDescent="0.3">
      <c r="B79" s="1014" t="s">
        <v>1645</v>
      </c>
      <c r="C79" s="1015"/>
      <c r="D79" s="1020"/>
      <c r="E79" s="500"/>
      <c r="F79" s="500">
        <f>E81</f>
        <v>426517.02722943295</v>
      </c>
      <c r="G79" s="500">
        <f t="shared" ref="G79:O79" si="29">F81</f>
        <v>107091.62752833182</v>
      </c>
      <c r="H79" s="500">
        <f>G81</f>
        <v>118795.05031984314</v>
      </c>
      <c r="I79" s="500">
        <f t="shared" si="29"/>
        <v>223248.1478176488</v>
      </c>
      <c r="J79" s="500">
        <f t="shared" si="29"/>
        <v>376746.19222963089</v>
      </c>
      <c r="K79" s="500">
        <f t="shared" si="29"/>
        <v>623689.71962757385</v>
      </c>
      <c r="L79" s="500">
        <f t="shared" si="29"/>
        <v>822033.846224537</v>
      </c>
      <c r="M79" s="500">
        <f t="shared" si="29"/>
        <v>906124.6469413751</v>
      </c>
      <c r="N79" s="500">
        <f t="shared" si="29"/>
        <v>810964.58008959377</v>
      </c>
      <c r="O79" s="999">
        <f t="shared" si="29"/>
        <v>770289.48502146651</v>
      </c>
    </row>
    <row r="80" spans="2:15" x14ac:dyDescent="0.3">
      <c r="B80" s="1016" t="s">
        <v>1650</v>
      </c>
      <c r="C80" s="767"/>
      <c r="D80" s="1017"/>
      <c r="E80" s="514"/>
      <c r="F80" s="514">
        <f t="shared" ref="F80:O80" si="30">F62-F74</f>
        <v>-319425.39970110112</v>
      </c>
      <c r="G80" s="514">
        <f t="shared" si="30"/>
        <v>11703.422791511315</v>
      </c>
      <c r="H80" s="514">
        <f>H62-H74</f>
        <v>104453.09749780566</v>
      </c>
      <c r="I80" s="514">
        <f t="shared" si="30"/>
        <v>153498.04441198206</v>
      </c>
      <c r="J80" s="514">
        <f t="shared" si="30"/>
        <v>246943.52739794293</v>
      </c>
      <c r="K80" s="514">
        <f t="shared" si="30"/>
        <v>198344.12659696318</v>
      </c>
      <c r="L80" s="514">
        <f t="shared" si="30"/>
        <v>84090.800716838072</v>
      </c>
      <c r="M80" s="514">
        <f t="shared" si="30"/>
        <v>-95160.06685178139</v>
      </c>
      <c r="N80" s="514">
        <f t="shared" si="30"/>
        <v>-40675.095068127295</v>
      </c>
      <c r="O80" s="1018">
        <f t="shared" si="30"/>
        <v>-65649.854960976751</v>
      </c>
    </row>
    <row r="81" spans="2:16" x14ac:dyDescent="0.3">
      <c r="B81" s="1007" t="str">
        <f>"Ending "&amp;B78</f>
        <v>Ending Operating Cash Balance</v>
      </c>
      <c r="C81" s="1012"/>
      <c r="D81" s="1009"/>
      <c r="E81" s="914">
        <f>E64-E76</f>
        <v>426517.02722943295</v>
      </c>
      <c r="F81" s="515">
        <f t="shared" ref="F81:O81" si="31">SUM(F79:F80)</f>
        <v>107091.62752833182</v>
      </c>
      <c r="G81" s="515">
        <f t="shared" si="31"/>
        <v>118795.05031984314</v>
      </c>
      <c r="H81" s="515">
        <f>SUM(H79:H80)</f>
        <v>223248.1478176488</v>
      </c>
      <c r="I81" s="515">
        <f t="shared" si="31"/>
        <v>376746.19222963089</v>
      </c>
      <c r="J81" s="515">
        <f t="shared" si="31"/>
        <v>623689.71962757385</v>
      </c>
      <c r="K81" s="515">
        <f t="shared" si="31"/>
        <v>822033.846224537</v>
      </c>
      <c r="L81" s="515">
        <f t="shared" si="31"/>
        <v>906124.6469413751</v>
      </c>
      <c r="M81" s="515">
        <f t="shared" si="31"/>
        <v>810964.58008959377</v>
      </c>
      <c r="N81" s="515">
        <f t="shared" si="31"/>
        <v>770289.48502146651</v>
      </c>
      <c r="O81" s="1019">
        <f t="shared" si="31"/>
        <v>704639.63006048976</v>
      </c>
    </row>
    <row r="82" spans="2:16" ht="15" thickBot="1" x14ac:dyDescent="0.35">
      <c r="B82" s="1033"/>
      <c r="C82" s="1034"/>
      <c r="D82" s="1035"/>
      <c r="E82" s="1034"/>
      <c r="F82" s="1034"/>
      <c r="G82" s="1034"/>
      <c r="H82" s="1034"/>
      <c r="I82" s="1034"/>
      <c r="J82" s="1034"/>
      <c r="K82" s="1034"/>
      <c r="L82" s="1034"/>
      <c r="M82" s="1034"/>
      <c r="N82" s="1034"/>
      <c r="O82" s="1036"/>
    </row>
    <row r="83" spans="2:16" ht="15" thickBot="1" x14ac:dyDescent="0.35">
      <c r="E83" s="1146">
        <f>(E81+E76)-E64</f>
        <v>0</v>
      </c>
      <c r="F83" s="517">
        <f t="shared" ref="F83:O83" si="32">(F81+F76)-F64</f>
        <v>0</v>
      </c>
      <c r="G83" s="517">
        <f t="shared" si="32"/>
        <v>0</v>
      </c>
      <c r="H83" s="517">
        <f t="shared" si="32"/>
        <v>0</v>
      </c>
      <c r="I83" s="517">
        <f t="shared" si="32"/>
        <v>0</v>
      </c>
      <c r="J83" s="517">
        <f t="shared" si="32"/>
        <v>0</v>
      </c>
      <c r="K83" s="517">
        <f t="shared" si="32"/>
        <v>0</v>
      </c>
      <c r="L83" s="517">
        <f t="shared" si="32"/>
        <v>0</v>
      </c>
      <c r="M83" s="517">
        <f t="shared" si="32"/>
        <v>0</v>
      </c>
      <c r="N83" s="517">
        <f t="shared" si="32"/>
        <v>0</v>
      </c>
      <c r="O83" s="517">
        <f t="shared" si="32"/>
        <v>0</v>
      </c>
      <c r="P83" s="493"/>
    </row>
    <row r="84" spans="2:16" ht="15.6" x14ac:dyDescent="0.3">
      <c r="B84" s="1139" t="s">
        <v>347</v>
      </c>
      <c r="C84" s="1140"/>
      <c r="D84" s="1141"/>
      <c r="E84" s="1142"/>
      <c r="F84" s="1142"/>
      <c r="G84" s="1142"/>
      <c r="H84" s="1142"/>
      <c r="I84" s="1142"/>
      <c r="J84" s="1142"/>
      <c r="K84" s="1142"/>
      <c r="L84" s="1142"/>
      <c r="M84" s="1142"/>
      <c r="N84" s="1142"/>
      <c r="O84" s="1143"/>
    </row>
    <row r="85" spans="2:16" x14ac:dyDescent="0.3">
      <c r="B85" s="996" t="s">
        <v>1635</v>
      </c>
      <c r="C85" s="495"/>
      <c r="D85" s="496"/>
      <c r="E85" s="495"/>
      <c r="F85" s="495"/>
      <c r="G85" s="495"/>
      <c r="H85" s="495"/>
      <c r="I85" s="495"/>
      <c r="J85" s="495"/>
      <c r="K85" s="495"/>
      <c r="L85" s="495"/>
      <c r="M85" s="495"/>
      <c r="N85" s="495"/>
      <c r="O85" s="997"/>
    </row>
    <row r="86" spans="2:16" x14ac:dyDescent="0.3">
      <c r="B86" s="998" t="s">
        <v>1636</v>
      </c>
      <c r="C86" s="501"/>
      <c r="D86" s="502"/>
      <c r="E86" s="500">
        <f>'Stormwater Rate Projections'!E22</f>
        <v>1580839.2291999999</v>
      </c>
      <c r="F86" s="500">
        <f>'Stormwater Rate Projections'!F22</f>
        <v>2775131.8033587704</v>
      </c>
      <c r="G86" s="500">
        <f>'Stormwater Rate Projections'!G22</f>
        <v>3315693.2656479338</v>
      </c>
      <c r="H86" s="500">
        <f>'Stormwater Rate Projections'!H22</f>
        <v>3446107.5402783034</v>
      </c>
      <c r="I86" s="500">
        <f>'Stormwater Rate Projections'!I22</f>
        <v>3547144.9111423367</v>
      </c>
      <c r="J86" s="500">
        <f>'Stormwater Rate Projections'!J22</f>
        <v>3651075.7903947723</v>
      </c>
      <c r="K86" s="500">
        <f>'Stormwater Rate Projections'!K22</f>
        <v>3632820.4114427986</v>
      </c>
      <c r="L86" s="500">
        <f>'Stormwater Rate Projections'!L22</f>
        <v>3614656.3093855842</v>
      </c>
      <c r="M86" s="500">
        <f>'Stormwater Rate Projections'!M22</f>
        <v>3596583.0278386562</v>
      </c>
      <c r="N86" s="500">
        <f>'Stormwater Rate Projections'!N22</f>
        <v>3578600.1126994626</v>
      </c>
      <c r="O86" s="999">
        <f>'Stormwater Rate Projections'!O22</f>
        <v>3560707.1121359654</v>
      </c>
    </row>
    <row r="87" spans="2:16" x14ac:dyDescent="0.3">
      <c r="B87" s="1000" t="s">
        <v>356</v>
      </c>
      <c r="C87" s="501"/>
      <c r="D87" s="502"/>
      <c r="E87" s="500">
        <f>'Misc Revenues'!R49</f>
        <v>61793.419999999984</v>
      </c>
      <c r="F87" s="500">
        <f>'Misc Revenues'!S49</f>
        <v>59902.179999999993</v>
      </c>
      <c r="G87" s="500">
        <f>'Misc Revenues'!T49</f>
        <v>61699.245399999985</v>
      </c>
      <c r="H87" s="500">
        <f>'Misc Revenues'!U49</f>
        <v>63550.222761999983</v>
      </c>
      <c r="I87" s="500">
        <f>'Misc Revenues'!V49</f>
        <v>65456.729444859993</v>
      </c>
      <c r="J87" s="500">
        <f>'Misc Revenues'!W49</f>
        <v>67420.431328205799</v>
      </c>
      <c r="K87" s="500">
        <f>'Misc Revenues'!X49</f>
        <v>69443.044268051963</v>
      </c>
      <c r="L87" s="500">
        <f>'Misc Revenues'!Y49</f>
        <v>71526.33559609353</v>
      </c>
      <c r="M87" s="500">
        <f>'Misc Revenues'!Z49</f>
        <v>73672.125663976331</v>
      </c>
      <c r="N87" s="500">
        <f>'Misc Revenues'!AA49</f>
        <v>75882.289433895625</v>
      </c>
      <c r="O87" s="999">
        <f>'Misc Revenues'!AB49</f>
        <v>78158.758116912504</v>
      </c>
    </row>
    <row r="88" spans="2:16" x14ac:dyDescent="0.3">
      <c r="B88" s="1000" t="s">
        <v>1637</v>
      </c>
      <c r="C88" s="504"/>
      <c r="D88" s="502"/>
      <c r="E88" s="520">
        <f t="shared" ref="E88:O88" si="33">SUM(E86:E87)</f>
        <v>1642632.6491999999</v>
      </c>
      <c r="F88" s="520">
        <f t="shared" si="33"/>
        <v>2835033.9833587706</v>
      </c>
      <c r="G88" s="520">
        <f t="shared" si="33"/>
        <v>3377392.5110479337</v>
      </c>
      <c r="H88" s="520">
        <f t="shared" si="33"/>
        <v>3509657.7630403033</v>
      </c>
      <c r="I88" s="520">
        <f t="shared" si="33"/>
        <v>3612601.6405871967</v>
      </c>
      <c r="J88" s="520">
        <f t="shared" si="33"/>
        <v>3718496.2217229782</v>
      </c>
      <c r="K88" s="520">
        <f t="shared" si="33"/>
        <v>3702263.4557108507</v>
      </c>
      <c r="L88" s="520">
        <f t="shared" si="33"/>
        <v>3686182.6449816776</v>
      </c>
      <c r="M88" s="520">
        <f t="shared" si="33"/>
        <v>3670255.1535026324</v>
      </c>
      <c r="N88" s="520">
        <f t="shared" si="33"/>
        <v>3654482.4021333582</v>
      </c>
      <c r="O88" s="1001">
        <f t="shared" si="33"/>
        <v>3638865.8702528779</v>
      </c>
    </row>
    <row r="89" spans="2:16" x14ac:dyDescent="0.3">
      <c r="B89" s="1000"/>
      <c r="C89" s="504"/>
      <c r="D89" s="502"/>
      <c r="E89" s="505"/>
      <c r="F89" s="505"/>
      <c r="G89" s="505"/>
      <c r="H89" s="505"/>
      <c r="I89" s="505"/>
      <c r="J89" s="505"/>
      <c r="K89" s="505"/>
      <c r="L89" s="505"/>
      <c r="M89" s="505"/>
      <c r="N89" s="505"/>
      <c r="O89" s="1002"/>
    </row>
    <row r="90" spans="2:16" x14ac:dyDescent="0.3">
      <c r="B90" s="996" t="s">
        <v>1638</v>
      </c>
      <c r="C90" s="495"/>
      <c r="D90" s="496"/>
      <c r="E90" s="506"/>
      <c r="F90" s="506"/>
      <c r="G90" s="506"/>
      <c r="H90" s="506"/>
      <c r="I90" s="506"/>
      <c r="J90" s="506"/>
      <c r="K90" s="506"/>
      <c r="L90" s="506"/>
      <c r="M90" s="506"/>
      <c r="N90" s="506"/>
      <c r="O90" s="1003"/>
    </row>
    <row r="91" spans="2:16" x14ac:dyDescent="0.3">
      <c r="B91" s="1000" t="s">
        <v>1652</v>
      </c>
      <c r="C91" s="501"/>
      <c r="D91" s="502"/>
      <c r="E91" s="500">
        <f>'Revenue Requirements'!E62</f>
        <v>1858667.6</v>
      </c>
      <c r="F91" s="500">
        <f>'Revenue Requirements'!F62</f>
        <v>1444815.619465</v>
      </c>
      <c r="G91" s="500">
        <f>'Revenue Requirements'!G62</f>
        <v>1497035.7966835687</v>
      </c>
      <c r="H91" s="500">
        <f>'Revenue Requirements'!H62</f>
        <v>1551380.0827007389</v>
      </c>
      <c r="I91" s="500">
        <f>'Revenue Requirements'!I62</f>
        <v>1607952.4180057009</v>
      </c>
      <c r="J91" s="500">
        <f>'Revenue Requirements'!J62</f>
        <v>1666863.1197873186</v>
      </c>
      <c r="K91" s="500">
        <f>'Revenue Requirements'!K62</f>
        <v>1728229.3596213614</v>
      </c>
      <c r="L91" s="500">
        <f>'Revenue Requirements'!L62</f>
        <v>1792175.6819903587</v>
      </c>
      <c r="M91" s="500">
        <f>'Revenue Requirements'!M62</f>
        <v>1858834.5673913478</v>
      </c>
      <c r="N91" s="500">
        <f>'Revenue Requirements'!N62</f>
        <v>1928347.0441456069</v>
      </c>
      <c r="O91" s="999">
        <f>'Revenue Requirements'!O62</f>
        <v>2000863.3534181919</v>
      </c>
    </row>
    <row r="92" spans="2:16" x14ac:dyDescent="0.3">
      <c r="B92" s="1000" t="s">
        <v>1640</v>
      </c>
      <c r="C92" s="501"/>
      <c r="D92" s="502"/>
      <c r="E92" s="500">
        <f>'Revenue Requirements'!E66</f>
        <v>0</v>
      </c>
      <c r="F92" s="500">
        <f>'Revenue Requirements'!F66</f>
        <v>36333</v>
      </c>
      <c r="G92" s="500">
        <f>'Revenue Requirements'!G66</f>
        <v>0</v>
      </c>
      <c r="H92" s="500">
        <f>'Revenue Requirements'!H66</f>
        <v>0</v>
      </c>
      <c r="I92" s="500">
        <f>'Revenue Requirements'!I66</f>
        <v>0</v>
      </c>
      <c r="J92" s="500">
        <f>'Revenue Requirements'!J66</f>
        <v>0</v>
      </c>
      <c r="K92" s="500">
        <f>'Revenue Requirements'!K66</f>
        <v>0</v>
      </c>
      <c r="L92" s="500">
        <f>'Revenue Requirements'!L66</f>
        <v>0</v>
      </c>
      <c r="M92" s="500">
        <f>'Revenue Requirements'!M66</f>
        <v>0</v>
      </c>
      <c r="N92" s="500">
        <f>'Revenue Requirements'!N66</f>
        <v>0</v>
      </c>
      <c r="O92" s="999">
        <f>'Revenue Requirements'!O66</f>
        <v>0</v>
      </c>
    </row>
    <row r="93" spans="2:16" x14ac:dyDescent="0.3">
      <c r="B93" s="1000" t="s">
        <v>351</v>
      </c>
      <c r="C93" s="501"/>
      <c r="D93" s="502"/>
      <c r="E93" s="500">
        <f>'Revenue Requirements'!E65</f>
        <v>500000</v>
      </c>
      <c r="F93" s="500">
        <f>'Revenue Requirements'!F65</f>
        <v>2589127</v>
      </c>
      <c r="G93" s="500">
        <f>'Revenue Requirements'!G65</f>
        <v>500000</v>
      </c>
      <c r="H93" s="500">
        <f>'Revenue Requirements'!H65</f>
        <v>500000</v>
      </c>
      <c r="I93" s="500">
        <f>'Revenue Requirements'!I65</f>
        <v>500000</v>
      </c>
      <c r="J93" s="500">
        <f>'Revenue Requirements'!J65</f>
        <v>500000</v>
      </c>
      <c r="K93" s="500">
        <f>'Revenue Requirements'!K65</f>
        <v>500000</v>
      </c>
      <c r="L93" s="500">
        <f>'Revenue Requirements'!L65</f>
        <v>500000</v>
      </c>
      <c r="M93" s="500">
        <f>'Revenue Requirements'!M65</f>
        <v>500000</v>
      </c>
      <c r="N93" s="500">
        <f>'Revenue Requirements'!N65</f>
        <v>500000</v>
      </c>
      <c r="O93" s="999">
        <f>'Revenue Requirements'!O65</f>
        <v>500000</v>
      </c>
    </row>
    <row r="94" spans="2:16" x14ac:dyDescent="0.3">
      <c r="B94" s="1004" t="s">
        <v>1641</v>
      </c>
      <c r="C94" s="501"/>
      <c r="D94" s="502"/>
      <c r="E94" s="500">
        <f>'Revenue Requirements'!E67</f>
        <v>0</v>
      </c>
      <c r="F94" s="500">
        <f>'Revenue Requirements'!F67</f>
        <v>0</v>
      </c>
      <c r="G94" s="500">
        <f>'Revenue Requirements'!G67</f>
        <v>0</v>
      </c>
      <c r="H94" s="500">
        <f>'Revenue Requirements'!H67</f>
        <v>969409.98486991704</v>
      </c>
      <c r="I94" s="500">
        <f>'Revenue Requirements'!I67</f>
        <v>1283534.6616034971</v>
      </c>
      <c r="J94" s="500">
        <f>'Revenue Requirements'!J67</f>
        <v>1361360.1338537412</v>
      </c>
      <c r="K94" s="500">
        <f>'Revenue Requirements'!K67</f>
        <v>1400272.8699788633</v>
      </c>
      <c r="L94" s="500">
        <f>'Revenue Requirements'!L67</f>
        <v>1446968.1533290097</v>
      </c>
      <c r="M94" s="500">
        <f>'Revenue Requirements'!M67</f>
        <v>1446968.1533290097</v>
      </c>
      <c r="N94" s="500">
        <f>'Revenue Requirements'!N67</f>
        <v>1602619.0978294979</v>
      </c>
      <c r="O94" s="999">
        <f>'Revenue Requirements'!O67</f>
        <v>1602619.0978294977</v>
      </c>
    </row>
    <row r="95" spans="2:16" x14ac:dyDescent="0.3">
      <c r="B95" s="996" t="s">
        <v>1642</v>
      </c>
      <c r="C95" s="495"/>
      <c r="D95" s="496"/>
      <c r="E95" s="503">
        <f t="shared" ref="E95:O95" si="34">SUM(E91:E94)</f>
        <v>2358667.6</v>
      </c>
      <c r="F95" s="503">
        <f t="shared" si="34"/>
        <v>4070275.619465</v>
      </c>
      <c r="G95" s="503">
        <f t="shared" si="34"/>
        <v>1997035.7966835687</v>
      </c>
      <c r="H95" s="503">
        <f t="shared" si="34"/>
        <v>3020790.0675706561</v>
      </c>
      <c r="I95" s="503">
        <f t="shared" si="34"/>
        <v>3391487.0796091985</v>
      </c>
      <c r="J95" s="503">
        <f t="shared" si="34"/>
        <v>3528223.2536410596</v>
      </c>
      <c r="K95" s="503">
        <f t="shared" si="34"/>
        <v>3628502.2296002246</v>
      </c>
      <c r="L95" s="503">
        <f t="shared" si="34"/>
        <v>3739143.8353193686</v>
      </c>
      <c r="M95" s="503">
        <f t="shared" si="34"/>
        <v>3805802.7207203577</v>
      </c>
      <c r="N95" s="503">
        <f t="shared" si="34"/>
        <v>4030966.1419751048</v>
      </c>
      <c r="O95" s="1005">
        <f t="shared" si="34"/>
        <v>4103482.4512476893</v>
      </c>
    </row>
    <row r="96" spans="2:16" x14ac:dyDescent="0.3">
      <c r="B96" s="1000"/>
      <c r="C96" s="504"/>
      <c r="D96" s="502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1006"/>
    </row>
    <row r="97" spans="2:15" x14ac:dyDescent="0.3">
      <c r="B97" s="1007" t="s">
        <v>1643</v>
      </c>
      <c r="C97" s="1008"/>
      <c r="D97" s="1009"/>
      <c r="E97" s="507">
        <f t="shared" ref="E97:O97" si="35">E88-E95</f>
        <v>-716034.95080000022</v>
      </c>
      <c r="F97" s="507">
        <f t="shared" si="35"/>
        <v>-1235241.6361062294</v>
      </c>
      <c r="G97" s="507">
        <f t="shared" si="35"/>
        <v>1380356.714364365</v>
      </c>
      <c r="H97" s="507">
        <f t="shared" si="35"/>
        <v>488867.69546964718</v>
      </c>
      <c r="I97" s="507">
        <f t="shared" si="35"/>
        <v>221114.56097799819</v>
      </c>
      <c r="J97" s="507">
        <f t="shared" si="35"/>
        <v>190272.96808191855</v>
      </c>
      <c r="K97" s="507">
        <f t="shared" si="35"/>
        <v>73761.226110626012</v>
      </c>
      <c r="L97" s="507">
        <f t="shared" si="35"/>
        <v>-52961.19033769099</v>
      </c>
      <c r="M97" s="507">
        <f t="shared" si="35"/>
        <v>-135547.56721772533</v>
      </c>
      <c r="N97" s="507">
        <f t="shared" si="35"/>
        <v>-376483.73984174663</v>
      </c>
      <c r="O97" s="1010">
        <f t="shared" si="35"/>
        <v>-464616.58099481137</v>
      </c>
    </row>
    <row r="98" spans="2:15" x14ac:dyDescent="0.3">
      <c r="B98" s="1000"/>
      <c r="C98" s="504"/>
      <c r="D98" s="502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1011"/>
    </row>
    <row r="99" spans="2:15" ht="15.6" x14ac:dyDescent="0.3">
      <c r="B99" s="1130" t="s">
        <v>2264</v>
      </c>
      <c r="C99" s="1027"/>
      <c r="D99" s="1131"/>
      <c r="E99" s="1128"/>
      <c r="F99" s="1128"/>
      <c r="G99" s="1128"/>
      <c r="H99" s="1128"/>
      <c r="I99" s="1128"/>
      <c r="J99" s="1128"/>
      <c r="K99" s="1128"/>
      <c r="L99" s="1128"/>
      <c r="M99" s="1128"/>
      <c r="N99" s="1128"/>
      <c r="O99" s="1129"/>
    </row>
    <row r="100" spans="2:15" x14ac:dyDescent="0.3">
      <c r="B100" s="1014" t="s">
        <v>1645</v>
      </c>
      <c r="C100" s="1015"/>
      <c r="D100" s="502"/>
      <c r="E100" s="500"/>
      <c r="F100" s="500">
        <f>E103</f>
        <v>974107.5</v>
      </c>
      <c r="G100" s="500">
        <f t="shared" ref="G100:O100" si="36">F103</f>
        <v>-261134.13610622939</v>
      </c>
      <c r="H100" s="500">
        <f t="shared" si="36"/>
        <v>1119222.5782581356</v>
      </c>
      <c r="I100" s="500">
        <f t="shared" si="36"/>
        <v>1608090.2737277828</v>
      </c>
      <c r="J100" s="500">
        <f t="shared" si="36"/>
        <v>1829204.834705781</v>
      </c>
      <c r="K100" s="500">
        <f t="shared" si="36"/>
        <v>2019477.8027876995</v>
      </c>
      <c r="L100" s="500">
        <f t="shared" si="36"/>
        <v>2093239.0288983255</v>
      </c>
      <c r="M100" s="500">
        <f t="shared" si="36"/>
        <v>2040277.8385606345</v>
      </c>
      <c r="N100" s="500">
        <f t="shared" si="36"/>
        <v>1904730.2713429092</v>
      </c>
      <c r="O100" s="999">
        <f t="shared" si="36"/>
        <v>1528246.5315011626</v>
      </c>
    </row>
    <row r="101" spans="2:15" x14ac:dyDescent="0.3">
      <c r="B101" s="1016" t="s">
        <v>2261</v>
      </c>
      <c r="C101" s="767"/>
      <c r="D101" s="1017"/>
      <c r="E101" s="500"/>
      <c r="F101" s="500">
        <f>F97</f>
        <v>-1235241.6361062294</v>
      </c>
      <c r="G101" s="500">
        <f>G97</f>
        <v>1380356.714364365</v>
      </c>
      <c r="H101" s="500">
        <f t="shared" ref="H101:O101" si="37">H97</f>
        <v>488867.69546964718</v>
      </c>
      <c r="I101" s="500">
        <f t="shared" si="37"/>
        <v>221114.56097799819</v>
      </c>
      <c r="J101" s="500">
        <f t="shared" si="37"/>
        <v>190272.96808191855</v>
      </c>
      <c r="K101" s="500">
        <f t="shared" si="37"/>
        <v>73761.226110626012</v>
      </c>
      <c r="L101" s="500">
        <f t="shared" si="37"/>
        <v>-52961.19033769099</v>
      </c>
      <c r="M101" s="500">
        <f t="shared" si="37"/>
        <v>-135547.56721772533</v>
      </c>
      <c r="N101" s="500">
        <f t="shared" si="37"/>
        <v>-376483.73984174663</v>
      </c>
      <c r="O101" s="999">
        <f t="shared" si="37"/>
        <v>-464616.58099481137</v>
      </c>
    </row>
    <row r="102" spans="2:15" x14ac:dyDescent="0.3">
      <c r="B102" s="1016" t="s">
        <v>2260</v>
      </c>
      <c r="C102" s="767"/>
      <c r="D102" s="1017"/>
      <c r="E102" s="500"/>
      <c r="F102" s="500">
        <f>'Capital Improvement Plan'!G101*-1</f>
        <v>0</v>
      </c>
      <c r="G102" s="500">
        <f>'Capital Improvement Plan'!H101*-1</f>
        <v>0</v>
      </c>
      <c r="H102" s="500">
        <f>'Capital Improvement Plan'!I101*-1</f>
        <v>0</v>
      </c>
      <c r="I102" s="500">
        <f>'Capital Improvement Plan'!J101*-1</f>
        <v>0</v>
      </c>
      <c r="J102" s="500">
        <f>'Capital Improvement Plan'!K101*-1</f>
        <v>0</v>
      </c>
      <c r="K102" s="500">
        <f>'Capital Improvement Plan'!L101*-1</f>
        <v>0</v>
      </c>
      <c r="L102" s="500">
        <f>'Capital Improvement Plan'!M101*-1</f>
        <v>0</v>
      </c>
      <c r="M102" s="500">
        <f>'Capital Improvement Plan'!N101*-1</f>
        <v>0</v>
      </c>
      <c r="N102" s="500">
        <f>'Capital Improvement Plan'!O101*-1</f>
        <v>0</v>
      </c>
      <c r="O102" s="999">
        <f>'Capital Improvement Plan'!P101*-1</f>
        <v>0</v>
      </c>
    </row>
    <row r="103" spans="2:15" s="1172" customFormat="1" ht="15.6" x14ac:dyDescent="0.3">
      <c r="B103" s="1166" t="str">
        <f>"Ending "&amp;B99</f>
        <v>Ending Total Stormwater Cash Balance</v>
      </c>
      <c r="C103" s="1167"/>
      <c r="D103" s="1168">
        <v>0.15</v>
      </c>
      <c r="E103" s="1169">
        <f>D103*D3</f>
        <v>974107.5</v>
      </c>
      <c r="F103" s="1170">
        <f>SUM(F100:F102)</f>
        <v>-261134.13610622939</v>
      </c>
      <c r="G103" s="1170">
        <f>SUM(G100:G102)</f>
        <v>1119222.5782581356</v>
      </c>
      <c r="H103" s="1170">
        <f t="shared" ref="H103:O103" si="38">H100+H101</f>
        <v>1608090.2737277828</v>
      </c>
      <c r="I103" s="1170">
        <f t="shared" si="38"/>
        <v>1829204.834705781</v>
      </c>
      <c r="J103" s="1170">
        <f t="shared" si="38"/>
        <v>2019477.8027876995</v>
      </c>
      <c r="K103" s="1170">
        <f t="shared" si="38"/>
        <v>2093239.0288983255</v>
      </c>
      <c r="L103" s="1170">
        <f t="shared" si="38"/>
        <v>2040277.8385606345</v>
      </c>
      <c r="M103" s="1170">
        <f t="shared" si="38"/>
        <v>1904730.2713429092</v>
      </c>
      <c r="N103" s="1170">
        <f t="shared" si="38"/>
        <v>1528246.5315011626</v>
      </c>
      <c r="O103" s="1171">
        <f t="shared" si="38"/>
        <v>1063629.9505063512</v>
      </c>
    </row>
    <row r="104" spans="2:15" ht="15.6" x14ac:dyDescent="0.3">
      <c r="B104" s="1022" t="s">
        <v>1646</v>
      </c>
      <c r="C104" s="768"/>
      <c r="D104" s="769"/>
      <c r="E104"/>
      <c r="F104" s="516">
        <v>90</v>
      </c>
      <c r="G104" s="516">
        <v>90</v>
      </c>
      <c r="H104" s="516">
        <v>90</v>
      </c>
      <c r="I104" s="516">
        <v>90</v>
      </c>
      <c r="J104" s="516">
        <v>90</v>
      </c>
      <c r="K104" s="516">
        <v>90</v>
      </c>
      <c r="L104" s="516">
        <v>90</v>
      </c>
      <c r="M104" s="516">
        <v>90</v>
      </c>
      <c r="N104" s="516">
        <v>90</v>
      </c>
      <c r="O104" s="1023">
        <v>90</v>
      </c>
    </row>
    <row r="105" spans="2:15" ht="15.6" x14ac:dyDescent="0.3">
      <c r="B105" s="1021" t="s">
        <v>2313</v>
      </c>
      <c r="C105" s="768"/>
      <c r="D105" s="769"/>
      <c r="E105"/>
      <c r="F105" s="1120">
        <f>ROUNDUP((F91)*(F104/365)+'Asset Replacement'!E84,-2)</f>
        <v>911000</v>
      </c>
      <c r="G105" s="1120">
        <f>ROUNDUP((G91)*(G104/365)+'Asset Replacement'!F84,-2)</f>
        <v>999600</v>
      </c>
      <c r="H105" s="1120">
        <f>ROUNDUP((H91)*(H104/365)+'Asset Replacement'!G84,-2)</f>
        <v>1183900</v>
      </c>
      <c r="I105" s="1120">
        <f>ROUNDUP((I91)*(I104/365)+'Asset Replacement'!H84,-2)</f>
        <v>1547800</v>
      </c>
      <c r="J105" s="1120">
        <f>ROUNDUP((J91)*(J104/365)+'Asset Replacement'!I84,-2)</f>
        <v>1962400</v>
      </c>
      <c r="K105" s="1120">
        <f>ROUNDUP((K91)*(K104/365)+'Asset Replacement'!J84,-2)</f>
        <v>2188200</v>
      </c>
      <c r="L105" s="1120">
        <f>ROUNDUP((L91)*(L104/365)+'Asset Replacement'!K84,-2)</f>
        <v>2417600</v>
      </c>
      <c r="M105" s="1120">
        <f>ROUNDUP((M91)*(M104/365)+'Asset Replacement'!L84,-2)</f>
        <v>2638600</v>
      </c>
      <c r="N105" s="1120">
        <f>ROUNDUP((N91)*(N104/365)+'Asset Replacement'!M84,-2)</f>
        <v>2872900</v>
      </c>
      <c r="O105" s="1121">
        <f>ROUNDUP((O91)*(O104/365)+'Asset Replacement'!N84,-2)</f>
        <v>2978600</v>
      </c>
    </row>
    <row r="106" spans="2:15" ht="15.6" x14ac:dyDescent="0.3">
      <c r="B106" s="1031"/>
      <c r="C106" s="768"/>
      <c r="D106" s="769"/>
      <c r="E106"/>
      <c r="F106" s="1118" t="str">
        <f t="shared" ref="F106:O106" si="39">IF(F103&lt;F105,"NO","YES")</f>
        <v>NO</v>
      </c>
      <c r="G106" s="1118" t="str">
        <f t="shared" si="39"/>
        <v>YES</v>
      </c>
      <c r="H106" s="1118" t="str">
        <f t="shared" si="39"/>
        <v>YES</v>
      </c>
      <c r="I106" s="1118" t="str">
        <f t="shared" si="39"/>
        <v>YES</v>
      </c>
      <c r="J106" s="1118" t="str">
        <f t="shared" si="39"/>
        <v>YES</v>
      </c>
      <c r="K106" s="1118" t="str">
        <f t="shared" si="39"/>
        <v>NO</v>
      </c>
      <c r="L106" s="1118" t="str">
        <f t="shared" si="39"/>
        <v>NO</v>
      </c>
      <c r="M106" s="1118" t="str">
        <f t="shared" si="39"/>
        <v>NO</v>
      </c>
      <c r="N106" s="1118" t="str">
        <f t="shared" si="39"/>
        <v>NO</v>
      </c>
      <c r="O106" s="1119" t="str">
        <f t="shared" si="39"/>
        <v>NO</v>
      </c>
    </row>
    <row r="107" spans="2:15" ht="15.6" x14ac:dyDescent="0.3">
      <c r="B107" s="1026" t="s">
        <v>1647</v>
      </c>
      <c r="C107" s="1024"/>
      <c r="D107" s="1025"/>
      <c r="E107"/>
      <c r="F107" s="1028">
        <f>IF(F103&lt;F105,(F105-F103)/F86,0)</f>
        <v>0.42237061846488999</v>
      </c>
      <c r="G107" s="1028">
        <f t="shared" ref="G107:O107" si="40">IF(G103&lt;G105,(G105-G103)/G86,0)</f>
        <v>0</v>
      </c>
      <c r="H107" s="1028">
        <f t="shared" si="40"/>
        <v>0</v>
      </c>
      <c r="I107" s="1028">
        <f t="shared" si="40"/>
        <v>0</v>
      </c>
      <c r="J107" s="1028">
        <f t="shared" si="40"/>
        <v>0</v>
      </c>
      <c r="K107" s="1028">
        <f t="shared" si="40"/>
        <v>2.6139737269302587E-2</v>
      </c>
      <c r="L107" s="1028">
        <f t="shared" si="40"/>
        <v>0.10438673255314343</v>
      </c>
      <c r="M107" s="1028">
        <f t="shared" si="40"/>
        <v>0.20404637484432139</v>
      </c>
      <c r="N107" s="1028">
        <f t="shared" si="40"/>
        <v>0.37574845642211713</v>
      </c>
      <c r="O107" s="1029">
        <f t="shared" si="40"/>
        <v>0.53780611243391863</v>
      </c>
    </row>
    <row r="108" spans="2:15" x14ac:dyDescent="0.3">
      <c r="B108" s="1007"/>
      <c r="C108" s="1012"/>
      <c r="D108" s="1009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1019"/>
    </row>
    <row r="109" spans="2:15" x14ac:dyDescent="0.3">
      <c r="B109" s="1122" t="s">
        <v>1649</v>
      </c>
      <c r="C109" s="1012"/>
      <c r="D109" s="10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/>
      <c r="O109" s="1013"/>
    </row>
    <row r="110" spans="2:15" x14ac:dyDescent="0.3">
      <c r="B110" s="1014" t="s">
        <v>1645</v>
      </c>
      <c r="C110" s="1015"/>
      <c r="D110" s="1020"/>
      <c r="E110" s="500"/>
      <c r="F110" s="500">
        <f>E113</f>
        <v>545820.95147780981</v>
      </c>
      <c r="G110" s="500">
        <f t="shared" ref="G110:O110" si="41">F113</f>
        <v>554662.41955358838</v>
      </c>
      <c r="H110" s="500">
        <f t="shared" si="41"/>
        <v>630415.95253776282</v>
      </c>
      <c r="I110" s="500">
        <f t="shared" si="41"/>
        <v>801282.85229476471</v>
      </c>
      <c r="J110" s="500">
        <f t="shared" si="41"/>
        <v>1151270.3836429301</v>
      </c>
      <c r="K110" s="500">
        <f t="shared" si="41"/>
        <v>1551326.5534644062</v>
      </c>
      <c r="L110" s="500">
        <f t="shared" si="41"/>
        <v>1762024.7920937086</v>
      </c>
      <c r="M110" s="500">
        <f t="shared" si="41"/>
        <v>1975692.7872366251</v>
      </c>
      <c r="N110" s="500">
        <f t="shared" si="41"/>
        <v>2180231.8149375869</v>
      </c>
      <c r="O110" s="999">
        <f t="shared" si="41"/>
        <v>2397367.9518407765</v>
      </c>
    </row>
    <row r="111" spans="2:15" x14ac:dyDescent="0.3">
      <c r="B111" s="1016" t="s">
        <v>1651</v>
      </c>
      <c r="C111" s="767"/>
      <c r="D111" s="1017"/>
      <c r="E111" s="500"/>
      <c r="F111" s="500">
        <f>'Asset Replacement'!D82</f>
        <v>8841.4680757785773</v>
      </c>
      <c r="G111" s="500">
        <f>'Asset Replacement'!E82</f>
        <v>75753.532984174395</v>
      </c>
      <c r="H111" s="500">
        <f>'Asset Replacement'!F82</f>
        <v>170866.8997570019</v>
      </c>
      <c r="I111" s="500">
        <f>'Asset Replacement'!G82</f>
        <v>349987.53134816542</v>
      </c>
      <c r="J111" s="500">
        <f>'Asset Replacement'!H82</f>
        <v>400056.16982147598</v>
      </c>
      <c r="K111" s="500">
        <f>'Asset Replacement'!I82</f>
        <v>210698.23862930259</v>
      </c>
      <c r="L111" s="500">
        <f>'Asset Replacement'!J82</f>
        <v>213667.99514291642</v>
      </c>
      <c r="M111" s="500">
        <f>'Asset Replacement'!K82</f>
        <v>204539.02770096203</v>
      </c>
      <c r="N111" s="500">
        <f>'Asset Replacement'!L82</f>
        <v>217136.1369031895</v>
      </c>
      <c r="O111" s="999">
        <f>'Asset Replacement'!M82</f>
        <v>87821.938115003199</v>
      </c>
    </row>
    <row r="112" spans="2:15" x14ac:dyDescent="0.3">
      <c r="B112" s="1016" t="s">
        <v>2128</v>
      </c>
      <c r="C112" s="767"/>
      <c r="D112" s="1017"/>
      <c r="E112" s="514"/>
      <c r="F112" s="514">
        <f>F102</f>
        <v>0</v>
      </c>
      <c r="G112" s="514">
        <f t="shared" ref="G112:O112" si="42">G102</f>
        <v>0</v>
      </c>
      <c r="H112" s="514">
        <f t="shared" si="42"/>
        <v>0</v>
      </c>
      <c r="I112" s="514">
        <f t="shared" si="42"/>
        <v>0</v>
      </c>
      <c r="J112" s="514">
        <f t="shared" si="42"/>
        <v>0</v>
      </c>
      <c r="K112" s="514">
        <f t="shared" si="42"/>
        <v>0</v>
      </c>
      <c r="L112" s="514">
        <f t="shared" si="42"/>
        <v>0</v>
      </c>
      <c r="M112" s="514">
        <f t="shared" si="42"/>
        <v>0</v>
      </c>
      <c r="N112" s="514">
        <f t="shared" si="42"/>
        <v>0</v>
      </c>
      <c r="O112" s="1018">
        <f t="shared" si="42"/>
        <v>0</v>
      </c>
    </row>
    <row r="113" spans="2:15" x14ac:dyDescent="0.3">
      <c r="B113" s="1007" t="str">
        <f>"Ending "&amp;B109</f>
        <v>Ending 3R Reserve Cash Balance</v>
      </c>
      <c r="C113" s="1012"/>
      <c r="D113" s="1009"/>
      <c r="E113" s="914">
        <f>'Asset Replacement'!D84</f>
        <v>545820.95147780981</v>
      </c>
      <c r="F113" s="515">
        <f>SUM(F110:F112)</f>
        <v>554662.41955358838</v>
      </c>
      <c r="G113" s="515">
        <f t="shared" ref="G113:O113" si="43">SUM(G110:G112)</f>
        <v>630415.95253776282</v>
      </c>
      <c r="H113" s="515">
        <f t="shared" si="43"/>
        <v>801282.85229476471</v>
      </c>
      <c r="I113" s="515">
        <f t="shared" si="43"/>
        <v>1151270.3836429301</v>
      </c>
      <c r="J113" s="515">
        <f t="shared" si="43"/>
        <v>1551326.5534644062</v>
      </c>
      <c r="K113" s="515">
        <f t="shared" si="43"/>
        <v>1762024.7920937086</v>
      </c>
      <c r="L113" s="515">
        <f t="shared" si="43"/>
        <v>1975692.7872366251</v>
      </c>
      <c r="M113" s="515">
        <f t="shared" si="43"/>
        <v>2180231.8149375869</v>
      </c>
      <c r="N113" s="515">
        <f t="shared" si="43"/>
        <v>2397367.9518407765</v>
      </c>
      <c r="O113" s="1019">
        <f t="shared" si="43"/>
        <v>2485189.8899557795</v>
      </c>
    </row>
    <row r="114" spans="2:15" x14ac:dyDescent="0.3">
      <c r="B114" s="1007"/>
      <c r="C114" s="1012"/>
      <c r="D114" s="1009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1019"/>
    </row>
    <row r="115" spans="2:15" s="510" customFormat="1" x14ac:dyDescent="0.3">
      <c r="B115" s="1122" t="s">
        <v>1644</v>
      </c>
      <c r="C115" s="767"/>
      <c r="D115" s="1017"/>
      <c r="E115" s="1030"/>
      <c r="F115" s="1030"/>
      <c r="G115" s="1030"/>
      <c r="H115" s="1030"/>
      <c r="I115" s="1030"/>
      <c r="J115" s="1030"/>
      <c r="K115" s="1030"/>
      <c r="L115" s="1030"/>
      <c r="M115" s="1030"/>
      <c r="N115" s="1030"/>
      <c r="O115" s="1032"/>
    </row>
    <row r="116" spans="2:15" x14ac:dyDescent="0.3">
      <c r="B116" s="1014" t="s">
        <v>1645</v>
      </c>
      <c r="C116" s="1015"/>
      <c r="D116" s="1020"/>
      <c r="E116" s="500"/>
      <c r="F116" s="500">
        <f>E118</f>
        <v>428286.54852219019</v>
      </c>
      <c r="G116" s="500">
        <f t="shared" ref="G116:O116" si="44">F118</f>
        <v>-815796.55565981776</v>
      </c>
      <c r="H116" s="500">
        <f t="shared" si="44"/>
        <v>488806.62572037289</v>
      </c>
      <c r="I116" s="500">
        <f t="shared" si="44"/>
        <v>806807.42143301817</v>
      </c>
      <c r="J116" s="500">
        <f t="shared" si="44"/>
        <v>677934.45106285089</v>
      </c>
      <c r="K116" s="500">
        <f t="shared" si="44"/>
        <v>468151.24932329345</v>
      </c>
      <c r="L116" s="500">
        <f t="shared" si="44"/>
        <v>331214.23680461687</v>
      </c>
      <c r="M116" s="500">
        <f t="shared" si="44"/>
        <v>64585.05132400943</v>
      </c>
      <c r="N116" s="500">
        <f t="shared" si="44"/>
        <v>-275501.54359467793</v>
      </c>
      <c r="O116" s="999">
        <f t="shared" si="44"/>
        <v>-869121.42033961404</v>
      </c>
    </row>
    <row r="117" spans="2:15" x14ac:dyDescent="0.3">
      <c r="B117" s="1016" t="s">
        <v>1650</v>
      </c>
      <c r="C117" s="767"/>
      <c r="D117" s="1017"/>
      <c r="E117" s="514"/>
      <c r="F117" s="514">
        <f t="shared" ref="F117:O117" si="45">F101-F111</f>
        <v>-1244083.104182008</v>
      </c>
      <c r="G117" s="514">
        <f t="shared" si="45"/>
        <v>1304603.1813801907</v>
      </c>
      <c r="H117" s="514">
        <f t="shared" si="45"/>
        <v>318000.79571264528</v>
      </c>
      <c r="I117" s="514">
        <f t="shared" si="45"/>
        <v>-128872.97037016723</v>
      </c>
      <c r="J117" s="514">
        <f t="shared" si="45"/>
        <v>-209783.20173955744</v>
      </c>
      <c r="K117" s="514">
        <f t="shared" si="45"/>
        <v>-136937.01251867658</v>
      </c>
      <c r="L117" s="514">
        <f t="shared" si="45"/>
        <v>-266629.18548060744</v>
      </c>
      <c r="M117" s="514">
        <f t="shared" si="45"/>
        <v>-340086.59491868736</v>
      </c>
      <c r="N117" s="514">
        <f t="shared" si="45"/>
        <v>-593619.8767449361</v>
      </c>
      <c r="O117" s="1018">
        <f t="shared" si="45"/>
        <v>-552438.51910981454</v>
      </c>
    </row>
    <row r="118" spans="2:15" x14ac:dyDescent="0.3">
      <c r="B118" s="1007" t="str">
        <f>"Ending "&amp;B115</f>
        <v>Ending Operating Cash Balance</v>
      </c>
      <c r="C118" s="1012"/>
      <c r="D118" s="1009"/>
      <c r="E118" s="1137">
        <f>E103-E113</f>
        <v>428286.54852219019</v>
      </c>
      <c r="F118" s="515">
        <f t="shared" ref="F118:O118" si="46">SUM(F116:F117)</f>
        <v>-815796.55565981776</v>
      </c>
      <c r="G118" s="515">
        <f t="shared" si="46"/>
        <v>488806.62572037289</v>
      </c>
      <c r="H118" s="515">
        <f t="shared" si="46"/>
        <v>806807.42143301817</v>
      </c>
      <c r="I118" s="515">
        <f t="shared" si="46"/>
        <v>677934.45106285089</v>
      </c>
      <c r="J118" s="515">
        <f t="shared" si="46"/>
        <v>468151.24932329345</v>
      </c>
      <c r="K118" s="515">
        <f t="shared" si="46"/>
        <v>331214.23680461687</v>
      </c>
      <c r="L118" s="515">
        <f t="shared" si="46"/>
        <v>64585.05132400943</v>
      </c>
      <c r="M118" s="515">
        <f t="shared" si="46"/>
        <v>-275501.54359467793</v>
      </c>
      <c r="N118" s="515">
        <f t="shared" si="46"/>
        <v>-869121.42033961404</v>
      </c>
      <c r="O118" s="1019">
        <f t="shared" si="46"/>
        <v>-1421559.9394494286</v>
      </c>
    </row>
    <row r="119" spans="2:15" ht="15" thickBot="1" x14ac:dyDescent="0.35">
      <c r="B119" s="1033"/>
      <c r="C119" s="1034"/>
      <c r="D119" s="1035"/>
      <c r="E119" s="1034"/>
      <c r="F119" s="1034"/>
      <c r="G119" s="1034"/>
      <c r="H119" s="1034"/>
      <c r="I119" s="1034"/>
      <c r="J119" s="1034"/>
      <c r="K119" s="1034"/>
      <c r="L119" s="1034"/>
      <c r="M119" s="1034"/>
      <c r="N119" s="1034"/>
      <c r="O119" s="1036"/>
    </row>
    <row r="120" spans="2:15" ht="15" thickBot="1" x14ac:dyDescent="0.35">
      <c r="B120" s="1138"/>
      <c r="C120" s="1034"/>
      <c r="D120" s="1035"/>
      <c r="E120" s="1146">
        <f>(E118+E113)-E103</f>
        <v>0</v>
      </c>
      <c r="F120" s="517">
        <f t="shared" ref="F120:O120" si="47">(F118+F113)-F103</f>
        <v>0</v>
      </c>
      <c r="G120" s="517">
        <f t="shared" si="47"/>
        <v>0</v>
      </c>
      <c r="H120" s="517">
        <f t="shared" si="47"/>
        <v>0</v>
      </c>
      <c r="I120" s="517">
        <f t="shared" si="47"/>
        <v>0</v>
      </c>
      <c r="J120" s="517">
        <f t="shared" si="47"/>
        <v>0</v>
      </c>
      <c r="K120" s="517">
        <f t="shared" si="47"/>
        <v>0</v>
      </c>
      <c r="L120" s="517">
        <f t="shared" si="47"/>
        <v>0</v>
      </c>
      <c r="M120" s="517">
        <f t="shared" si="47"/>
        <v>0</v>
      </c>
      <c r="N120" s="517">
        <f t="shared" si="47"/>
        <v>0</v>
      </c>
      <c r="O120" s="517">
        <f t="shared" si="47"/>
        <v>0</v>
      </c>
    </row>
    <row r="121" spans="2:15" ht="15.6" x14ac:dyDescent="0.3">
      <c r="B121" s="993" t="s">
        <v>2225</v>
      </c>
      <c r="C121" s="994"/>
      <c r="D121" s="995"/>
      <c r="E121" s="1144"/>
      <c r="F121" s="1144"/>
      <c r="G121" s="1144"/>
      <c r="H121" s="1144"/>
      <c r="I121" s="1144"/>
      <c r="J121" s="1144"/>
      <c r="K121" s="1144"/>
      <c r="L121" s="1144"/>
      <c r="M121" s="1144"/>
      <c r="N121" s="1144"/>
      <c r="O121" s="1145"/>
    </row>
    <row r="122" spans="2:15" x14ac:dyDescent="0.3">
      <c r="B122" s="996" t="s">
        <v>1635</v>
      </c>
      <c r="C122" s="495"/>
      <c r="D122" s="496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997"/>
    </row>
    <row r="123" spans="2:15" x14ac:dyDescent="0.3">
      <c r="B123" s="998" t="s">
        <v>1636</v>
      </c>
      <c r="C123" s="501"/>
      <c r="D123" s="502"/>
      <c r="E123" s="500">
        <f t="shared" ref="E123:O123" si="48">E86+E47+E8</f>
        <v>17652182.358400002</v>
      </c>
      <c r="F123" s="500">
        <f t="shared" si="48"/>
        <v>19976879.150041129</v>
      </c>
      <c r="G123" s="500">
        <f t="shared" si="48"/>
        <v>21629528.598265294</v>
      </c>
      <c r="H123" s="500">
        <f t="shared" si="48"/>
        <v>22666396.525167271</v>
      </c>
      <c r="I123" s="500">
        <f t="shared" si="48"/>
        <v>23718445.048267376</v>
      </c>
      <c r="J123" s="500">
        <f t="shared" si="48"/>
        <v>24820122.644711792</v>
      </c>
      <c r="K123" s="500">
        <f t="shared" si="48"/>
        <v>24704155.84973364</v>
      </c>
      <c r="L123" s="500">
        <f t="shared" si="48"/>
        <v>24588768.888730373</v>
      </c>
      <c r="M123" s="500">
        <f t="shared" si="48"/>
        <v>24473958.862532124</v>
      </c>
      <c r="N123" s="500">
        <f t="shared" si="48"/>
        <v>24359722.886464864</v>
      </c>
      <c r="O123" s="999">
        <f t="shared" si="48"/>
        <v>24246058.09027794</v>
      </c>
    </row>
    <row r="124" spans="2:15" x14ac:dyDescent="0.3">
      <c r="B124" s="1000" t="s">
        <v>356</v>
      </c>
      <c r="C124" s="501"/>
      <c r="D124" s="502"/>
      <c r="E124" s="500">
        <f t="shared" ref="E124:O124" si="49">E9+E48+E87</f>
        <v>1306987</v>
      </c>
      <c r="F124" s="500">
        <f t="shared" si="49"/>
        <v>1457746</v>
      </c>
      <c r="G124" s="500">
        <f t="shared" si="49"/>
        <v>1499335.0299999998</v>
      </c>
      <c r="H124" s="500">
        <f t="shared" si="49"/>
        <v>1542171.7309000001</v>
      </c>
      <c r="I124" s="500">
        <f t="shared" si="49"/>
        <v>1586293.5328269999</v>
      </c>
      <c r="J124" s="500">
        <f t="shared" si="49"/>
        <v>1631738.98881181</v>
      </c>
      <c r="K124" s="500">
        <f t="shared" si="49"/>
        <v>1678547.8084761645</v>
      </c>
      <c r="L124" s="500">
        <f t="shared" si="49"/>
        <v>1726760.8927304493</v>
      </c>
      <c r="M124" s="500">
        <f t="shared" si="49"/>
        <v>1776420.3695123629</v>
      </c>
      <c r="N124" s="500">
        <f t="shared" si="49"/>
        <v>1827569.6305977337</v>
      </c>
      <c r="O124" s="999">
        <f t="shared" si="49"/>
        <v>1880253.3695156658</v>
      </c>
    </row>
    <row r="125" spans="2:15" x14ac:dyDescent="0.3">
      <c r="B125" s="1000" t="s">
        <v>1637</v>
      </c>
      <c r="C125" s="504"/>
      <c r="D125" s="502"/>
      <c r="E125" s="520">
        <f t="shared" ref="E125:O125" si="50">SUM(E123:E124)</f>
        <v>18959169.358400002</v>
      </c>
      <c r="F125" s="520">
        <f t="shared" si="50"/>
        <v>21434625.150041129</v>
      </c>
      <c r="G125" s="520">
        <f t="shared" si="50"/>
        <v>23128863.628265295</v>
      </c>
      <c r="H125" s="520">
        <f t="shared" si="50"/>
        <v>24208568.256067272</v>
      </c>
      <c r="I125" s="520">
        <f t="shared" si="50"/>
        <v>25304738.581094377</v>
      </c>
      <c r="J125" s="520">
        <f t="shared" si="50"/>
        <v>26451861.633523602</v>
      </c>
      <c r="K125" s="520">
        <f t="shared" si="50"/>
        <v>26382703.658209804</v>
      </c>
      <c r="L125" s="520">
        <f t="shared" si="50"/>
        <v>26315529.781460822</v>
      </c>
      <c r="M125" s="520">
        <f t="shared" si="50"/>
        <v>26250379.232044488</v>
      </c>
      <c r="N125" s="520">
        <f t="shared" si="50"/>
        <v>26187292.517062597</v>
      </c>
      <c r="O125" s="1001">
        <f t="shared" si="50"/>
        <v>26126311.459793605</v>
      </c>
    </row>
    <row r="126" spans="2:15" x14ac:dyDescent="0.3">
      <c r="B126" s="1000"/>
      <c r="C126" s="504"/>
      <c r="D126" s="502"/>
      <c r="E126" s="505"/>
      <c r="F126" s="505"/>
      <c r="G126" s="505"/>
      <c r="H126" s="505"/>
      <c r="I126" s="505"/>
      <c r="J126" s="505"/>
      <c r="K126" s="505"/>
      <c r="L126" s="505"/>
      <c r="M126" s="505"/>
      <c r="N126" s="505"/>
      <c r="O126" s="1002"/>
    </row>
    <row r="127" spans="2:15" x14ac:dyDescent="0.3">
      <c r="B127" s="996" t="s">
        <v>1638</v>
      </c>
      <c r="C127" s="495"/>
      <c r="D127" s="496"/>
      <c r="E127" s="506"/>
      <c r="F127" s="506"/>
      <c r="G127" s="506"/>
      <c r="H127" s="506"/>
      <c r="I127" s="506"/>
      <c r="J127" s="506"/>
      <c r="K127" s="506"/>
      <c r="L127" s="506"/>
      <c r="M127" s="506"/>
      <c r="N127" s="506"/>
      <c r="O127" s="1003"/>
    </row>
    <row r="128" spans="2:15" x14ac:dyDescent="0.3">
      <c r="B128" s="1000" t="s">
        <v>1652</v>
      </c>
      <c r="C128" s="501"/>
      <c r="D128" s="502"/>
      <c r="E128" s="500">
        <f t="shared" ref="E128:O128" si="51">E13+E52+E91</f>
        <v>16278359</v>
      </c>
      <c r="F128" s="500">
        <f t="shared" si="51"/>
        <v>15227772.463099997</v>
      </c>
      <c r="G128" s="500">
        <f t="shared" si="51"/>
        <v>15674445.601415999</v>
      </c>
      <c r="H128" s="500">
        <f t="shared" si="51"/>
        <v>16187539.43364195</v>
      </c>
      <c r="I128" s="500">
        <f t="shared" si="51"/>
        <v>16718901.367758293</v>
      </c>
      <c r="J128" s="500">
        <f t="shared" si="51"/>
        <v>17269314.271726042</v>
      </c>
      <c r="K128" s="500">
        <f t="shared" si="51"/>
        <v>17795428.522875473</v>
      </c>
      <c r="L128" s="500">
        <f t="shared" si="51"/>
        <v>18340100.218918242</v>
      </c>
      <c r="M128" s="500">
        <f t="shared" si="51"/>
        <v>18904173.540222932</v>
      </c>
      <c r="N128" s="500">
        <f t="shared" si="51"/>
        <v>19488544.997155562</v>
      </c>
      <c r="O128" s="999">
        <f t="shared" si="51"/>
        <v>20094167.549466513</v>
      </c>
    </row>
    <row r="129" spans="2:15" x14ac:dyDescent="0.3">
      <c r="B129" s="1000" t="s">
        <v>1640</v>
      </c>
      <c r="C129" s="501"/>
      <c r="D129" s="502"/>
      <c r="E129" s="500">
        <f t="shared" ref="E129:O129" si="52">E14+E53+E92</f>
        <v>946328.51</v>
      </c>
      <c r="F129" s="500">
        <f t="shared" si="52"/>
        <v>1036609.12</v>
      </c>
      <c r="G129" s="500">
        <f t="shared" si="52"/>
        <v>1385588.6999231174</v>
      </c>
      <c r="H129" s="500">
        <f t="shared" si="52"/>
        <v>2667146.3947200999</v>
      </c>
      <c r="I129" s="500">
        <f t="shared" si="52"/>
        <v>3390351.8143577846</v>
      </c>
      <c r="J129" s="500">
        <f t="shared" si="52"/>
        <v>3393479.6321049426</v>
      </c>
      <c r="K129" s="500">
        <f t="shared" si="52"/>
        <v>3394580.7374256793</v>
      </c>
      <c r="L129" s="500">
        <f t="shared" si="52"/>
        <v>3390303.3363389433</v>
      </c>
      <c r="M129" s="500">
        <f t="shared" si="52"/>
        <v>3394462.3761405218</v>
      </c>
      <c r="N129" s="500">
        <f t="shared" si="52"/>
        <v>3392910.4090496795</v>
      </c>
      <c r="O129" s="999">
        <f t="shared" si="52"/>
        <v>3395186.7075874689</v>
      </c>
    </row>
    <row r="130" spans="2:15" x14ac:dyDescent="0.3">
      <c r="B130" s="1000" t="s">
        <v>351</v>
      </c>
      <c r="C130" s="501"/>
      <c r="D130" s="502"/>
      <c r="E130" s="500">
        <f t="shared" ref="E130:O130" si="53">E15+E54+E93</f>
        <v>500000</v>
      </c>
      <c r="F130" s="500">
        <f t="shared" si="53"/>
        <v>3445127</v>
      </c>
      <c r="G130" s="500">
        <f t="shared" si="53"/>
        <v>4014000</v>
      </c>
      <c r="H130" s="500">
        <f t="shared" si="53"/>
        <v>6367500</v>
      </c>
      <c r="I130" s="500">
        <f t="shared" si="53"/>
        <v>3187500</v>
      </c>
      <c r="J130" s="500">
        <f t="shared" si="53"/>
        <v>1670000</v>
      </c>
      <c r="K130" s="500">
        <f t="shared" si="53"/>
        <v>1597000</v>
      </c>
      <c r="L130" s="500">
        <f t="shared" si="53"/>
        <v>1667000</v>
      </c>
      <c r="M130" s="500">
        <f t="shared" si="53"/>
        <v>1752000</v>
      </c>
      <c r="N130" s="500">
        <f t="shared" si="53"/>
        <v>1512000</v>
      </c>
      <c r="O130" s="999">
        <f t="shared" si="53"/>
        <v>1492000</v>
      </c>
    </row>
    <row r="131" spans="2:15" x14ac:dyDescent="0.3">
      <c r="B131" s="1004" t="s">
        <v>1641</v>
      </c>
      <c r="C131" s="501"/>
      <c r="D131" s="502"/>
      <c r="E131" s="500">
        <f t="shared" ref="E131:O131" si="54">E16+E55+E94</f>
        <v>0</v>
      </c>
      <c r="F131" s="500">
        <f t="shared" si="54"/>
        <v>0</v>
      </c>
      <c r="G131" s="500">
        <f t="shared" si="54"/>
        <v>0</v>
      </c>
      <c r="H131" s="500">
        <f t="shared" si="54"/>
        <v>1108467.9952926179</v>
      </c>
      <c r="I131" s="500">
        <f t="shared" si="54"/>
        <v>1581749.1749045453</v>
      </c>
      <c r="J131" s="500">
        <f t="shared" si="54"/>
        <v>1815225.5916552776</v>
      </c>
      <c r="K131" s="500">
        <f t="shared" si="54"/>
        <v>2009789.2722808879</v>
      </c>
      <c r="L131" s="500">
        <f t="shared" si="54"/>
        <v>2212135.5001315223</v>
      </c>
      <c r="M131" s="500">
        <f t="shared" si="54"/>
        <v>2367786.4446320105</v>
      </c>
      <c r="N131" s="500">
        <f t="shared" si="54"/>
        <v>2679088.333632987</v>
      </c>
      <c r="O131" s="999">
        <f t="shared" si="54"/>
        <v>2834739.2781334752</v>
      </c>
    </row>
    <row r="132" spans="2:15" x14ac:dyDescent="0.3">
      <c r="B132" s="996" t="s">
        <v>1642</v>
      </c>
      <c r="C132" s="495"/>
      <c r="D132" s="496"/>
      <c r="E132" s="503">
        <f t="shared" ref="E132:O132" si="55">SUM(E128:E131)</f>
        <v>17724687.510000002</v>
      </c>
      <c r="F132" s="503">
        <f t="shared" si="55"/>
        <v>19709508.583099999</v>
      </c>
      <c r="G132" s="503">
        <f t="shared" si="55"/>
        <v>21074034.301339116</v>
      </c>
      <c r="H132" s="503">
        <f t="shared" si="55"/>
        <v>26330653.823654667</v>
      </c>
      <c r="I132" s="503">
        <f t="shared" si="55"/>
        <v>24878502.35702062</v>
      </c>
      <c r="J132" s="503">
        <f t="shared" si="55"/>
        <v>24148019.495486259</v>
      </c>
      <c r="K132" s="503">
        <f t="shared" si="55"/>
        <v>24796798.532582037</v>
      </c>
      <c r="L132" s="503">
        <f t="shared" si="55"/>
        <v>25609539.055388708</v>
      </c>
      <c r="M132" s="503">
        <f t="shared" si="55"/>
        <v>26418422.360995464</v>
      </c>
      <c r="N132" s="503">
        <f t="shared" si="55"/>
        <v>27072543.739838228</v>
      </c>
      <c r="O132" s="1005">
        <f t="shared" si="55"/>
        <v>27816093.535187457</v>
      </c>
    </row>
    <row r="133" spans="2:15" x14ac:dyDescent="0.3">
      <c r="B133" s="1000"/>
      <c r="C133" s="504"/>
      <c r="D133" s="502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1006"/>
    </row>
    <row r="134" spans="2:15" x14ac:dyDescent="0.3">
      <c r="B134" s="1007" t="s">
        <v>1643</v>
      </c>
      <c r="C134" s="1008"/>
      <c r="D134" s="1009"/>
      <c r="E134" s="507">
        <f t="shared" ref="E134:O134" si="56">E125-E132</f>
        <v>1234481.8484000005</v>
      </c>
      <c r="F134" s="507">
        <f t="shared" si="56"/>
        <v>1725116.5669411309</v>
      </c>
      <c r="G134" s="507">
        <f t="shared" si="56"/>
        <v>2054829.3269261792</v>
      </c>
      <c r="H134" s="507">
        <f t="shared" si="56"/>
        <v>-2122085.5675873943</v>
      </c>
      <c r="I134" s="507">
        <f t="shared" si="56"/>
        <v>426236.22407375649</v>
      </c>
      <c r="J134" s="507">
        <f t="shared" si="56"/>
        <v>2303842.1380373426</v>
      </c>
      <c r="K134" s="507">
        <f t="shared" si="56"/>
        <v>1585905.1256277673</v>
      </c>
      <c r="L134" s="507">
        <f t="shared" si="56"/>
        <v>705990.72607211396</v>
      </c>
      <c r="M134" s="507">
        <f t="shared" si="56"/>
        <v>-168043.12895097584</v>
      </c>
      <c r="N134" s="507">
        <f t="shared" si="56"/>
        <v>-885251.22277563065</v>
      </c>
      <c r="O134" s="1010">
        <f t="shared" si="56"/>
        <v>-1689782.0753938518</v>
      </c>
    </row>
    <row r="135" spans="2:15" ht="17.25" customHeight="1" x14ac:dyDescent="0.3">
      <c r="B135" s="1000"/>
      <c r="C135" s="504"/>
      <c r="D135" s="502"/>
      <c r="E135" s="508"/>
      <c r="F135" s="508"/>
      <c r="G135" s="508"/>
      <c r="H135" s="508"/>
      <c r="I135" s="508"/>
      <c r="J135" s="508"/>
      <c r="K135" s="508"/>
      <c r="L135" s="508"/>
      <c r="M135" s="508"/>
      <c r="N135" s="508"/>
      <c r="O135" s="1011"/>
    </row>
    <row r="136" spans="2:15" ht="15.6" x14ac:dyDescent="0.3">
      <c r="B136" s="1130" t="s">
        <v>2259</v>
      </c>
      <c r="C136" s="1012"/>
      <c r="D136" s="1009"/>
      <c r="E136" s="509"/>
      <c r="F136" s="509"/>
      <c r="G136" s="509"/>
      <c r="H136" s="509"/>
      <c r="I136" s="509"/>
      <c r="J136" s="509"/>
      <c r="K136" s="509"/>
      <c r="L136" s="509"/>
      <c r="M136" s="509"/>
      <c r="N136" s="509"/>
      <c r="O136" s="1013"/>
    </row>
    <row r="137" spans="2:15" x14ac:dyDescent="0.3">
      <c r="B137" s="1014" t="s">
        <v>1645</v>
      </c>
      <c r="C137" s="1015"/>
      <c r="D137" s="502"/>
      <c r="E137" s="500"/>
      <c r="F137" s="500">
        <f>E140</f>
        <v>6494050</v>
      </c>
      <c r="G137" s="500">
        <f t="shared" ref="G137:O137" si="57">F140</f>
        <v>8219166.5669411309</v>
      </c>
      <c r="H137" s="500">
        <f t="shared" si="57"/>
        <v>10273995.89386731</v>
      </c>
      <c r="I137" s="500">
        <f t="shared" si="57"/>
        <v>8151910.3262799159</v>
      </c>
      <c r="J137" s="500">
        <f t="shared" si="57"/>
        <v>8578146.5503536724</v>
      </c>
      <c r="K137" s="500">
        <f t="shared" si="57"/>
        <v>10881988.688391015</v>
      </c>
      <c r="L137" s="500">
        <f t="shared" si="57"/>
        <v>12467893.814018782</v>
      </c>
      <c r="M137" s="500">
        <f t="shared" si="57"/>
        <v>13173884.540090896</v>
      </c>
      <c r="N137" s="500">
        <f t="shared" si="57"/>
        <v>13005841.41113992</v>
      </c>
      <c r="O137" s="999">
        <f t="shared" si="57"/>
        <v>12120590.18836429</v>
      </c>
    </row>
    <row r="138" spans="2:15" x14ac:dyDescent="0.3">
      <c r="B138" s="1016" t="s">
        <v>2261</v>
      </c>
      <c r="C138" s="767"/>
      <c r="D138" s="1017"/>
      <c r="E138" s="500"/>
      <c r="F138" s="500">
        <f>F134</f>
        <v>1725116.5669411309</v>
      </c>
      <c r="G138" s="500">
        <f>G134</f>
        <v>2054829.3269261792</v>
      </c>
      <c r="H138" s="500">
        <f t="shared" ref="H138:O138" si="58">H134</f>
        <v>-2122085.5675873943</v>
      </c>
      <c r="I138" s="500">
        <f t="shared" si="58"/>
        <v>426236.22407375649</v>
      </c>
      <c r="J138" s="500">
        <f t="shared" si="58"/>
        <v>2303842.1380373426</v>
      </c>
      <c r="K138" s="500">
        <f t="shared" si="58"/>
        <v>1585905.1256277673</v>
      </c>
      <c r="L138" s="500">
        <f t="shared" si="58"/>
        <v>705990.72607211396</v>
      </c>
      <c r="M138" s="500">
        <f t="shared" si="58"/>
        <v>-168043.12895097584</v>
      </c>
      <c r="N138" s="500">
        <f t="shared" si="58"/>
        <v>-885251.22277563065</v>
      </c>
      <c r="O138" s="999">
        <f t="shared" si="58"/>
        <v>-1689782.0753938518</v>
      </c>
    </row>
    <row r="139" spans="2:15" x14ac:dyDescent="0.3">
      <c r="B139" s="1016" t="s">
        <v>2260</v>
      </c>
      <c r="C139" s="767"/>
      <c r="D139" s="1017"/>
      <c r="E139" s="500"/>
      <c r="F139" s="500">
        <v>0</v>
      </c>
      <c r="G139" s="500">
        <v>0</v>
      </c>
      <c r="H139" s="500">
        <v>0</v>
      </c>
      <c r="I139" s="500">
        <v>0</v>
      </c>
      <c r="J139" s="500">
        <v>0</v>
      </c>
      <c r="K139" s="500">
        <v>0</v>
      </c>
      <c r="L139" s="500">
        <v>0</v>
      </c>
      <c r="M139" s="500">
        <v>0</v>
      </c>
      <c r="N139" s="500">
        <v>0</v>
      </c>
      <c r="O139" s="999">
        <v>0</v>
      </c>
    </row>
    <row r="140" spans="2:15" s="1172" customFormat="1" ht="15.6" x14ac:dyDescent="0.3">
      <c r="B140" s="1166" t="str">
        <f>"Ending "&amp;B136</f>
        <v>Ending Total Cash Balance</v>
      </c>
      <c r="C140" s="1167"/>
      <c r="D140" s="1173"/>
      <c r="E140" s="1169">
        <f>E103+E64+E25</f>
        <v>6494050</v>
      </c>
      <c r="F140" s="1170">
        <f>SUM(F137:F139)</f>
        <v>8219166.5669411309</v>
      </c>
      <c r="G140" s="1170">
        <f>SUM(G137:G139)</f>
        <v>10273995.89386731</v>
      </c>
      <c r="H140" s="1170">
        <f t="shared" ref="H140:O140" si="59">H137+H138</f>
        <v>8151910.3262799159</v>
      </c>
      <c r="I140" s="1170">
        <f t="shared" si="59"/>
        <v>8578146.5503536724</v>
      </c>
      <c r="J140" s="1170">
        <f t="shared" si="59"/>
        <v>10881988.688391015</v>
      </c>
      <c r="K140" s="1170">
        <f t="shared" si="59"/>
        <v>12467893.814018782</v>
      </c>
      <c r="L140" s="1170">
        <f t="shared" si="59"/>
        <v>13173884.540090896</v>
      </c>
      <c r="M140" s="1170">
        <f t="shared" si="59"/>
        <v>13005841.41113992</v>
      </c>
      <c r="N140" s="1170">
        <f t="shared" si="59"/>
        <v>12120590.18836429</v>
      </c>
      <c r="O140" s="1171">
        <f t="shared" si="59"/>
        <v>10430808.112970438</v>
      </c>
    </row>
    <row r="141" spans="2:15" x14ac:dyDescent="0.3">
      <c r="B141" s="1022" t="s">
        <v>1646</v>
      </c>
      <c r="C141" s="768"/>
      <c r="D141" s="769"/>
      <c r="E141" s="516">
        <v>90</v>
      </c>
      <c r="F141" s="516">
        <v>90</v>
      </c>
      <c r="G141" s="516">
        <v>90</v>
      </c>
      <c r="H141" s="516">
        <v>90</v>
      </c>
      <c r="I141" s="516">
        <v>90</v>
      </c>
      <c r="J141" s="516">
        <v>90</v>
      </c>
      <c r="K141" s="516">
        <v>90</v>
      </c>
      <c r="L141" s="516">
        <v>90</v>
      </c>
      <c r="M141" s="516">
        <v>90</v>
      </c>
      <c r="N141" s="516">
        <v>90</v>
      </c>
      <c r="O141" s="1023">
        <v>90</v>
      </c>
    </row>
    <row r="142" spans="2:15" x14ac:dyDescent="0.3">
      <c r="B142" s="1021" t="s">
        <v>2313</v>
      </c>
      <c r="C142" s="768"/>
      <c r="D142" s="769"/>
      <c r="E142" s="1120">
        <f>ROUNDUP((E128)*(E141/365)+'Asset Replacement'!D110,-2)</f>
        <v>6205600</v>
      </c>
      <c r="F142" s="1120">
        <f>ROUNDUP((F128)*(F141/365)+'Asset Replacement'!D112,-2)</f>
        <v>6671400</v>
      </c>
      <c r="G142" s="1120">
        <f>ROUNDUP((G128)*(G141/365)+'Asset Replacement'!E112,-2)</f>
        <v>7246900</v>
      </c>
      <c r="H142" s="1120">
        <f>ROUNDUP((H128)*(H141/365)+'Asset Replacement'!F112,-2)</f>
        <v>8079300</v>
      </c>
      <c r="I142" s="1120">
        <f>ROUNDUP((I128)*(I141/365)+'Asset Replacement'!G112,-2)</f>
        <v>9321000</v>
      </c>
      <c r="J142" s="1120">
        <f>ROUNDUP((J128)*(J141/365)+'Asset Replacement'!H112,-2)</f>
        <v>10455000</v>
      </c>
      <c r="K142" s="1120">
        <f>ROUNDUP((K128)*(K141/365)+'Asset Replacement'!I112,-2)</f>
        <v>11490000</v>
      </c>
      <c r="L142" s="1120">
        <f>ROUNDUP((L128)*(L141/365)+'Asset Replacement'!J112,-2)</f>
        <v>12577100</v>
      </c>
      <c r="M142" s="1120">
        <f>ROUNDUP((M128)*(M141/365)+'Asset Replacement'!K112,-2)</f>
        <v>13720200</v>
      </c>
      <c r="N142" s="1120">
        <f>ROUNDUP((N128)*(N141/365)+'Asset Replacement'!L112,-2)</f>
        <v>14781500</v>
      </c>
      <c r="O142" s="1121">
        <f>ROUNDUP((O128)*(O141/365)+'Asset Replacement'!M112,-2)</f>
        <v>16607500</v>
      </c>
    </row>
    <row r="143" spans="2:15" x14ac:dyDescent="0.3">
      <c r="B143" s="1031"/>
      <c r="C143" s="768"/>
      <c r="D143" s="769"/>
      <c r="E143" s="1118" t="str">
        <f t="shared" ref="E143:O143" si="60">IF(E140&lt;E142,"NO","YES")</f>
        <v>YES</v>
      </c>
      <c r="F143" s="1118" t="str">
        <f t="shared" si="60"/>
        <v>YES</v>
      </c>
      <c r="G143" s="1118" t="str">
        <f t="shared" si="60"/>
        <v>YES</v>
      </c>
      <c r="H143" s="1118" t="str">
        <f t="shared" si="60"/>
        <v>YES</v>
      </c>
      <c r="I143" s="1118" t="str">
        <f t="shared" si="60"/>
        <v>NO</v>
      </c>
      <c r="J143" s="1118" t="str">
        <f t="shared" si="60"/>
        <v>YES</v>
      </c>
      <c r="K143" s="1118" t="str">
        <f t="shared" si="60"/>
        <v>YES</v>
      </c>
      <c r="L143" s="1118" t="str">
        <f t="shared" si="60"/>
        <v>YES</v>
      </c>
      <c r="M143" s="1118" t="str">
        <f t="shared" si="60"/>
        <v>NO</v>
      </c>
      <c r="N143" s="1118" t="str">
        <f t="shared" si="60"/>
        <v>NO</v>
      </c>
      <c r="O143" s="1119" t="str">
        <f t="shared" si="60"/>
        <v>NO</v>
      </c>
    </row>
    <row r="144" spans="2:15" x14ac:dyDescent="0.3">
      <c r="B144" s="1026" t="s">
        <v>1647</v>
      </c>
      <c r="C144" s="1024"/>
      <c r="D144" s="1025"/>
      <c r="E144" s="1027"/>
      <c r="F144" s="1028">
        <f>IF(F140&lt;F142,(F142-F140)/F123,0)</f>
        <v>0</v>
      </c>
      <c r="G144" s="1028">
        <f t="shared" ref="G144:O144" si="61">IF(G140&lt;G142,(G142-G140)/G123,0)</f>
        <v>0</v>
      </c>
      <c r="H144" s="1028">
        <f t="shared" si="61"/>
        <v>0</v>
      </c>
      <c r="I144" s="1028">
        <f t="shared" si="61"/>
        <v>3.1319652200412391E-2</v>
      </c>
      <c r="J144" s="1028">
        <f t="shared" si="61"/>
        <v>0</v>
      </c>
      <c r="K144" s="1028">
        <f t="shared" si="61"/>
        <v>0</v>
      </c>
      <c r="L144" s="1028">
        <f t="shared" si="61"/>
        <v>0</v>
      </c>
      <c r="M144" s="1028">
        <f t="shared" si="61"/>
        <v>2.9188518002852062E-2</v>
      </c>
      <c r="N144" s="1028">
        <f t="shared" si="61"/>
        <v>0.10923399350795601</v>
      </c>
      <c r="O144" s="1029">
        <f t="shared" si="61"/>
        <v>0.25475035422381753</v>
      </c>
    </row>
    <row r="145" spans="2:15" x14ac:dyDescent="0.3">
      <c r="B145" s="1007"/>
      <c r="C145" s="1012"/>
      <c r="D145" s="1009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1019"/>
    </row>
    <row r="146" spans="2:15" x14ac:dyDescent="0.3">
      <c r="B146" s="1122" t="s">
        <v>1649</v>
      </c>
      <c r="C146" s="1012"/>
      <c r="D146" s="1009"/>
      <c r="E146" s="509"/>
      <c r="F146" s="509"/>
      <c r="G146" s="509"/>
      <c r="H146" s="509"/>
      <c r="I146" s="509"/>
      <c r="J146" s="509"/>
      <c r="K146" s="509"/>
      <c r="L146" s="509"/>
      <c r="M146" s="509"/>
      <c r="N146" s="509"/>
      <c r="O146" s="1013"/>
    </row>
    <row r="147" spans="2:15" x14ac:dyDescent="0.3">
      <c r="B147" s="1014" t="s">
        <v>1645</v>
      </c>
      <c r="C147" s="1015"/>
      <c r="D147" s="1020"/>
      <c r="E147" s="500"/>
      <c r="F147" s="500">
        <f>E150</f>
        <v>2191747</v>
      </c>
      <c r="G147" s="500">
        <f t="shared" ref="G147:O147" si="62">F150</f>
        <v>2916529.8281214614</v>
      </c>
      <c r="H147" s="500">
        <f t="shared" si="62"/>
        <v>3381876.8900063056</v>
      </c>
      <c r="I147" s="500">
        <f t="shared" si="62"/>
        <v>4087820.1986357281</v>
      </c>
      <c r="J147" s="500">
        <f t="shared" si="62"/>
        <v>5198480.7528278669</v>
      </c>
      <c r="K147" s="500">
        <f t="shared" si="62"/>
        <v>6196725.2306835437</v>
      </c>
      <c r="L147" s="500">
        <f t="shared" si="62"/>
        <v>7102051.6405324712</v>
      </c>
      <c r="M147" s="500">
        <f t="shared" si="62"/>
        <v>8054845.756929894</v>
      </c>
      <c r="N147" s="500">
        <f t="shared" si="62"/>
        <v>9058878.6011374835</v>
      </c>
      <c r="O147" s="999">
        <f t="shared" si="62"/>
        <v>9976029.9222241323</v>
      </c>
    </row>
    <row r="148" spans="2:15" x14ac:dyDescent="0.3">
      <c r="B148" s="1016" t="s">
        <v>1651</v>
      </c>
      <c r="C148" s="767"/>
      <c r="D148" s="1017"/>
      <c r="E148" s="500"/>
      <c r="F148" s="500">
        <f>'Asset Replacement'!D108</f>
        <v>724782.82812146132</v>
      </c>
      <c r="G148" s="500">
        <f>'Asset Replacement'!E108</f>
        <v>465347.06188484438</v>
      </c>
      <c r="H148" s="500">
        <f>'Asset Replacement'!F108</f>
        <v>705943.30862942233</v>
      </c>
      <c r="I148" s="500">
        <f>'Asset Replacement'!G108</f>
        <v>1110660.5541921388</v>
      </c>
      <c r="J148" s="500">
        <f>'Asset Replacement'!H108</f>
        <v>998244.47785567644</v>
      </c>
      <c r="K148" s="500">
        <f>'Asset Replacement'!I108</f>
        <v>905326.40984892799</v>
      </c>
      <c r="L148" s="500">
        <f>'Asset Replacement'!J108</f>
        <v>952794.11639742239</v>
      </c>
      <c r="M148" s="500">
        <f>'Asset Replacement'!K108</f>
        <v>1004032.8442075893</v>
      </c>
      <c r="N148" s="500">
        <f>'Asset Replacement'!L108</f>
        <v>917151.32108664815</v>
      </c>
      <c r="O148" s="999">
        <f>'Asset Replacement'!M108</f>
        <v>1676738.6639325635</v>
      </c>
    </row>
    <row r="149" spans="2:15" x14ac:dyDescent="0.3">
      <c r="B149" s="1016" t="s">
        <v>2128</v>
      </c>
      <c r="C149" s="767"/>
      <c r="D149" s="1017"/>
      <c r="E149" s="514"/>
      <c r="F149" s="514">
        <f>F112+F75+F36</f>
        <v>0</v>
      </c>
      <c r="G149" s="514">
        <f t="shared" ref="G149:O149" si="63">G112+G75+G36</f>
        <v>0</v>
      </c>
      <c r="H149" s="514">
        <f t="shared" si="63"/>
        <v>0</v>
      </c>
      <c r="I149" s="514">
        <f t="shared" si="63"/>
        <v>0</v>
      </c>
      <c r="J149" s="514">
        <f t="shared" si="63"/>
        <v>0</v>
      </c>
      <c r="K149" s="514">
        <f t="shared" si="63"/>
        <v>0</v>
      </c>
      <c r="L149" s="514">
        <f t="shared" si="63"/>
        <v>0</v>
      </c>
      <c r="M149" s="514">
        <f t="shared" si="63"/>
        <v>0</v>
      </c>
      <c r="N149" s="514">
        <f t="shared" si="63"/>
        <v>0</v>
      </c>
      <c r="O149" s="1018">
        <f t="shared" si="63"/>
        <v>0</v>
      </c>
    </row>
    <row r="150" spans="2:15" x14ac:dyDescent="0.3">
      <c r="B150" s="1007" t="str">
        <f>"Ending "&amp;B146</f>
        <v>Ending 3R Reserve Cash Balance</v>
      </c>
      <c r="C150" s="1012"/>
      <c r="D150" s="1009"/>
      <c r="E150" s="914">
        <v>2191747</v>
      </c>
      <c r="F150" s="515">
        <f>SUM(F147:F149)</f>
        <v>2916529.8281214614</v>
      </c>
      <c r="G150" s="515">
        <f t="shared" ref="G150:O150" si="64">SUM(G147:G149)</f>
        <v>3381876.8900063056</v>
      </c>
      <c r="H150" s="515">
        <f t="shared" si="64"/>
        <v>4087820.1986357281</v>
      </c>
      <c r="I150" s="515">
        <f t="shared" si="64"/>
        <v>5198480.7528278669</v>
      </c>
      <c r="J150" s="515">
        <f t="shared" si="64"/>
        <v>6196725.2306835437</v>
      </c>
      <c r="K150" s="515">
        <f t="shared" si="64"/>
        <v>7102051.6405324712</v>
      </c>
      <c r="L150" s="515">
        <f t="shared" si="64"/>
        <v>8054845.756929894</v>
      </c>
      <c r="M150" s="515">
        <f t="shared" si="64"/>
        <v>9058878.6011374835</v>
      </c>
      <c r="N150" s="515">
        <f t="shared" si="64"/>
        <v>9976029.9222241323</v>
      </c>
      <c r="O150" s="1019">
        <f t="shared" si="64"/>
        <v>11652768.586156696</v>
      </c>
    </row>
    <row r="151" spans="2:15" x14ac:dyDescent="0.3">
      <c r="B151" s="1007"/>
      <c r="C151" s="1012"/>
      <c r="D151" s="1009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1019"/>
    </row>
    <row r="152" spans="2:15" s="510" customFormat="1" x14ac:dyDescent="0.3">
      <c r="B152" s="1122" t="s">
        <v>1644</v>
      </c>
      <c r="C152" s="512"/>
      <c r="D152" s="513"/>
      <c r="E152" s="1030"/>
      <c r="F152" s="1030"/>
      <c r="G152" s="1030"/>
      <c r="H152" s="1030"/>
      <c r="I152" s="1030"/>
      <c r="J152" s="1030"/>
      <c r="K152" s="1030"/>
      <c r="L152" s="1030"/>
      <c r="M152" s="1030"/>
      <c r="N152" s="1030"/>
      <c r="O152" s="1032"/>
    </row>
    <row r="153" spans="2:15" x14ac:dyDescent="0.3">
      <c r="B153" s="1014" t="s">
        <v>1645</v>
      </c>
      <c r="C153" s="1015"/>
      <c r="D153" s="1020"/>
      <c r="E153" s="500"/>
      <c r="F153" s="500">
        <f>E155</f>
        <v>4302303</v>
      </c>
      <c r="G153" s="500">
        <f t="shared" ref="G153:O153" si="65">F155</f>
        <v>5302636.7388196699</v>
      </c>
      <c r="H153" s="500">
        <f t="shared" si="65"/>
        <v>6892119.0038610045</v>
      </c>
      <c r="I153" s="500">
        <f t="shared" si="65"/>
        <v>4064090.1276441878</v>
      </c>
      <c r="J153" s="500">
        <f t="shared" si="65"/>
        <v>3379665.7975258054</v>
      </c>
      <c r="K153" s="500">
        <f t="shared" si="65"/>
        <v>4685263.4577074721</v>
      </c>
      <c r="L153" s="500">
        <f t="shared" si="65"/>
        <v>5365842.173486311</v>
      </c>
      <c r="M153" s="500">
        <f t="shared" si="65"/>
        <v>5119038.7831610022</v>
      </c>
      <c r="N153" s="500">
        <f t="shared" si="65"/>
        <v>3946962.8100024369</v>
      </c>
      <c r="O153" s="999">
        <f t="shared" si="65"/>
        <v>2144560.2661401583</v>
      </c>
    </row>
    <row r="154" spans="2:15" x14ac:dyDescent="0.3">
      <c r="B154" s="1016" t="s">
        <v>1650</v>
      </c>
      <c r="C154" s="767"/>
      <c r="D154" s="1017"/>
      <c r="E154" s="514"/>
      <c r="F154" s="514">
        <f t="shared" ref="F154:O154" si="66">F138-F148</f>
        <v>1000333.7388196696</v>
      </c>
      <c r="G154" s="514">
        <f t="shared" si="66"/>
        <v>1589482.2650413348</v>
      </c>
      <c r="H154" s="514">
        <f t="shared" si="66"/>
        <v>-2828028.8762168167</v>
      </c>
      <c r="I154" s="514">
        <f t="shared" si="66"/>
        <v>-684424.33011838235</v>
      </c>
      <c r="J154" s="514">
        <f t="shared" si="66"/>
        <v>1305597.6601816663</v>
      </c>
      <c r="K154" s="514">
        <f t="shared" si="66"/>
        <v>680578.71577883931</v>
      </c>
      <c r="L154" s="514">
        <f t="shared" si="66"/>
        <v>-246803.39032530843</v>
      </c>
      <c r="M154" s="514">
        <f t="shared" si="66"/>
        <v>-1172075.9731585651</v>
      </c>
      <c r="N154" s="514">
        <f t="shared" si="66"/>
        <v>-1802402.5438622788</v>
      </c>
      <c r="O154" s="1018">
        <f t="shared" si="66"/>
        <v>-3366520.7393264156</v>
      </c>
    </row>
    <row r="155" spans="2:15" x14ac:dyDescent="0.3">
      <c r="B155" s="1007" t="str">
        <f>"Ending "&amp;B152</f>
        <v>Ending Operating Cash Balance</v>
      </c>
      <c r="C155" s="1012"/>
      <c r="D155" s="1009"/>
      <c r="E155" s="914">
        <f>E140-E150</f>
        <v>4302303</v>
      </c>
      <c r="F155" s="515">
        <f t="shared" ref="F155:O155" si="67">SUM(F153:F154)</f>
        <v>5302636.7388196699</v>
      </c>
      <c r="G155" s="515">
        <f t="shared" si="67"/>
        <v>6892119.0038610045</v>
      </c>
      <c r="H155" s="515">
        <f t="shared" si="67"/>
        <v>4064090.1276441878</v>
      </c>
      <c r="I155" s="515">
        <f t="shared" si="67"/>
        <v>3379665.7975258054</v>
      </c>
      <c r="J155" s="515">
        <f t="shared" si="67"/>
        <v>4685263.4577074721</v>
      </c>
      <c r="K155" s="515">
        <f t="shared" si="67"/>
        <v>5365842.173486311</v>
      </c>
      <c r="L155" s="515">
        <f t="shared" si="67"/>
        <v>5119038.7831610022</v>
      </c>
      <c r="M155" s="515">
        <f t="shared" si="67"/>
        <v>3946962.8100024369</v>
      </c>
      <c r="N155" s="515">
        <f t="shared" si="67"/>
        <v>2144560.2661401583</v>
      </c>
      <c r="O155" s="1019">
        <f t="shared" si="67"/>
        <v>-1221960.4731862573</v>
      </c>
    </row>
    <row r="156" spans="2:15" ht="15" thickBot="1" x14ac:dyDescent="0.35">
      <c r="B156" s="1033"/>
      <c r="C156" s="1034"/>
      <c r="D156" s="1035"/>
      <c r="E156" s="1034"/>
      <c r="F156" s="1034"/>
      <c r="G156" s="1034"/>
      <c r="H156" s="1034"/>
      <c r="I156" s="1034"/>
      <c r="J156" s="1034"/>
      <c r="K156" s="1034"/>
      <c r="L156" s="1034"/>
      <c r="M156" s="1034"/>
      <c r="N156" s="1034"/>
      <c r="O156" s="1036"/>
    </row>
    <row r="158" spans="2:15" x14ac:dyDescent="0.3">
      <c r="D158" s="521" t="s">
        <v>2266</v>
      </c>
      <c r="E158" s="483">
        <f t="shared" ref="E158:O158" si="68">E155+E150</f>
        <v>6494050</v>
      </c>
      <c r="F158" s="483">
        <f t="shared" si="68"/>
        <v>8219166.5669411309</v>
      </c>
      <c r="G158" s="483">
        <f t="shared" si="68"/>
        <v>10273995.89386731</v>
      </c>
      <c r="H158" s="483">
        <f t="shared" si="68"/>
        <v>8151910.3262799159</v>
      </c>
      <c r="I158" s="483">
        <f t="shared" si="68"/>
        <v>8578146.5503536724</v>
      </c>
      <c r="J158" s="483">
        <f t="shared" si="68"/>
        <v>10881988.688391015</v>
      </c>
      <c r="K158" s="483">
        <f t="shared" si="68"/>
        <v>12467893.814018782</v>
      </c>
      <c r="L158" s="483">
        <f t="shared" si="68"/>
        <v>13173884.540090896</v>
      </c>
      <c r="M158" s="483">
        <f t="shared" si="68"/>
        <v>13005841.41113992</v>
      </c>
      <c r="N158" s="483">
        <f t="shared" si="68"/>
        <v>12120590.18836429</v>
      </c>
      <c r="O158" s="483">
        <f t="shared" si="68"/>
        <v>10430808.112970438</v>
      </c>
    </row>
    <row r="159" spans="2:15" x14ac:dyDescent="0.3">
      <c r="E159" s="483">
        <f t="shared" ref="E159:O159" si="69">E103+E64+E25</f>
        <v>6494050</v>
      </c>
      <c r="F159" s="483">
        <f t="shared" si="69"/>
        <v>8219166.5669411328</v>
      </c>
      <c r="G159" s="483">
        <f t="shared" si="69"/>
        <v>10273995.89386731</v>
      </c>
      <c r="H159" s="483">
        <f t="shared" si="69"/>
        <v>8151910.3262799159</v>
      </c>
      <c r="I159" s="483">
        <f t="shared" si="69"/>
        <v>8578146.5503536686</v>
      </c>
      <c r="J159" s="483">
        <f t="shared" si="69"/>
        <v>10881988.688391015</v>
      </c>
      <c r="K159" s="483">
        <f t="shared" si="69"/>
        <v>12467893.814018782</v>
      </c>
      <c r="L159" s="483">
        <f t="shared" si="69"/>
        <v>13173884.540090892</v>
      </c>
      <c r="M159" s="483">
        <f t="shared" si="69"/>
        <v>13005841.411139913</v>
      </c>
      <c r="N159" s="483">
        <f t="shared" si="69"/>
        <v>12120590.18836428</v>
      </c>
      <c r="O159" s="483">
        <f t="shared" si="69"/>
        <v>10430808.11297043</v>
      </c>
    </row>
    <row r="160" spans="2:15" x14ac:dyDescent="0.3">
      <c r="E160" s="483">
        <f>E37+E76+E113</f>
        <v>2191747</v>
      </c>
      <c r="F160" s="483">
        <f t="shared" ref="F160:O160" si="70">F37+F76+F113</f>
        <v>2916529.828121461</v>
      </c>
      <c r="G160" s="483">
        <f t="shared" si="70"/>
        <v>3381876.8900063061</v>
      </c>
      <c r="H160" s="483">
        <f t="shared" si="70"/>
        <v>4087820.1986357281</v>
      </c>
      <c r="I160" s="483">
        <f t="shared" si="70"/>
        <v>5198480.7528278669</v>
      </c>
      <c r="J160" s="483">
        <f t="shared" si="70"/>
        <v>6196725.2306835437</v>
      </c>
      <c r="K160" s="483">
        <f t="shared" si="70"/>
        <v>7102051.6405324712</v>
      </c>
      <c r="L160" s="483">
        <f t="shared" si="70"/>
        <v>8054845.756929894</v>
      </c>
      <c r="M160" s="483">
        <f t="shared" si="70"/>
        <v>9058878.6011374816</v>
      </c>
      <c r="N160" s="483">
        <f t="shared" si="70"/>
        <v>9976029.9222241323</v>
      </c>
      <c r="O160" s="483">
        <f t="shared" si="70"/>
        <v>11652768.586156694</v>
      </c>
    </row>
    <row r="161" spans="2:15" x14ac:dyDescent="0.3">
      <c r="E161" s="483">
        <f>E42+E81+E118</f>
        <v>4302303</v>
      </c>
      <c r="F161" s="483">
        <f t="shared" ref="F161:O161" si="71">F42+F81+F118</f>
        <v>5302636.7388196718</v>
      </c>
      <c r="G161" s="483">
        <f t="shared" si="71"/>
        <v>6892119.0038610045</v>
      </c>
      <c r="H161" s="483">
        <f t="shared" si="71"/>
        <v>4064090.1276441882</v>
      </c>
      <c r="I161" s="483">
        <f t="shared" si="71"/>
        <v>3379665.7975258026</v>
      </c>
      <c r="J161" s="483">
        <f t="shared" si="71"/>
        <v>4685263.4577074712</v>
      </c>
      <c r="K161" s="483">
        <f t="shared" si="71"/>
        <v>5365842.1734863101</v>
      </c>
      <c r="L161" s="483">
        <f t="shared" si="71"/>
        <v>5119038.7831609994</v>
      </c>
      <c r="M161" s="483">
        <f t="shared" si="71"/>
        <v>3946962.8100024303</v>
      </c>
      <c r="N161" s="483">
        <f t="shared" si="71"/>
        <v>2144560.2661401499</v>
      </c>
      <c r="O161" s="483">
        <f t="shared" si="71"/>
        <v>-1221960.4731862633</v>
      </c>
    </row>
    <row r="165" spans="2:15" x14ac:dyDescent="0.3">
      <c r="B165" s="511"/>
    </row>
    <row r="166" spans="2:15" x14ac:dyDescent="0.3">
      <c r="B166" s="512"/>
    </row>
    <row r="167" spans="2:15" x14ac:dyDescent="0.3">
      <c r="B167" s="494"/>
    </row>
    <row r="168" spans="2:15" x14ac:dyDescent="0.3">
      <c r="B168" s="494"/>
    </row>
    <row r="169" spans="2:15" x14ac:dyDescent="0.3">
      <c r="B169" s="494"/>
    </row>
    <row r="170" spans="2:15" x14ac:dyDescent="0.3">
      <c r="B170" s="494"/>
    </row>
    <row r="171" spans="2:15" x14ac:dyDescent="0.3">
      <c r="B171" s="512"/>
    </row>
    <row r="172" spans="2:15" x14ac:dyDescent="0.3">
      <c r="B172" s="512"/>
    </row>
    <row r="173" spans="2:15" x14ac:dyDescent="0.3">
      <c r="B173" s="494"/>
    </row>
    <row r="174" spans="2:15" x14ac:dyDescent="0.3">
      <c r="B174" s="494"/>
    </row>
  </sheetData>
  <conditionalFormatting sqref="E143:O143">
    <cfRule type="cellIs" dxfId="59" priority="114" operator="equal">
      <formula>"NO"</formula>
    </cfRule>
  </conditionalFormatting>
  <conditionalFormatting sqref="F67:O67">
    <cfRule type="cellIs" dxfId="58" priority="85" operator="equal">
      <formula>"NO"</formula>
    </cfRule>
  </conditionalFormatting>
  <conditionalFormatting sqref="F106:O106">
    <cfRule type="cellIs" dxfId="57" priority="70" operator="equal">
      <formula>"NO"</formula>
    </cfRule>
  </conditionalFormatting>
  <conditionalFormatting sqref="F28:O28">
    <cfRule type="cellIs" dxfId="56" priority="62" operator="equal">
      <formula>"NO"</formula>
    </cfRule>
  </conditionalFormatting>
  <printOptions horizontalCentered="1"/>
  <pageMargins left="0.17" right="0.17" top="1.05" bottom="0.3" header="0.17" footer="0.17"/>
  <pageSetup scale="82" fitToHeight="3" orientation="portrait" r:id="rId1"/>
  <headerFooter alignWithMargins="0">
    <oddHeader>&amp;C&amp;"Calibri,Regular"&amp;F&amp;R&amp;"Calibri,Regular"&amp;D</oddHeader>
    <oddFooter>&amp;C&amp;"Calibri,Regular"Page &amp;P of &amp;N</oddFooter>
  </headerFooter>
  <rowBreaks count="2" manualBreakCount="2">
    <brk id="59" min="1" max="8" man="1"/>
    <brk id="114" min="1" max="8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9" id="{43CA39E2-EFCB-457E-9B6D-293F0B129D2C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E44:O46 E47:P47 E4:O5 E7:O20 E48:O59</xm:sqref>
        </x14:conditionalFormatting>
        <x14:conditionalFormatting xmlns:xm="http://schemas.microsoft.com/office/excel/2006/main">
          <x14:cfRule type="expression" priority="167" id="{312D6AAD-34C8-43FC-9D8A-0F743CB632CE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E138:O139 E153:O155</xm:sqref>
        </x14:conditionalFormatting>
        <x14:conditionalFormatting xmlns:xm="http://schemas.microsoft.com/office/excel/2006/main">
          <x14:cfRule type="expression" priority="166" id="{0858567A-2816-4925-9C98-A52CEDCFB887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E96:O98 E84:O94</xm:sqref>
        </x14:conditionalFormatting>
        <x14:conditionalFormatting xmlns:xm="http://schemas.microsoft.com/office/excel/2006/main">
          <x14:cfRule type="expression" priority="149" id="{E99278BB-A193-4E48-B94C-8A0892E5DA99}">
            <xm:f>D$4='\\ftovhserver\finance\Users\ecallocchia\Dropbox\City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D3</xm:sqref>
        </x14:conditionalFormatting>
        <x14:conditionalFormatting xmlns:xm="http://schemas.microsoft.com/office/excel/2006/main">
          <x14:cfRule type="expression" priority="133" id="{2D5929BA-FDE2-41DA-91B6-BBE3AD86ECF9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E142:O142</xm:sqref>
        </x14:conditionalFormatting>
        <x14:conditionalFormatting xmlns:xm="http://schemas.microsoft.com/office/excel/2006/main">
          <x14:cfRule type="expression" priority="145" id="{A39A40B6-A73E-4440-9A49-98A035AD21B8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E95:O95</xm:sqref>
        </x14:conditionalFormatting>
        <x14:conditionalFormatting xmlns:xm="http://schemas.microsoft.com/office/excel/2006/main">
          <x14:cfRule type="expression" priority="138" id="{E2966E35-607F-4FDC-AB9F-06DD6D68B674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E133:O135 E121:O131</xm:sqref>
        </x14:conditionalFormatting>
        <x14:conditionalFormatting xmlns:xm="http://schemas.microsoft.com/office/excel/2006/main">
          <x14:cfRule type="expression" priority="136" id="{E69E97EA-C12E-4685-9874-A9103A3EE39A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E144</xm:sqref>
        </x14:conditionalFormatting>
        <x14:conditionalFormatting xmlns:xm="http://schemas.microsoft.com/office/excel/2006/main">
          <x14:cfRule type="expression" priority="132" id="{68E0EAA1-AE2E-4512-AF2E-F75435D567C5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E146:O151</xm:sqref>
        </x14:conditionalFormatting>
        <x14:conditionalFormatting xmlns:xm="http://schemas.microsoft.com/office/excel/2006/main">
          <x14:cfRule type="expression" priority="130" id="{47B902E4-1670-4673-AC2D-D30E41E2F0EE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E141:O141</xm:sqref>
        </x14:conditionalFormatting>
        <x14:conditionalFormatting xmlns:xm="http://schemas.microsoft.com/office/excel/2006/main">
          <x14:cfRule type="expression" priority="129" id="{2866CBF8-403E-473F-9A76-8CD51805823A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E132:O132</xm:sqref>
        </x14:conditionalFormatting>
        <x14:conditionalFormatting xmlns:xm="http://schemas.microsoft.com/office/excel/2006/main">
          <x14:cfRule type="expression" priority="128" id="{111938C6-B927-404E-84C9-4CF1AF5ACDB9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F144:O144</xm:sqref>
        </x14:conditionalFormatting>
        <x14:conditionalFormatting xmlns:xm="http://schemas.microsoft.com/office/excel/2006/main">
          <x14:cfRule type="expression" priority="118" id="{E0C720EE-44F3-4CE3-8C38-17D45E34A5C3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F137:O137 F140:O140 E136:O136</xm:sqref>
        </x14:conditionalFormatting>
        <x14:conditionalFormatting xmlns:xm="http://schemas.microsoft.com/office/excel/2006/main">
          <x14:cfRule type="expression" priority="116" id="{534A8D5F-79AD-43A1-BAC7-EB9E5581A9B2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E137</xm:sqref>
        </x14:conditionalFormatting>
        <x14:conditionalFormatting xmlns:xm="http://schemas.microsoft.com/office/excel/2006/main">
          <x14:cfRule type="expression" priority="115" id="{760A2B4C-0EF1-48DC-B969-C4C68AB2766D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E140</xm:sqref>
        </x14:conditionalFormatting>
        <x14:conditionalFormatting xmlns:xm="http://schemas.microsoft.com/office/excel/2006/main">
          <x14:cfRule type="expression" priority="113" id="{9BDC35D8-DEB7-4FBF-B3CE-F82199B4EA8D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E145:O145</xm:sqref>
        </x14:conditionalFormatting>
        <x14:conditionalFormatting xmlns:xm="http://schemas.microsoft.com/office/excel/2006/main">
          <x14:cfRule type="expression" priority="112" id="{395198FC-34F5-4C7F-92EB-0515E41AFE19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E152:O152</xm:sqref>
        </x14:conditionalFormatting>
        <x14:conditionalFormatting xmlns:xm="http://schemas.microsoft.com/office/excel/2006/main">
          <x14:cfRule type="expression" priority="109" id="{3C598B41-DFBC-4163-98EA-DC65312AABE5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E23:O24 E40:O41 F42:O42</xm:sqref>
        </x14:conditionalFormatting>
        <x14:conditionalFormatting xmlns:xm="http://schemas.microsoft.com/office/excel/2006/main">
          <x14:cfRule type="expression" priority="107" id="{2F9CE32D-F553-4939-88A5-F55E20632A6A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F27:O27</xm:sqref>
        </x14:conditionalFormatting>
        <x14:conditionalFormatting xmlns:xm="http://schemas.microsoft.com/office/excel/2006/main">
          <x14:cfRule type="expression" priority="105" id="{711BC921-BE79-45C0-82E9-BAC88C4B9624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F26:O26</xm:sqref>
        </x14:conditionalFormatting>
        <x14:conditionalFormatting xmlns:xm="http://schemas.microsoft.com/office/excel/2006/main">
          <x14:cfRule type="expression" priority="106" id="{23A29739-7E81-460D-8AEB-D5AA83B2B33A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E33:O38</xm:sqref>
        </x14:conditionalFormatting>
        <x14:conditionalFormatting xmlns:xm="http://schemas.microsoft.com/office/excel/2006/main">
          <x14:cfRule type="expression" priority="104" id="{E3CFB2EE-51FE-467B-AF81-E7C8A46947DD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F29:O29</xm:sqref>
        </x14:conditionalFormatting>
        <x14:conditionalFormatting xmlns:xm="http://schemas.microsoft.com/office/excel/2006/main">
          <x14:cfRule type="expression" priority="103" id="{2A363316-CEA5-4C88-A455-FB70FCDED5C8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F22:O22 E21:O21 F25:O25</xm:sqref>
        </x14:conditionalFormatting>
        <x14:conditionalFormatting xmlns:xm="http://schemas.microsoft.com/office/excel/2006/main">
          <x14:cfRule type="expression" priority="102" id="{82386EB3-9568-41B0-B270-B402D30CC372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E22</xm:sqref>
        </x14:conditionalFormatting>
        <x14:conditionalFormatting xmlns:xm="http://schemas.microsoft.com/office/excel/2006/main">
          <x14:cfRule type="expression" priority="101" id="{199121A1-C378-47DC-BD92-5F31DAF64308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E25</xm:sqref>
        </x14:conditionalFormatting>
        <x14:conditionalFormatting xmlns:xm="http://schemas.microsoft.com/office/excel/2006/main">
          <x14:cfRule type="expression" priority="99" id="{A466B4F1-4353-4034-BC74-DFA0DA64A9E2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E32:O32</xm:sqref>
        </x14:conditionalFormatting>
        <x14:conditionalFormatting xmlns:xm="http://schemas.microsoft.com/office/excel/2006/main">
          <x14:cfRule type="expression" priority="98" id="{6F27CE47-370E-4364-AA26-663B91D7ED6F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E39:O39</xm:sqref>
        </x14:conditionalFormatting>
        <x14:conditionalFormatting xmlns:xm="http://schemas.microsoft.com/office/excel/2006/main">
          <x14:cfRule type="expression" priority="96" id="{8A28BEAB-4062-4CC5-ABA5-1356CB46D2AE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E42</xm:sqref>
        </x14:conditionalFormatting>
        <x14:conditionalFormatting xmlns:xm="http://schemas.microsoft.com/office/excel/2006/main">
          <x14:cfRule type="expression" priority="94" id="{0D54DF1F-20D5-4173-B154-6EC962CD746D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E62:O63 E79:O80 F81:O81</xm:sqref>
        </x14:conditionalFormatting>
        <x14:conditionalFormatting xmlns:xm="http://schemas.microsoft.com/office/excel/2006/main">
          <x14:cfRule type="expression" priority="95" id="{4FC28217-CC0A-437D-BBFB-EADC5D6DBB76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E6:O6</xm:sqref>
        </x14:conditionalFormatting>
        <x14:conditionalFormatting xmlns:xm="http://schemas.microsoft.com/office/excel/2006/main">
          <x14:cfRule type="expression" priority="93" id="{EFB4AE76-87D4-4152-8D4A-0AF0AC21E9BA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E68:E70</xm:sqref>
        </x14:conditionalFormatting>
        <x14:conditionalFormatting xmlns:xm="http://schemas.microsoft.com/office/excel/2006/main">
          <x14:cfRule type="expression" priority="92" id="{A83386CF-D10D-4A9F-A2D3-40B11C8E3668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F66:O66</xm:sqref>
        </x14:conditionalFormatting>
        <x14:conditionalFormatting xmlns:xm="http://schemas.microsoft.com/office/excel/2006/main">
          <x14:cfRule type="expression" priority="91" id="{95911D38-583F-46CC-A009-4E2F362791D0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E72:O77</xm:sqref>
        </x14:conditionalFormatting>
        <x14:conditionalFormatting xmlns:xm="http://schemas.microsoft.com/office/excel/2006/main">
          <x14:cfRule type="expression" priority="90" id="{4C35E74A-16A9-4061-BAA4-13F54B79529E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F65:O65</xm:sqref>
        </x14:conditionalFormatting>
        <x14:conditionalFormatting xmlns:xm="http://schemas.microsoft.com/office/excel/2006/main">
          <x14:cfRule type="expression" priority="89" id="{093C257D-E4C4-4A6D-A940-ED9BF7C06F32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F68:O70</xm:sqref>
        </x14:conditionalFormatting>
        <x14:conditionalFormatting xmlns:xm="http://schemas.microsoft.com/office/excel/2006/main">
          <x14:cfRule type="expression" priority="88" id="{B67E44FD-A8A3-4108-AB55-5D970BF6DF01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F61:O61 F64:O64 E60:O60</xm:sqref>
        </x14:conditionalFormatting>
        <x14:conditionalFormatting xmlns:xm="http://schemas.microsoft.com/office/excel/2006/main">
          <x14:cfRule type="expression" priority="87" id="{42A1D63A-D38B-4CCC-8EC1-D8E4A41D044D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E61</xm:sqref>
        </x14:conditionalFormatting>
        <x14:conditionalFormatting xmlns:xm="http://schemas.microsoft.com/office/excel/2006/main">
          <x14:cfRule type="expression" priority="86" id="{FBD0172B-5CCA-47CF-9CB1-099F351E56F2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E64</xm:sqref>
        </x14:conditionalFormatting>
        <x14:conditionalFormatting xmlns:xm="http://schemas.microsoft.com/office/excel/2006/main">
          <x14:cfRule type="expression" priority="84" id="{74E0BA13-90E1-4E0E-97DD-62E1849B6EF4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E71:O71</xm:sqref>
        </x14:conditionalFormatting>
        <x14:conditionalFormatting xmlns:xm="http://schemas.microsoft.com/office/excel/2006/main">
          <x14:cfRule type="expression" priority="83" id="{23BC3570-A171-48D5-87FF-0A74B1BDA1D4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E78:O78</xm:sqref>
        </x14:conditionalFormatting>
        <x14:conditionalFormatting xmlns:xm="http://schemas.microsoft.com/office/excel/2006/main">
          <x14:cfRule type="expression" priority="79" id="{FA13E336-746E-4D4B-8052-35B127B81217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E101:O102 E116:O117 F118:O118</xm:sqref>
        </x14:conditionalFormatting>
        <x14:conditionalFormatting xmlns:xm="http://schemas.microsoft.com/office/excel/2006/main">
          <x14:cfRule type="expression" priority="80" id="{2394DA68-E6FE-4EE6-A78F-0FC8C356C25C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E81</xm:sqref>
        </x14:conditionalFormatting>
        <x14:conditionalFormatting xmlns:xm="http://schemas.microsoft.com/office/excel/2006/main">
          <x14:cfRule type="expression" priority="77" id="{03EA135D-EC1A-41AB-93DF-682AB0AACEAD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F105:O105</xm:sqref>
        </x14:conditionalFormatting>
        <x14:conditionalFormatting xmlns:xm="http://schemas.microsoft.com/office/excel/2006/main">
          <x14:cfRule type="expression" priority="75" id="{54BCE3FB-F15E-4439-84EF-28B865F94735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F104:O104</xm:sqref>
        </x14:conditionalFormatting>
        <x14:conditionalFormatting xmlns:xm="http://schemas.microsoft.com/office/excel/2006/main">
          <x14:cfRule type="expression" priority="76" id="{C1C3A1E8-53A1-4DA7-88A2-5C341258044C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E109:O114</xm:sqref>
        </x14:conditionalFormatting>
        <x14:conditionalFormatting xmlns:xm="http://schemas.microsoft.com/office/excel/2006/main">
          <x14:cfRule type="expression" priority="74" id="{CCE47CC2-10D7-4AB7-B7CF-25A06F4783B4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F107:O107</xm:sqref>
        </x14:conditionalFormatting>
        <x14:conditionalFormatting xmlns:xm="http://schemas.microsoft.com/office/excel/2006/main">
          <x14:cfRule type="expression" priority="73" id="{692CA82A-920D-448C-AC22-EAEA37FEB260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F100:O100 F103:O103 E99:O99</xm:sqref>
        </x14:conditionalFormatting>
        <x14:conditionalFormatting xmlns:xm="http://schemas.microsoft.com/office/excel/2006/main">
          <x14:cfRule type="expression" priority="72" id="{87E33AB1-3707-49F9-8E9A-B19B9A45EE67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E100</xm:sqref>
        </x14:conditionalFormatting>
        <x14:conditionalFormatting xmlns:xm="http://schemas.microsoft.com/office/excel/2006/main">
          <x14:cfRule type="expression" priority="71" id="{1DEB868A-85CC-4BCF-8DD9-FCDBDC1BEB85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E103</xm:sqref>
        </x14:conditionalFormatting>
        <x14:conditionalFormatting xmlns:xm="http://schemas.microsoft.com/office/excel/2006/main">
          <x14:cfRule type="expression" priority="69" id="{9C4CACEE-F4BC-4F06-9D4C-9A43D40FF423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E108:O108</xm:sqref>
        </x14:conditionalFormatting>
        <x14:conditionalFormatting xmlns:xm="http://schemas.microsoft.com/office/excel/2006/main">
          <x14:cfRule type="expression" priority="68" id="{035A9CF3-D50F-4B1C-9D79-8B4727DBA4EC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E115:O115</xm:sqref>
        </x14:conditionalFormatting>
        <x14:conditionalFormatting xmlns:xm="http://schemas.microsoft.com/office/excel/2006/main">
          <x14:cfRule type="expression" priority="65" id="{239D0339-5D2B-415D-A715-33C1D44DE2E2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E118</xm:sqref>
        </x14:conditionalFormatting>
        <x14:conditionalFormatting xmlns:xm="http://schemas.microsoft.com/office/excel/2006/main">
          <x14:cfRule type="expression" priority="64" id="{458C2640-0FA6-4F9F-AE24-FD0525F9352D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E83:O83</xm:sqref>
        </x14:conditionalFormatting>
        <x14:conditionalFormatting xmlns:xm="http://schemas.microsoft.com/office/excel/2006/main">
          <x14:cfRule type="expression" priority="63" id="{4BBABF89-8098-4816-9F7C-32F9D8660990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E120:O120</xm:sqref>
        </x14:conditionalFormatting>
        <x14:conditionalFormatting xmlns:xm="http://schemas.microsoft.com/office/excel/2006/main">
          <x14:cfRule type="expression" priority="61" id="{4C68F0CD-0BCE-47B6-9126-3BD7E3F11185}">
            <xm:f>E$4='\\ftovhserver\finance\Users\ecallocchia\Dropbox\City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E30:E31</xm:sqref>
        </x14:conditionalFormatting>
        <x14:conditionalFormatting xmlns:xm="http://schemas.microsoft.com/office/excel/2006/main">
          <x14:cfRule type="expression" priority="60" id="{CF77BD12-C9F9-4690-BCDF-512FD7D66F4F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F30:O31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70"/>
  <sheetViews>
    <sheetView showGridLines="0" topLeftCell="K1" zoomScale="75" zoomScaleNormal="75" zoomScaleSheetLayoutView="75" workbookViewId="0">
      <pane ySplit="5" topLeftCell="A581" activePane="bottomLeft" state="frozen"/>
      <selection activeCell="B113" sqref="B113"/>
      <selection pane="bottomLeft" activeCell="R600" sqref="R600"/>
    </sheetView>
  </sheetViews>
  <sheetFormatPr defaultColWidth="7.69921875" defaultRowHeight="15.6" x14ac:dyDescent="0.3"/>
  <cols>
    <col min="1" max="1" width="4" style="237" customWidth="1"/>
    <col min="2" max="2" width="6.19921875" style="237" customWidth="1"/>
    <col min="3" max="4" width="6.69921875" style="237" customWidth="1"/>
    <col min="5" max="5" width="18.09765625" style="238" bestFit="1" customWidth="1"/>
    <col min="6" max="6" width="11.59765625" style="238" bestFit="1" customWidth="1"/>
    <col min="7" max="7" width="16.5" style="238" bestFit="1" customWidth="1"/>
    <col min="8" max="8" width="15.69921875" style="238" customWidth="1"/>
    <col min="9" max="9" width="12.69921875" style="239" bestFit="1" customWidth="1"/>
    <col min="10" max="10" width="15" style="277" bestFit="1" customWidth="1"/>
    <col min="11" max="11" width="29.5" style="277" bestFit="1" customWidth="1"/>
    <col min="12" max="12" width="56.69921875" style="239" bestFit="1" customWidth="1"/>
    <col min="13" max="13" width="29.5" style="239" bestFit="1" customWidth="1"/>
    <col min="14" max="14" width="15.09765625" style="240" customWidth="1"/>
    <col min="15" max="15" width="14.09765625" style="241" bestFit="1" customWidth="1"/>
    <col min="16" max="16" width="11.59765625" style="240" customWidth="1"/>
    <col min="17" max="17" width="14.69921875" style="239" customWidth="1"/>
    <col min="18" max="18" width="14.3984375" style="240" customWidth="1"/>
    <col min="19" max="19" width="20.59765625" style="240" customWidth="1"/>
    <col min="20" max="20" width="22.59765625" style="240" customWidth="1"/>
    <col min="21" max="21" width="16.69921875" style="241" customWidth="1"/>
    <col min="22" max="16384" width="7.69921875" style="241"/>
  </cols>
  <sheetData>
    <row r="1" spans="1:21" ht="16.5" customHeight="1" x14ac:dyDescent="0.3">
      <c r="B1" s="243"/>
      <c r="F1" s="244"/>
      <c r="G1" s="244"/>
      <c r="H1" s="244"/>
      <c r="I1" s="245"/>
      <c r="J1" s="379"/>
      <c r="K1" s="379"/>
      <c r="L1" s="245"/>
      <c r="M1" s="245"/>
      <c r="N1" s="245"/>
      <c r="P1" s="245"/>
      <c r="U1" s="242"/>
    </row>
    <row r="2" spans="1:21" x14ac:dyDescent="0.3">
      <c r="B2" s="243" t="s">
        <v>1954</v>
      </c>
      <c r="I2" s="246"/>
      <c r="J2" s="380"/>
      <c r="K2" s="380"/>
      <c r="L2" s="246"/>
      <c r="M2" s="246"/>
      <c r="N2" s="246"/>
      <c r="P2" s="246"/>
      <c r="Q2" s="247" t="s">
        <v>1507</v>
      </c>
      <c r="T2" s="248"/>
    </row>
    <row r="3" spans="1:21" x14ac:dyDescent="0.3">
      <c r="B3" s="241"/>
      <c r="C3" s="241"/>
      <c r="D3" s="241"/>
      <c r="E3" s="244"/>
      <c r="I3" s="240"/>
      <c r="J3" s="381"/>
      <c r="K3" s="381"/>
      <c r="L3" s="249"/>
      <c r="M3" s="249"/>
      <c r="N3" s="250"/>
      <c r="P3" s="247" t="s">
        <v>1508</v>
      </c>
      <c r="Q3" s="247"/>
      <c r="R3" s="250"/>
      <c r="S3" s="250"/>
      <c r="T3" s="250"/>
    </row>
    <row r="4" spans="1:21" x14ac:dyDescent="0.3">
      <c r="B4" s="1314" t="s">
        <v>1495</v>
      </c>
      <c r="C4" s="1314"/>
      <c r="D4" s="631"/>
      <c r="E4" s="244"/>
      <c r="F4" s="251"/>
      <c r="G4" s="251"/>
      <c r="H4" s="251"/>
      <c r="I4" s="252"/>
      <c r="J4" s="382"/>
      <c r="K4" s="382"/>
      <c r="L4" s="252"/>
      <c r="M4" s="252"/>
      <c r="N4" s="250"/>
      <c r="P4" s="253">
        <f>'Cost Escalators'!E22</f>
        <v>2015</v>
      </c>
      <c r="Q4" s="254">
        <f>'Cost Escalators'!E24</f>
        <v>2.8932384977213153E-2</v>
      </c>
      <c r="R4" s="255"/>
      <c r="S4" s="255"/>
      <c r="T4" s="255" t="s">
        <v>1509</v>
      </c>
      <c r="U4" s="256">
        <v>2015</v>
      </c>
    </row>
    <row r="5" spans="1:21" s="262" customFormat="1" ht="46.8" x14ac:dyDescent="0.3">
      <c r="A5" s="257" t="s">
        <v>1510</v>
      </c>
      <c r="B5" s="257" t="s">
        <v>16</v>
      </c>
      <c r="C5" s="257" t="s">
        <v>24</v>
      </c>
      <c r="D5" s="257" t="s">
        <v>1572</v>
      </c>
      <c r="E5" s="258" t="s">
        <v>1567</v>
      </c>
      <c r="F5" s="258" t="s">
        <v>1568</v>
      </c>
      <c r="G5" s="258" t="s">
        <v>18</v>
      </c>
      <c r="H5" s="258" t="s">
        <v>362</v>
      </c>
      <c r="I5" s="258" t="s">
        <v>1569</v>
      </c>
      <c r="J5" s="259" t="s">
        <v>361</v>
      </c>
      <c r="K5" s="259" t="s">
        <v>1792</v>
      </c>
      <c r="L5" s="259" t="s">
        <v>1570</v>
      </c>
      <c r="M5" s="259" t="s">
        <v>363</v>
      </c>
      <c r="N5" s="260" t="s">
        <v>1511</v>
      </c>
      <c r="O5" s="259" t="s">
        <v>1512</v>
      </c>
      <c r="P5" s="257" t="s">
        <v>1513</v>
      </c>
      <c r="Q5" s="257" t="str">
        <f>"ENR CCI Cost Escalation Factor ("&amp;P4+1&amp;")"</f>
        <v>ENR CCI Cost Escalation Factor (2016)</v>
      </c>
      <c r="R5" s="257" t="str">
        <f>"Replacement Cost ("&amp;P4+1&amp;")"</f>
        <v>Replacement Cost (2016)</v>
      </c>
      <c r="S5" s="257" t="s">
        <v>1514</v>
      </c>
      <c r="T5" s="257" t="s">
        <v>1515</v>
      </c>
      <c r="U5" s="261" t="s">
        <v>1566</v>
      </c>
    </row>
    <row r="6" spans="1:21" s="237" customFormat="1" x14ac:dyDescent="0.3">
      <c r="A6" s="237">
        <v>1</v>
      </c>
      <c r="B6" s="263">
        <v>0</v>
      </c>
      <c r="C6" s="263">
        <v>0</v>
      </c>
      <c r="D6" s="264">
        <v>0</v>
      </c>
      <c r="E6" s="381" t="s">
        <v>365</v>
      </c>
      <c r="F6" s="384" t="s">
        <v>364</v>
      </c>
      <c r="G6" s="384">
        <v>31</v>
      </c>
      <c r="H6" s="385">
        <v>29068</v>
      </c>
      <c r="I6" s="265">
        <f t="shared" ref="I6:I69" si="0">YEAR(H6)</f>
        <v>1979</v>
      </c>
      <c r="J6" s="641">
        <v>10</v>
      </c>
      <c r="K6" s="641" t="str">
        <f>VLOOKUP(J6,'Cost Escalators'!$C$313:$D$330,2,FALSE)</f>
        <v>Land</v>
      </c>
      <c r="L6" s="238" t="s">
        <v>366</v>
      </c>
      <c r="M6" s="384" t="s">
        <v>1506</v>
      </c>
      <c r="N6" s="246">
        <v>25650</v>
      </c>
      <c r="O6" s="267">
        <v>0</v>
      </c>
      <c r="P6" s="250">
        <f t="shared" ref="P6:P69" si="1">IF(O6="","",I6+O6)</f>
        <v>1979</v>
      </c>
      <c r="Q6" s="268">
        <f>IF(J6=10,1,IFERROR(INDEX('Cost Escalators'!$D$28:$D$92,MATCH($P$4,'Cost Escalators'!$B$28:$B$92,0))/INDEX('Cost Escalators'!$D$28:$D$92,MATCH(I6,'Cost Escalators'!$B$28:$B$92,0)),1))</f>
        <v>1</v>
      </c>
      <c r="R6" s="269">
        <f t="shared" ref="R6:R69" si="2">N6*Q6</f>
        <v>25650</v>
      </c>
      <c r="S6" s="269">
        <f t="shared" ref="S6:S69" si="3">IFERROR(IF(P6&gt;$P$4,R6*(1+$Q$4)^(P6-$P$4),R6),"")</f>
        <v>25650</v>
      </c>
      <c r="T6" s="269">
        <f t="shared" ref="T6:T69" si="4">IF(J6=10,N6,(N6-U6)*(1+$Q$4)^($P$4-I6))</f>
        <v>25650</v>
      </c>
      <c r="U6" s="242">
        <f t="shared" ref="U6:U69" si="5">IFERROR(IF((N6/O6)*($U$4-I6)&gt;N6,N6,(N6/O6)*($U$4-I6)),0)</f>
        <v>0</v>
      </c>
    </row>
    <row r="7" spans="1:21" s="237" customFormat="1" x14ac:dyDescent="0.3">
      <c r="A7" s="237">
        <v>2</v>
      </c>
      <c r="B7" s="263">
        <v>0</v>
      </c>
      <c r="C7" s="263">
        <v>0</v>
      </c>
      <c r="D7" s="264">
        <v>0</v>
      </c>
      <c r="E7" s="381" t="s">
        <v>367</v>
      </c>
      <c r="F7" s="384" t="s">
        <v>364</v>
      </c>
      <c r="G7" s="384">
        <v>31</v>
      </c>
      <c r="H7" s="385">
        <v>28460</v>
      </c>
      <c r="I7" s="265">
        <f t="shared" si="0"/>
        <v>1977</v>
      </c>
      <c r="J7" s="641">
        <v>10</v>
      </c>
      <c r="K7" s="641" t="str">
        <f>VLOOKUP(J7,'Cost Escalators'!$C$313:$D$330,2,FALSE)</f>
        <v>Land</v>
      </c>
      <c r="L7" s="238" t="s">
        <v>368</v>
      </c>
      <c r="M7" s="384" t="s">
        <v>1506</v>
      </c>
      <c r="N7" s="246">
        <v>60000</v>
      </c>
      <c r="O7" s="267">
        <v>0</v>
      </c>
      <c r="P7" s="250">
        <f t="shared" si="1"/>
        <v>1977</v>
      </c>
      <c r="Q7" s="268">
        <f>IF(J7=10,1,IFERROR(INDEX('Cost Escalators'!$D$28:$D$92,MATCH($P$4,'Cost Escalators'!$B$28:$B$92,0))/INDEX('Cost Escalators'!$D$28:$D$92,MATCH(I7,'Cost Escalators'!$B$28:$B$92,0)),1))</f>
        <v>1</v>
      </c>
      <c r="R7" s="269">
        <f t="shared" si="2"/>
        <v>60000</v>
      </c>
      <c r="S7" s="269">
        <f t="shared" si="3"/>
        <v>60000</v>
      </c>
      <c r="T7" s="269">
        <f t="shared" si="4"/>
        <v>60000</v>
      </c>
      <c r="U7" s="242">
        <f t="shared" si="5"/>
        <v>0</v>
      </c>
    </row>
    <row r="8" spans="1:21" s="237" customFormat="1" x14ac:dyDescent="0.3">
      <c r="A8" s="237">
        <v>3</v>
      </c>
      <c r="B8" s="263">
        <v>0</v>
      </c>
      <c r="C8" s="263">
        <v>0</v>
      </c>
      <c r="D8" s="264">
        <v>0</v>
      </c>
      <c r="E8" s="381" t="s">
        <v>369</v>
      </c>
      <c r="F8" s="384" t="s">
        <v>364</v>
      </c>
      <c r="G8" s="384">
        <v>31</v>
      </c>
      <c r="H8" s="385">
        <v>29556</v>
      </c>
      <c r="I8" s="265">
        <f t="shared" si="0"/>
        <v>1980</v>
      </c>
      <c r="J8" s="641">
        <v>10</v>
      </c>
      <c r="K8" s="641" t="str">
        <f>VLOOKUP(J8,'Cost Escalators'!$C$313:$D$330,2,FALSE)</f>
        <v>Land</v>
      </c>
      <c r="L8" s="238" t="s">
        <v>370</v>
      </c>
      <c r="M8" s="384" t="s">
        <v>1506</v>
      </c>
      <c r="N8" s="246">
        <v>102060</v>
      </c>
      <c r="O8" s="267">
        <v>0</v>
      </c>
      <c r="P8" s="250">
        <f t="shared" si="1"/>
        <v>1980</v>
      </c>
      <c r="Q8" s="268">
        <f>IF(J8=10,1,IFERROR(INDEX('Cost Escalators'!$D$28:$D$92,MATCH($P$4,'Cost Escalators'!$B$28:$B$92,0))/INDEX('Cost Escalators'!$D$28:$D$92,MATCH(I8,'Cost Escalators'!$B$28:$B$92,0)),1))</f>
        <v>1</v>
      </c>
      <c r="R8" s="269">
        <f t="shared" si="2"/>
        <v>102060</v>
      </c>
      <c r="S8" s="269">
        <f t="shared" si="3"/>
        <v>102060</v>
      </c>
      <c r="T8" s="269">
        <f t="shared" si="4"/>
        <v>102060</v>
      </c>
      <c r="U8" s="242">
        <f t="shared" si="5"/>
        <v>0</v>
      </c>
    </row>
    <row r="9" spans="1:21" s="237" customFormat="1" x14ac:dyDescent="0.3">
      <c r="A9" s="237">
        <v>4</v>
      </c>
      <c r="B9" s="263">
        <v>0</v>
      </c>
      <c r="C9" s="263">
        <v>0</v>
      </c>
      <c r="D9" s="264">
        <v>0</v>
      </c>
      <c r="E9" s="381" t="s">
        <v>371</v>
      </c>
      <c r="F9" s="384" t="s">
        <v>364</v>
      </c>
      <c r="G9" s="384">
        <v>31</v>
      </c>
      <c r="H9" s="385">
        <v>30864</v>
      </c>
      <c r="I9" s="265">
        <f t="shared" si="0"/>
        <v>1984</v>
      </c>
      <c r="J9" s="641">
        <v>10</v>
      </c>
      <c r="K9" s="641" t="str">
        <f>VLOOKUP(J9,'Cost Escalators'!$C$313:$D$330,2,FALSE)</f>
        <v>Land</v>
      </c>
      <c r="L9" s="238" t="s">
        <v>372</v>
      </c>
      <c r="M9" s="384" t="s">
        <v>1506</v>
      </c>
      <c r="N9" s="246">
        <v>19641.97</v>
      </c>
      <c r="O9" s="267">
        <v>0</v>
      </c>
      <c r="P9" s="250">
        <f t="shared" si="1"/>
        <v>1984</v>
      </c>
      <c r="Q9" s="268">
        <f>IF(J9=10,1,IFERROR(INDEX('Cost Escalators'!$D$28:$D$92,MATCH($P$4,'Cost Escalators'!$B$28:$B$92,0))/INDEX('Cost Escalators'!$D$28:$D$92,MATCH(I9,'Cost Escalators'!$B$28:$B$92,0)),1))</f>
        <v>1</v>
      </c>
      <c r="R9" s="269">
        <f t="shared" si="2"/>
        <v>19641.97</v>
      </c>
      <c r="S9" s="269">
        <f t="shared" si="3"/>
        <v>19641.97</v>
      </c>
      <c r="T9" s="269">
        <f t="shared" si="4"/>
        <v>19641.97</v>
      </c>
      <c r="U9" s="242">
        <f t="shared" si="5"/>
        <v>0</v>
      </c>
    </row>
    <row r="10" spans="1:21" s="237" customFormat="1" x14ac:dyDescent="0.3">
      <c r="A10" s="237">
        <v>5</v>
      </c>
      <c r="B10" s="263">
        <v>0</v>
      </c>
      <c r="C10" s="263">
        <v>0</v>
      </c>
      <c r="D10" s="264">
        <v>0</v>
      </c>
      <c r="E10" s="381" t="s">
        <v>373</v>
      </c>
      <c r="F10" s="384" t="s">
        <v>364</v>
      </c>
      <c r="G10" s="384">
        <v>31</v>
      </c>
      <c r="H10" s="385">
        <v>28082</v>
      </c>
      <c r="I10" s="265">
        <f t="shared" si="0"/>
        <v>1976</v>
      </c>
      <c r="J10" s="641">
        <v>10</v>
      </c>
      <c r="K10" s="641" t="str">
        <f>VLOOKUP(J10,'Cost Escalators'!$C$313:$D$330,2,FALSE)</f>
        <v>Land</v>
      </c>
      <c r="L10" s="238" t="s">
        <v>374</v>
      </c>
      <c r="M10" s="384" t="s">
        <v>1506</v>
      </c>
      <c r="N10" s="246">
        <v>11287.9</v>
      </c>
      <c r="O10" s="267">
        <v>0</v>
      </c>
      <c r="P10" s="250">
        <f t="shared" si="1"/>
        <v>1976</v>
      </c>
      <c r="Q10" s="268">
        <f>IF(J10=10,1,IFERROR(INDEX('Cost Escalators'!$D$28:$D$92,MATCH($P$4,'Cost Escalators'!$B$28:$B$92,0))/INDEX('Cost Escalators'!$D$28:$D$92,MATCH(I10,'Cost Escalators'!$B$28:$B$92,0)),1))</f>
        <v>1</v>
      </c>
      <c r="R10" s="269">
        <f t="shared" si="2"/>
        <v>11287.9</v>
      </c>
      <c r="S10" s="269">
        <f t="shared" si="3"/>
        <v>11287.9</v>
      </c>
      <c r="T10" s="269">
        <f t="shared" si="4"/>
        <v>11287.9</v>
      </c>
      <c r="U10" s="242">
        <f t="shared" si="5"/>
        <v>0</v>
      </c>
    </row>
    <row r="11" spans="1:21" s="237" customFormat="1" x14ac:dyDescent="0.3">
      <c r="A11" s="237">
        <v>6</v>
      </c>
      <c r="B11" s="263">
        <v>0</v>
      </c>
      <c r="C11" s="263">
        <v>0</v>
      </c>
      <c r="D11" s="264">
        <v>0</v>
      </c>
      <c r="E11" s="381" t="s">
        <v>375</v>
      </c>
      <c r="F11" s="384" t="s">
        <v>364</v>
      </c>
      <c r="G11" s="384">
        <v>31</v>
      </c>
      <c r="H11" s="385">
        <v>27729</v>
      </c>
      <c r="I11" s="265">
        <f t="shared" si="0"/>
        <v>1975</v>
      </c>
      <c r="J11" s="641">
        <v>10</v>
      </c>
      <c r="K11" s="641" t="str">
        <f>VLOOKUP(J11,'Cost Escalators'!$C$313:$D$330,2,FALSE)</f>
        <v>Land</v>
      </c>
      <c r="L11" s="238" t="s">
        <v>376</v>
      </c>
      <c r="M11" s="384" t="s">
        <v>1506</v>
      </c>
      <c r="N11" s="246">
        <v>45869.78</v>
      </c>
      <c r="O11" s="267">
        <v>0</v>
      </c>
      <c r="P11" s="250">
        <f t="shared" si="1"/>
        <v>1975</v>
      </c>
      <c r="Q11" s="268">
        <f>IF(J11=10,1,IFERROR(INDEX('Cost Escalators'!$D$28:$D$92,MATCH($P$4,'Cost Escalators'!$B$28:$B$92,0))/INDEX('Cost Escalators'!$D$28:$D$92,MATCH(I11,'Cost Escalators'!$B$28:$B$92,0)),1))</f>
        <v>1</v>
      </c>
      <c r="R11" s="269">
        <f t="shared" si="2"/>
        <v>45869.78</v>
      </c>
      <c r="S11" s="269">
        <f t="shared" si="3"/>
        <v>45869.78</v>
      </c>
      <c r="T11" s="269">
        <f t="shared" si="4"/>
        <v>45869.78</v>
      </c>
      <c r="U11" s="242">
        <f t="shared" si="5"/>
        <v>0</v>
      </c>
    </row>
    <row r="12" spans="1:21" s="237" customFormat="1" x14ac:dyDescent="0.3">
      <c r="A12" s="237">
        <v>7</v>
      </c>
      <c r="B12" s="263">
        <v>0</v>
      </c>
      <c r="C12" s="263">
        <v>0</v>
      </c>
      <c r="D12" s="264">
        <v>0</v>
      </c>
      <c r="E12" s="381" t="s">
        <v>377</v>
      </c>
      <c r="F12" s="384" t="s">
        <v>364</v>
      </c>
      <c r="G12" s="384">
        <v>31</v>
      </c>
      <c r="H12" s="385">
        <v>28460</v>
      </c>
      <c r="I12" s="265">
        <f t="shared" si="0"/>
        <v>1977</v>
      </c>
      <c r="J12" s="641">
        <v>10</v>
      </c>
      <c r="K12" s="641" t="str">
        <f>VLOOKUP(J12,'Cost Escalators'!$C$313:$D$330,2,FALSE)</f>
        <v>Land</v>
      </c>
      <c r="L12" s="238" t="s">
        <v>378</v>
      </c>
      <c r="M12" s="384" t="s">
        <v>1506</v>
      </c>
      <c r="N12" s="246">
        <v>146938.78</v>
      </c>
      <c r="O12" s="267">
        <v>0</v>
      </c>
      <c r="P12" s="250">
        <f t="shared" si="1"/>
        <v>1977</v>
      </c>
      <c r="Q12" s="268">
        <f>IF(J12=10,1,IFERROR(INDEX('Cost Escalators'!$D$28:$D$92,MATCH($P$4,'Cost Escalators'!$B$28:$B$92,0))/INDEX('Cost Escalators'!$D$28:$D$92,MATCH(I12,'Cost Escalators'!$B$28:$B$92,0)),1))</f>
        <v>1</v>
      </c>
      <c r="R12" s="269">
        <f t="shared" si="2"/>
        <v>146938.78</v>
      </c>
      <c r="S12" s="269">
        <f t="shared" si="3"/>
        <v>146938.78</v>
      </c>
      <c r="T12" s="269">
        <f t="shared" si="4"/>
        <v>146938.78</v>
      </c>
      <c r="U12" s="242">
        <f t="shared" si="5"/>
        <v>0</v>
      </c>
    </row>
    <row r="13" spans="1:21" s="237" customFormat="1" x14ac:dyDescent="0.3">
      <c r="A13" s="237">
        <v>8</v>
      </c>
      <c r="B13" s="263">
        <v>0</v>
      </c>
      <c r="C13" s="263">
        <v>0</v>
      </c>
      <c r="D13" s="264">
        <v>0</v>
      </c>
      <c r="E13" s="381" t="s">
        <v>379</v>
      </c>
      <c r="F13" s="384" t="s">
        <v>364</v>
      </c>
      <c r="G13" s="384">
        <v>31</v>
      </c>
      <c r="H13" s="385">
        <v>28460</v>
      </c>
      <c r="I13" s="265">
        <f t="shared" si="0"/>
        <v>1977</v>
      </c>
      <c r="J13" s="641">
        <v>10</v>
      </c>
      <c r="K13" s="641" t="str">
        <f>VLOOKUP(J13,'Cost Escalators'!$C$313:$D$330,2,FALSE)</f>
        <v>Land</v>
      </c>
      <c r="L13" s="238" t="s">
        <v>380</v>
      </c>
      <c r="M13" s="384" t="s">
        <v>1506</v>
      </c>
      <c r="N13" s="246">
        <v>107755.1</v>
      </c>
      <c r="O13" s="267">
        <v>0</v>
      </c>
      <c r="P13" s="250">
        <f t="shared" si="1"/>
        <v>1977</v>
      </c>
      <c r="Q13" s="268">
        <f>IF(J13=10,1,IFERROR(INDEX('Cost Escalators'!$D$28:$D$92,MATCH($P$4,'Cost Escalators'!$B$28:$B$92,0))/INDEX('Cost Escalators'!$D$28:$D$92,MATCH(I13,'Cost Escalators'!$B$28:$B$92,0)),1))</f>
        <v>1</v>
      </c>
      <c r="R13" s="269">
        <f t="shared" si="2"/>
        <v>107755.1</v>
      </c>
      <c r="S13" s="269">
        <f t="shared" si="3"/>
        <v>107755.1</v>
      </c>
      <c r="T13" s="269">
        <f t="shared" si="4"/>
        <v>107755.1</v>
      </c>
      <c r="U13" s="242">
        <f t="shared" si="5"/>
        <v>0</v>
      </c>
    </row>
    <row r="14" spans="1:21" s="237" customFormat="1" x14ac:dyDescent="0.3">
      <c r="A14" s="237">
        <v>9</v>
      </c>
      <c r="B14" s="263">
        <v>0</v>
      </c>
      <c r="C14" s="263">
        <v>0</v>
      </c>
      <c r="D14" s="264">
        <v>0</v>
      </c>
      <c r="E14" s="381" t="s">
        <v>381</v>
      </c>
      <c r="F14" s="384" t="s">
        <v>364</v>
      </c>
      <c r="G14" s="384">
        <v>31</v>
      </c>
      <c r="H14" s="385">
        <v>27729</v>
      </c>
      <c r="I14" s="265">
        <f t="shared" si="0"/>
        <v>1975</v>
      </c>
      <c r="J14" s="641">
        <v>10</v>
      </c>
      <c r="K14" s="641" t="str">
        <f>VLOOKUP(J14,'Cost Escalators'!$C$313:$D$330,2,FALSE)</f>
        <v>Land</v>
      </c>
      <c r="L14" s="238" t="s">
        <v>382</v>
      </c>
      <c r="M14" s="384" t="s">
        <v>1506</v>
      </c>
      <c r="N14" s="246">
        <v>35540.75</v>
      </c>
      <c r="O14" s="267">
        <v>0</v>
      </c>
      <c r="P14" s="250">
        <f t="shared" si="1"/>
        <v>1975</v>
      </c>
      <c r="Q14" s="268">
        <f>IF(J14=10,1,IFERROR(INDEX('Cost Escalators'!$D$28:$D$92,MATCH($P$4,'Cost Escalators'!$B$28:$B$92,0))/INDEX('Cost Escalators'!$D$28:$D$92,MATCH(I14,'Cost Escalators'!$B$28:$B$92,0)),1))</f>
        <v>1</v>
      </c>
      <c r="R14" s="269">
        <f t="shared" si="2"/>
        <v>35540.75</v>
      </c>
      <c r="S14" s="269">
        <f t="shared" si="3"/>
        <v>35540.75</v>
      </c>
      <c r="T14" s="269">
        <f t="shared" si="4"/>
        <v>35540.75</v>
      </c>
      <c r="U14" s="242">
        <f t="shared" si="5"/>
        <v>0</v>
      </c>
    </row>
    <row r="15" spans="1:21" s="237" customFormat="1" x14ac:dyDescent="0.3">
      <c r="A15" s="237">
        <v>10</v>
      </c>
      <c r="B15" s="263">
        <v>0</v>
      </c>
      <c r="C15" s="263">
        <v>0</v>
      </c>
      <c r="D15" s="264">
        <v>0</v>
      </c>
      <c r="E15" s="381" t="s">
        <v>383</v>
      </c>
      <c r="F15" s="384" t="s">
        <v>364</v>
      </c>
      <c r="G15" s="384">
        <v>31</v>
      </c>
      <c r="H15" s="385">
        <v>29190</v>
      </c>
      <c r="I15" s="265">
        <f t="shared" si="0"/>
        <v>1979</v>
      </c>
      <c r="J15" s="641">
        <v>10</v>
      </c>
      <c r="K15" s="641" t="str">
        <f>VLOOKUP(J15,'Cost Escalators'!$C$313:$D$330,2,FALSE)</f>
        <v>Land</v>
      </c>
      <c r="L15" s="238" t="s">
        <v>384</v>
      </c>
      <c r="M15" s="384" t="s">
        <v>1506</v>
      </c>
      <c r="N15" s="246">
        <v>49950</v>
      </c>
      <c r="O15" s="267">
        <v>0</v>
      </c>
      <c r="P15" s="250">
        <f t="shared" si="1"/>
        <v>1979</v>
      </c>
      <c r="Q15" s="268">
        <f>IF(J15=10,1,IFERROR(INDEX('Cost Escalators'!$D$28:$D$92,MATCH($P$4,'Cost Escalators'!$B$28:$B$92,0))/INDEX('Cost Escalators'!$D$28:$D$92,MATCH(I15,'Cost Escalators'!$B$28:$B$92,0)),1))</f>
        <v>1</v>
      </c>
      <c r="R15" s="269">
        <f t="shared" si="2"/>
        <v>49950</v>
      </c>
      <c r="S15" s="269">
        <f t="shared" si="3"/>
        <v>49950</v>
      </c>
      <c r="T15" s="269">
        <f t="shared" si="4"/>
        <v>49950</v>
      </c>
      <c r="U15" s="242">
        <f t="shared" si="5"/>
        <v>0</v>
      </c>
    </row>
    <row r="16" spans="1:21" s="237" customFormat="1" x14ac:dyDescent="0.3">
      <c r="A16" s="237">
        <v>11</v>
      </c>
      <c r="B16" s="263">
        <v>0</v>
      </c>
      <c r="C16" s="263">
        <v>0</v>
      </c>
      <c r="D16" s="264">
        <v>0</v>
      </c>
      <c r="E16" s="381" t="s">
        <v>385</v>
      </c>
      <c r="F16" s="384" t="s">
        <v>364</v>
      </c>
      <c r="G16" s="384">
        <v>31</v>
      </c>
      <c r="H16" s="385">
        <v>28571</v>
      </c>
      <c r="I16" s="265">
        <f t="shared" si="0"/>
        <v>1978</v>
      </c>
      <c r="J16" s="641">
        <v>10</v>
      </c>
      <c r="K16" s="641" t="str">
        <f>VLOOKUP(J16,'Cost Escalators'!$C$313:$D$330,2,FALSE)</f>
        <v>Land</v>
      </c>
      <c r="L16" s="238" t="s">
        <v>386</v>
      </c>
      <c r="M16" s="384" t="s">
        <v>1506</v>
      </c>
      <c r="N16" s="246">
        <v>17468</v>
      </c>
      <c r="O16" s="267">
        <v>0</v>
      </c>
      <c r="P16" s="250">
        <f t="shared" si="1"/>
        <v>1978</v>
      </c>
      <c r="Q16" s="268">
        <f>IF(J16=10,1,IFERROR(INDEX('Cost Escalators'!$D$28:$D$92,MATCH($P$4,'Cost Escalators'!$B$28:$B$92,0))/INDEX('Cost Escalators'!$D$28:$D$92,MATCH(I16,'Cost Escalators'!$B$28:$B$92,0)),1))</f>
        <v>1</v>
      </c>
      <c r="R16" s="269">
        <f t="shared" si="2"/>
        <v>17468</v>
      </c>
      <c r="S16" s="269">
        <f t="shared" si="3"/>
        <v>17468</v>
      </c>
      <c r="T16" s="269">
        <f t="shared" si="4"/>
        <v>17468</v>
      </c>
      <c r="U16" s="242">
        <f t="shared" si="5"/>
        <v>0</v>
      </c>
    </row>
    <row r="17" spans="1:21" s="237" customFormat="1" x14ac:dyDescent="0.3">
      <c r="A17" s="237">
        <v>12</v>
      </c>
      <c r="B17" s="263">
        <v>0</v>
      </c>
      <c r="C17" s="263">
        <v>0</v>
      </c>
      <c r="D17" s="264">
        <v>0</v>
      </c>
      <c r="E17" s="381" t="s">
        <v>387</v>
      </c>
      <c r="F17" s="384" t="s">
        <v>364</v>
      </c>
      <c r="G17" s="384">
        <v>31</v>
      </c>
      <c r="H17" s="385">
        <v>28491</v>
      </c>
      <c r="I17" s="265">
        <f t="shared" si="0"/>
        <v>1978</v>
      </c>
      <c r="J17" s="641">
        <v>10</v>
      </c>
      <c r="K17" s="641" t="str">
        <f>VLOOKUP(J17,'Cost Escalators'!$C$313:$D$330,2,FALSE)</f>
        <v>Land</v>
      </c>
      <c r="L17" s="238" t="s">
        <v>388</v>
      </c>
      <c r="M17" s="384" t="s">
        <v>1506</v>
      </c>
      <c r="N17" s="246">
        <v>25714.29</v>
      </c>
      <c r="O17" s="267">
        <v>0</v>
      </c>
      <c r="P17" s="250">
        <f t="shared" si="1"/>
        <v>1978</v>
      </c>
      <c r="Q17" s="268">
        <f>IF(J17=10,1,IFERROR(INDEX('Cost Escalators'!$D$28:$D$92,MATCH($P$4,'Cost Escalators'!$B$28:$B$92,0))/INDEX('Cost Escalators'!$D$28:$D$92,MATCH(I17,'Cost Escalators'!$B$28:$B$92,0)),1))</f>
        <v>1</v>
      </c>
      <c r="R17" s="269">
        <f t="shared" si="2"/>
        <v>25714.29</v>
      </c>
      <c r="S17" s="269">
        <f t="shared" si="3"/>
        <v>25714.29</v>
      </c>
      <c r="T17" s="269">
        <f t="shared" si="4"/>
        <v>25714.29</v>
      </c>
      <c r="U17" s="242">
        <f t="shared" si="5"/>
        <v>0</v>
      </c>
    </row>
    <row r="18" spans="1:21" s="237" customFormat="1" x14ac:dyDescent="0.3">
      <c r="A18" s="237">
        <v>13</v>
      </c>
      <c r="B18" s="263">
        <v>0</v>
      </c>
      <c r="C18" s="263">
        <v>0</v>
      </c>
      <c r="D18" s="264">
        <v>0</v>
      </c>
      <c r="E18" s="381" t="s">
        <v>389</v>
      </c>
      <c r="F18" s="384" t="s">
        <v>364</v>
      </c>
      <c r="G18" s="384">
        <v>31</v>
      </c>
      <c r="H18" s="385">
        <v>20635</v>
      </c>
      <c r="I18" s="265">
        <f t="shared" si="0"/>
        <v>1956</v>
      </c>
      <c r="J18" s="641">
        <v>10</v>
      </c>
      <c r="K18" s="641" t="str">
        <f>VLOOKUP(J18,'Cost Escalators'!$C$313:$D$330,2,FALSE)</f>
        <v>Land</v>
      </c>
      <c r="L18" s="238" t="s">
        <v>390</v>
      </c>
      <c r="M18" s="384" t="s">
        <v>1506</v>
      </c>
      <c r="N18" s="246">
        <v>5000</v>
      </c>
      <c r="O18" s="267">
        <v>0</v>
      </c>
      <c r="P18" s="250">
        <f t="shared" si="1"/>
        <v>1956</v>
      </c>
      <c r="Q18" s="268">
        <f>IF(J18=10,1,IFERROR(INDEX('Cost Escalators'!$D$28:$D$92,MATCH($P$4,'Cost Escalators'!$B$28:$B$92,0))/INDEX('Cost Escalators'!$D$28:$D$92,MATCH(I18,'Cost Escalators'!$B$28:$B$92,0)),1))</f>
        <v>1</v>
      </c>
      <c r="R18" s="269">
        <f t="shared" si="2"/>
        <v>5000</v>
      </c>
      <c r="S18" s="269">
        <f t="shared" si="3"/>
        <v>5000</v>
      </c>
      <c r="T18" s="269">
        <f t="shared" si="4"/>
        <v>5000</v>
      </c>
      <c r="U18" s="242">
        <f t="shared" si="5"/>
        <v>0</v>
      </c>
    </row>
    <row r="19" spans="1:21" s="237" customFormat="1" x14ac:dyDescent="0.3">
      <c r="A19" s="237">
        <v>14</v>
      </c>
      <c r="B19" s="263">
        <v>0</v>
      </c>
      <c r="C19" s="263">
        <v>0</v>
      </c>
      <c r="D19" s="264">
        <v>0</v>
      </c>
      <c r="E19" s="381" t="s">
        <v>391</v>
      </c>
      <c r="F19" s="384" t="s">
        <v>364</v>
      </c>
      <c r="G19" s="384">
        <v>31</v>
      </c>
      <c r="H19" s="385">
        <v>26543</v>
      </c>
      <c r="I19" s="265">
        <f t="shared" si="0"/>
        <v>1972</v>
      </c>
      <c r="J19" s="641">
        <v>10</v>
      </c>
      <c r="K19" s="641" t="str">
        <f>VLOOKUP(J19,'Cost Escalators'!$C$313:$D$330,2,FALSE)</f>
        <v>Land</v>
      </c>
      <c r="L19" s="238" t="s">
        <v>392</v>
      </c>
      <c r="M19" s="384" t="s">
        <v>1506</v>
      </c>
      <c r="N19" s="246">
        <v>28782.6</v>
      </c>
      <c r="O19" s="267">
        <v>0</v>
      </c>
      <c r="P19" s="250">
        <f t="shared" si="1"/>
        <v>1972</v>
      </c>
      <c r="Q19" s="268">
        <f>IF(J19=10,1,IFERROR(INDEX('Cost Escalators'!$D$28:$D$92,MATCH($P$4,'Cost Escalators'!$B$28:$B$92,0))/INDEX('Cost Escalators'!$D$28:$D$92,MATCH(I19,'Cost Escalators'!$B$28:$B$92,0)),1))</f>
        <v>1</v>
      </c>
      <c r="R19" s="269">
        <f t="shared" si="2"/>
        <v>28782.6</v>
      </c>
      <c r="S19" s="269">
        <f t="shared" si="3"/>
        <v>28782.6</v>
      </c>
      <c r="T19" s="269">
        <f t="shared" si="4"/>
        <v>28782.6</v>
      </c>
      <c r="U19" s="242">
        <f t="shared" si="5"/>
        <v>0</v>
      </c>
    </row>
    <row r="20" spans="1:21" s="237" customFormat="1" x14ac:dyDescent="0.3">
      <c r="A20" s="237">
        <v>15</v>
      </c>
      <c r="B20" s="263">
        <v>0</v>
      </c>
      <c r="C20" s="263">
        <v>0</v>
      </c>
      <c r="D20" s="264">
        <v>0</v>
      </c>
      <c r="E20" s="381" t="s">
        <v>393</v>
      </c>
      <c r="F20" s="384" t="s">
        <v>364</v>
      </c>
      <c r="G20" s="384">
        <v>31</v>
      </c>
      <c r="H20" s="385">
        <v>26420</v>
      </c>
      <c r="I20" s="265">
        <f t="shared" si="0"/>
        <v>1972</v>
      </c>
      <c r="J20" s="641">
        <v>10</v>
      </c>
      <c r="K20" s="641" t="str">
        <f>VLOOKUP(J20,'Cost Escalators'!$C$313:$D$330,2,FALSE)</f>
        <v>Land</v>
      </c>
      <c r="L20" s="238" t="s">
        <v>392</v>
      </c>
      <c r="M20" s="384" t="s">
        <v>1506</v>
      </c>
      <c r="N20" s="246">
        <v>28782.59</v>
      </c>
      <c r="O20" s="267">
        <v>0</v>
      </c>
      <c r="P20" s="250">
        <f t="shared" si="1"/>
        <v>1972</v>
      </c>
      <c r="Q20" s="268">
        <f>IF(J20=10,1,IFERROR(INDEX('Cost Escalators'!$D$28:$D$92,MATCH($P$4,'Cost Escalators'!$B$28:$B$92,0))/INDEX('Cost Escalators'!$D$28:$D$92,MATCH(I20,'Cost Escalators'!$B$28:$B$92,0)),1))</f>
        <v>1</v>
      </c>
      <c r="R20" s="269">
        <f t="shared" si="2"/>
        <v>28782.59</v>
      </c>
      <c r="S20" s="269">
        <f t="shared" si="3"/>
        <v>28782.59</v>
      </c>
      <c r="T20" s="269">
        <f t="shared" si="4"/>
        <v>28782.59</v>
      </c>
      <c r="U20" s="242">
        <f t="shared" si="5"/>
        <v>0</v>
      </c>
    </row>
    <row r="21" spans="1:21" s="237" customFormat="1" x14ac:dyDescent="0.3">
      <c r="A21" s="237">
        <v>16</v>
      </c>
      <c r="B21" s="263">
        <v>0</v>
      </c>
      <c r="C21" s="263">
        <v>0</v>
      </c>
      <c r="D21" s="264">
        <v>0</v>
      </c>
      <c r="E21" s="381" t="s">
        <v>394</v>
      </c>
      <c r="F21" s="384" t="s">
        <v>364</v>
      </c>
      <c r="G21" s="384">
        <v>31</v>
      </c>
      <c r="H21" s="385">
        <v>28491</v>
      </c>
      <c r="I21" s="265">
        <f t="shared" si="0"/>
        <v>1978</v>
      </c>
      <c r="J21" s="641">
        <v>10</v>
      </c>
      <c r="K21" s="641" t="str">
        <f>VLOOKUP(J21,'Cost Escalators'!$C$313:$D$330,2,FALSE)</f>
        <v>Land</v>
      </c>
      <c r="L21" s="238" t="s">
        <v>395</v>
      </c>
      <c r="M21" s="384" t="s">
        <v>1506</v>
      </c>
      <c r="N21" s="246">
        <v>270000</v>
      </c>
      <c r="O21" s="267">
        <v>0</v>
      </c>
      <c r="P21" s="250">
        <f t="shared" si="1"/>
        <v>1978</v>
      </c>
      <c r="Q21" s="268">
        <f>IF(J21=10,1,IFERROR(INDEX('Cost Escalators'!$D$28:$D$92,MATCH($P$4,'Cost Escalators'!$B$28:$B$92,0))/INDEX('Cost Escalators'!$D$28:$D$92,MATCH(I21,'Cost Escalators'!$B$28:$B$92,0)),1))</f>
        <v>1</v>
      </c>
      <c r="R21" s="269">
        <f t="shared" si="2"/>
        <v>270000</v>
      </c>
      <c r="S21" s="269">
        <f t="shared" si="3"/>
        <v>270000</v>
      </c>
      <c r="T21" s="269">
        <f t="shared" si="4"/>
        <v>270000</v>
      </c>
      <c r="U21" s="242">
        <f t="shared" si="5"/>
        <v>0</v>
      </c>
    </row>
    <row r="22" spans="1:21" s="237" customFormat="1" x14ac:dyDescent="0.3">
      <c r="A22" s="237">
        <v>17</v>
      </c>
      <c r="B22" s="263">
        <v>0</v>
      </c>
      <c r="C22" s="263">
        <v>0</v>
      </c>
      <c r="D22" s="264">
        <v>0</v>
      </c>
      <c r="E22" s="381" t="s">
        <v>396</v>
      </c>
      <c r="F22" s="384" t="s">
        <v>364</v>
      </c>
      <c r="G22" s="384">
        <v>31</v>
      </c>
      <c r="H22" s="385">
        <v>22425</v>
      </c>
      <c r="I22" s="265">
        <f t="shared" si="0"/>
        <v>1961</v>
      </c>
      <c r="J22" s="641">
        <v>10</v>
      </c>
      <c r="K22" s="641" t="str">
        <f>VLOOKUP(J22,'Cost Escalators'!$C$313:$D$330,2,FALSE)</f>
        <v>Land</v>
      </c>
      <c r="L22" s="238" t="s">
        <v>397</v>
      </c>
      <c r="M22" s="384" t="s">
        <v>1506</v>
      </c>
      <c r="N22" s="246">
        <v>5000</v>
      </c>
      <c r="O22" s="267">
        <v>0</v>
      </c>
      <c r="P22" s="250">
        <f t="shared" si="1"/>
        <v>1961</v>
      </c>
      <c r="Q22" s="268">
        <f>IF(J22=10,1,IFERROR(INDEX('Cost Escalators'!$D$28:$D$92,MATCH($P$4,'Cost Escalators'!$B$28:$B$92,0))/INDEX('Cost Escalators'!$D$28:$D$92,MATCH(I22,'Cost Escalators'!$B$28:$B$92,0)),1))</f>
        <v>1</v>
      </c>
      <c r="R22" s="269">
        <f t="shared" si="2"/>
        <v>5000</v>
      </c>
      <c r="S22" s="269">
        <f t="shared" si="3"/>
        <v>5000</v>
      </c>
      <c r="T22" s="269">
        <f t="shared" si="4"/>
        <v>5000</v>
      </c>
      <c r="U22" s="242">
        <f t="shared" si="5"/>
        <v>0</v>
      </c>
    </row>
    <row r="23" spans="1:21" s="237" customFormat="1" x14ac:dyDescent="0.3">
      <c r="A23" s="237">
        <v>18</v>
      </c>
      <c r="B23" s="263">
        <v>0</v>
      </c>
      <c r="C23" s="263">
        <v>0</v>
      </c>
      <c r="D23" s="264">
        <v>0</v>
      </c>
      <c r="E23" s="381" t="s">
        <v>398</v>
      </c>
      <c r="F23" s="384" t="s">
        <v>364</v>
      </c>
      <c r="G23" s="384">
        <v>31</v>
      </c>
      <c r="H23" s="385">
        <v>29099</v>
      </c>
      <c r="I23" s="265">
        <f t="shared" si="0"/>
        <v>1979</v>
      </c>
      <c r="J23" s="641">
        <v>10</v>
      </c>
      <c r="K23" s="641" t="str">
        <f>VLOOKUP(J23,'Cost Escalators'!$C$313:$D$330,2,FALSE)</f>
        <v>Land</v>
      </c>
      <c r="L23" s="238" t="s">
        <v>399</v>
      </c>
      <c r="M23" s="384" t="s">
        <v>1506</v>
      </c>
      <c r="N23" s="246">
        <v>72900</v>
      </c>
      <c r="O23" s="267">
        <v>0</v>
      </c>
      <c r="P23" s="250">
        <f t="shared" si="1"/>
        <v>1979</v>
      </c>
      <c r="Q23" s="268">
        <f>IF(J23=10,1,IFERROR(INDEX('Cost Escalators'!$D$28:$D$92,MATCH($P$4,'Cost Escalators'!$B$28:$B$92,0))/INDEX('Cost Escalators'!$D$28:$D$92,MATCH(I23,'Cost Escalators'!$B$28:$B$92,0)),1))</f>
        <v>1</v>
      </c>
      <c r="R23" s="269">
        <f t="shared" si="2"/>
        <v>72900</v>
      </c>
      <c r="S23" s="269">
        <f t="shared" si="3"/>
        <v>72900</v>
      </c>
      <c r="T23" s="269">
        <f t="shared" si="4"/>
        <v>72900</v>
      </c>
      <c r="U23" s="242">
        <f t="shared" si="5"/>
        <v>0</v>
      </c>
    </row>
    <row r="24" spans="1:21" s="237" customFormat="1" x14ac:dyDescent="0.3">
      <c r="A24" s="237">
        <v>19</v>
      </c>
      <c r="B24" s="263">
        <v>0</v>
      </c>
      <c r="C24" s="263">
        <v>0</v>
      </c>
      <c r="D24" s="264">
        <v>0</v>
      </c>
      <c r="E24" s="381" t="s">
        <v>400</v>
      </c>
      <c r="F24" s="384" t="s">
        <v>364</v>
      </c>
      <c r="G24" s="384">
        <v>31</v>
      </c>
      <c r="H24" s="385">
        <v>29556</v>
      </c>
      <c r="I24" s="265">
        <f t="shared" si="0"/>
        <v>1980</v>
      </c>
      <c r="J24" s="641">
        <v>10</v>
      </c>
      <c r="K24" s="641" t="str">
        <f>VLOOKUP(J24,'Cost Escalators'!$C$313:$D$330,2,FALSE)</f>
        <v>Land</v>
      </c>
      <c r="L24" s="238" t="s">
        <v>401</v>
      </c>
      <c r="M24" s="384" t="s">
        <v>1506</v>
      </c>
      <c r="N24" s="246">
        <v>10206</v>
      </c>
      <c r="O24" s="267">
        <v>0</v>
      </c>
      <c r="P24" s="250">
        <f t="shared" si="1"/>
        <v>1980</v>
      </c>
      <c r="Q24" s="268">
        <f>IF(J24=10,1,IFERROR(INDEX('Cost Escalators'!$D$28:$D$92,MATCH($P$4,'Cost Escalators'!$B$28:$B$92,0))/INDEX('Cost Escalators'!$D$28:$D$92,MATCH(I24,'Cost Escalators'!$B$28:$B$92,0)),1))</f>
        <v>1</v>
      </c>
      <c r="R24" s="269">
        <f t="shared" si="2"/>
        <v>10206</v>
      </c>
      <c r="S24" s="269">
        <f t="shared" si="3"/>
        <v>10206</v>
      </c>
      <c r="T24" s="269">
        <f t="shared" si="4"/>
        <v>10206</v>
      </c>
      <c r="U24" s="242">
        <f t="shared" si="5"/>
        <v>0</v>
      </c>
    </row>
    <row r="25" spans="1:21" s="237" customFormat="1" x14ac:dyDescent="0.3">
      <c r="A25" s="237">
        <v>20</v>
      </c>
      <c r="B25" s="263">
        <v>0</v>
      </c>
      <c r="C25" s="263">
        <v>0</v>
      </c>
      <c r="D25" s="264">
        <v>0</v>
      </c>
      <c r="E25" s="381" t="s">
        <v>402</v>
      </c>
      <c r="F25" s="384" t="s">
        <v>364</v>
      </c>
      <c r="G25" s="384">
        <v>31</v>
      </c>
      <c r="H25" s="385">
        <v>28312</v>
      </c>
      <c r="I25" s="265">
        <f t="shared" si="0"/>
        <v>1977</v>
      </c>
      <c r="J25" s="641">
        <v>10</v>
      </c>
      <c r="K25" s="641" t="str">
        <f>VLOOKUP(J25,'Cost Escalators'!$C$313:$D$330,2,FALSE)</f>
        <v>Land</v>
      </c>
      <c r="L25" s="238" t="s">
        <v>403</v>
      </c>
      <c r="M25" s="384" t="s">
        <v>1506</v>
      </c>
      <c r="N25" s="246">
        <v>80000</v>
      </c>
      <c r="O25" s="267">
        <v>0</v>
      </c>
      <c r="P25" s="250">
        <f t="shared" si="1"/>
        <v>1977</v>
      </c>
      <c r="Q25" s="268">
        <f>IF(J25=10,1,IFERROR(INDEX('Cost Escalators'!$D$28:$D$92,MATCH($P$4,'Cost Escalators'!$B$28:$B$92,0))/INDEX('Cost Escalators'!$D$28:$D$92,MATCH(I25,'Cost Escalators'!$B$28:$B$92,0)),1))</f>
        <v>1</v>
      </c>
      <c r="R25" s="269">
        <f t="shared" si="2"/>
        <v>80000</v>
      </c>
      <c r="S25" s="269">
        <f t="shared" si="3"/>
        <v>80000</v>
      </c>
      <c r="T25" s="269">
        <f t="shared" si="4"/>
        <v>80000</v>
      </c>
      <c r="U25" s="242">
        <f t="shared" si="5"/>
        <v>0</v>
      </c>
    </row>
    <row r="26" spans="1:21" s="237" customFormat="1" x14ac:dyDescent="0.3">
      <c r="A26" s="237">
        <v>21</v>
      </c>
      <c r="B26" s="263">
        <v>0</v>
      </c>
      <c r="C26" s="263">
        <v>0</v>
      </c>
      <c r="D26" s="264">
        <v>0</v>
      </c>
      <c r="E26" s="381" t="s">
        <v>404</v>
      </c>
      <c r="F26" s="384" t="s">
        <v>364</v>
      </c>
      <c r="G26" s="384">
        <v>31</v>
      </c>
      <c r="H26" s="385">
        <v>29495</v>
      </c>
      <c r="I26" s="265">
        <f t="shared" si="0"/>
        <v>1980</v>
      </c>
      <c r="J26" s="641">
        <v>10</v>
      </c>
      <c r="K26" s="641" t="str">
        <f>VLOOKUP(J26,'Cost Escalators'!$C$313:$D$330,2,FALSE)</f>
        <v>Land</v>
      </c>
      <c r="L26" s="238" t="s">
        <v>405</v>
      </c>
      <c r="M26" s="384" t="s">
        <v>1506</v>
      </c>
      <c r="N26" s="246">
        <v>53865</v>
      </c>
      <c r="O26" s="267">
        <v>0</v>
      </c>
      <c r="P26" s="250">
        <f t="shared" si="1"/>
        <v>1980</v>
      </c>
      <c r="Q26" s="268">
        <f>IF(J26=10,1,IFERROR(INDEX('Cost Escalators'!$D$28:$D$92,MATCH($P$4,'Cost Escalators'!$B$28:$B$92,0))/INDEX('Cost Escalators'!$D$28:$D$92,MATCH(I26,'Cost Escalators'!$B$28:$B$92,0)),1))</f>
        <v>1</v>
      </c>
      <c r="R26" s="269">
        <f t="shared" si="2"/>
        <v>53865</v>
      </c>
      <c r="S26" s="269">
        <f t="shared" si="3"/>
        <v>53865</v>
      </c>
      <c r="T26" s="269">
        <f t="shared" si="4"/>
        <v>53865</v>
      </c>
      <c r="U26" s="242">
        <f t="shared" si="5"/>
        <v>0</v>
      </c>
    </row>
    <row r="27" spans="1:21" s="237" customFormat="1" x14ac:dyDescent="0.3">
      <c r="A27" s="237">
        <v>22</v>
      </c>
      <c r="B27" s="263">
        <v>0</v>
      </c>
      <c r="C27" s="263">
        <v>0</v>
      </c>
      <c r="D27" s="264">
        <v>0</v>
      </c>
      <c r="E27" s="381" t="s">
        <v>406</v>
      </c>
      <c r="F27" s="384" t="s">
        <v>364</v>
      </c>
      <c r="G27" s="384">
        <v>31</v>
      </c>
      <c r="H27" s="385">
        <v>28065</v>
      </c>
      <c r="I27" s="265">
        <f t="shared" si="0"/>
        <v>1976</v>
      </c>
      <c r="J27" s="641">
        <v>10</v>
      </c>
      <c r="K27" s="641" t="str">
        <f>VLOOKUP(J27,'Cost Escalators'!$C$313:$D$330,2,FALSE)</f>
        <v>Land</v>
      </c>
      <c r="L27" s="238" t="s">
        <v>407</v>
      </c>
      <c r="M27" s="384" t="s">
        <v>1506</v>
      </c>
      <c r="N27" s="246">
        <v>37317.78</v>
      </c>
      <c r="O27" s="267">
        <v>0</v>
      </c>
      <c r="P27" s="250">
        <f t="shared" si="1"/>
        <v>1976</v>
      </c>
      <c r="Q27" s="268">
        <f>IF(J27=10,1,IFERROR(INDEX('Cost Escalators'!$D$28:$D$92,MATCH($P$4,'Cost Escalators'!$B$28:$B$92,0))/INDEX('Cost Escalators'!$D$28:$D$92,MATCH(I27,'Cost Escalators'!$B$28:$B$92,0)),1))</f>
        <v>1</v>
      </c>
      <c r="R27" s="269">
        <f t="shared" si="2"/>
        <v>37317.78</v>
      </c>
      <c r="S27" s="269">
        <f t="shared" si="3"/>
        <v>37317.78</v>
      </c>
      <c r="T27" s="269">
        <f t="shared" si="4"/>
        <v>37317.78</v>
      </c>
      <c r="U27" s="242">
        <f t="shared" si="5"/>
        <v>0</v>
      </c>
    </row>
    <row r="28" spans="1:21" s="237" customFormat="1" x14ac:dyDescent="0.3">
      <c r="A28" s="237">
        <v>23</v>
      </c>
      <c r="B28" s="263">
        <v>0</v>
      </c>
      <c r="C28" s="263">
        <v>0</v>
      </c>
      <c r="D28" s="264">
        <v>0</v>
      </c>
      <c r="E28" s="381" t="s">
        <v>408</v>
      </c>
      <c r="F28" s="384" t="s">
        <v>364</v>
      </c>
      <c r="G28" s="384">
        <v>31</v>
      </c>
      <c r="H28" s="385">
        <v>29495</v>
      </c>
      <c r="I28" s="265">
        <f t="shared" si="0"/>
        <v>1980</v>
      </c>
      <c r="J28" s="641">
        <v>10</v>
      </c>
      <c r="K28" s="641" t="str">
        <f>VLOOKUP(J28,'Cost Escalators'!$C$313:$D$330,2,FALSE)</f>
        <v>Land</v>
      </c>
      <c r="L28" s="238" t="s">
        <v>409</v>
      </c>
      <c r="M28" s="384" t="s">
        <v>1506</v>
      </c>
      <c r="N28" s="246">
        <v>51030</v>
      </c>
      <c r="O28" s="267">
        <v>0</v>
      </c>
      <c r="P28" s="250">
        <f t="shared" si="1"/>
        <v>1980</v>
      </c>
      <c r="Q28" s="268">
        <f>IF(J28=10,1,IFERROR(INDEX('Cost Escalators'!$D$28:$D$92,MATCH($P$4,'Cost Escalators'!$B$28:$B$92,0))/INDEX('Cost Escalators'!$D$28:$D$92,MATCH(I28,'Cost Escalators'!$B$28:$B$92,0)),1))</f>
        <v>1</v>
      </c>
      <c r="R28" s="269">
        <f t="shared" si="2"/>
        <v>51030</v>
      </c>
      <c r="S28" s="269">
        <f t="shared" si="3"/>
        <v>51030</v>
      </c>
      <c r="T28" s="269">
        <f t="shared" si="4"/>
        <v>51030</v>
      </c>
      <c r="U28" s="242">
        <f t="shared" si="5"/>
        <v>0</v>
      </c>
    </row>
    <row r="29" spans="1:21" s="237" customFormat="1" x14ac:dyDescent="0.3">
      <c r="A29" s="237">
        <v>24</v>
      </c>
      <c r="B29" s="263">
        <v>0</v>
      </c>
      <c r="C29" s="263">
        <v>0</v>
      </c>
      <c r="D29" s="264">
        <v>0</v>
      </c>
      <c r="E29" s="381" t="s">
        <v>410</v>
      </c>
      <c r="F29" s="384" t="s">
        <v>364</v>
      </c>
      <c r="G29" s="384">
        <v>31</v>
      </c>
      <c r="H29" s="385">
        <v>29495</v>
      </c>
      <c r="I29" s="265">
        <f t="shared" si="0"/>
        <v>1980</v>
      </c>
      <c r="J29" s="641">
        <v>10</v>
      </c>
      <c r="K29" s="641" t="str">
        <f>VLOOKUP(J29,'Cost Escalators'!$C$313:$D$330,2,FALSE)</f>
        <v>Land</v>
      </c>
      <c r="L29" s="238" t="s">
        <v>411</v>
      </c>
      <c r="M29" s="384" t="s">
        <v>1506</v>
      </c>
      <c r="N29" s="246">
        <v>189945</v>
      </c>
      <c r="O29" s="267">
        <v>0</v>
      </c>
      <c r="P29" s="250">
        <f t="shared" si="1"/>
        <v>1980</v>
      </c>
      <c r="Q29" s="268">
        <f>IF(J29=10,1,IFERROR(INDEX('Cost Escalators'!$D$28:$D$92,MATCH($P$4,'Cost Escalators'!$B$28:$B$92,0))/INDEX('Cost Escalators'!$D$28:$D$92,MATCH(I29,'Cost Escalators'!$B$28:$B$92,0)),1))</f>
        <v>1</v>
      </c>
      <c r="R29" s="269">
        <f t="shared" si="2"/>
        <v>189945</v>
      </c>
      <c r="S29" s="269">
        <f t="shared" si="3"/>
        <v>189945</v>
      </c>
      <c r="T29" s="269">
        <f t="shared" si="4"/>
        <v>189945</v>
      </c>
      <c r="U29" s="242">
        <f t="shared" si="5"/>
        <v>0</v>
      </c>
    </row>
    <row r="30" spans="1:21" s="237" customFormat="1" x14ac:dyDescent="0.3">
      <c r="A30" s="237">
        <v>25</v>
      </c>
      <c r="B30" s="263">
        <v>0</v>
      </c>
      <c r="C30" s="263">
        <v>0</v>
      </c>
      <c r="D30" s="264">
        <v>0</v>
      </c>
      <c r="E30" s="381" t="s">
        <v>412</v>
      </c>
      <c r="F30" s="384" t="s">
        <v>364</v>
      </c>
      <c r="G30" s="384">
        <v>31</v>
      </c>
      <c r="H30" s="385">
        <v>30317</v>
      </c>
      <c r="I30" s="265">
        <f t="shared" si="0"/>
        <v>1983</v>
      </c>
      <c r="J30" s="641">
        <v>10</v>
      </c>
      <c r="K30" s="641" t="str">
        <f>VLOOKUP(J30,'Cost Escalators'!$C$313:$D$330,2,FALSE)</f>
        <v>Land</v>
      </c>
      <c r="L30" s="238" t="s">
        <v>413</v>
      </c>
      <c r="M30" s="384" t="s">
        <v>1506</v>
      </c>
      <c r="N30" s="246">
        <v>180502.69</v>
      </c>
      <c r="O30" s="267">
        <v>0</v>
      </c>
      <c r="P30" s="250">
        <f t="shared" si="1"/>
        <v>1983</v>
      </c>
      <c r="Q30" s="268">
        <f>IF(J30=10,1,IFERROR(INDEX('Cost Escalators'!$D$28:$D$92,MATCH($P$4,'Cost Escalators'!$B$28:$B$92,0))/INDEX('Cost Escalators'!$D$28:$D$92,MATCH(I30,'Cost Escalators'!$B$28:$B$92,0)),1))</f>
        <v>1</v>
      </c>
      <c r="R30" s="269">
        <f t="shared" si="2"/>
        <v>180502.69</v>
      </c>
      <c r="S30" s="269">
        <f t="shared" si="3"/>
        <v>180502.69</v>
      </c>
      <c r="T30" s="269">
        <f t="shared" si="4"/>
        <v>180502.69</v>
      </c>
      <c r="U30" s="242">
        <f t="shared" si="5"/>
        <v>0</v>
      </c>
    </row>
    <row r="31" spans="1:21" s="237" customFormat="1" x14ac:dyDescent="0.3">
      <c r="A31" s="237">
        <v>26</v>
      </c>
      <c r="B31" s="263">
        <v>0</v>
      </c>
      <c r="C31" s="263">
        <v>0</v>
      </c>
      <c r="D31" s="264">
        <v>0</v>
      </c>
      <c r="E31" s="383" t="s">
        <v>414</v>
      </c>
      <c r="F31" s="384" t="s">
        <v>364</v>
      </c>
      <c r="G31" s="384">
        <v>31</v>
      </c>
      <c r="H31" s="385">
        <v>31321</v>
      </c>
      <c r="I31" s="265">
        <f t="shared" si="0"/>
        <v>1985</v>
      </c>
      <c r="J31" s="641">
        <v>10</v>
      </c>
      <c r="K31" s="641" t="str">
        <f>VLOOKUP(J31,'Cost Escalators'!$C$313:$D$330,2,FALSE)</f>
        <v>Land</v>
      </c>
      <c r="L31" s="238" t="s">
        <v>415</v>
      </c>
      <c r="M31" s="384" t="s">
        <v>1506</v>
      </c>
      <c r="N31" s="246">
        <v>141473.9</v>
      </c>
      <c r="O31" s="267">
        <v>0</v>
      </c>
      <c r="P31" s="250">
        <f t="shared" si="1"/>
        <v>1985</v>
      </c>
      <c r="Q31" s="268">
        <f>IF(J31=10,1,IFERROR(INDEX('Cost Escalators'!$D$28:$D$92,MATCH($P$4,'Cost Escalators'!$B$28:$B$92,0))/INDEX('Cost Escalators'!$D$28:$D$92,MATCH(I31,'Cost Escalators'!$B$28:$B$92,0)),1))</f>
        <v>1</v>
      </c>
      <c r="R31" s="269">
        <f t="shared" si="2"/>
        <v>141473.9</v>
      </c>
      <c r="S31" s="269">
        <f t="shared" si="3"/>
        <v>141473.9</v>
      </c>
      <c r="T31" s="269">
        <f t="shared" si="4"/>
        <v>141473.9</v>
      </c>
      <c r="U31" s="242">
        <f t="shared" si="5"/>
        <v>0</v>
      </c>
    </row>
    <row r="32" spans="1:21" s="237" customFormat="1" x14ac:dyDescent="0.3">
      <c r="A32" s="237">
        <v>27</v>
      </c>
      <c r="B32" s="263">
        <v>0</v>
      </c>
      <c r="C32" s="263">
        <v>0</v>
      </c>
      <c r="D32" s="264">
        <v>0</v>
      </c>
      <c r="E32" s="383" t="s">
        <v>416</v>
      </c>
      <c r="F32" s="384" t="s">
        <v>364</v>
      </c>
      <c r="G32" s="384">
        <v>31</v>
      </c>
      <c r="H32" s="385">
        <v>31321</v>
      </c>
      <c r="I32" s="265">
        <f t="shared" si="0"/>
        <v>1985</v>
      </c>
      <c r="J32" s="641">
        <v>10</v>
      </c>
      <c r="K32" s="641" t="str">
        <f>VLOOKUP(J32,'Cost Escalators'!$C$313:$D$330,2,FALSE)</f>
        <v>Land</v>
      </c>
      <c r="L32" s="238" t="s">
        <v>417</v>
      </c>
      <c r="M32" s="384" t="s">
        <v>1506</v>
      </c>
      <c r="N32" s="246">
        <v>112769.05</v>
      </c>
      <c r="O32" s="267">
        <v>0</v>
      </c>
      <c r="P32" s="250">
        <f t="shared" si="1"/>
        <v>1985</v>
      </c>
      <c r="Q32" s="268">
        <f>IF(J32=10,1,IFERROR(INDEX('Cost Escalators'!$D$28:$D$92,MATCH($P$4,'Cost Escalators'!$B$28:$B$92,0))/INDEX('Cost Escalators'!$D$28:$D$92,MATCH(I32,'Cost Escalators'!$B$28:$B$92,0)),1))</f>
        <v>1</v>
      </c>
      <c r="R32" s="269">
        <f t="shared" si="2"/>
        <v>112769.05</v>
      </c>
      <c r="S32" s="269">
        <f t="shared" si="3"/>
        <v>112769.05</v>
      </c>
      <c r="T32" s="269">
        <f t="shared" si="4"/>
        <v>112769.05</v>
      </c>
      <c r="U32" s="242">
        <f t="shared" si="5"/>
        <v>0</v>
      </c>
    </row>
    <row r="33" spans="1:21" s="237" customFormat="1" x14ac:dyDescent="0.3">
      <c r="A33" s="237">
        <v>28</v>
      </c>
      <c r="B33" s="263">
        <v>0</v>
      </c>
      <c r="C33" s="263">
        <v>0</v>
      </c>
      <c r="D33" s="264">
        <v>0</v>
      </c>
      <c r="E33" s="383" t="s">
        <v>418</v>
      </c>
      <c r="F33" s="384" t="s">
        <v>364</v>
      </c>
      <c r="G33" s="384">
        <v>31</v>
      </c>
      <c r="H33" s="385">
        <v>28909</v>
      </c>
      <c r="I33" s="265">
        <f t="shared" si="0"/>
        <v>1979</v>
      </c>
      <c r="J33" s="641">
        <v>10</v>
      </c>
      <c r="K33" s="641" t="str">
        <f>VLOOKUP(J33,'Cost Escalators'!$C$313:$D$330,2,FALSE)</f>
        <v>Land</v>
      </c>
      <c r="L33" s="238" t="s">
        <v>419</v>
      </c>
      <c r="M33" s="384" t="s">
        <v>1506</v>
      </c>
      <c r="N33" s="246">
        <v>17000</v>
      </c>
      <c r="O33" s="267">
        <v>0</v>
      </c>
      <c r="P33" s="250">
        <f t="shared" si="1"/>
        <v>1979</v>
      </c>
      <c r="Q33" s="268">
        <f>IF(J33=10,1,IFERROR(INDEX('Cost Escalators'!$D$28:$D$92,MATCH($P$4,'Cost Escalators'!$B$28:$B$92,0))/INDEX('Cost Escalators'!$D$28:$D$92,MATCH(I33,'Cost Escalators'!$B$28:$B$92,0)),1))</f>
        <v>1</v>
      </c>
      <c r="R33" s="269">
        <f t="shared" si="2"/>
        <v>17000</v>
      </c>
      <c r="S33" s="269">
        <f t="shared" si="3"/>
        <v>17000</v>
      </c>
      <c r="T33" s="269">
        <f t="shared" si="4"/>
        <v>17000</v>
      </c>
      <c r="U33" s="242">
        <f t="shared" si="5"/>
        <v>0</v>
      </c>
    </row>
    <row r="34" spans="1:21" s="237" customFormat="1" x14ac:dyDescent="0.3">
      <c r="A34" s="237">
        <v>29</v>
      </c>
      <c r="B34" s="263">
        <v>0</v>
      </c>
      <c r="C34" s="263">
        <v>0</v>
      </c>
      <c r="D34" s="264">
        <v>0</v>
      </c>
      <c r="E34" s="383" t="s">
        <v>420</v>
      </c>
      <c r="F34" s="384" t="s">
        <v>364</v>
      </c>
      <c r="G34" s="384">
        <v>31</v>
      </c>
      <c r="H34" s="385">
        <v>29129</v>
      </c>
      <c r="I34" s="265">
        <f t="shared" si="0"/>
        <v>1979</v>
      </c>
      <c r="J34" s="641">
        <v>10</v>
      </c>
      <c r="K34" s="641" t="str">
        <f>VLOOKUP(J34,'Cost Escalators'!$C$313:$D$330,2,FALSE)</f>
        <v>Land</v>
      </c>
      <c r="L34" s="238" t="s">
        <v>421</v>
      </c>
      <c r="M34" s="384" t="s">
        <v>1506</v>
      </c>
      <c r="N34" s="246">
        <v>93285</v>
      </c>
      <c r="O34" s="267">
        <v>0</v>
      </c>
      <c r="P34" s="250">
        <f t="shared" si="1"/>
        <v>1979</v>
      </c>
      <c r="Q34" s="268">
        <f>IF(J34=10,1,IFERROR(INDEX('Cost Escalators'!$D$28:$D$92,MATCH($P$4,'Cost Escalators'!$B$28:$B$92,0))/INDEX('Cost Escalators'!$D$28:$D$92,MATCH(I34,'Cost Escalators'!$B$28:$B$92,0)),1))</f>
        <v>1</v>
      </c>
      <c r="R34" s="269">
        <f t="shared" si="2"/>
        <v>93285</v>
      </c>
      <c r="S34" s="269">
        <f t="shared" si="3"/>
        <v>93285</v>
      </c>
      <c r="T34" s="269">
        <f t="shared" si="4"/>
        <v>93285</v>
      </c>
      <c r="U34" s="242">
        <f t="shared" si="5"/>
        <v>0</v>
      </c>
    </row>
    <row r="35" spans="1:21" s="237" customFormat="1" x14ac:dyDescent="0.3">
      <c r="A35" s="237">
        <v>30</v>
      </c>
      <c r="B35" s="263">
        <v>0</v>
      </c>
      <c r="C35" s="263">
        <v>0</v>
      </c>
      <c r="D35" s="264">
        <v>0</v>
      </c>
      <c r="E35" s="383" t="s">
        <v>422</v>
      </c>
      <c r="F35" s="384" t="s">
        <v>364</v>
      </c>
      <c r="G35" s="384">
        <v>31</v>
      </c>
      <c r="H35" s="385">
        <v>29129</v>
      </c>
      <c r="I35" s="265">
        <f t="shared" si="0"/>
        <v>1979</v>
      </c>
      <c r="J35" s="641">
        <v>10</v>
      </c>
      <c r="K35" s="641" t="str">
        <f>VLOOKUP(J35,'Cost Escalators'!$C$313:$D$330,2,FALSE)</f>
        <v>Land</v>
      </c>
      <c r="L35" s="238" t="s">
        <v>423</v>
      </c>
      <c r="M35" s="384" t="s">
        <v>1506</v>
      </c>
      <c r="N35" s="246">
        <v>93285</v>
      </c>
      <c r="O35" s="267">
        <v>0</v>
      </c>
      <c r="P35" s="250">
        <f t="shared" si="1"/>
        <v>1979</v>
      </c>
      <c r="Q35" s="268">
        <f>IF(J35=10,1,IFERROR(INDEX('Cost Escalators'!$D$28:$D$92,MATCH($P$4,'Cost Escalators'!$B$28:$B$92,0))/INDEX('Cost Escalators'!$D$28:$D$92,MATCH(I35,'Cost Escalators'!$B$28:$B$92,0)),1))</f>
        <v>1</v>
      </c>
      <c r="R35" s="269">
        <f t="shared" si="2"/>
        <v>93285</v>
      </c>
      <c r="S35" s="269">
        <f t="shared" si="3"/>
        <v>93285</v>
      </c>
      <c r="T35" s="269">
        <f t="shared" si="4"/>
        <v>93285</v>
      </c>
      <c r="U35" s="242">
        <f t="shared" si="5"/>
        <v>0</v>
      </c>
    </row>
    <row r="36" spans="1:21" s="237" customFormat="1" x14ac:dyDescent="0.3">
      <c r="A36" s="237">
        <v>31</v>
      </c>
      <c r="B36" s="263">
        <v>0</v>
      </c>
      <c r="C36" s="263">
        <v>0</v>
      </c>
      <c r="D36" s="264">
        <v>0</v>
      </c>
      <c r="E36" s="383" t="s">
        <v>424</v>
      </c>
      <c r="F36" s="384" t="s">
        <v>364</v>
      </c>
      <c r="G36" s="384">
        <v>31</v>
      </c>
      <c r="H36" s="385">
        <v>29129</v>
      </c>
      <c r="I36" s="265">
        <f t="shared" si="0"/>
        <v>1979</v>
      </c>
      <c r="J36" s="641">
        <v>10</v>
      </c>
      <c r="K36" s="641" t="str">
        <f>VLOOKUP(J36,'Cost Escalators'!$C$313:$D$330,2,FALSE)</f>
        <v>Land</v>
      </c>
      <c r="L36" s="238" t="s">
        <v>425</v>
      </c>
      <c r="M36" s="384" t="s">
        <v>1506</v>
      </c>
      <c r="N36" s="246">
        <v>29970</v>
      </c>
      <c r="O36" s="267">
        <v>0</v>
      </c>
      <c r="P36" s="250">
        <f t="shared" si="1"/>
        <v>1979</v>
      </c>
      <c r="Q36" s="268">
        <f>IF(J36=10,1,IFERROR(INDEX('Cost Escalators'!$D$28:$D$92,MATCH($P$4,'Cost Escalators'!$B$28:$B$92,0))/INDEX('Cost Escalators'!$D$28:$D$92,MATCH(I36,'Cost Escalators'!$B$28:$B$92,0)),1))</f>
        <v>1</v>
      </c>
      <c r="R36" s="269">
        <f t="shared" si="2"/>
        <v>29970</v>
      </c>
      <c r="S36" s="269">
        <f t="shared" si="3"/>
        <v>29970</v>
      </c>
      <c r="T36" s="269">
        <f t="shared" si="4"/>
        <v>29970</v>
      </c>
      <c r="U36" s="242">
        <f t="shared" si="5"/>
        <v>0</v>
      </c>
    </row>
    <row r="37" spans="1:21" s="237" customFormat="1" x14ac:dyDescent="0.3">
      <c r="A37" s="237">
        <v>32</v>
      </c>
      <c r="B37" s="263">
        <v>0</v>
      </c>
      <c r="C37" s="263">
        <v>0</v>
      </c>
      <c r="D37" s="264">
        <v>0</v>
      </c>
      <c r="E37" s="383" t="s">
        <v>426</v>
      </c>
      <c r="F37" s="384" t="s">
        <v>364</v>
      </c>
      <c r="G37" s="384">
        <v>31</v>
      </c>
      <c r="H37" s="385">
        <v>28430</v>
      </c>
      <c r="I37" s="265">
        <f t="shared" si="0"/>
        <v>1977</v>
      </c>
      <c r="J37" s="641">
        <v>10</v>
      </c>
      <c r="K37" s="641" t="str">
        <f>VLOOKUP(J37,'Cost Escalators'!$C$313:$D$330,2,FALSE)</f>
        <v>Land</v>
      </c>
      <c r="L37" s="238" t="s">
        <v>427</v>
      </c>
      <c r="M37" s="384" t="s">
        <v>1506</v>
      </c>
      <c r="N37" s="246">
        <v>15000</v>
      </c>
      <c r="O37" s="267">
        <v>0</v>
      </c>
      <c r="P37" s="250">
        <f t="shared" si="1"/>
        <v>1977</v>
      </c>
      <c r="Q37" s="268">
        <f>IF(J37=10,1,IFERROR(INDEX('Cost Escalators'!$D$28:$D$92,MATCH($P$4,'Cost Escalators'!$B$28:$B$92,0))/INDEX('Cost Escalators'!$D$28:$D$92,MATCH(I37,'Cost Escalators'!$B$28:$B$92,0)),1))</f>
        <v>1</v>
      </c>
      <c r="R37" s="269">
        <f t="shared" si="2"/>
        <v>15000</v>
      </c>
      <c r="S37" s="269">
        <f t="shared" si="3"/>
        <v>15000</v>
      </c>
      <c r="T37" s="269">
        <f t="shared" si="4"/>
        <v>15000</v>
      </c>
      <c r="U37" s="242">
        <f t="shared" si="5"/>
        <v>0</v>
      </c>
    </row>
    <row r="38" spans="1:21" s="237" customFormat="1" x14ac:dyDescent="0.3">
      <c r="A38" s="237">
        <v>33</v>
      </c>
      <c r="B38" s="263">
        <v>0</v>
      </c>
      <c r="C38" s="263">
        <v>0</v>
      </c>
      <c r="D38" s="264">
        <v>0</v>
      </c>
      <c r="E38" s="381" t="s">
        <v>428</v>
      </c>
      <c r="F38" s="384" t="s">
        <v>364</v>
      </c>
      <c r="G38" s="384">
        <v>31</v>
      </c>
      <c r="H38" s="385">
        <v>30621</v>
      </c>
      <c r="I38" s="265">
        <f t="shared" si="0"/>
        <v>1983</v>
      </c>
      <c r="J38" s="641">
        <v>10</v>
      </c>
      <c r="K38" s="641" t="str">
        <f>VLOOKUP(J38,'Cost Escalators'!$C$313:$D$330,2,FALSE)</f>
        <v>Land</v>
      </c>
      <c r="L38" s="238" t="s">
        <v>429</v>
      </c>
      <c r="M38" s="384" t="s">
        <v>1506</v>
      </c>
      <c r="N38" s="246">
        <v>45289.760000000002</v>
      </c>
      <c r="O38" s="267">
        <v>0</v>
      </c>
      <c r="P38" s="250">
        <f t="shared" si="1"/>
        <v>1983</v>
      </c>
      <c r="Q38" s="268">
        <f>IF(J38=10,1,IFERROR(INDEX('Cost Escalators'!$D$28:$D$92,MATCH($P$4,'Cost Escalators'!$B$28:$B$92,0))/INDEX('Cost Escalators'!$D$28:$D$92,MATCH(I38,'Cost Escalators'!$B$28:$B$92,0)),1))</f>
        <v>1</v>
      </c>
      <c r="R38" s="269">
        <f t="shared" si="2"/>
        <v>45289.760000000002</v>
      </c>
      <c r="S38" s="269">
        <f t="shared" si="3"/>
        <v>45289.760000000002</v>
      </c>
      <c r="T38" s="269">
        <f t="shared" si="4"/>
        <v>45289.760000000002</v>
      </c>
      <c r="U38" s="242">
        <f t="shared" si="5"/>
        <v>0</v>
      </c>
    </row>
    <row r="39" spans="1:21" s="237" customFormat="1" x14ac:dyDescent="0.3">
      <c r="A39" s="237">
        <v>34</v>
      </c>
      <c r="B39" s="263">
        <v>0</v>
      </c>
      <c r="C39" s="263">
        <v>0</v>
      </c>
      <c r="D39" s="264">
        <v>0</v>
      </c>
      <c r="E39" s="381" t="s">
        <v>430</v>
      </c>
      <c r="F39" s="384" t="s">
        <v>364</v>
      </c>
      <c r="G39" s="384">
        <v>31</v>
      </c>
      <c r="H39" s="385">
        <v>28642</v>
      </c>
      <c r="I39" s="265">
        <f t="shared" si="0"/>
        <v>1978</v>
      </c>
      <c r="J39" s="641">
        <v>10</v>
      </c>
      <c r="K39" s="641" t="str">
        <f>VLOOKUP(J39,'Cost Escalators'!$C$313:$D$330,2,FALSE)</f>
        <v>Land</v>
      </c>
      <c r="L39" s="238" t="s">
        <v>431</v>
      </c>
      <c r="M39" s="384" t="s">
        <v>1506</v>
      </c>
      <c r="N39" s="246">
        <v>51428.57</v>
      </c>
      <c r="O39" s="267">
        <v>0</v>
      </c>
      <c r="P39" s="250">
        <f t="shared" si="1"/>
        <v>1978</v>
      </c>
      <c r="Q39" s="268">
        <f>IF(J39=10,1,IFERROR(INDEX('Cost Escalators'!$D$28:$D$92,MATCH($P$4,'Cost Escalators'!$B$28:$B$92,0))/INDEX('Cost Escalators'!$D$28:$D$92,MATCH(I39,'Cost Escalators'!$B$28:$B$92,0)),1))</f>
        <v>1</v>
      </c>
      <c r="R39" s="269">
        <f t="shared" si="2"/>
        <v>51428.57</v>
      </c>
      <c r="S39" s="269">
        <f t="shared" si="3"/>
        <v>51428.57</v>
      </c>
      <c r="T39" s="269">
        <f t="shared" si="4"/>
        <v>51428.57</v>
      </c>
      <c r="U39" s="242">
        <f t="shared" si="5"/>
        <v>0</v>
      </c>
    </row>
    <row r="40" spans="1:21" s="237" customFormat="1" x14ac:dyDescent="0.3">
      <c r="A40" s="237">
        <v>35</v>
      </c>
      <c r="B40" s="263">
        <v>0</v>
      </c>
      <c r="C40" s="263">
        <v>0</v>
      </c>
      <c r="D40" s="264">
        <v>0</v>
      </c>
      <c r="E40" s="381" t="s">
        <v>432</v>
      </c>
      <c r="F40" s="384" t="s">
        <v>364</v>
      </c>
      <c r="G40" s="384">
        <v>31</v>
      </c>
      <c r="H40" s="385">
        <v>28642</v>
      </c>
      <c r="I40" s="265">
        <f t="shared" si="0"/>
        <v>1978</v>
      </c>
      <c r="J40" s="641">
        <v>10</v>
      </c>
      <c r="K40" s="641" t="str">
        <f>VLOOKUP(J40,'Cost Escalators'!$C$313:$D$330,2,FALSE)</f>
        <v>Land</v>
      </c>
      <c r="L40" s="238" t="s">
        <v>433</v>
      </c>
      <c r="M40" s="384" t="s">
        <v>1506</v>
      </c>
      <c r="N40" s="246">
        <v>77142.86</v>
      </c>
      <c r="O40" s="267">
        <v>0</v>
      </c>
      <c r="P40" s="250">
        <f t="shared" si="1"/>
        <v>1978</v>
      </c>
      <c r="Q40" s="268">
        <f>IF(J40=10,1,IFERROR(INDEX('Cost Escalators'!$D$28:$D$92,MATCH($P$4,'Cost Escalators'!$B$28:$B$92,0))/INDEX('Cost Escalators'!$D$28:$D$92,MATCH(I40,'Cost Escalators'!$B$28:$B$92,0)),1))</f>
        <v>1</v>
      </c>
      <c r="R40" s="269">
        <f t="shared" si="2"/>
        <v>77142.86</v>
      </c>
      <c r="S40" s="269">
        <f t="shared" si="3"/>
        <v>77142.86</v>
      </c>
      <c r="T40" s="269">
        <f t="shared" si="4"/>
        <v>77142.86</v>
      </c>
      <c r="U40" s="242">
        <f t="shared" si="5"/>
        <v>0</v>
      </c>
    </row>
    <row r="41" spans="1:21" s="237" customFormat="1" x14ac:dyDescent="0.3">
      <c r="A41" s="237">
        <v>36</v>
      </c>
      <c r="B41" s="263">
        <v>0</v>
      </c>
      <c r="C41" s="263">
        <v>0</v>
      </c>
      <c r="D41" s="264">
        <v>0</v>
      </c>
      <c r="E41" s="381" t="s">
        <v>434</v>
      </c>
      <c r="F41" s="384" t="s">
        <v>364</v>
      </c>
      <c r="G41" s="384">
        <v>31</v>
      </c>
      <c r="H41" s="385">
        <v>22007</v>
      </c>
      <c r="I41" s="265">
        <f t="shared" si="0"/>
        <v>1960</v>
      </c>
      <c r="J41" s="641">
        <v>10</v>
      </c>
      <c r="K41" s="641" t="str">
        <f>VLOOKUP(J41,'Cost Escalators'!$C$313:$D$330,2,FALSE)</f>
        <v>Land</v>
      </c>
      <c r="L41" s="238" t="s">
        <v>435</v>
      </c>
      <c r="M41" s="384" t="s">
        <v>1506</v>
      </c>
      <c r="N41" s="246">
        <v>5500</v>
      </c>
      <c r="O41" s="267">
        <v>0</v>
      </c>
      <c r="P41" s="250">
        <f t="shared" si="1"/>
        <v>1960</v>
      </c>
      <c r="Q41" s="268">
        <f>IF(J41=10,1,IFERROR(INDEX('Cost Escalators'!$D$28:$D$92,MATCH($P$4,'Cost Escalators'!$B$28:$B$92,0))/INDEX('Cost Escalators'!$D$28:$D$92,MATCH(I41,'Cost Escalators'!$B$28:$B$92,0)),1))</f>
        <v>1</v>
      </c>
      <c r="R41" s="269">
        <f t="shared" si="2"/>
        <v>5500</v>
      </c>
      <c r="S41" s="269">
        <f t="shared" si="3"/>
        <v>5500</v>
      </c>
      <c r="T41" s="269">
        <f t="shared" si="4"/>
        <v>5500</v>
      </c>
      <c r="U41" s="242">
        <f t="shared" si="5"/>
        <v>0</v>
      </c>
    </row>
    <row r="42" spans="1:21" s="237" customFormat="1" x14ac:dyDescent="0.3">
      <c r="A42" s="237">
        <v>37</v>
      </c>
      <c r="B42" s="263">
        <v>0</v>
      </c>
      <c r="C42" s="263">
        <v>0</v>
      </c>
      <c r="D42" s="264">
        <v>0</v>
      </c>
      <c r="E42" s="383" t="s">
        <v>436</v>
      </c>
      <c r="F42" s="384" t="s">
        <v>364</v>
      </c>
      <c r="G42" s="384">
        <v>31</v>
      </c>
      <c r="H42" s="385">
        <v>30529</v>
      </c>
      <c r="I42" s="265">
        <f t="shared" si="0"/>
        <v>1983</v>
      </c>
      <c r="J42" s="641">
        <v>10</v>
      </c>
      <c r="K42" s="641" t="str">
        <f>VLOOKUP(J42,'Cost Escalators'!$C$313:$D$330,2,FALSE)</f>
        <v>Land</v>
      </c>
      <c r="L42" s="238" t="s">
        <v>437</v>
      </c>
      <c r="M42" s="384" t="s">
        <v>1506</v>
      </c>
      <c r="N42" s="246">
        <v>52509.87</v>
      </c>
      <c r="O42" s="267">
        <v>0</v>
      </c>
      <c r="P42" s="250">
        <f t="shared" si="1"/>
        <v>1983</v>
      </c>
      <c r="Q42" s="268">
        <f>IF(J42=10,1,IFERROR(INDEX('Cost Escalators'!$D$28:$D$92,MATCH($P$4,'Cost Escalators'!$B$28:$B$92,0))/INDEX('Cost Escalators'!$D$28:$D$92,MATCH(I42,'Cost Escalators'!$B$28:$B$92,0)),1))</f>
        <v>1</v>
      </c>
      <c r="R42" s="269">
        <f t="shared" si="2"/>
        <v>52509.87</v>
      </c>
      <c r="S42" s="269">
        <f t="shared" si="3"/>
        <v>52509.87</v>
      </c>
      <c r="T42" s="269">
        <f t="shared" si="4"/>
        <v>52509.87</v>
      </c>
      <c r="U42" s="242">
        <f t="shared" si="5"/>
        <v>0</v>
      </c>
    </row>
    <row r="43" spans="1:21" s="237" customFormat="1" x14ac:dyDescent="0.3">
      <c r="A43" s="237">
        <v>38</v>
      </c>
      <c r="B43" s="263">
        <v>0</v>
      </c>
      <c r="C43" s="263">
        <v>0</v>
      </c>
      <c r="D43" s="264">
        <v>0</v>
      </c>
      <c r="E43" s="383" t="s">
        <v>438</v>
      </c>
      <c r="F43" s="384" t="s">
        <v>364</v>
      </c>
      <c r="G43" s="384">
        <v>31</v>
      </c>
      <c r="H43" s="385">
        <v>31352</v>
      </c>
      <c r="I43" s="265">
        <f t="shared" si="0"/>
        <v>1985</v>
      </c>
      <c r="J43" s="641">
        <v>10</v>
      </c>
      <c r="K43" s="641" t="str">
        <f>VLOOKUP(J43,'Cost Escalators'!$C$313:$D$330,2,FALSE)</f>
        <v>Land</v>
      </c>
      <c r="L43" s="238" t="s">
        <v>439</v>
      </c>
      <c r="M43" s="384" t="s">
        <v>1506</v>
      </c>
      <c r="N43" s="246">
        <v>61510.39</v>
      </c>
      <c r="O43" s="267">
        <v>0</v>
      </c>
      <c r="P43" s="250">
        <f t="shared" si="1"/>
        <v>1985</v>
      </c>
      <c r="Q43" s="268">
        <f>IF(J43=10,1,IFERROR(INDEX('Cost Escalators'!$D$28:$D$92,MATCH($P$4,'Cost Escalators'!$B$28:$B$92,0))/INDEX('Cost Escalators'!$D$28:$D$92,MATCH(I43,'Cost Escalators'!$B$28:$B$92,0)),1))</f>
        <v>1</v>
      </c>
      <c r="R43" s="269">
        <f t="shared" si="2"/>
        <v>61510.39</v>
      </c>
      <c r="S43" s="269">
        <f t="shared" si="3"/>
        <v>61510.39</v>
      </c>
      <c r="T43" s="269">
        <f t="shared" si="4"/>
        <v>61510.39</v>
      </c>
      <c r="U43" s="242">
        <f t="shared" si="5"/>
        <v>0</v>
      </c>
    </row>
    <row r="44" spans="1:21" s="237" customFormat="1" x14ac:dyDescent="0.3">
      <c r="A44" s="237">
        <v>39</v>
      </c>
      <c r="B44" s="263">
        <v>0</v>
      </c>
      <c r="C44" s="263">
        <v>0</v>
      </c>
      <c r="D44" s="264">
        <v>0</v>
      </c>
      <c r="E44" s="381" t="s">
        <v>440</v>
      </c>
      <c r="F44" s="384" t="s">
        <v>364</v>
      </c>
      <c r="G44" s="384">
        <v>31</v>
      </c>
      <c r="H44" s="385">
        <v>31079</v>
      </c>
      <c r="I44" s="265">
        <f t="shared" si="0"/>
        <v>1985</v>
      </c>
      <c r="J44" s="641">
        <v>10</v>
      </c>
      <c r="K44" s="641" t="str">
        <f>VLOOKUP(J44,'Cost Escalators'!$C$313:$D$330,2,FALSE)</f>
        <v>Land</v>
      </c>
      <c r="L44" s="238" t="s">
        <v>441</v>
      </c>
      <c r="M44" s="384" t="s">
        <v>1506</v>
      </c>
      <c r="N44" s="246">
        <v>304295.52</v>
      </c>
      <c r="O44" s="267">
        <v>0</v>
      </c>
      <c r="P44" s="250">
        <f t="shared" si="1"/>
        <v>1985</v>
      </c>
      <c r="Q44" s="268">
        <f>IF(J44=10,1,IFERROR(INDEX('Cost Escalators'!$D$28:$D$92,MATCH($P$4,'Cost Escalators'!$B$28:$B$92,0))/INDEX('Cost Escalators'!$D$28:$D$92,MATCH(I44,'Cost Escalators'!$B$28:$B$92,0)),1))</f>
        <v>1</v>
      </c>
      <c r="R44" s="269">
        <f t="shared" si="2"/>
        <v>304295.52</v>
      </c>
      <c r="S44" s="269">
        <f t="shared" si="3"/>
        <v>304295.52</v>
      </c>
      <c r="T44" s="269">
        <f t="shared" si="4"/>
        <v>304295.52</v>
      </c>
      <c r="U44" s="242">
        <f t="shared" si="5"/>
        <v>0</v>
      </c>
    </row>
    <row r="45" spans="1:21" s="237" customFormat="1" x14ac:dyDescent="0.3">
      <c r="A45" s="237">
        <v>40</v>
      </c>
      <c r="B45" s="263">
        <v>0</v>
      </c>
      <c r="C45" s="263">
        <v>0</v>
      </c>
      <c r="D45" s="264">
        <v>0</v>
      </c>
      <c r="E45" s="381" t="s">
        <v>442</v>
      </c>
      <c r="F45" s="384" t="s">
        <v>364</v>
      </c>
      <c r="G45" s="384">
        <v>31</v>
      </c>
      <c r="H45" s="385">
        <v>31321</v>
      </c>
      <c r="I45" s="265">
        <f t="shared" si="0"/>
        <v>1985</v>
      </c>
      <c r="J45" s="641">
        <v>10</v>
      </c>
      <c r="K45" s="641" t="str">
        <f>VLOOKUP(J45,'Cost Escalators'!$C$313:$D$330,2,FALSE)</f>
        <v>Land</v>
      </c>
      <c r="L45" s="238" t="s">
        <v>417</v>
      </c>
      <c r="M45" s="384" t="s">
        <v>1506</v>
      </c>
      <c r="N45" s="246">
        <v>112769.04</v>
      </c>
      <c r="O45" s="267">
        <v>0</v>
      </c>
      <c r="P45" s="250">
        <f t="shared" si="1"/>
        <v>1985</v>
      </c>
      <c r="Q45" s="268">
        <f>IF(J45=10,1,IFERROR(INDEX('Cost Escalators'!$D$28:$D$92,MATCH($P$4,'Cost Escalators'!$B$28:$B$92,0))/INDEX('Cost Escalators'!$D$28:$D$92,MATCH(I45,'Cost Escalators'!$B$28:$B$92,0)),1))</f>
        <v>1</v>
      </c>
      <c r="R45" s="269">
        <f t="shared" si="2"/>
        <v>112769.04</v>
      </c>
      <c r="S45" s="269">
        <f t="shared" si="3"/>
        <v>112769.04</v>
      </c>
      <c r="T45" s="269">
        <f t="shared" si="4"/>
        <v>112769.04</v>
      </c>
      <c r="U45" s="242">
        <f t="shared" si="5"/>
        <v>0</v>
      </c>
    </row>
    <row r="46" spans="1:21" s="237" customFormat="1" x14ac:dyDescent="0.3">
      <c r="A46" s="237">
        <v>41</v>
      </c>
      <c r="B46" s="263">
        <v>0</v>
      </c>
      <c r="C46" s="263">
        <v>0</v>
      </c>
      <c r="D46" s="264">
        <v>0</v>
      </c>
      <c r="E46" s="381" t="s">
        <v>443</v>
      </c>
      <c r="F46" s="384" t="s">
        <v>364</v>
      </c>
      <c r="G46" s="384">
        <v>31</v>
      </c>
      <c r="H46" s="385">
        <v>31352</v>
      </c>
      <c r="I46" s="265">
        <f t="shared" si="0"/>
        <v>1985</v>
      </c>
      <c r="J46" s="641">
        <v>10</v>
      </c>
      <c r="K46" s="641" t="str">
        <f>VLOOKUP(J46,'Cost Escalators'!$C$313:$D$330,2,FALSE)</f>
        <v>Land</v>
      </c>
      <c r="L46" s="238" t="s">
        <v>444</v>
      </c>
      <c r="M46" s="384" t="s">
        <v>1506</v>
      </c>
      <c r="N46" s="246">
        <v>96245.67</v>
      </c>
      <c r="O46" s="267">
        <v>0</v>
      </c>
      <c r="P46" s="250">
        <f t="shared" si="1"/>
        <v>1985</v>
      </c>
      <c r="Q46" s="268">
        <f>IF(J46=10,1,IFERROR(INDEX('Cost Escalators'!$D$28:$D$92,MATCH($P$4,'Cost Escalators'!$B$28:$B$92,0))/INDEX('Cost Escalators'!$D$28:$D$92,MATCH(I46,'Cost Escalators'!$B$28:$B$92,0)),1))</f>
        <v>1</v>
      </c>
      <c r="R46" s="269">
        <f t="shared" si="2"/>
        <v>96245.67</v>
      </c>
      <c r="S46" s="269">
        <f t="shared" si="3"/>
        <v>96245.67</v>
      </c>
      <c r="T46" s="269">
        <f t="shared" si="4"/>
        <v>96245.67</v>
      </c>
      <c r="U46" s="242">
        <f t="shared" si="5"/>
        <v>0</v>
      </c>
    </row>
    <row r="47" spans="1:21" s="237" customFormat="1" x14ac:dyDescent="0.3">
      <c r="A47" s="237">
        <v>42</v>
      </c>
      <c r="B47" s="263">
        <v>0</v>
      </c>
      <c r="C47" s="263">
        <v>0</v>
      </c>
      <c r="D47" s="264">
        <v>0</v>
      </c>
      <c r="E47" s="381" t="s">
        <v>445</v>
      </c>
      <c r="F47" s="384" t="s">
        <v>364</v>
      </c>
      <c r="G47" s="384">
        <v>31</v>
      </c>
      <c r="H47" s="385">
        <v>33208</v>
      </c>
      <c r="I47" s="265">
        <f t="shared" si="0"/>
        <v>1990</v>
      </c>
      <c r="J47" s="641">
        <v>10</v>
      </c>
      <c r="K47" s="641" t="str">
        <f>VLOOKUP(J47,'Cost Escalators'!$C$313:$D$330,2,FALSE)</f>
        <v>Land</v>
      </c>
      <c r="L47" s="238" t="s">
        <v>446</v>
      </c>
      <c r="M47" s="384" t="s">
        <v>1506</v>
      </c>
      <c r="N47" s="246">
        <v>47040</v>
      </c>
      <c r="O47" s="267">
        <v>0</v>
      </c>
      <c r="P47" s="250">
        <f t="shared" si="1"/>
        <v>1990</v>
      </c>
      <c r="Q47" s="268">
        <f>IF(J47=10,1,IFERROR(INDEX('Cost Escalators'!$D$28:$D$92,MATCH($P$4,'Cost Escalators'!$B$28:$B$92,0))/INDEX('Cost Escalators'!$D$28:$D$92,MATCH(I47,'Cost Escalators'!$B$28:$B$92,0)),1))</f>
        <v>1</v>
      </c>
      <c r="R47" s="269">
        <f t="shared" si="2"/>
        <v>47040</v>
      </c>
      <c r="S47" s="269">
        <f t="shared" si="3"/>
        <v>47040</v>
      </c>
      <c r="T47" s="269">
        <f t="shared" si="4"/>
        <v>47040</v>
      </c>
      <c r="U47" s="242">
        <f t="shared" si="5"/>
        <v>0</v>
      </c>
    </row>
    <row r="48" spans="1:21" s="237" customFormat="1" x14ac:dyDescent="0.3">
      <c r="A48" s="237">
        <v>43</v>
      </c>
      <c r="B48" s="263">
        <v>0</v>
      </c>
      <c r="C48" s="263">
        <v>0</v>
      </c>
      <c r="D48" s="264">
        <v>0</v>
      </c>
      <c r="E48" s="381" t="s">
        <v>447</v>
      </c>
      <c r="F48" s="384" t="s">
        <v>364</v>
      </c>
      <c r="G48" s="384">
        <v>31</v>
      </c>
      <c r="H48" s="385">
        <v>33208</v>
      </c>
      <c r="I48" s="265">
        <f t="shared" si="0"/>
        <v>1990</v>
      </c>
      <c r="J48" s="641">
        <v>10</v>
      </c>
      <c r="K48" s="641" t="str">
        <f>VLOOKUP(J48,'Cost Escalators'!$C$313:$D$330,2,FALSE)</f>
        <v>Land</v>
      </c>
      <c r="L48" s="238" t="s">
        <v>448</v>
      </c>
      <c r="M48" s="384" t="s">
        <v>1506</v>
      </c>
      <c r="N48" s="246">
        <v>115440</v>
      </c>
      <c r="O48" s="267">
        <v>0</v>
      </c>
      <c r="P48" s="250">
        <f t="shared" si="1"/>
        <v>1990</v>
      </c>
      <c r="Q48" s="268">
        <f>IF(J48=10,1,IFERROR(INDEX('Cost Escalators'!$D$28:$D$92,MATCH($P$4,'Cost Escalators'!$B$28:$B$92,0))/INDEX('Cost Escalators'!$D$28:$D$92,MATCH(I48,'Cost Escalators'!$B$28:$B$92,0)),1))</f>
        <v>1</v>
      </c>
      <c r="R48" s="269">
        <f t="shared" si="2"/>
        <v>115440</v>
      </c>
      <c r="S48" s="269">
        <f t="shared" si="3"/>
        <v>115440</v>
      </c>
      <c r="T48" s="269">
        <f t="shared" si="4"/>
        <v>115440</v>
      </c>
      <c r="U48" s="242">
        <f t="shared" si="5"/>
        <v>0</v>
      </c>
    </row>
    <row r="49" spans="1:21" s="237" customFormat="1" x14ac:dyDescent="0.3">
      <c r="A49" s="237">
        <v>44</v>
      </c>
      <c r="B49" s="263">
        <v>0</v>
      </c>
      <c r="C49" s="263">
        <v>0</v>
      </c>
      <c r="D49" s="264">
        <v>0</v>
      </c>
      <c r="E49" s="381" t="s">
        <v>449</v>
      </c>
      <c r="F49" s="384" t="s">
        <v>364</v>
      </c>
      <c r="G49" s="384">
        <v>31</v>
      </c>
      <c r="H49" s="385">
        <v>33208</v>
      </c>
      <c r="I49" s="265">
        <f t="shared" si="0"/>
        <v>1990</v>
      </c>
      <c r="J49" s="641">
        <v>10</v>
      </c>
      <c r="K49" s="641" t="str">
        <f>VLOOKUP(J49,'Cost Escalators'!$C$313:$D$330,2,FALSE)</f>
        <v>Land</v>
      </c>
      <c r="L49" s="238" t="s">
        <v>450</v>
      </c>
      <c r="M49" s="384" t="s">
        <v>1506</v>
      </c>
      <c r="N49" s="246">
        <v>42720</v>
      </c>
      <c r="O49" s="267">
        <v>0</v>
      </c>
      <c r="P49" s="250">
        <f t="shared" si="1"/>
        <v>1990</v>
      </c>
      <c r="Q49" s="268">
        <f>IF(J49=10,1,IFERROR(INDEX('Cost Escalators'!$D$28:$D$92,MATCH($P$4,'Cost Escalators'!$B$28:$B$92,0))/INDEX('Cost Escalators'!$D$28:$D$92,MATCH(I49,'Cost Escalators'!$B$28:$B$92,0)),1))</f>
        <v>1</v>
      </c>
      <c r="R49" s="269">
        <f t="shared" si="2"/>
        <v>42720</v>
      </c>
      <c r="S49" s="269">
        <f t="shared" si="3"/>
        <v>42720</v>
      </c>
      <c r="T49" s="269">
        <f t="shared" si="4"/>
        <v>42720</v>
      </c>
      <c r="U49" s="242">
        <f t="shared" si="5"/>
        <v>0</v>
      </c>
    </row>
    <row r="50" spans="1:21" s="237" customFormat="1" x14ac:dyDescent="0.3">
      <c r="A50" s="237">
        <v>45</v>
      </c>
      <c r="B50" s="263">
        <v>0</v>
      </c>
      <c r="C50" s="263">
        <v>0</v>
      </c>
      <c r="D50" s="264">
        <v>0</v>
      </c>
      <c r="E50" s="381" t="s">
        <v>451</v>
      </c>
      <c r="F50" s="384" t="s">
        <v>364</v>
      </c>
      <c r="G50" s="384">
        <v>31</v>
      </c>
      <c r="H50" s="385">
        <v>32993</v>
      </c>
      <c r="I50" s="265">
        <f t="shared" si="0"/>
        <v>1990</v>
      </c>
      <c r="J50" s="641">
        <v>10</v>
      </c>
      <c r="K50" s="641" t="str">
        <f>VLOOKUP(J50,'Cost Escalators'!$C$313:$D$330,2,FALSE)</f>
        <v>Land</v>
      </c>
      <c r="L50" s="238" t="s">
        <v>448</v>
      </c>
      <c r="M50" s="384" t="s">
        <v>1506</v>
      </c>
      <c r="N50" s="246">
        <v>115440</v>
      </c>
      <c r="O50" s="267">
        <v>0</v>
      </c>
      <c r="P50" s="250">
        <f t="shared" si="1"/>
        <v>1990</v>
      </c>
      <c r="Q50" s="268">
        <f>IF(J50=10,1,IFERROR(INDEX('Cost Escalators'!$D$28:$D$92,MATCH($P$4,'Cost Escalators'!$B$28:$B$92,0))/INDEX('Cost Escalators'!$D$28:$D$92,MATCH(I50,'Cost Escalators'!$B$28:$B$92,0)),1))</f>
        <v>1</v>
      </c>
      <c r="R50" s="269">
        <f t="shared" si="2"/>
        <v>115440</v>
      </c>
      <c r="S50" s="269">
        <f t="shared" si="3"/>
        <v>115440</v>
      </c>
      <c r="T50" s="269">
        <f t="shared" si="4"/>
        <v>115440</v>
      </c>
      <c r="U50" s="242">
        <f t="shared" si="5"/>
        <v>0</v>
      </c>
    </row>
    <row r="51" spans="1:21" s="237" customFormat="1" x14ac:dyDescent="0.3">
      <c r="A51" s="237">
        <v>46</v>
      </c>
      <c r="B51" s="263">
        <v>0</v>
      </c>
      <c r="C51" s="263">
        <v>0</v>
      </c>
      <c r="D51" s="264">
        <v>0</v>
      </c>
      <c r="E51" s="381" t="s">
        <v>452</v>
      </c>
      <c r="F51" s="384" t="s">
        <v>364</v>
      </c>
      <c r="G51" s="384">
        <v>31</v>
      </c>
      <c r="H51" s="385">
        <v>33573</v>
      </c>
      <c r="I51" s="265">
        <f t="shared" si="0"/>
        <v>1991</v>
      </c>
      <c r="J51" s="641">
        <v>10</v>
      </c>
      <c r="K51" s="641" t="str">
        <f>VLOOKUP(J51,'Cost Escalators'!$C$313:$D$330,2,FALSE)</f>
        <v>Land</v>
      </c>
      <c r="L51" s="238" t="s">
        <v>453</v>
      </c>
      <c r="M51" s="384" t="s">
        <v>1506</v>
      </c>
      <c r="N51" s="246">
        <v>182400</v>
      </c>
      <c r="O51" s="267">
        <v>0</v>
      </c>
      <c r="P51" s="250">
        <f t="shared" si="1"/>
        <v>1991</v>
      </c>
      <c r="Q51" s="268">
        <f>IF(J51=10,1,IFERROR(INDEX('Cost Escalators'!$D$28:$D$92,MATCH($P$4,'Cost Escalators'!$B$28:$B$92,0))/INDEX('Cost Escalators'!$D$28:$D$92,MATCH(I51,'Cost Escalators'!$B$28:$B$92,0)),1))</f>
        <v>1</v>
      </c>
      <c r="R51" s="269">
        <f t="shared" si="2"/>
        <v>182400</v>
      </c>
      <c r="S51" s="269">
        <f t="shared" si="3"/>
        <v>182400</v>
      </c>
      <c r="T51" s="269">
        <f t="shared" si="4"/>
        <v>182400</v>
      </c>
      <c r="U51" s="242">
        <f t="shared" si="5"/>
        <v>0</v>
      </c>
    </row>
    <row r="52" spans="1:21" s="237" customFormat="1" x14ac:dyDescent="0.3">
      <c r="A52" s="237">
        <v>47</v>
      </c>
      <c r="B52" s="263">
        <v>0</v>
      </c>
      <c r="C52" s="263">
        <v>0</v>
      </c>
      <c r="D52" s="264">
        <v>0</v>
      </c>
      <c r="E52" s="381" t="s">
        <v>454</v>
      </c>
      <c r="F52" s="384" t="s">
        <v>364</v>
      </c>
      <c r="G52" s="384">
        <v>31</v>
      </c>
      <c r="H52" s="385">
        <v>33208</v>
      </c>
      <c r="I52" s="265">
        <f t="shared" si="0"/>
        <v>1990</v>
      </c>
      <c r="J52" s="641">
        <v>10</v>
      </c>
      <c r="K52" s="641" t="str">
        <f>VLOOKUP(J52,'Cost Escalators'!$C$313:$D$330,2,FALSE)</f>
        <v>Land</v>
      </c>
      <c r="L52" s="238" t="s">
        <v>455</v>
      </c>
      <c r="M52" s="384" t="s">
        <v>1506</v>
      </c>
      <c r="N52" s="246">
        <v>244800</v>
      </c>
      <c r="O52" s="267">
        <v>0</v>
      </c>
      <c r="P52" s="250">
        <f t="shared" si="1"/>
        <v>1990</v>
      </c>
      <c r="Q52" s="268">
        <f>IF(J52=10,1,IFERROR(INDEX('Cost Escalators'!$D$28:$D$92,MATCH($P$4,'Cost Escalators'!$B$28:$B$92,0))/INDEX('Cost Escalators'!$D$28:$D$92,MATCH(I52,'Cost Escalators'!$B$28:$B$92,0)),1))</f>
        <v>1</v>
      </c>
      <c r="R52" s="269">
        <f t="shared" si="2"/>
        <v>244800</v>
      </c>
      <c r="S52" s="269">
        <f t="shared" si="3"/>
        <v>244800</v>
      </c>
      <c r="T52" s="269">
        <f t="shared" si="4"/>
        <v>244800</v>
      </c>
      <c r="U52" s="242">
        <f t="shared" si="5"/>
        <v>0</v>
      </c>
    </row>
    <row r="53" spans="1:21" s="237" customFormat="1" x14ac:dyDescent="0.3">
      <c r="A53" s="237">
        <v>48</v>
      </c>
      <c r="B53" s="263">
        <v>0</v>
      </c>
      <c r="C53" s="263">
        <v>0</v>
      </c>
      <c r="D53" s="264">
        <v>0</v>
      </c>
      <c r="E53" s="381" t="s">
        <v>456</v>
      </c>
      <c r="F53" s="384" t="s">
        <v>364</v>
      </c>
      <c r="G53" s="384">
        <v>31</v>
      </c>
      <c r="H53" s="385">
        <v>33543</v>
      </c>
      <c r="I53" s="265">
        <f t="shared" si="0"/>
        <v>1991</v>
      </c>
      <c r="J53" s="641">
        <v>10</v>
      </c>
      <c r="K53" s="641" t="str">
        <f>VLOOKUP(J53,'Cost Escalators'!$C$313:$D$330,2,FALSE)</f>
        <v>Land</v>
      </c>
      <c r="L53" s="238" t="s">
        <v>457</v>
      </c>
      <c r="M53" s="384" t="s">
        <v>1506</v>
      </c>
      <c r="N53" s="246">
        <v>98400</v>
      </c>
      <c r="O53" s="267">
        <v>0</v>
      </c>
      <c r="P53" s="250">
        <f t="shared" si="1"/>
        <v>1991</v>
      </c>
      <c r="Q53" s="268">
        <f>IF(J53=10,1,IFERROR(INDEX('Cost Escalators'!$D$28:$D$92,MATCH($P$4,'Cost Escalators'!$B$28:$B$92,0))/INDEX('Cost Escalators'!$D$28:$D$92,MATCH(I53,'Cost Escalators'!$B$28:$B$92,0)),1))</f>
        <v>1</v>
      </c>
      <c r="R53" s="269">
        <f t="shared" si="2"/>
        <v>98400</v>
      </c>
      <c r="S53" s="269">
        <f t="shared" si="3"/>
        <v>98400</v>
      </c>
      <c r="T53" s="269">
        <f t="shared" si="4"/>
        <v>98400</v>
      </c>
      <c r="U53" s="242">
        <f t="shared" si="5"/>
        <v>0</v>
      </c>
    </row>
    <row r="54" spans="1:21" s="237" customFormat="1" x14ac:dyDescent="0.3">
      <c r="A54" s="237">
        <v>49</v>
      </c>
      <c r="B54" s="263">
        <v>0</v>
      </c>
      <c r="C54" s="263">
        <v>0</v>
      </c>
      <c r="D54" s="264">
        <v>0</v>
      </c>
      <c r="E54" s="383" t="s">
        <v>458</v>
      </c>
      <c r="F54" s="384" t="s">
        <v>364</v>
      </c>
      <c r="G54" s="384">
        <v>31</v>
      </c>
      <c r="H54" s="385">
        <v>32993</v>
      </c>
      <c r="I54" s="265">
        <f t="shared" si="0"/>
        <v>1990</v>
      </c>
      <c r="J54" s="641">
        <v>10</v>
      </c>
      <c r="K54" s="641" t="str">
        <f>VLOOKUP(J54,'Cost Escalators'!$C$313:$D$330,2,FALSE)</f>
        <v>Land</v>
      </c>
      <c r="L54" s="238" t="s">
        <v>459</v>
      </c>
      <c r="M54" s="384" t="s">
        <v>1506</v>
      </c>
      <c r="N54" s="246">
        <v>57600</v>
      </c>
      <c r="O54" s="267">
        <v>0</v>
      </c>
      <c r="P54" s="250">
        <f t="shared" si="1"/>
        <v>1990</v>
      </c>
      <c r="Q54" s="268">
        <f>IF(J54=10,1,IFERROR(INDEX('Cost Escalators'!$D$28:$D$92,MATCH($P$4,'Cost Escalators'!$B$28:$B$92,0))/INDEX('Cost Escalators'!$D$28:$D$92,MATCH(I54,'Cost Escalators'!$B$28:$B$92,0)),1))</f>
        <v>1</v>
      </c>
      <c r="R54" s="269">
        <f t="shared" si="2"/>
        <v>57600</v>
      </c>
      <c r="S54" s="269">
        <f t="shared" si="3"/>
        <v>57600</v>
      </c>
      <c r="T54" s="269">
        <f t="shared" si="4"/>
        <v>57600</v>
      </c>
      <c r="U54" s="242">
        <f t="shared" si="5"/>
        <v>0</v>
      </c>
    </row>
    <row r="55" spans="1:21" s="237" customFormat="1" x14ac:dyDescent="0.3">
      <c r="A55" s="237">
        <v>50</v>
      </c>
      <c r="B55" s="263">
        <v>0</v>
      </c>
      <c r="C55" s="263">
        <v>0</v>
      </c>
      <c r="D55" s="264">
        <v>0</v>
      </c>
      <c r="E55" s="381" t="s">
        <v>460</v>
      </c>
      <c r="F55" s="384" t="s">
        <v>364</v>
      </c>
      <c r="G55" s="384">
        <v>31</v>
      </c>
      <c r="H55" s="385">
        <v>33208</v>
      </c>
      <c r="I55" s="265">
        <f t="shared" si="0"/>
        <v>1990</v>
      </c>
      <c r="J55" s="641">
        <v>10</v>
      </c>
      <c r="K55" s="641" t="str">
        <f>VLOOKUP(J55,'Cost Escalators'!$C$313:$D$330,2,FALSE)</f>
        <v>Land</v>
      </c>
      <c r="L55" s="238" t="s">
        <v>461</v>
      </c>
      <c r="M55" s="384" t="s">
        <v>1506</v>
      </c>
      <c r="N55" s="246">
        <v>117600</v>
      </c>
      <c r="O55" s="267">
        <v>0</v>
      </c>
      <c r="P55" s="250">
        <f t="shared" si="1"/>
        <v>1990</v>
      </c>
      <c r="Q55" s="268">
        <f>IF(J55=10,1,IFERROR(INDEX('Cost Escalators'!$D$28:$D$92,MATCH($P$4,'Cost Escalators'!$B$28:$B$92,0))/INDEX('Cost Escalators'!$D$28:$D$92,MATCH(I55,'Cost Escalators'!$B$28:$B$92,0)),1))</f>
        <v>1</v>
      </c>
      <c r="R55" s="269">
        <f t="shared" si="2"/>
        <v>117600</v>
      </c>
      <c r="S55" s="269">
        <f t="shared" si="3"/>
        <v>117600</v>
      </c>
      <c r="T55" s="269">
        <f t="shared" si="4"/>
        <v>117600</v>
      </c>
      <c r="U55" s="242">
        <f t="shared" si="5"/>
        <v>0</v>
      </c>
    </row>
    <row r="56" spans="1:21" s="237" customFormat="1" x14ac:dyDescent="0.3">
      <c r="A56" s="237">
        <v>51</v>
      </c>
      <c r="B56" s="263">
        <v>0</v>
      </c>
      <c r="C56" s="263">
        <v>0</v>
      </c>
      <c r="D56" s="264">
        <v>0</v>
      </c>
      <c r="E56" s="381" t="s">
        <v>462</v>
      </c>
      <c r="F56" s="384" t="s">
        <v>364</v>
      </c>
      <c r="G56" s="384">
        <v>31</v>
      </c>
      <c r="H56" s="385">
        <v>33848</v>
      </c>
      <c r="I56" s="265">
        <f t="shared" si="0"/>
        <v>1992</v>
      </c>
      <c r="J56" s="641">
        <v>10</v>
      </c>
      <c r="K56" s="641" t="str">
        <f>VLOOKUP(J56,'Cost Escalators'!$C$313:$D$330,2,FALSE)</f>
        <v>Land</v>
      </c>
      <c r="L56" s="238" t="s">
        <v>463</v>
      </c>
      <c r="M56" s="384" t="s">
        <v>1506</v>
      </c>
      <c r="N56" s="246">
        <v>28800</v>
      </c>
      <c r="O56" s="267">
        <v>0</v>
      </c>
      <c r="P56" s="250">
        <f t="shared" si="1"/>
        <v>1992</v>
      </c>
      <c r="Q56" s="268">
        <f>IF(J56=10,1,IFERROR(INDEX('Cost Escalators'!$D$28:$D$92,MATCH($P$4,'Cost Escalators'!$B$28:$B$92,0))/INDEX('Cost Escalators'!$D$28:$D$92,MATCH(I56,'Cost Escalators'!$B$28:$B$92,0)),1))</f>
        <v>1</v>
      </c>
      <c r="R56" s="269">
        <f t="shared" si="2"/>
        <v>28800</v>
      </c>
      <c r="S56" s="269">
        <f t="shared" si="3"/>
        <v>28800</v>
      </c>
      <c r="T56" s="269">
        <f t="shared" si="4"/>
        <v>28800</v>
      </c>
      <c r="U56" s="242">
        <f t="shared" si="5"/>
        <v>0</v>
      </c>
    </row>
    <row r="57" spans="1:21" s="237" customFormat="1" x14ac:dyDescent="0.3">
      <c r="A57" s="237">
        <v>52</v>
      </c>
      <c r="B57" s="263">
        <v>0</v>
      </c>
      <c r="C57" s="263">
        <v>0</v>
      </c>
      <c r="D57" s="264">
        <v>0</v>
      </c>
      <c r="E57" s="381" t="s">
        <v>464</v>
      </c>
      <c r="F57" s="384" t="s">
        <v>364</v>
      </c>
      <c r="G57" s="384">
        <v>31</v>
      </c>
      <c r="H57" s="385">
        <v>33848</v>
      </c>
      <c r="I57" s="265">
        <f t="shared" si="0"/>
        <v>1992</v>
      </c>
      <c r="J57" s="641">
        <v>10</v>
      </c>
      <c r="K57" s="641" t="str">
        <f>VLOOKUP(J57,'Cost Escalators'!$C$313:$D$330,2,FALSE)</f>
        <v>Land</v>
      </c>
      <c r="L57" s="238" t="s">
        <v>465</v>
      </c>
      <c r="M57" s="384" t="s">
        <v>1506</v>
      </c>
      <c r="N57" s="246">
        <v>65760</v>
      </c>
      <c r="O57" s="267">
        <v>0</v>
      </c>
      <c r="P57" s="250">
        <f t="shared" si="1"/>
        <v>1992</v>
      </c>
      <c r="Q57" s="268">
        <f>IF(J57=10,1,IFERROR(INDEX('Cost Escalators'!$D$28:$D$92,MATCH($P$4,'Cost Escalators'!$B$28:$B$92,0))/INDEX('Cost Escalators'!$D$28:$D$92,MATCH(I57,'Cost Escalators'!$B$28:$B$92,0)),1))</f>
        <v>1</v>
      </c>
      <c r="R57" s="269">
        <f t="shared" si="2"/>
        <v>65760</v>
      </c>
      <c r="S57" s="269">
        <f t="shared" si="3"/>
        <v>65760</v>
      </c>
      <c r="T57" s="269">
        <f t="shared" si="4"/>
        <v>65760</v>
      </c>
      <c r="U57" s="242">
        <f t="shared" si="5"/>
        <v>0</v>
      </c>
    </row>
    <row r="58" spans="1:21" s="237" customFormat="1" x14ac:dyDescent="0.3">
      <c r="A58" s="237">
        <v>53</v>
      </c>
      <c r="B58" s="263">
        <v>0</v>
      </c>
      <c r="C58" s="263">
        <v>0</v>
      </c>
      <c r="D58" s="264">
        <v>0</v>
      </c>
      <c r="E58" s="381" t="s">
        <v>466</v>
      </c>
      <c r="F58" s="384" t="s">
        <v>364</v>
      </c>
      <c r="G58" s="384">
        <v>31</v>
      </c>
      <c r="H58" s="385">
        <v>33848</v>
      </c>
      <c r="I58" s="265">
        <f t="shared" si="0"/>
        <v>1992</v>
      </c>
      <c r="J58" s="641">
        <v>10</v>
      </c>
      <c r="K58" s="641" t="str">
        <f>VLOOKUP(J58,'Cost Escalators'!$C$313:$D$330,2,FALSE)</f>
        <v>Land</v>
      </c>
      <c r="L58" s="238" t="s">
        <v>467</v>
      </c>
      <c r="M58" s="384" t="s">
        <v>1506</v>
      </c>
      <c r="N58" s="246">
        <v>96000</v>
      </c>
      <c r="O58" s="267">
        <v>0</v>
      </c>
      <c r="P58" s="250">
        <f t="shared" si="1"/>
        <v>1992</v>
      </c>
      <c r="Q58" s="268">
        <f>IF(J58=10,1,IFERROR(INDEX('Cost Escalators'!$D$28:$D$92,MATCH($P$4,'Cost Escalators'!$B$28:$B$92,0))/INDEX('Cost Escalators'!$D$28:$D$92,MATCH(I58,'Cost Escalators'!$B$28:$B$92,0)),1))</f>
        <v>1</v>
      </c>
      <c r="R58" s="269">
        <f t="shared" si="2"/>
        <v>96000</v>
      </c>
      <c r="S58" s="269">
        <f t="shared" si="3"/>
        <v>96000</v>
      </c>
      <c r="T58" s="269">
        <f t="shared" si="4"/>
        <v>96000</v>
      </c>
      <c r="U58" s="242">
        <f t="shared" si="5"/>
        <v>0</v>
      </c>
    </row>
    <row r="59" spans="1:21" s="237" customFormat="1" x14ac:dyDescent="0.3">
      <c r="A59" s="237">
        <v>54</v>
      </c>
      <c r="B59" s="263">
        <v>0</v>
      </c>
      <c r="C59" s="263">
        <v>0</v>
      </c>
      <c r="D59" s="264">
        <v>0</v>
      </c>
      <c r="E59" s="381" t="s">
        <v>468</v>
      </c>
      <c r="F59" s="384" t="s">
        <v>364</v>
      </c>
      <c r="G59" s="384">
        <v>31</v>
      </c>
      <c r="H59" s="385">
        <v>32843</v>
      </c>
      <c r="I59" s="265">
        <f t="shared" si="0"/>
        <v>1989</v>
      </c>
      <c r="J59" s="641">
        <v>10</v>
      </c>
      <c r="K59" s="641" t="str">
        <f>VLOOKUP(J59,'Cost Escalators'!$C$313:$D$330,2,FALSE)</f>
        <v>Land</v>
      </c>
      <c r="L59" s="238" t="s">
        <v>469</v>
      </c>
      <c r="M59" s="384" t="s">
        <v>1506</v>
      </c>
      <c r="N59" s="246">
        <v>27360</v>
      </c>
      <c r="O59" s="267">
        <v>0</v>
      </c>
      <c r="P59" s="250">
        <f t="shared" si="1"/>
        <v>1989</v>
      </c>
      <c r="Q59" s="268">
        <f>IF(J59=10,1,IFERROR(INDEX('Cost Escalators'!$D$28:$D$92,MATCH($P$4,'Cost Escalators'!$B$28:$B$92,0))/INDEX('Cost Escalators'!$D$28:$D$92,MATCH(I59,'Cost Escalators'!$B$28:$B$92,0)),1))</f>
        <v>1</v>
      </c>
      <c r="R59" s="269">
        <f t="shared" si="2"/>
        <v>27360</v>
      </c>
      <c r="S59" s="269">
        <f t="shared" si="3"/>
        <v>27360</v>
      </c>
      <c r="T59" s="269">
        <f t="shared" si="4"/>
        <v>27360</v>
      </c>
      <c r="U59" s="242">
        <f t="shared" si="5"/>
        <v>0</v>
      </c>
    </row>
    <row r="60" spans="1:21" s="237" customFormat="1" x14ac:dyDescent="0.3">
      <c r="A60" s="237">
        <v>55</v>
      </c>
      <c r="B60" s="263">
        <v>0</v>
      </c>
      <c r="C60" s="263">
        <v>0</v>
      </c>
      <c r="D60" s="264">
        <v>0</v>
      </c>
      <c r="E60" s="381" t="s">
        <v>470</v>
      </c>
      <c r="F60" s="384" t="s">
        <v>364</v>
      </c>
      <c r="G60" s="384">
        <v>31</v>
      </c>
      <c r="H60" s="385">
        <v>33573</v>
      </c>
      <c r="I60" s="265">
        <f t="shared" si="0"/>
        <v>1991</v>
      </c>
      <c r="J60" s="641">
        <v>10</v>
      </c>
      <c r="K60" s="641" t="str">
        <f>VLOOKUP(J60,'Cost Escalators'!$C$313:$D$330,2,FALSE)</f>
        <v>Land</v>
      </c>
      <c r="L60" s="238" t="s">
        <v>471</v>
      </c>
      <c r="M60" s="384" t="s">
        <v>1506</v>
      </c>
      <c r="N60" s="246">
        <v>112800</v>
      </c>
      <c r="O60" s="267">
        <v>0</v>
      </c>
      <c r="P60" s="250">
        <f t="shared" si="1"/>
        <v>1991</v>
      </c>
      <c r="Q60" s="268">
        <f>IF(J60=10,1,IFERROR(INDEX('Cost Escalators'!$D$28:$D$92,MATCH($P$4,'Cost Escalators'!$B$28:$B$92,0))/INDEX('Cost Escalators'!$D$28:$D$92,MATCH(I60,'Cost Escalators'!$B$28:$B$92,0)),1))</f>
        <v>1</v>
      </c>
      <c r="R60" s="269">
        <f t="shared" si="2"/>
        <v>112800</v>
      </c>
      <c r="S60" s="269">
        <f t="shared" si="3"/>
        <v>112800</v>
      </c>
      <c r="T60" s="269">
        <f t="shared" si="4"/>
        <v>112800</v>
      </c>
      <c r="U60" s="242">
        <f t="shared" si="5"/>
        <v>0</v>
      </c>
    </row>
    <row r="61" spans="1:21" s="237" customFormat="1" x14ac:dyDescent="0.3">
      <c r="A61" s="237">
        <v>56</v>
      </c>
      <c r="B61" s="263">
        <v>0</v>
      </c>
      <c r="C61" s="263">
        <v>0</v>
      </c>
      <c r="D61" s="264">
        <v>0</v>
      </c>
      <c r="E61" s="381" t="s">
        <v>472</v>
      </c>
      <c r="F61" s="384" t="s">
        <v>364</v>
      </c>
      <c r="G61" s="384">
        <v>31</v>
      </c>
      <c r="H61" s="385">
        <v>33573</v>
      </c>
      <c r="I61" s="265">
        <f t="shared" si="0"/>
        <v>1991</v>
      </c>
      <c r="J61" s="641">
        <v>10</v>
      </c>
      <c r="K61" s="641" t="str">
        <f>VLOOKUP(J61,'Cost Escalators'!$C$313:$D$330,2,FALSE)</f>
        <v>Land</v>
      </c>
      <c r="L61" s="238" t="s">
        <v>473</v>
      </c>
      <c r="M61" s="384" t="s">
        <v>1506</v>
      </c>
      <c r="N61" s="246">
        <v>115200</v>
      </c>
      <c r="O61" s="267">
        <v>0</v>
      </c>
      <c r="P61" s="250">
        <f t="shared" si="1"/>
        <v>1991</v>
      </c>
      <c r="Q61" s="268">
        <f>IF(J61=10,1,IFERROR(INDEX('Cost Escalators'!$D$28:$D$92,MATCH($P$4,'Cost Escalators'!$B$28:$B$92,0))/INDEX('Cost Escalators'!$D$28:$D$92,MATCH(I61,'Cost Escalators'!$B$28:$B$92,0)),1))</f>
        <v>1</v>
      </c>
      <c r="R61" s="269">
        <f t="shared" si="2"/>
        <v>115200</v>
      </c>
      <c r="S61" s="269">
        <f t="shared" si="3"/>
        <v>115200</v>
      </c>
      <c r="T61" s="269">
        <f t="shared" si="4"/>
        <v>115200</v>
      </c>
      <c r="U61" s="242">
        <f t="shared" si="5"/>
        <v>0</v>
      </c>
    </row>
    <row r="62" spans="1:21" s="237" customFormat="1" x14ac:dyDescent="0.3">
      <c r="A62" s="237">
        <v>57</v>
      </c>
      <c r="B62" s="263">
        <v>0</v>
      </c>
      <c r="C62" s="263">
        <v>0</v>
      </c>
      <c r="D62" s="264">
        <v>0</v>
      </c>
      <c r="E62" s="381" t="s">
        <v>474</v>
      </c>
      <c r="F62" s="384" t="s">
        <v>364</v>
      </c>
      <c r="G62" s="384">
        <v>31</v>
      </c>
      <c r="H62" s="385">
        <v>36173</v>
      </c>
      <c r="I62" s="265">
        <f t="shared" si="0"/>
        <v>1999</v>
      </c>
      <c r="J62" s="641">
        <v>10</v>
      </c>
      <c r="K62" s="641" t="str">
        <f>VLOOKUP(J62,'Cost Escalators'!$C$313:$D$330,2,FALSE)</f>
        <v>Land</v>
      </c>
      <c r="L62" s="238" t="s">
        <v>475</v>
      </c>
      <c r="M62" s="384" t="s">
        <v>1506</v>
      </c>
      <c r="N62" s="246">
        <v>57800</v>
      </c>
      <c r="O62" s="267">
        <v>0</v>
      </c>
      <c r="P62" s="250">
        <f t="shared" si="1"/>
        <v>1999</v>
      </c>
      <c r="Q62" s="268">
        <f>IF(J62=10,1,IFERROR(INDEX('Cost Escalators'!$D$28:$D$92,MATCH($P$4,'Cost Escalators'!$B$28:$B$92,0))/INDEX('Cost Escalators'!$D$28:$D$92,MATCH(I62,'Cost Escalators'!$B$28:$B$92,0)),1))</f>
        <v>1</v>
      </c>
      <c r="R62" s="269">
        <f t="shared" si="2"/>
        <v>57800</v>
      </c>
      <c r="S62" s="269">
        <f t="shared" si="3"/>
        <v>57800</v>
      </c>
      <c r="T62" s="269">
        <f t="shared" si="4"/>
        <v>57800</v>
      </c>
      <c r="U62" s="242">
        <f t="shared" si="5"/>
        <v>0</v>
      </c>
    </row>
    <row r="63" spans="1:21" s="237" customFormat="1" x14ac:dyDescent="0.3">
      <c r="A63" s="237">
        <v>58</v>
      </c>
      <c r="B63" s="263">
        <v>0</v>
      </c>
      <c r="C63" s="263">
        <v>0</v>
      </c>
      <c r="D63" s="264">
        <v>0</v>
      </c>
      <c r="E63" s="383" t="s">
        <v>476</v>
      </c>
      <c r="F63" s="384" t="s">
        <v>364</v>
      </c>
      <c r="G63" s="384">
        <v>31</v>
      </c>
      <c r="H63" s="385">
        <v>32628</v>
      </c>
      <c r="I63" s="265">
        <f t="shared" si="0"/>
        <v>1989</v>
      </c>
      <c r="J63" s="641">
        <v>10</v>
      </c>
      <c r="K63" s="641" t="str">
        <f>VLOOKUP(J63,'Cost Escalators'!$C$313:$D$330,2,FALSE)</f>
        <v>Land</v>
      </c>
      <c r="L63" s="238" t="s">
        <v>477</v>
      </c>
      <c r="M63" s="384" t="s">
        <v>1506</v>
      </c>
      <c r="N63" s="246">
        <v>1</v>
      </c>
      <c r="O63" s="267">
        <v>0</v>
      </c>
      <c r="P63" s="250">
        <f t="shared" si="1"/>
        <v>1989</v>
      </c>
      <c r="Q63" s="268">
        <f>IF(J63=10,1,IFERROR(INDEX('Cost Escalators'!$D$28:$D$92,MATCH($P$4,'Cost Escalators'!$B$28:$B$92,0))/INDEX('Cost Escalators'!$D$28:$D$92,MATCH(I63,'Cost Escalators'!$B$28:$B$92,0)),1))</f>
        <v>1</v>
      </c>
      <c r="R63" s="269">
        <f t="shared" si="2"/>
        <v>1</v>
      </c>
      <c r="S63" s="269">
        <f t="shared" si="3"/>
        <v>1</v>
      </c>
      <c r="T63" s="269">
        <f t="shared" si="4"/>
        <v>1</v>
      </c>
      <c r="U63" s="242">
        <f t="shared" si="5"/>
        <v>0</v>
      </c>
    </row>
    <row r="64" spans="1:21" s="237" customFormat="1" x14ac:dyDescent="0.3">
      <c r="A64" s="237">
        <v>59</v>
      </c>
      <c r="B64" s="263">
        <v>0</v>
      </c>
      <c r="C64" s="263">
        <v>0</v>
      </c>
      <c r="D64" s="264">
        <v>0</v>
      </c>
      <c r="E64" s="381" t="s">
        <v>478</v>
      </c>
      <c r="F64" s="384" t="s">
        <v>364</v>
      </c>
      <c r="G64" s="384">
        <v>31</v>
      </c>
      <c r="H64" s="385">
        <v>32628</v>
      </c>
      <c r="I64" s="265">
        <f t="shared" si="0"/>
        <v>1989</v>
      </c>
      <c r="J64" s="641">
        <v>10</v>
      </c>
      <c r="K64" s="641" t="str">
        <f>VLOOKUP(J64,'Cost Escalators'!$C$313:$D$330,2,FALSE)</f>
        <v>Land</v>
      </c>
      <c r="L64" s="238" t="s">
        <v>479</v>
      </c>
      <c r="M64" s="384" t="s">
        <v>1506</v>
      </c>
      <c r="N64" s="246">
        <v>152160</v>
      </c>
      <c r="O64" s="267">
        <v>0</v>
      </c>
      <c r="P64" s="250">
        <f t="shared" si="1"/>
        <v>1989</v>
      </c>
      <c r="Q64" s="268">
        <f>IF(J64=10,1,IFERROR(INDEX('Cost Escalators'!$D$28:$D$92,MATCH($P$4,'Cost Escalators'!$B$28:$B$92,0))/INDEX('Cost Escalators'!$D$28:$D$92,MATCH(I64,'Cost Escalators'!$B$28:$B$92,0)),1))</f>
        <v>1</v>
      </c>
      <c r="R64" s="269">
        <f t="shared" si="2"/>
        <v>152160</v>
      </c>
      <c r="S64" s="269">
        <f t="shared" si="3"/>
        <v>152160</v>
      </c>
      <c r="T64" s="269">
        <f t="shared" si="4"/>
        <v>152160</v>
      </c>
      <c r="U64" s="242">
        <f t="shared" si="5"/>
        <v>0</v>
      </c>
    </row>
    <row r="65" spans="1:21" s="237" customFormat="1" x14ac:dyDescent="0.3">
      <c r="A65" s="237">
        <v>60</v>
      </c>
      <c r="B65" s="263">
        <v>0</v>
      </c>
      <c r="C65" s="263">
        <v>0</v>
      </c>
      <c r="D65" s="264">
        <v>0</v>
      </c>
      <c r="E65" s="381" t="s">
        <v>480</v>
      </c>
      <c r="F65" s="384" t="s">
        <v>364</v>
      </c>
      <c r="G65" s="384">
        <v>31</v>
      </c>
      <c r="H65" s="385">
        <v>37164</v>
      </c>
      <c r="I65" s="265">
        <f t="shared" si="0"/>
        <v>2001</v>
      </c>
      <c r="J65" s="641">
        <v>10</v>
      </c>
      <c r="K65" s="641" t="str">
        <f>VLOOKUP(J65,'Cost Escalators'!$C$313:$D$330,2,FALSE)</f>
        <v>Land</v>
      </c>
      <c r="L65" s="238" t="s">
        <v>481</v>
      </c>
      <c r="M65" s="384" t="s">
        <v>1506</v>
      </c>
      <c r="N65" s="246">
        <v>150418.9</v>
      </c>
      <c r="O65" s="267">
        <v>0</v>
      </c>
      <c r="P65" s="250">
        <f t="shared" si="1"/>
        <v>2001</v>
      </c>
      <c r="Q65" s="268">
        <f>IF(J65=10,1,IFERROR(INDEX('Cost Escalators'!$D$28:$D$92,MATCH($P$4,'Cost Escalators'!$B$28:$B$92,0))/INDEX('Cost Escalators'!$D$28:$D$92,MATCH(I65,'Cost Escalators'!$B$28:$B$92,0)),1))</f>
        <v>1</v>
      </c>
      <c r="R65" s="269">
        <f t="shared" si="2"/>
        <v>150418.9</v>
      </c>
      <c r="S65" s="269">
        <f t="shared" si="3"/>
        <v>150418.9</v>
      </c>
      <c r="T65" s="269">
        <f t="shared" si="4"/>
        <v>150418.9</v>
      </c>
      <c r="U65" s="242">
        <f t="shared" si="5"/>
        <v>0</v>
      </c>
    </row>
    <row r="66" spans="1:21" s="237" customFormat="1" x14ac:dyDescent="0.3">
      <c r="A66" s="237">
        <v>61</v>
      </c>
      <c r="B66" s="263">
        <v>0</v>
      </c>
      <c r="C66" s="263">
        <v>0</v>
      </c>
      <c r="D66" s="264">
        <v>0</v>
      </c>
      <c r="E66" s="381" t="s">
        <v>482</v>
      </c>
      <c r="F66" s="384" t="s">
        <v>364</v>
      </c>
      <c r="G66" s="384">
        <v>31</v>
      </c>
      <c r="H66" s="385">
        <v>37164</v>
      </c>
      <c r="I66" s="265">
        <f t="shared" si="0"/>
        <v>2001</v>
      </c>
      <c r="J66" s="641">
        <v>10</v>
      </c>
      <c r="K66" s="641" t="str">
        <f>VLOOKUP(J66,'Cost Escalators'!$C$313:$D$330,2,FALSE)</f>
        <v>Land</v>
      </c>
      <c r="L66" s="238" t="s">
        <v>483</v>
      </c>
      <c r="M66" s="384" t="s">
        <v>1506</v>
      </c>
      <c r="N66" s="246">
        <v>152242.16</v>
      </c>
      <c r="O66" s="267">
        <v>0</v>
      </c>
      <c r="P66" s="250">
        <f t="shared" si="1"/>
        <v>2001</v>
      </c>
      <c r="Q66" s="268">
        <f>IF(J66=10,1,IFERROR(INDEX('Cost Escalators'!$D$28:$D$92,MATCH($P$4,'Cost Escalators'!$B$28:$B$92,0))/INDEX('Cost Escalators'!$D$28:$D$92,MATCH(I66,'Cost Escalators'!$B$28:$B$92,0)),1))</f>
        <v>1</v>
      </c>
      <c r="R66" s="269">
        <f t="shared" si="2"/>
        <v>152242.16</v>
      </c>
      <c r="S66" s="269">
        <f t="shared" si="3"/>
        <v>152242.16</v>
      </c>
      <c r="T66" s="269">
        <f t="shared" si="4"/>
        <v>152242.16</v>
      </c>
      <c r="U66" s="242">
        <f t="shared" si="5"/>
        <v>0</v>
      </c>
    </row>
    <row r="67" spans="1:21" s="237" customFormat="1" x14ac:dyDescent="0.3">
      <c r="A67" s="237">
        <v>62</v>
      </c>
      <c r="B67" s="263">
        <v>0</v>
      </c>
      <c r="C67" s="263">
        <v>0</v>
      </c>
      <c r="D67" s="264">
        <v>0</v>
      </c>
      <c r="E67" s="381" t="s">
        <v>484</v>
      </c>
      <c r="F67" s="384" t="s">
        <v>364</v>
      </c>
      <c r="G67" s="384">
        <v>31</v>
      </c>
      <c r="H67" s="385">
        <v>27880</v>
      </c>
      <c r="I67" s="265">
        <f t="shared" si="0"/>
        <v>1976</v>
      </c>
      <c r="J67" s="641">
        <v>10</v>
      </c>
      <c r="K67" s="641" t="str">
        <f>VLOOKUP(J67,'Cost Escalators'!$C$313:$D$330,2,FALSE)</f>
        <v>Land</v>
      </c>
      <c r="L67" s="238" t="s">
        <v>485</v>
      </c>
      <c r="M67" s="384" t="s">
        <v>1506</v>
      </c>
      <c r="N67" s="246">
        <v>20291.55</v>
      </c>
      <c r="O67" s="267">
        <v>0</v>
      </c>
      <c r="P67" s="250">
        <f t="shared" si="1"/>
        <v>1976</v>
      </c>
      <c r="Q67" s="268">
        <f>IF(J67=10,1,IFERROR(INDEX('Cost Escalators'!$D$28:$D$92,MATCH($P$4,'Cost Escalators'!$B$28:$B$92,0))/INDEX('Cost Escalators'!$D$28:$D$92,MATCH(I67,'Cost Escalators'!$B$28:$B$92,0)),1))</f>
        <v>1</v>
      </c>
      <c r="R67" s="269">
        <f t="shared" si="2"/>
        <v>20291.55</v>
      </c>
      <c r="S67" s="269">
        <f t="shared" si="3"/>
        <v>20291.55</v>
      </c>
      <c r="T67" s="269">
        <f t="shared" si="4"/>
        <v>20291.55</v>
      </c>
      <c r="U67" s="242">
        <f t="shared" si="5"/>
        <v>0</v>
      </c>
    </row>
    <row r="68" spans="1:21" s="237" customFormat="1" x14ac:dyDescent="0.3">
      <c r="A68" s="237">
        <v>63</v>
      </c>
      <c r="B68" s="263">
        <v>0</v>
      </c>
      <c r="C68" s="263">
        <v>0</v>
      </c>
      <c r="D68" s="264">
        <v>0</v>
      </c>
      <c r="E68" s="381" t="s">
        <v>486</v>
      </c>
      <c r="F68" s="384" t="s">
        <v>364</v>
      </c>
      <c r="G68" s="384">
        <v>31</v>
      </c>
      <c r="H68" s="385">
        <v>35338</v>
      </c>
      <c r="I68" s="265">
        <f t="shared" si="0"/>
        <v>1996</v>
      </c>
      <c r="J68" s="641">
        <v>10</v>
      </c>
      <c r="K68" s="641" t="str">
        <f>VLOOKUP(J68,'Cost Escalators'!$C$313:$D$330,2,FALSE)</f>
        <v>Land</v>
      </c>
      <c r="L68" s="238" t="s">
        <v>487</v>
      </c>
      <c r="M68" s="384" t="s">
        <v>1506</v>
      </c>
      <c r="N68" s="246">
        <v>74400</v>
      </c>
      <c r="O68" s="267">
        <v>0</v>
      </c>
      <c r="P68" s="250">
        <f t="shared" si="1"/>
        <v>1996</v>
      </c>
      <c r="Q68" s="268">
        <f>IF(J68=10,1,IFERROR(INDEX('Cost Escalators'!$D$28:$D$92,MATCH($P$4,'Cost Escalators'!$B$28:$B$92,0))/INDEX('Cost Escalators'!$D$28:$D$92,MATCH(I68,'Cost Escalators'!$B$28:$B$92,0)),1))</f>
        <v>1</v>
      </c>
      <c r="R68" s="269">
        <f t="shared" si="2"/>
        <v>74400</v>
      </c>
      <c r="S68" s="269">
        <f t="shared" si="3"/>
        <v>74400</v>
      </c>
      <c r="T68" s="269">
        <f t="shared" si="4"/>
        <v>74400</v>
      </c>
      <c r="U68" s="242">
        <f t="shared" si="5"/>
        <v>0</v>
      </c>
    </row>
    <row r="69" spans="1:21" s="237" customFormat="1" x14ac:dyDescent="0.3">
      <c r="A69" s="237">
        <v>64</v>
      </c>
      <c r="B69" s="263">
        <v>0</v>
      </c>
      <c r="C69" s="263">
        <v>0</v>
      </c>
      <c r="D69" s="264">
        <v>0</v>
      </c>
      <c r="E69" s="383" t="s">
        <v>488</v>
      </c>
      <c r="F69" s="384" t="s">
        <v>364</v>
      </c>
      <c r="G69" s="384">
        <v>31</v>
      </c>
      <c r="H69" s="385">
        <v>35703</v>
      </c>
      <c r="I69" s="265">
        <f t="shared" si="0"/>
        <v>1997</v>
      </c>
      <c r="J69" s="641">
        <v>10</v>
      </c>
      <c r="K69" s="641" t="str">
        <f>VLOOKUP(J69,'Cost Escalators'!$C$313:$D$330,2,FALSE)</f>
        <v>Land</v>
      </c>
      <c r="L69" s="238" t="s">
        <v>489</v>
      </c>
      <c r="M69" s="384" t="s">
        <v>1506</v>
      </c>
      <c r="N69" s="246">
        <v>183330</v>
      </c>
      <c r="O69" s="267">
        <v>0</v>
      </c>
      <c r="P69" s="250">
        <f t="shared" si="1"/>
        <v>1997</v>
      </c>
      <c r="Q69" s="268">
        <f>IF(J69=10,1,IFERROR(INDEX('Cost Escalators'!$D$28:$D$92,MATCH($P$4,'Cost Escalators'!$B$28:$B$92,0))/INDEX('Cost Escalators'!$D$28:$D$92,MATCH(I69,'Cost Escalators'!$B$28:$B$92,0)),1))</f>
        <v>1</v>
      </c>
      <c r="R69" s="269">
        <f t="shared" si="2"/>
        <v>183330</v>
      </c>
      <c r="S69" s="269">
        <f t="shared" si="3"/>
        <v>183330</v>
      </c>
      <c r="T69" s="269">
        <f t="shared" si="4"/>
        <v>183330</v>
      </c>
      <c r="U69" s="242">
        <f t="shared" si="5"/>
        <v>0</v>
      </c>
    </row>
    <row r="70" spans="1:21" s="237" customFormat="1" x14ac:dyDescent="0.3">
      <c r="A70" s="237">
        <v>65</v>
      </c>
      <c r="B70" s="263">
        <v>0</v>
      </c>
      <c r="C70" s="263">
        <v>0</v>
      </c>
      <c r="D70" s="264">
        <v>0</v>
      </c>
      <c r="E70" s="383" t="s">
        <v>490</v>
      </c>
      <c r="F70" s="384" t="s">
        <v>364</v>
      </c>
      <c r="G70" s="384">
        <v>31</v>
      </c>
      <c r="H70" s="385">
        <v>36433</v>
      </c>
      <c r="I70" s="265">
        <f t="shared" ref="I70:I133" si="6">YEAR(H70)</f>
        <v>1999</v>
      </c>
      <c r="J70" s="641">
        <v>10</v>
      </c>
      <c r="K70" s="641" t="str">
        <f>VLOOKUP(J70,'Cost Escalators'!$C$313:$D$330,2,FALSE)</f>
        <v>Land</v>
      </c>
      <c r="L70" s="238" t="s">
        <v>491</v>
      </c>
      <c r="M70" s="384" t="s">
        <v>1506</v>
      </c>
      <c r="N70" s="246">
        <v>1208560.5</v>
      </c>
      <c r="O70" s="267">
        <v>0</v>
      </c>
      <c r="P70" s="250">
        <f t="shared" ref="P70:P133" si="7">IF(O70="","",I70+O70)</f>
        <v>1999</v>
      </c>
      <c r="Q70" s="268">
        <f>IF(J70=10,1,IFERROR(INDEX('Cost Escalators'!$D$28:$D$92,MATCH($P$4,'Cost Escalators'!$B$28:$B$92,0))/INDEX('Cost Escalators'!$D$28:$D$92,MATCH(I70,'Cost Escalators'!$B$28:$B$92,0)),1))</f>
        <v>1</v>
      </c>
      <c r="R70" s="269">
        <f t="shared" ref="R70:R133" si="8">N70*Q70</f>
        <v>1208560.5</v>
      </c>
      <c r="S70" s="269">
        <f t="shared" ref="S70:S133" si="9">IFERROR(IF(P70&gt;$P$4,R70*(1+$Q$4)^(P70-$P$4),R70),"")</f>
        <v>1208560.5</v>
      </c>
      <c r="T70" s="269">
        <f t="shared" ref="T70:T133" si="10">IF(J70=10,N70,(N70-U70)*(1+$Q$4)^($P$4-I70))</f>
        <v>1208560.5</v>
      </c>
      <c r="U70" s="242">
        <f t="shared" ref="U70:U133" si="11">IFERROR(IF((N70/O70)*($U$4-I70)&gt;N70,N70,(N70/O70)*($U$4-I70)),0)</f>
        <v>0</v>
      </c>
    </row>
    <row r="71" spans="1:21" s="237" customFormat="1" x14ac:dyDescent="0.3">
      <c r="A71" s="237">
        <v>66</v>
      </c>
      <c r="B71" s="263">
        <v>0</v>
      </c>
      <c r="C71" s="263">
        <v>0</v>
      </c>
      <c r="D71" s="264">
        <v>0</v>
      </c>
      <c r="E71" s="381" t="s">
        <v>492</v>
      </c>
      <c r="F71" s="384" t="s">
        <v>364</v>
      </c>
      <c r="G71" s="384">
        <v>31</v>
      </c>
      <c r="H71" s="385">
        <v>35703</v>
      </c>
      <c r="I71" s="265">
        <f t="shared" si="6"/>
        <v>1997</v>
      </c>
      <c r="J71" s="641">
        <v>10</v>
      </c>
      <c r="K71" s="641" t="str">
        <f>VLOOKUP(J71,'Cost Escalators'!$C$313:$D$330,2,FALSE)</f>
        <v>Land</v>
      </c>
      <c r="L71" s="238" t="s">
        <v>493</v>
      </c>
      <c r="M71" s="384" t="s">
        <v>1506</v>
      </c>
      <c r="N71" s="246">
        <v>84420</v>
      </c>
      <c r="O71" s="267">
        <v>0</v>
      </c>
      <c r="P71" s="250">
        <f t="shared" si="7"/>
        <v>1997</v>
      </c>
      <c r="Q71" s="268">
        <f>IF(J71=10,1,IFERROR(INDEX('Cost Escalators'!$D$28:$D$92,MATCH($P$4,'Cost Escalators'!$B$28:$B$92,0))/INDEX('Cost Escalators'!$D$28:$D$92,MATCH(I71,'Cost Escalators'!$B$28:$B$92,0)),1))</f>
        <v>1</v>
      </c>
      <c r="R71" s="269">
        <f t="shared" si="8"/>
        <v>84420</v>
      </c>
      <c r="S71" s="269">
        <f t="shared" si="9"/>
        <v>84420</v>
      </c>
      <c r="T71" s="269">
        <f t="shared" si="10"/>
        <v>84420</v>
      </c>
      <c r="U71" s="242">
        <f t="shared" si="11"/>
        <v>0</v>
      </c>
    </row>
    <row r="72" spans="1:21" s="237" customFormat="1" x14ac:dyDescent="0.3">
      <c r="A72" s="237">
        <v>67</v>
      </c>
      <c r="B72" s="263">
        <v>0</v>
      </c>
      <c r="C72" s="263">
        <v>0</v>
      </c>
      <c r="D72" s="264">
        <v>0</v>
      </c>
      <c r="E72" s="381" t="s">
        <v>494</v>
      </c>
      <c r="F72" s="384" t="s">
        <v>364</v>
      </c>
      <c r="G72" s="384">
        <v>31</v>
      </c>
      <c r="H72" s="385">
        <v>31167</v>
      </c>
      <c r="I72" s="265">
        <f t="shared" si="6"/>
        <v>1985</v>
      </c>
      <c r="J72" s="641">
        <v>10</v>
      </c>
      <c r="K72" s="641" t="str">
        <f>VLOOKUP(J72,'Cost Escalators'!$C$313:$D$330,2,FALSE)</f>
        <v>Land</v>
      </c>
      <c r="L72" s="238" t="s">
        <v>495</v>
      </c>
      <c r="M72" s="384" t="s">
        <v>1506</v>
      </c>
      <c r="N72" s="246">
        <v>63319.519999999997</v>
      </c>
      <c r="O72" s="267">
        <v>0</v>
      </c>
      <c r="P72" s="250">
        <f t="shared" si="7"/>
        <v>1985</v>
      </c>
      <c r="Q72" s="268">
        <f>IF(J72=10,1,IFERROR(INDEX('Cost Escalators'!$D$28:$D$92,MATCH($P$4,'Cost Escalators'!$B$28:$B$92,0))/INDEX('Cost Escalators'!$D$28:$D$92,MATCH(I72,'Cost Escalators'!$B$28:$B$92,0)),1))</f>
        <v>1</v>
      </c>
      <c r="R72" s="269">
        <f t="shared" si="8"/>
        <v>63319.519999999997</v>
      </c>
      <c r="S72" s="269">
        <f t="shared" si="9"/>
        <v>63319.519999999997</v>
      </c>
      <c r="T72" s="269">
        <f t="shared" si="10"/>
        <v>63319.519999999997</v>
      </c>
      <c r="U72" s="242">
        <f t="shared" si="11"/>
        <v>0</v>
      </c>
    </row>
    <row r="73" spans="1:21" s="237" customFormat="1" x14ac:dyDescent="0.3">
      <c r="A73" s="237">
        <v>68</v>
      </c>
      <c r="B73" s="263">
        <v>0</v>
      </c>
      <c r="C73" s="263">
        <v>0</v>
      </c>
      <c r="D73" s="264">
        <v>0</v>
      </c>
      <c r="E73" s="381" t="s">
        <v>496</v>
      </c>
      <c r="F73" s="384" t="s">
        <v>364</v>
      </c>
      <c r="G73" s="384">
        <v>31</v>
      </c>
      <c r="H73" s="385">
        <v>35703</v>
      </c>
      <c r="I73" s="265">
        <f t="shared" si="6"/>
        <v>1997</v>
      </c>
      <c r="J73" s="641">
        <v>10</v>
      </c>
      <c r="K73" s="641" t="str">
        <f>VLOOKUP(J73,'Cost Escalators'!$C$313:$D$330,2,FALSE)</f>
        <v>Land</v>
      </c>
      <c r="L73" s="238" t="s">
        <v>497</v>
      </c>
      <c r="M73" s="384" t="s">
        <v>1506</v>
      </c>
      <c r="N73" s="246">
        <v>107100</v>
      </c>
      <c r="O73" s="267">
        <v>0</v>
      </c>
      <c r="P73" s="250">
        <f t="shared" si="7"/>
        <v>1997</v>
      </c>
      <c r="Q73" s="268">
        <f>IF(J73=10,1,IFERROR(INDEX('Cost Escalators'!$D$28:$D$92,MATCH($P$4,'Cost Escalators'!$B$28:$B$92,0))/INDEX('Cost Escalators'!$D$28:$D$92,MATCH(I73,'Cost Escalators'!$B$28:$B$92,0)),1))</f>
        <v>1</v>
      </c>
      <c r="R73" s="269">
        <f t="shared" si="8"/>
        <v>107100</v>
      </c>
      <c r="S73" s="269">
        <f t="shared" si="9"/>
        <v>107100</v>
      </c>
      <c r="T73" s="269">
        <f t="shared" si="10"/>
        <v>107100</v>
      </c>
      <c r="U73" s="242">
        <f t="shared" si="11"/>
        <v>0</v>
      </c>
    </row>
    <row r="74" spans="1:21" s="237" customFormat="1" x14ac:dyDescent="0.3">
      <c r="A74" s="237">
        <v>69</v>
      </c>
      <c r="B74" s="263">
        <v>0</v>
      </c>
      <c r="C74" s="263">
        <v>0</v>
      </c>
      <c r="D74" s="264">
        <v>0</v>
      </c>
      <c r="E74" s="381" t="s">
        <v>498</v>
      </c>
      <c r="F74" s="384" t="s">
        <v>364</v>
      </c>
      <c r="G74" s="384">
        <v>31</v>
      </c>
      <c r="H74" s="385">
        <v>27729</v>
      </c>
      <c r="I74" s="265">
        <f t="shared" si="6"/>
        <v>1975</v>
      </c>
      <c r="J74" s="641">
        <v>10</v>
      </c>
      <c r="K74" s="641" t="str">
        <f>VLOOKUP(J74,'Cost Escalators'!$C$313:$D$330,2,FALSE)</f>
        <v>Land</v>
      </c>
      <c r="L74" s="238" t="s">
        <v>376</v>
      </c>
      <c r="M74" s="384" t="s">
        <v>1506</v>
      </c>
      <c r="N74" s="246">
        <v>45869.77</v>
      </c>
      <c r="O74" s="267">
        <v>0</v>
      </c>
      <c r="P74" s="250">
        <f t="shared" si="7"/>
        <v>1975</v>
      </c>
      <c r="Q74" s="268">
        <f>IF(J74=10,1,IFERROR(INDEX('Cost Escalators'!$D$28:$D$92,MATCH($P$4,'Cost Escalators'!$B$28:$B$92,0))/INDEX('Cost Escalators'!$D$28:$D$92,MATCH(I74,'Cost Escalators'!$B$28:$B$92,0)),1))</f>
        <v>1</v>
      </c>
      <c r="R74" s="269">
        <f t="shared" si="8"/>
        <v>45869.77</v>
      </c>
      <c r="S74" s="269">
        <f t="shared" si="9"/>
        <v>45869.77</v>
      </c>
      <c r="T74" s="269">
        <f t="shared" si="10"/>
        <v>45869.77</v>
      </c>
      <c r="U74" s="242">
        <f t="shared" si="11"/>
        <v>0</v>
      </c>
    </row>
    <row r="75" spans="1:21" s="237" customFormat="1" x14ac:dyDescent="0.3">
      <c r="A75" s="237">
        <v>70</v>
      </c>
      <c r="B75" s="263">
        <v>0</v>
      </c>
      <c r="C75" s="263">
        <v>0</v>
      </c>
      <c r="D75" s="264">
        <v>0</v>
      </c>
      <c r="E75" s="383" t="s">
        <v>499</v>
      </c>
      <c r="F75" s="384" t="s">
        <v>364</v>
      </c>
      <c r="G75" s="384">
        <v>31</v>
      </c>
      <c r="H75" s="385">
        <v>28245</v>
      </c>
      <c r="I75" s="265">
        <f t="shared" si="6"/>
        <v>1977</v>
      </c>
      <c r="J75" s="641">
        <v>10</v>
      </c>
      <c r="K75" s="641" t="str">
        <f>VLOOKUP(J75,'Cost Escalators'!$C$313:$D$330,2,FALSE)</f>
        <v>Land</v>
      </c>
      <c r="L75" s="238" t="s">
        <v>500</v>
      </c>
      <c r="M75" s="384" t="s">
        <v>1506</v>
      </c>
      <c r="N75" s="246">
        <v>156734.69</v>
      </c>
      <c r="O75" s="267">
        <v>0</v>
      </c>
      <c r="P75" s="250">
        <f t="shared" si="7"/>
        <v>1977</v>
      </c>
      <c r="Q75" s="268">
        <f>IF(J75=10,1,IFERROR(INDEX('Cost Escalators'!$D$28:$D$92,MATCH($P$4,'Cost Escalators'!$B$28:$B$92,0))/INDEX('Cost Escalators'!$D$28:$D$92,MATCH(I75,'Cost Escalators'!$B$28:$B$92,0)),1))</f>
        <v>1</v>
      </c>
      <c r="R75" s="269">
        <f t="shared" si="8"/>
        <v>156734.69</v>
      </c>
      <c r="S75" s="269">
        <f t="shared" si="9"/>
        <v>156734.69</v>
      </c>
      <c r="T75" s="269">
        <f t="shared" si="10"/>
        <v>156734.69</v>
      </c>
      <c r="U75" s="242">
        <f t="shared" si="11"/>
        <v>0</v>
      </c>
    </row>
    <row r="76" spans="1:21" s="237" customFormat="1" x14ac:dyDescent="0.3">
      <c r="A76" s="237">
        <v>71</v>
      </c>
      <c r="B76" s="263">
        <v>0</v>
      </c>
      <c r="C76" s="263">
        <v>0</v>
      </c>
      <c r="D76" s="264">
        <v>0</v>
      </c>
      <c r="E76" s="381" t="s">
        <v>501</v>
      </c>
      <c r="F76" s="384" t="s">
        <v>364</v>
      </c>
      <c r="G76" s="384">
        <v>31</v>
      </c>
      <c r="H76" s="385">
        <v>32263</v>
      </c>
      <c r="I76" s="265">
        <f t="shared" si="6"/>
        <v>1988</v>
      </c>
      <c r="J76" s="641">
        <v>10</v>
      </c>
      <c r="K76" s="641" t="str">
        <f>VLOOKUP(J76,'Cost Escalators'!$C$313:$D$330,2,FALSE)</f>
        <v>Land</v>
      </c>
      <c r="L76" s="238" t="s">
        <v>502</v>
      </c>
      <c r="M76" s="384" t="s">
        <v>1506</v>
      </c>
      <c r="N76" s="246">
        <v>132000</v>
      </c>
      <c r="O76" s="267">
        <v>0</v>
      </c>
      <c r="P76" s="250">
        <f t="shared" si="7"/>
        <v>1988</v>
      </c>
      <c r="Q76" s="268">
        <f>IF(J76=10,1,IFERROR(INDEX('Cost Escalators'!$D$28:$D$92,MATCH($P$4,'Cost Escalators'!$B$28:$B$92,0))/INDEX('Cost Escalators'!$D$28:$D$92,MATCH(I76,'Cost Escalators'!$B$28:$B$92,0)),1))</f>
        <v>1</v>
      </c>
      <c r="R76" s="269">
        <f t="shared" si="8"/>
        <v>132000</v>
      </c>
      <c r="S76" s="269">
        <f t="shared" si="9"/>
        <v>132000</v>
      </c>
      <c r="T76" s="269">
        <f t="shared" si="10"/>
        <v>132000</v>
      </c>
      <c r="U76" s="242">
        <f t="shared" si="11"/>
        <v>0</v>
      </c>
    </row>
    <row r="77" spans="1:21" s="237" customFormat="1" x14ac:dyDescent="0.3">
      <c r="A77" s="237">
        <v>72</v>
      </c>
      <c r="B77" s="263">
        <v>0</v>
      </c>
      <c r="C77" s="263">
        <v>0</v>
      </c>
      <c r="D77" s="264">
        <v>0</v>
      </c>
      <c r="E77" s="381" t="s">
        <v>503</v>
      </c>
      <c r="F77" s="384" t="s">
        <v>364</v>
      </c>
      <c r="G77" s="384">
        <v>31</v>
      </c>
      <c r="H77" s="385">
        <v>35703</v>
      </c>
      <c r="I77" s="265">
        <f t="shared" si="6"/>
        <v>1997</v>
      </c>
      <c r="J77" s="641">
        <v>10</v>
      </c>
      <c r="K77" s="641" t="str">
        <f>VLOOKUP(J77,'Cost Escalators'!$C$313:$D$330,2,FALSE)</f>
        <v>Land</v>
      </c>
      <c r="L77" s="238" t="s">
        <v>504</v>
      </c>
      <c r="M77" s="384" t="s">
        <v>1506</v>
      </c>
      <c r="N77" s="246">
        <v>12600</v>
      </c>
      <c r="O77" s="267">
        <v>0</v>
      </c>
      <c r="P77" s="250">
        <f t="shared" si="7"/>
        <v>1997</v>
      </c>
      <c r="Q77" s="268">
        <f>IF(J77=10,1,IFERROR(INDEX('Cost Escalators'!$D$28:$D$92,MATCH($P$4,'Cost Escalators'!$B$28:$B$92,0))/INDEX('Cost Escalators'!$D$28:$D$92,MATCH(I77,'Cost Escalators'!$B$28:$B$92,0)),1))</f>
        <v>1</v>
      </c>
      <c r="R77" s="269">
        <f t="shared" si="8"/>
        <v>12600</v>
      </c>
      <c r="S77" s="269">
        <f t="shared" si="9"/>
        <v>12600</v>
      </c>
      <c r="T77" s="269">
        <f t="shared" si="10"/>
        <v>12600</v>
      </c>
      <c r="U77" s="242">
        <f t="shared" si="11"/>
        <v>0</v>
      </c>
    </row>
    <row r="78" spans="1:21" s="237" customFormat="1" x14ac:dyDescent="0.3">
      <c r="A78" s="237">
        <v>73</v>
      </c>
      <c r="B78" s="263">
        <v>0</v>
      </c>
      <c r="C78" s="263">
        <v>0</v>
      </c>
      <c r="D78" s="264">
        <v>0</v>
      </c>
      <c r="E78" s="383" t="s">
        <v>505</v>
      </c>
      <c r="F78" s="384" t="s">
        <v>364</v>
      </c>
      <c r="G78" s="384">
        <v>31</v>
      </c>
      <c r="H78" s="385">
        <v>35703</v>
      </c>
      <c r="I78" s="265">
        <f t="shared" si="6"/>
        <v>1997</v>
      </c>
      <c r="J78" s="641">
        <v>10</v>
      </c>
      <c r="K78" s="641" t="str">
        <f>VLOOKUP(J78,'Cost Escalators'!$C$313:$D$330,2,FALSE)</f>
        <v>Land</v>
      </c>
      <c r="L78" s="238" t="s">
        <v>506</v>
      </c>
      <c r="M78" s="384" t="s">
        <v>1506</v>
      </c>
      <c r="N78" s="246">
        <v>139230</v>
      </c>
      <c r="O78" s="267">
        <v>0</v>
      </c>
      <c r="P78" s="250">
        <f t="shared" si="7"/>
        <v>1997</v>
      </c>
      <c r="Q78" s="268">
        <f>IF(J78=10,1,IFERROR(INDEX('Cost Escalators'!$D$28:$D$92,MATCH($P$4,'Cost Escalators'!$B$28:$B$92,0))/INDEX('Cost Escalators'!$D$28:$D$92,MATCH(I78,'Cost Escalators'!$B$28:$B$92,0)),1))</f>
        <v>1</v>
      </c>
      <c r="R78" s="269">
        <f t="shared" si="8"/>
        <v>139230</v>
      </c>
      <c r="S78" s="269">
        <f t="shared" si="9"/>
        <v>139230</v>
      </c>
      <c r="T78" s="269">
        <f t="shared" si="10"/>
        <v>139230</v>
      </c>
      <c r="U78" s="242">
        <f t="shared" si="11"/>
        <v>0</v>
      </c>
    </row>
    <row r="79" spans="1:21" s="237" customFormat="1" x14ac:dyDescent="0.3">
      <c r="A79" s="237">
        <v>74</v>
      </c>
      <c r="B79" s="263">
        <v>0</v>
      </c>
      <c r="C79" s="263">
        <v>0</v>
      </c>
      <c r="D79" s="264">
        <v>0</v>
      </c>
      <c r="E79" s="383" t="s">
        <v>507</v>
      </c>
      <c r="F79" s="384" t="s">
        <v>364</v>
      </c>
      <c r="G79" s="384">
        <v>31</v>
      </c>
      <c r="H79" s="385">
        <v>34089</v>
      </c>
      <c r="I79" s="265">
        <f t="shared" si="6"/>
        <v>1993</v>
      </c>
      <c r="J79" s="641">
        <v>10</v>
      </c>
      <c r="K79" s="641" t="str">
        <f>VLOOKUP(J79,'Cost Escalators'!$C$313:$D$330,2,FALSE)</f>
        <v>Land</v>
      </c>
      <c r="L79" s="238" t="s">
        <v>508</v>
      </c>
      <c r="M79" s="384" t="s">
        <v>1506</v>
      </c>
      <c r="N79" s="246">
        <v>48000</v>
      </c>
      <c r="O79" s="267">
        <v>0</v>
      </c>
      <c r="P79" s="250">
        <f t="shared" si="7"/>
        <v>1993</v>
      </c>
      <c r="Q79" s="268">
        <f>IF(J79=10,1,IFERROR(INDEX('Cost Escalators'!$D$28:$D$92,MATCH($P$4,'Cost Escalators'!$B$28:$B$92,0))/INDEX('Cost Escalators'!$D$28:$D$92,MATCH(I79,'Cost Escalators'!$B$28:$B$92,0)),1))</f>
        <v>1</v>
      </c>
      <c r="R79" s="269">
        <f t="shared" si="8"/>
        <v>48000</v>
      </c>
      <c r="S79" s="269">
        <f t="shared" si="9"/>
        <v>48000</v>
      </c>
      <c r="T79" s="269">
        <f t="shared" si="10"/>
        <v>48000</v>
      </c>
      <c r="U79" s="242">
        <f t="shared" si="11"/>
        <v>0</v>
      </c>
    </row>
    <row r="80" spans="1:21" s="237" customFormat="1" x14ac:dyDescent="0.3">
      <c r="A80" s="237">
        <v>75</v>
      </c>
      <c r="B80" s="263">
        <v>0</v>
      </c>
      <c r="C80" s="263">
        <v>0</v>
      </c>
      <c r="D80" s="264">
        <v>0</v>
      </c>
      <c r="E80" s="381" t="s">
        <v>509</v>
      </c>
      <c r="F80" s="384" t="s">
        <v>364</v>
      </c>
      <c r="G80" s="384">
        <v>31</v>
      </c>
      <c r="H80" s="385">
        <v>34089</v>
      </c>
      <c r="I80" s="265">
        <f t="shared" si="6"/>
        <v>1993</v>
      </c>
      <c r="J80" s="641">
        <v>10</v>
      </c>
      <c r="K80" s="641" t="str">
        <f>VLOOKUP(J80,'Cost Escalators'!$C$313:$D$330,2,FALSE)</f>
        <v>Land</v>
      </c>
      <c r="L80" s="238" t="s">
        <v>510</v>
      </c>
      <c r="M80" s="384" t="s">
        <v>1506</v>
      </c>
      <c r="N80" s="246">
        <v>271200</v>
      </c>
      <c r="O80" s="267">
        <v>0</v>
      </c>
      <c r="P80" s="250">
        <f t="shared" si="7"/>
        <v>1993</v>
      </c>
      <c r="Q80" s="268">
        <f>IF(J80=10,1,IFERROR(INDEX('Cost Escalators'!$D$28:$D$92,MATCH($P$4,'Cost Escalators'!$B$28:$B$92,0))/INDEX('Cost Escalators'!$D$28:$D$92,MATCH(I80,'Cost Escalators'!$B$28:$B$92,0)),1))</f>
        <v>1</v>
      </c>
      <c r="R80" s="269">
        <f t="shared" si="8"/>
        <v>271200</v>
      </c>
      <c r="S80" s="269">
        <f t="shared" si="9"/>
        <v>271200</v>
      </c>
      <c r="T80" s="269">
        <f t="shared" si="10"/>
        <v>271200</v>
      </c>
      <c r="U80" s="242">
        <f t="shared" si="11"/>
        <v>0</v>
      </c>
    </row>
    <row r="81" spans="1:21" s="237" customFormat="1" x14ac:dyDescent="0.3">
      <c r="A81" s="237">
        <v>76</v>
      </c>
      <c r="B81" s="263">
        <v>0</v>
      </c>
      <c r="C81" s="263">
        <v>0</v>
      </c>
      <c r="D81" s="264">
        <v>0</v>
      </c>
      <c r="E81" s="383" t="s">
        <v>511</v>
      </c>
      <c r="F81" s="384" t="s">
        <v>364</v>
      </c>
      <c r="G81" s="384">
        <v>31</v>
      </c>
      <c r="H81" s="385">
        <v>36799</v>
      </c>
      <c r="I81" s="265">
        <f t="shared" si="6"/>
        <v>2000</v>
      </c>
      <c r="J81" s="641">
        <v>10</v>
      </c>
      <c r="K81" s="641" t="str">
        <f>VLOOKUP(J81,'Cost Escalators'!$C$313:$D$330,2,FALSE)</f>
        <v>Land</v>
      </c>
      <c r="L81" s="238" t="s">
        <v>512</v>
      </c>
      <c r="M81" s="384" t="s">
        <v>1506</v>
      </c>
      <c r="N81" s="246">
        <v>151938.28</v>
      </c>
      <c r="O81" s="267">
        <v>0</v>
      </c>
      <c r="P81" s="250">
        <f t="shared" si="7"/>
        <v>2000</v>
      </c>
      <c r="Q81" s="268">
        <f>IF(J81=10,1,IFERROR(INDEX('Cost Escalators'!$D$28:$D$92,MATCH($P$4,'Cost Escalators'!$B$28:$B$92,0))/INDEX('Cost Escalators'!$D$28:$D$92,MATCH(I81,'Cost Escalators'!$B$28:$B$92,0)),1))</f>
        <v>1</v>
      </c>
      <c r="R81" s="269">
        <f t="shared" si="8"/>
        <v>151938.28</v>
      </c>
      <c r="S81" s="269">
        <f t="shared" si="9"/>
        <v>151938.28</v>
      </c>
      <c r="T81" s="269">
        <f t="shared" si="10"/>
        <v>151938.28</v>
      </c>
      <c r="U81" s="242">
        <f t="shared" si="11"/>
        <v>0</v>
      </c>
    </row>
    <row r="82" spans="1:21" s="237" customFormat="1" x14ac:dyDescent="0.3">
      <c r="A82" s="237">
        <v>77</v>
      </c>
      <c r="B82" s="263">
        <v>0</v>
      </c>
      <c r="C82" s="263">
        <v>0</v>
      </c>
      <c r="D82" s="264">
        <v>0</v>
      </c>
      <c r="E82" s="381" t="s">
        <v>513</v>
      </c>
      <c r="F82" s="384" t="s">
        <v>364</v>
      </c>
      <c r="G82" s="384">
        <v>31</v>
      </c>
      <c r="H82" s="385">
        <v>36799</v>
      </c>
      <c r="I82" s="265">
        <f t="shared" si="6"/>
        <v>2000</v>
      </c>
      <c r="J82" s="641">
        <v>10</v>
      </c>
      <c r="K82" s="641" t="str">
        <f>VLOOKUP(J82,'Cost Escalators'!$C$313:$D$330,2,FALSE)</f>
        <v>Land</v>
      </c>
      <c r="L82" s="238" t="s">
        <v>514</v>
      </c>
      <c r="M82" s="384" t="s">
        <v>1506</v>
      </c>
      <c r="N82" s="246">
        <v>75535.03</v>
      </c>
      <c r="O82" s="267">
        <v>0</v>
      </c>
      <c r="P82" s="250">
        <f t="shared" si="7"/>
        <v>2000</v>
      </c>
      <c r="Q82" s="268">
        <f>IF(J82=10,1,IFERROR(INDEX('Cost Escalators'!$D$28:$D$92,MATCH($P$4,'Cost Escalators'!$B$28:$B$92,0))/INDEX('Cost Escalators'!$D$28:$D$92,MATCH(I82,'Cost Escalators'!$B$28:$B$92,0)),1))</f>
        <v>1</v>
      </c>
      <c r="R82" s="269">
        <f t="shared" si="8"/>
        <v>75535.03</v>
      </c>
      <c r="S82" s="269">
        <f t="shared" si="9"/>
        <v>75535.03</v>
      </c>
      <c r="T82" s="269">
        <f t="shared" si="10"/>
        <v>75535.03</v>
      </c>
      <c r="U82" s="242">
        <f t="shared" si="11"/>
        <v>0</v>
      </c>
    </row>
    <row r="83" spans="1:21" s="237" customFormat="1" x14ac:dyDescent="0.3">
      <c r="A83" s="237">
        <v>78</v>
      </c>
      <c r="B83" s="263">
        <v>0</v>
      </c>
      <c r="C83" s="263">
        <v>0</v>
      </c>
      <c r="D83" s="264">
        <v>0</v>
      </c>
      <c r="E83" s="381" t="s">
        <v>515</v>
      </c>
      <c r="F83" s="384" t="s">
        <v>364</v>
      </c>
      <c r="G83" s="384">
        <v>31</v>
      </c>
      <c r="H83" s="385">
        <v>36068</v>
      </c>
      <c r="I83" s="265">
        <f t="shared" si="6"/>
        <v>1998</v>
      </c>
      <c r="J83" s="641">
        <v>10</v>
      </c>
      <c r="K83" s="641" t="str">
        <f>VLOOKUP(J83,'Cost Escalators'!$C$313:$D$330,2,FALSE)</f>
        <v>Land</v>
      </c>
      <c r="L83" s="238" t="s">
        <v>516</v>
      </c>
      <c r="M83" s="384" t="s">
        <v>1506</v>
      </c>
      <c r="N83" s="246">
        <v>35721</v>
      </c>
      <c r="O83" s="267">
        <v>0</v>
      </c>
      <c r="P83" s="250">
        <f t="shared" si="7"/>
        <v>1998</v>
      </c>
      <c r="Q83" s="268">
        <f>IF(J83=10,1,IFERROR(INDEX('Cost Escalators'!$D$28:$D$92,MATCH($P$4,'Cost Escalators'!$B$28:$B$92,0))/INDEX('Cost Escalators'!$D$28:$D$92,MATCH(I83,'Cost Escalators'!$B$28:$B$92,0)),1))</f>
        <v>1</v>
      </c>
      <c r="R83" s="269">
        <f t="shared" si="8"/>
        <v>35721</v>
      </c>
      <c r="S83" s="269">
        <f t="shared" si="9"/>
        <v>35721</v>
      </c>
      <c r="T83" s="269">
        <f t="shared" si="10"/>
        <v>35721</v>
      </c>
      <c r="U83" s="242">
        <f t="shared" si="11"/>
        <v>0</v>
      </c>
    </row>
    <row r="84" spans="1:21" s="237" customFormat="1" x14ac:dyDescent="0.3">
      <c r="A84" s="237">
        <v>79</v>
      </c>
      <c r="B84" s="263">
        <v>0</v>
      </c>
      <c r="C84" s="263">
        <v>0</v>
      </c>
      <c r="D84" s="264">
        <v>0</v>
      </c>
      <c r="E84" s="381" t="s">
        <v>517</v>
      </c>
      <c r="F84" s="384" t="s">
        <v>364</v>
      </c>
      <c r="G84" s="384">
        <v>31</v>
      </c>
      <c r="H84" s="385">
        <v>33724</v>
      </c>
      <c r="I84" s="265">
        <f t="shared" si="6"/>
        <v>1992</v>
      </c>
      <c r="J84" s="641">
        <v>10</v>
      </c>
      <c r="K84" s="641" t="str">
        <f>VLOOKUP(J84,'Cost Escalators'!$C$313:$D$330,2,FALSE)</f>
        <v>Land</v>
      </c>
      <c r="L84" s="238" t="s">
        <v>518</v>
      </c>
      <c r="M84" s="384" t="s">
        <v>1506</v>
      </c>
      <c r="N84" s="246">
        <v>48960</v>
      </c>
      <c r="O84" s="267">
        <v>0</v>
      </c>
      <c r="P84" s="250">
        <f t="shared" si="7"/>
        <v>1992</v>
      </c>
      <c r="Q84" s="268">
        <f>IF(J84=10,1,IFERROR(INDEX('Cost Escalators'!$D$28:$D$92,MATCH($P$4,'Cost Escalators'!$B$28:$B$92,0))/INDEX('Cost Escalators'!$D$28:$D$92,MATCH(I84,'Cost Escalators'!$B$28:$B$92,0)),1))</f>
        <v>1</v>
      </c>
      <c r="R84" s="269">
        <f t="shared" si="8"/>
        <v>48960</v>
      </c>
      <c r="S84" s="269">
        <f t="shared" si="9"/>
        <v>48960</v>
      </c>
      <c r="T84" s="269">
        <f t="shared" si="10"/>
        <v>48960</v>
      </c>
      <c r="U84" s="242">
        <f t="shared" si="11"/>
        <v>0</v>
      </c>
    </row>
    <row r="85" spans="1:21" s="237" customFormat="1" x14ac:dyDescent="0.3">
      <c r="A85" s="237">
        <v>80</v>
      </c>
      <c r="B85" s="263">
        <v>0</v>
      </c>
      <c r="C85" s="263">
        <v>0</v>
      </c>
      <c r="D85" s="264">
        <v>0</v>
      </c>
      <c r="E85" s="381" t="s">
        <v>519</v>
      </c>
      <c r="F85" s="384" t="s">
        <v>364</v>
      </c>
      <c r="G85" s="384">
        <v>31</v>
      </c>
      <c r="H85" s="385">
        <v>35338</v>
      </c>
      <c r="I85" s="265">
        <f t="shared" si="6"/>
        <v>1996</v>
      </c>
      <c r="J85" s="641">
        <v>10</v>
      </c>
      <c r="K85" s="641" t="str">
        <f>VLOOKUP(J85,'Cost Escalators'!$C$313:$D$330,2,FALSE)</f>
        <v>Land</v>
      </c>
      <c r="L85" s="238" t="s">
        <v>520</v>
      </c>
      <c r="M85" s="384" t="s">
        <v>1506</v>
      </c>
      <c r="N85" s="246">
        <v>46800</v>
      </c>
      <c r="O85" s="267">
        <v>0</v>
      </c>
      <c r="P85" s="250">
        <f t="shared" si="7"/>
        <v>1996</v>
      </c>
      <c r="Q85" s="268">
        <f>IF(J85=10,1,IFERROR(INDEX('Cost Escalators'!$D$28:$D$92,MATCH($P$4,'Cost Escalators'!$B$28:$B$92,0))/INDEX('Cost Escalators'!$D$28:$D$92,MATCH(I85,'Cost Escalators'!$B$28:$B$92,0)),1))</f>
        <v>1</v>
      </c>
      <c r="R85" s="269">
        <f t="shared" si="8"/>
        <v>46800</v>
      </c>
      <c r="S85" s="269">
        <f t="shared" si="9"/>
        <v>46800</v>
      </c>
      <c r="T85" s="269">
        <f t="shared" si="10"/>
        <v>46800</v>
      </c>
      <c r="U85" s="242">
        <f t="shared" si="11"/>
        <v>0</v>
      </c>
    </row>
    <row r="86" spans="1:21" s="237" customFormat="1" x14ac:dyDescent="0.3">
      <c r="A86" s="237">
        <v>81</v>
      </c>
      <c r="B86" s="263">
        <v>0</v>
      </c>
      <c r="C86" s="263">
        <v>0</v>
      </c>
      <c r="D86" s="264">
        <v>0</v>
      </c>
      <c r="E86" s="381" t="s">
        <v>521</v>
      </c>
      <c r="F86" s="384" t="s">
        <v>364</v>
      </c>
      <c r="G86" s="384">
        <v>31</v>
      </c>
      <c r="H86" s="385">
        <v>35338</v>
      </c>
      <c r="I86" s="265">
        <f t="shared" si="6"/>
        <v>1996</v>
      </c>
      <c r="J86" s="641">
        <v>10</v>
      </c>
      <c r="K86" s="641" t="str">
        <f>VLOOKUP(J86,'Cost Escalators'!$C$313:$D$330,2,FALSE)</f>
        <v>Land</v>
      </c>
      <c r="L86" s="238" t="s">
        <v>522</v>
      </c>
      <c r="M86" s="384" t="s">
        <v>1506</v>
      </c>
      <c r="N86" s="246">
        <v>132600</v>
      </c>
      <c r="O86" s="267">
        <v>0</v>
      </c>
      <c r="P86" s="250">
        <f t="shared" si="7"/>
        <v>1996</v>
      </c>
      <c r="Q86" s="268">
        <f>IF(J86=10,1,IFERROR(INDEX('Cost Escalators'!$D$28:$D$92,MATCH($P$4,'Cost Escalators'!$B$28:$B$92,0))/INDEX('Cost Escalators'!$D$28:$D$92,MATCH(I86,'Cost Escalators'!$B$28:$B$92,0)),1))</f>
        <v>1</v>
      </c>
      <c r="R86" s="269">
        <f t="shared" si="8"/>
        <v>132600</v>
      </c>
      <c r="S86" s="269">
        <f t="shared" si="9"/>
        <v>132600</v>
      </c>
      <c r="T86" s="269">
        <f t="shared" si="10"/>
        <v>132600</v>
      </c>
      <c r="U86" s="242">
        <f t="shared" si="11"/>
        <v>0</v>
      </c>
    </row>
    <row r="87" spans="1:21" s="237" customFormat="1" x14ac:dyDescent="0.3">
      <c r="A87" s="237">
        <v>82</v>
      </c>
      <c r="B87" s="263">
        <v>0</v>
      </c>
      <c r="C87" s="263">
        <v>0</v>
      </c>
      <c r="D87" s="264">
        <v>0</v>
      </c>
      <c r="E87" s="381" t="s">
        <v>523</v>
      </c>
      <c r="F87" s="384" t="s">
        <v>364</v>
      </c>
      <c r="G87" s="384">
        <v>31</v>
      </c>
      <c r="H87" s="385">
        <v>34454</v>
      </c>
      <c r="I87" s="265">
        <f t="shared" si="6"/>
        <v>1994</v>
      </c>
      <c r="J87" s="641">
        <v>10</v>
      </c>
      <c r="K87" s="641" t="str">
        <f>VLOOKUP(J87,'Cost Escalators'!$C$313:$D$330,2,FALSE)</f>
        <v>Land</v>
      </c>
      <c r="L87" s="238" t="s">
        <v>524</v>
      </c>
      <c r="M87" s="384" t="s">
        <v>1506</v>
      </c>
      <c r="N87" s="246">
        <v>36000</v>
      </c>
      <c r="O87" s="267">
        <v>0</v>
      </c>
      <c r="P87" s="250">
        <f t="shared" si="7"/>
        <v>1994</v>
      </c>
      <c r="Q87" s="268">
        <f>IF(J87=10,1,IFERROR(INDEX('Cost Escalators'!$D$28:$D$92,MATCH($P$4,'Cost Escalators'!$B$28:$B$92,0))/INDEX('Cost Escalators'!$D$28:$D$92,MATCH(I87,'Cost Escalators'!$B$28:$B$92,0)),1))</f>
        <v>1</v>
      </c>
      <c r="R87" s="269">
        <f t="shared" si="8"/>
        <v>36000</v>
      </c>
      <c r="S87" s="269">
        <f t="shared" si="9"/>
        <v>36000</v>
      </c>
      <c r="T87" s="269">
        <f t="shared" si="10"/>
        <v>36000</v>
      </c>
      <c r="U87" s="242">
        <f t="shared" si="11"/>
        <v>0</v>
      </c>
    </row>
    <row r="88" spans="1:21" s="237" customFormat="1" x14ac:dyDescent="0.3">
      <c r="A88" s="237">
        <v>83</v>
      </c>
      <c r="B88" s="263">
        <v>0</v>
      </c>
      <c r="C88" s="263">
        <v>0</v>
      </c>
      <c r="D88" s="264">
        <v>0</v>
      </c>
      <c r="E88" s="383" t="s">
        <v>525</v>
      </c>
      <c r="F88" s="384" t="s">
        <v>364</v>
      </c>
      <c r="G88" s="384">
        <v>31</v>
      </c>
      <c r="H88" s="385">
        <v>35338</v>
      </c>
      <c r="I88" s="265">
        <f t="shared" si="6"/>
        <v>1996</v>
      </c>
      <c r="J88" s="641">
        <v>10</v>
      </c>
      <c r="K88" s="641" t="str">
        <f>VLOOKUP(J88,'Cost Escalators'!$C$313:$D$330,2,FALSE)</f>
        <v>Land</v>
      </c>
      <c r="L88" s="238" t="s">
        <v>526</v>
      </c>
      <c r="M88" s="384" t="s">
        <v>1506</v>
      </c>
      <c r="N88" s="246">
        <v>217800</v>
      </c>
      <c r="O88" s="267">
        <v>0</v>
      </c>
      <c r="P88" s="250">
        <f t="shared" si="7"/>
        <v>1996</v>
      </c>
      <c r="Q88" s="268">
        <f>IF(J88=10,1,IFERROR(INDEX('Cost Escalators'!$D$28:$D$92,MATCH($P$4,'Cost Escalators'!$B$28:$B$92,0))/INDEX('Cost Escalators'!$D$28:$D$92,MATCH(I88,'Cost Escalators'!$B$28:$B$92,0)),1))</f>
        <v>1</v>
      </c>
      <c r="R88" s="269">
        <f t="shared" si="8"/>
        <v>217800</v>
      </c>
      <c r="S88" s="269">
        <f t="shared" si="9"/>
        <v>217800</v>
      </c>
      <c r="T88" s="269">
        <f t="shared" si="10"/>
        <v>217800</v>
      </c>
      <c r="U88" s="242">
        <f t="shared" si="11"/>
        <v>0</v>
      </c>
    </row>
    <row r="89" spans="1:21" s="237" customFormat="1" x14ac:dyDescent="0.3">
      <c r="A89" s="237">
        <v>84</v>
      </c>
      <c r="B89" s="263">
        <v>0</v>
      </c>
      <c r="C89" s="263">
        <v>0</v>
      </c>
      <c r="D89" s="264">
        <v>0</v>
      </c>
      <c r="E89" s="383" t="s">
        <v>527</v>
      </c>
      <c r="F89" s="384" t="s">
        <v>364</v>
      </c>
      <c r="G89" s="384">
        <v>31</v>
      </c>
      <c r="H89" s="385">
        <v>35703</v>
      </c>
      <c r="I89" s="265">
        <f t="shared" si="6"/>
        <v>1997</v>
      </c>
      <c r="J89" s="641">
        <v>10</v>
      </c>
      <c r="K89" s="641" t="str">
        <f>VLOOKUP(J89,'Cost Escalators'!$C$313:$D$330,2,FALSE)</f>
        <v>Land</v>
      </c>
      <c r="L89" s="238" t="s">
        <v>528</v>
      </c>
      <c r="M89" s="384" t="s">
        <v>1506</v>
      </c>
      <c r="N89" s="246">
        <v>417690</v>
      </c>
      <c r="O89" s="267">
        <v>0</v>
      </c>
      <c r="P89" s="250">
        <f t="shared" si="7"/>
        <v>1997</v>
      </c>
      <c r="Q89" s="268">
        <f>IF(J89=10,1,IFERROR(INDEX('Cost Escalators'!$D$28:$D$92,MATCH($P$4,'Cost Escalators'!$B$28:$B$92,0))/INDEX('Cost Escalators'!$D$28:$D$92,MATCH(I89,'Cost Escalators'!$B$28:$B$92,0)),1))</f>
        <v>1</v>
      </c>
      <c r="R89" s="269">
        <f t="shared" si="8"/>
        <v>417690</v>
      </c>
      <c r="S89" s="269">
        <f t="shared" si="9"/>
        <v>417690</v>
      </c>
      <c r="T89" s="269">
        <f t="shared" si="10"/>
        <v>417690</v>
      </c>
      <c r="U89" s="242">
        <f t="shared" si="11"/>
        <v>0</v>
      </c>
    </row>
    <row r="90" spans="1:21" s="237" customFormat="1" x14ac:dyDescent="0.3">
      <c r="A90" s="237">
        <v>85</v>
      </c>
      <c r="B90" s="263">
        <v>0</v>
      </c>
      <c r="C90" s="263">
        <v>0</v>
      </c>
      <c r="D90" s="264">
        <v>0</v>
      </c>
      <c r="E90" s="383" t="s">
        <v>529</v>
      </c>
      <c r="F90" s="384" t="s">
        <v>364</v>
      </c>
      <c r="G90" s="384">
        <v>31</v>
      </c>
      <c r="H90" s="385">
        <v>36068</v>
      </c>
      <c r="I90" s="265">
        <f t="shared" si="6"/>
        <v>1998</v>
      </c>
      <c r="J90" s="641">
        <v>10</v>
      </c>
      <c r="K90" s="641" t="str">
        <f>VLOOKUP(J90,'Cost Escalators'!$C$313:$D$330,2,FALSE)</f>
        <v>Land</v>
      </c>
      <c r="L90" s="238" t="s">
        <v>530</v>
      </c>
      <c r="M90" s="384" t="s">
        <v>1506</v>
      </c>
      <c r="N90" s="246">
        <v>171990</v>
      </c>
      <c r="O90" s="267">
        <v>0</v>
      </c>
      <c r="P90" s="250">
        <f t="shared" si="7"/>
        <v>1998</v>
      </c>
      <c r="Q90" s="268">
        <f>IF(J90=10,1,IFERROR(INDEX('Cost Escalators'!$D$28:$D$92,MATCH($P$4,'Cost Escalators'!$B$28:$B$92,0))/INDEX('Cost Escalators'!$D$28:$D$92,MATCH(I90,'Cost Escalators'!$B$28:$B$92,0)),1))</f>
        <v>1</v>
      </c>
      <c r="R90" s="269">
        <f t="shared" si="8"/>
        <v>171990</v>
      </c>
      <c r="S90" s="269">
        <f t="shared" si="9"/>
        <v>171990</v>
      </c>
      <c r="T90" s="269">
        <f t="shared" si="10"/>
        <v>171990</v>
      </c>
      <c r="U90" s="242">
        <f t="shared" si="11"/>
        <v>0</v>
      </c>
    </row>
    <row r="91" spans="1:21" s="237" customFormat="1" x14ac:dyDescent="0.3">
      <c r="A91" s="237">
        <v>86</v>
      </c>
      <c r="B91" s="263">
        <v>0</v>
      </c>
      <c r="C91" s="263">
        <v>0</v>
      </c>
      <c r="D91" s="264">
        <v>0</v>
      </c>
      <c r="E91" s="381" t="s">
        <v>531</v>
      </c>
      <c r="F91" s="384" t="s">
        <v>364</v>
      </c>
      <c r="G91" s="384">
        <v>31</v>
      </c>
      <c r="H91" s="385">
        <v>35703</v>
      </c>
      <c r="I91" s="265">
        <f t="shared" si="6"/>
        <v>1997</v>
      </c>
      <c r="J91" s="641">
        <v>10</v>
      </c>
      <c r="K91" s="641" t="str">
        <f>VLOOKUP(J91,'Cost Escalators'!$C$313:$D$330,2,FALSE)</f>
        <v>Land</v>
      </c>
      <c r="L91" s="238" t="s">
        <v>532</v>
      </c>
      <c r="M91" s="384" t="s">
        <v>1506</v>
      </c>
      <c r="N91" s="246">
        <v>115920</v>
      </c>
      <c r="O91" s="267">
        <v>0</v>
      </c>
      <c r="P91" s="250">
        <f t="shared" si="7"/>
        <v>1997</v>
      </c>
      <c r="Q91" s="268">
        <f>IF(J91=10,1,IFERROR(INDEX('Cost Escalators'!$D$28:$D$92,MATCH($P$4,'Cost Escalators'!$B$28:$B$92,0))/INDEX('Cost Escalators'!$D$28:$D$92,MATCH(I91,'Cost Escalators'!$B$28:$B$92,0)),1))</f>
        <v>1</v>
      </c>
      <c r="R91" s="269">
        <f t="shared" si="8"/>
        <v>115920</v>
      </c>
      <c r="S91" s="269">
        <f t="shared" si="9"/>
        <v>115920</v>
      </c>
      <c r="T91" s="269">
        <f t="shared" si="10"/>
        <v>115920</v>
      </c>
      <c r="U91" s="242">
        <f t="shared" si="11"/>
        <v>0</v>
      </c>
    </row>
    <row r="92" spans="1:21" s="237" customFormat="1" x14ac:dyDescent="0.3">
      <c r="A92" s="237">
        <v>87</v>
      </c>
      <c r="B92" s="263">
        <v>0</v>
      </c>
      <c r="C92" s="263">
        <v>0</v>
      </c>
      <c r="D92" s="264">
        <v>0</v>
      </c>
      <c r="E92" s="381" t="s">
        <v>533</v>
      </c>
      <c r="F92" s="384" t="s">
        <v>364</v>
      </c>
      <c r="G92" s="384">
        <v>31</v>
      </c>
      <c r="H92" s="385">
        <v>31897</v>
      </c>
      <c r="I92" s="265">
        <f t="shared" si="6"/>
        <v>1987</v>
      </c>
      <c r="J92" s="641">
        <v>10</v>
      </c>
      <c r="K92" s="641" t="str">
        <f>VLOOKUP(J92,'Cost Escalators'!$C$313:$D$330,2,FALSE)</f>
        <v>Land</v>
      </c>
      <c r="L92" s="238" t="s">
        <v>534</v>
      </c>
      <c r="M92" s="384" t="s">
        <v>1506</v>
      </c>
      <c r="N92" s="246">
        <v>86100</v>
      </c>
      <c r="O92" s="267">
        <v>0</v>
      </c>
      <c r="P92" s="250">
        <f t="shared" si="7"/>
        <v>1987</v>
      </c>
      <c r="Q92" s="268">
        <f>IF(J92=10,1,IFERROR(INDEX('Cost Escalators'!$D$28:$D$92,MATCH($P$4,'Cost Escalators'!$B$28:$B$92,0))/INDEX('Cost Escalators'!$D$28:$D$92,MATCH(I92,'Cost Escalators'!$B$28:$B$92,0)),1))</f>
        <v>1</v>
      </c>
      <c r="R92" s="269">
        <f t="shared" si="8"/>
        <v>86100</v>
      </c>
      <c r="S92" s="269">
        <f t="shared" si="9"/>
        <v>86100</v>
      </c>
      <c r="T92" s="269">
        <f t="shared" si="10"/>
        <v>86100</v>
      </c>
      <c r="U92" s="242">
        <f t="shared" si="11"/>
        <v>0</v>
      </c>
    </row>
    <row r="93" spans="1:21" s="237" customFormat="1" x14ac:dyDescent="0.3">
      <c r="A93" s="237">
        <v>88</v>
      </c>
      <c r="B93" s="263">
        <v>0</v>
      </c>
      <c r="C93" s="263">
        <v>0</v>
      </c>
      <c r="D93" s="264">
        <v>0</v>
      </c>
      <c r="E93" s="383" t="s">
        <v>535</v>
      </c>
      <c r="F93" s="384" t="s">
        <v>364</v>
      </c>
      <c r="G93" s="384">
        <v>31</v>
      </c>
      <c r="H93" s="385">
        <v>32263</v>
      </c>
      <c r="I93" s="265">
        <f t="shared" si="6"/>
        <v>1988</v>
      </c>
      <c r="J93" s="641">
        <v>10</v>
      </c>
      <c r="K93" s="641" t="str">
        <f>VLOOKUP(J93,'Cost Escalators'!$C$313:$D$330,2,FALSE)</f>
        <v>Land</v>
      </c>
      <c r="L93" s="238" t="s">
        <v>536</v>
      </c>
      <c r="M93" s="384" t="s">
        <v>1506</v>
      </c>
      <c r="N93" s="246">
        <v>89280</v>
      </c>
      <c r="O93" s="267">
        <v>0</v>
      </c>
      <c r="P93" s="250">
        <f t="shared" si="7"/>
        <v>1988</v>
      </c>
      <c r="Q93" s="268">
        <f>IF(J93=10,1,IFERROR(INDEX('Cost Escalators'!$D$28:$D$92,MATCH($P$4,'Cost Escalators'!$B$28:$B$92,0))/INDEX('Cost Escalators'!$D$28:$D$92,MATCH(I93,'Cost Escalators'!$B$28:$B$92,0)),1))</f>
        <v>1</v>
      </c>
      <c r="R93" s="269">
        <f t="shared" si="8"/>
        <v>89280</v>
      </c>
      <c r="S93" s="269">
        <f t="shared" si="9"/>
        <v>89280</v>
      </c>
      <c r="T93" s="269">
        <f t="shared" si="10"/>
        <v>89280</v>
      </c>
      <c r="U93" s="242">
        <f t="shared" si="11"/>
        <v>0</v>
      </c>
    </row>
    <row r="94" spans="1:21" s="237" customFormat="1" x14ac:dyDescent="0.3">
      <c r="A94" s="237">
        <v>89</v>
      </c>
      <c r="B94" s="263">
        <v>0</v>
      </c>
      <c r="C94" s="263">
        <v>0</v>
      </c>
      <c r="D94" s="264">
        <v>0</v>
      </c>
      <c r="E94" s="381" t="s">
        <v>537</v>
      </c>
      <c r="F94" s="384" t="s">
        <v>364</v>
      </c>
      <c r="G94" s="384">
        <v>31</v>
      </c>
      <c r="H94" s="385">
        <v>36068</v>
      </c>
      <c r="I94" s="265">
        <f t="shared" si="6"/>
        <v>1998</v>
      </c>
      <c r="J94" s="641">
        <v>10</v>
      </c>
      <c r="K94" s="641" t="str">
        <f>VLOOKUP(J94,'Cost Escalators'!$C$313:$D$330,2,FALSE)</f>
        <v>Land</v>
      </c>
      <c r="L94" s="238" t="s">
        <v>538</v>
      </c>
      <c r="M94" s="384" t="s">
        <v>1506</v>
      </c>
      <c r="N94" s="246">
        <v>27121.5</v>
      </c>
      <c r="O94" s="267">
        <v>0</v>
      </c>
      <c r="P94" s="250">
        <f t="shared" si="7"/>
        <v>1998</v>
      </c>
      <c r="Q94" s="268">
        <f>IF(J94=10,1,IFERROR(INDEX('Cost Escalators'!$D$28:$D$92,MATCH($P$4,'Cost Escalators'!$B$28:$B$92,0))/INDEX('Cost Escalators'!$D$28:$D$92,MATCH(I94,'Cost Escalators'!$B$28:$B$92,0)),1))</f>
        <v>1</v>
      </c>
      <c r="R94" s="269">
        <f t="shared" si="8"/>
        <v>27121.5</v>
      </c>
      <c r="S94" s="269">
        <f t="shared" si="9"/>
        <v>27121.5</v>
      </c>
      <c r="T94" s="269">
        <f t="shared" si="10"/>
        <v>27121.5</v>
      </c>
      <c r="U94" s="242">
        <f t="shared" si="11"/>
        <v>0</v>
      </c>
    </row>
    <row r="95" spans="1:21" s="237" customFormat="1" x14ac:dyDescent="0.3">
      <c r="A95" s="237">
        <v>90</v>
      </c>
      <c r="B95" s="263">
        <v>0</v>
      </c>
      <c r="C95" s="263">
        <v>0</v>
      </c>
      <c r="D95" s="264">
        <v>0</v>
      </c>
      <c r="E95" s="381" t="s">
        <v>539</v>
      </c>
      <c r="F95" s="384" t="s">
        <v>364</v>
      </c>
      <c r="G95" s="384">
        <v>31</v>
      </c>
      <c r="H95" s="385">
        <v>36068</v>
      </c>
      <c r="I95" s="265">
        <f t="shared" si="6"/>
        <v>1998</v>
      </c>
      <c r="J95" s="641">
        <v>10</v>
      </c>
      <c r="K95" s="641" t="str">
        <f>VLOOKUP(J95,'Cost Escalators'!$C$313:$D$330,2,FALSE)</f>
        <v>Land</v>
      </c>
      <c r="L95" s="238" t="s">
        <v>540</v>
      </c>
      <c r="M95" s="384" t="s">
        <v>1506</v>
      </c>
      <c r="N95" s="246">
        <v>27121.5</v>
      </c>
      <c r="O95" s="267">
        <v>0</v>
      </c>
      <c r="P95" s="250">
        <f t="shared" si="7"/>
        <v>1998</v>
      </c>
      <c r="Q95" s="268">
        <f>IF(J95=10,1,IFERROR(INDEX('Cost Escalators'!$D$28:$D$92,MATCH($P$4,'Cost Escalators'!$B$28:$B$92,0))/INDEX('Cost Escalators'!$D$28:$D$92,MATCH(I95,'Cost Escalators'!$B$28:$B$92,0)),1))</f>
        <v>1</v>
      </c>
      <c r="R95" s="269">
        <f t="shared" si="8"/>
        <v>27121.5</v>
      </c>
      <c r="S95" s="269">
        <f t="shared" si="9"/>
        <v>27121.5</v>
      </c>
      <c r="T95" s="269">
        <f t="shared" si="10"/>
        <v>27121.5</v>
      </c>
      <c r="U95" s="242">
        <f t="shared" si="11"/>
        <v>0</v>
      </c>
    </row>
    <row r="96" spans="1:21" s="237" customFormat="1" x14ac:dyDescent="0.3">
      <c r="A96" s="237">
        <v>91</v>
      </c>
      <c r="B96" s="263">
        <v>0</v>
      </c>
      <c r="C96" s="263">
        <v>0</v>
      </c>
      <c r="D96" s="264">
        <v>0</v>
      </c>
      <c r="E96" s="381" t="s">
        <v>541</v>
      </c>
      <c r="F96" s="384" t="s">
        <v>364</v>
      </c>
      <c r="G96" s="384">
        <v>31</v>
      </c>
      <c r="H96" s="385">
        <v>32628</v>
      </c>
      <c r="I96" s="265">
        <f t="shared" si="6"/>
        <v>1989</v>
      </c>
      <c r="J96" s="641">
        <v>10</v>
      </c>
      <c r="K96" s="641" t="str">
        <f>VLOOKUP(J96,'Cost Escalators'!$C$313:$D$330,2,FALSE)</f>
        <v>Land</v>
      </c>
      <c r="L96" s="238" t="s">
        <v>542</v>
      </c>
      <c r="M96" s="384" t="s">
        <v>1506</v>
      </c>
      <c r="N96" s="246">
        <v>45840</v>
      </c>
      <c r="O96" s="267">
        <v>0</v>
      </c>
      <c r="P96" s="250">
        <f t="shared" si="7"/>
        <v>1989</v>
      </c>
      <c r="Q96" s="268">
        <f>IF(J96=10,1,IFERROR(INDEX('Cost Escalators'!$D$28:$D$92,MATCH($P$4,'Cost Escalators'!$B$28:$B$92,0))/INDEX('Cost Escalators'!$D$28:$D$92,MATCH(I96,'Cost Escalators'!$B$28:$B$92,0)),1))</f>
        <v>1</v>
      </c>
      <c r="R96" s="269">
        <f t="shared" si="8"/>
        <v>45840</v>
      </c>
      <c r="S96" s="269">
        <f t="shared" si="9"/>
        <v>45840</v>
      </c>
      <c r="T96" s="269">
        <f t="shared" si="10"/>
        <v>45840</v>
      </c>
      <c r="U96" s="242">
        <f t="shared" si="11"/>
        <v>0</v>
      </c>
    </row>
    <row r="97" spans="1:21" s="237" customFormat="1" x14ac:dyDescent="0.3">
      <c r="A97" s="237">
        <v>92</v>
      </c>
      <c r="B97" s="263">
        <v>0</v>
      </c>
      <c r="C97" s="263">
        <v>0</v>
      </c>
      <c r="D97" s="264">
        <v>0</v>
      </c>
      <c r="E97" s="381" t="s">
        <v>543</v>
      </c>
      <c r="F97" s="384" t="s">
        <v>364</v>
      </c>
      <c r="G97" s="384">
        <v>31</v>
      </c>
      <c r="H97" s="385">
        <v>32628</v>
      </c>
      <c r="I97" s="265">
        <f t="shared" si="6"/>
        <v>1989</v>
      </c>
      <c r="J97" s="641">
        <v>10</v>
      </c>
      <c r="K97" s="641" t="str">
        <f>VLOOKUP(J97,'Cost Escalators'!$C$313:$D$330,2,FALSE)</f>
        <v>Land</v>
      </c>
      <c r="L97" s="238" t="s">
        <v>542</v>
      </c>
      <c r="M97" s="384" t="s">
        <v>1506</v>
      </c>
      <c r="N97" s="246">
        <v>45840</v>
      </c>
      <c r="O97" s="267">
        <v>0</v>
      </c>
      <c r="P97" s="250">
        <f t="shared" si="7"/>
        <v>1989</v>
      </c>
      <c r="Q97" s="268">
        <f>IF(J97=10,1,IFERROR(INDEX('Cost Escalators'!$D$28:$D$92,MATCH($P$4,'Cost Escalators'!$B$28:$B$92,0))/INDEX('Cost Escalators'!$D$28:$D$92,MATCH(I97,'Cost Escalators'!$B$28:$B$92,0)),1))</f>
        <v>1</v>
      </c>
      <c r="R97" s="269">
        <f t="shared" si="8"/>
        <v>45840</v>
      </c>
      <c r="S97" s="269">
        <f t="shared" si="9"/>
        <v>45840</v>
      </c>
      <c r="T97" s="269">
        <f t="shared" si="10"/>
        <v>45840</v>
      </c>
      <c r="U97" s="242">
        <f t="shared" si="11"/>
        <v>0</v>
      </c>
    </row>
    <row r="98" spans="1:21" s="237" customFormat="1" x14ac:dyDescent="0.3">
      <c r="A98" s="237">
        <v>93</v>
      </c>
      <c r="B98" s="263">
        <v>0</v>
      </c>
      <c r="C98" s="263">
        <v>0</v>
      </c>
      <c r="D98" s="264">
        <v>0</v>
      </c>
      <c r="E98" s="383" t="s">
        <v>544</v>
      </c>
      <c r="F98" s="384" t="s">
        <v>364</v>
      </c>
      <c r="G98" s="384">
        <v>31</v>
      </c>
      <c r="H98" s="385">
        <v>32993</v>
      </c>
      <c r="I98" s="265">
        <f t="shared" si="6"/>
        <v>1990</v>
      </c>
      <c r="J98" s="641">
        <v>10</v>
      </c>
      <c r="K98" s="641" t="str">
        <f>VLOOKUP(J98,'Cost Escalators'!$C$313:$D$330,2,FALSE)</f>
        <v>Land</v>
      </c>
      <c r="L98" s="238" t="s">
        <v>446</v>
      </c>
      <c r="M98" s="384" t="s">
        <v>1506</v>
      </c>
      <c r="N98" s="246">
        <v>47040</v>
      </c>
      <c r="O98" s="267">
        <v>0</v>
      </c>
      <c r="P98" s="250">
        <f t="shared" si="7"/>
        <v>1990</v>
      </c>
      <c r="Q98" s="268">
        <f>IF(J98=10,1,IFERROR(INDEX('Cost Escalators'!$D$28:$D$92,MATCH($P$4,'Cost Escalators'!$B$28:$B$92,0))/INDEX('Cost Escalators'!$D$28:$D$92,MATCH(I98,'Cost Escalators'!$B$28:$B$92,0)),1))</f>
        <v>1</v>
      </c>
      <c r="R98" s="269">
        <f t="shared" si="8"/>
        <v>47040</v>
      </c>
      <c r="S98" s="269">
        <f t="shared" si="9"/>
        <v>47040</v>
      </c>
      <c r="T98" s="269">
        <f t="shared" si="10"/>
        <v>47040</v>
      </c>
      <c r="U98" s="242">
        <f t="shared" si="11"/>
        <v>0</v>
      </c>
    </row>
    <row r="99" spans="1:21" s="237" customFormat="1" x14ac:dyDescent="0.3">
      <c r="A99" s="237">
        <v>94</v>
      </c>
      <c r="B99" s="263">
        <v>0</v>
      </c>
      <c r="C99" s="263">
        <v>0</v>
      </c>
      <c r="D99" s="264">
        <v>0</v>
      </c>
      <c r="E99" s="381" t="s">
        <v>545</v>
      </c>
      <c r="F99" s="384" t="s">
        <v>364</v>
      </c>
      <c r="G99" s="384">
        <v>31</v>
      </c>
      <c r="H99" s="385">
        <v>37164</v>
      </c>
      <c r="I99" s="265">
        <f t="shared" si="6"/>
        <v>2001</v>
      </c>
      <c r="J99" s="641">
        <v>10</v>
      </c>
      <c r="K99" s="641" t="str">
        <f>VLOOKUP(J99,'Cost Escalators'!$C$313:$D$330,2,FALSE)</f>
        <v>Land</v>
      </c>
      <c r="L99" s="238" t="s">
        <v>546</v>
      </c>
      <c r="M99" s="384" t="s">
        <v>1506</v>
      </c>
      <c r="N99" s="246">
        <v>66548.97</v>
      </c>
      <c r="O99" s="267">
        <v>0</v>
      </c>
      <c r="P99" s="250">
        <f t="shared" si="7"/>
        <v>2001</v>
      </c>
      <c r="Q99" s="268">
        <f>IF(J99=10,1,IFERROR(INDEX('Cost Escalators'!$D$28:$D$92,MATCH($P$4,'Cost Escalators'!$B$28:$B$92,0))/INDEX('Cost Escalators'!$D$28:$D$92,MATCH(I99,'Cost Escalators'!$B$28:$B$92,0)),1))</f>
        <v>1</v>
      </c>
      <c r="R99" s="269">
        <f t="shared" si="8"/>
        <v>66548.97</v>
      </c>
      <c r="S99" s="269">
        <f t="shared" si="9"/>
        <v>66548.97</v>
      </c>
      <c r="T99" s="269">
        <f t="shared" si="10"/>
        <v>66548.97</v>
      </c>
      <c r="U99" s="242">
        <f t="shared" si="11"/>
        <v>0</v>
      </c>
    </row>
    <row r="100" spans="1:21" s="237" customFormat="1" x14ac:dyDescent="0.3">
      <c r="A100" s="237">
        <v>95</v>
      </c>
      <c r="B100" s="263">
        <v>0</v>
      </c>
      <c r="C100" s="263">
        <v>0</v>
      </c>
      <c r="D100" s="264">
        <v>0</v>
      </c>
      <c r="E100" s="381" t="s">
        <v>547</v>
      </c>
      <c r="F100" s="384" t="s">
        <v>364</v>
      </c>
      <c r="G100" s="384">
        <v>31</v>
      </c>
      <c r="H100" s="385">
        <v>31897</v>
      </c>
      <c r="I100" s="265">
        <f t="shared" si="6"/>
        <v>1987</v>
      </c>
      <c r="J100" s="641">
        <v>10</v>
      </c>
      <c r="K100" s="641" t="str">
        <f>VLOOKUP(J100,'Cost Escalators'!$C$313:$D$330,2,FALSE)</f>
        <v>Land</v>
      </c>
      <c r="L100" s="238" t="s">
        <v>548</v>
      </c>
      <c r="M100" s="384" t="s">
        <v>1506</v>
      </c>
      <c r="N100" s="246">
        <v>259940</v>
      </c>
      <c r="O100" s="267">
        <v>0</v>
      </c>
      <c r="P100" s="250">
        <f t="shared" si="7"/>
        <v>1987</v>
      </c>
      <c r="Q100" s="268">
        <f>IF(J100=10,1,IFERROR(INDEX('Cost Escalators'!$D$28:$D$92,MATCH($P$4,'Cost Escalators'!$B$28:$B$92,0))/INDEX('Cost Escalators'!$D$28:$D$92,MATCH(I100,'Cost Escalators'!$B$28:$B$92,0)),1))</f>
        <v>1</v>
      </c>
      <c r="R100" s="269">
        <f t="shared" si="8"/>
        <v>259940</v>
      </c>
      <c r="S100" s="269">
        <f t="shared" si="9"/>
        <v>259940</v>
      </c>
      <c r="T100" s="269">
        <f t="shared" si="10"/>
        <v>259940</v>
      </c>
      <c r="U100" s="242">
        <f t="shared" si="11"/>
        <v>0</v>
      </c>
    </row>
    <row r="101" spans="1:21" s="237" customFormat="1" x14ac:dyDescent="0.3">
      <c r="A101" s="237">
        <v>96</v>
      </c>
      <c r="B101" s="263">
        <v>0</v>
      </c>
      <c r="C101" s="263">
        <v>0</v>
      </c>
      <c r="D101" s="264">
        <v>0</v>
      </c>
      <c r="E101" s="381" t="s">
        <v>549</v>
      </c>
      <c r="F101" s="384" t="s">
        <v>364</v>
      </c>
      <c r="G101" s="384">
        <v>31</v>
      </c>
      <c r="H101" s="385">
        <v>32993</v>
      </c>
      <c r="I101" s="265">
        <f t="shared" si="6"/>
        <v>1990</v>
      </c>
      <c r="J101" s="641">
        <v>10</v>
      </c>
      <c r="K101" s="641" t="str">
        <f>VLOOKUP(J101,'Cost Escalators'!$C$313:$D$330,2,FALSE)</f>
        <v>Land</v>
      </c>
      <c r="L101" s="238" t="s">
        <v>550</v>
      </c>
      <c r="M101" s="384" t="s">
        <v>1506</v>
      </c>
      <c r="N101" s="246">
        <v>112800</v>
      </c>
      <c r="O101" s="267">
        <v>0</v>
      </c>
      <c r="P101" s="250">
        <f t="shared" si="7"/>
        <v>1990</v>
      </c>
      <c r="Q101" s="268">
        <f>IF(J101=10,1,IFERROR(INDEX('Cost Escalators'!$D$28:$D$92,MATCH($P$4,'Cost Escalators'!$B$28:$B$92,0))/INDEX('Cost Escalators'!$D$28:$D$92,MATCH(I101,'Cost Escalators'!$B$28:$B$92,0)),1))</f>
        <v>1</v>
      </c>
      <c r="R101" s="269">
        <f t="shared" si="8"/>
        <v>112800</v>
      </c>
      <c r="S101" s="269">
        <f t="shared" si="9"/>
        <v>112800</v>
      </c>
      <c r="T101" s="269">
        <f t="shared" si="10"/>
        <v>112800</v>
      </c>
      <c r="U101" s="242">
        <f t="shared" si="11"/>
        <v>0</v>
      </c>
    </row>
    <row r="102" spans="1:21" s="237" customFormat="1" x14ac:dyDescent="0.3">
      <c r="A102" s="237">
        <v>97</v>
      </c>
      <c r="B102" s="263">
        <v>0</v>
      </c>
      <c r="C102" s="263">
        <v>0</v>
      </c>
      <c r="D102" s="264">
        <v>0</v>
      </c>
      <c r="E102" s="383" t="s">
        <v>551</v>
      </c>
      <c r="F102" s="384" t="s">
        <v>364</v>
      </c>
      <c r="G102" s="384">
        <v>31</v>
      </c>
      <c r="H102" s="385">
        <v>31167</v>
      </c>
      <c r="I102" s="265">
        <f t="shared" si="6"/>
        <v>1985</v>
      </c>
      <c r="J102" s="641">
        <v>10</v>
      </c>
      <c r="K102" s="641" t="str">
        <f>VLOOKUP(J102,'Cost Escalators'!$C$313:$D$330,2,FALSE)</f>
        <v>Land</v>
      </c>
      <c r="L102" s="238" t="s">
        <v>552</v>
      </c>
      <c r="M102" s="384" t="s">
        <v>1506</v>
      </c>
      <c r="N102" s="246">
        <v>471820.87</v>
      </c>
      <c r="O102" s="267">
        <v>0</v>
      </c>
      <c r="P102" s="250">
        <f t="shared" si="7"/>
        <v>1985</v>
      </c>
      <c r="Q102" s="268">
        <f>IF(J102=10,1,IFERROR(INDEX('Cost Escalators'!$D$28:$D$92,MATCH($P$4,'Cost Escalators'!$B$28:$B$92,0))/INDEX('Cost Escalators'!$D$28:$D$92,MATCH(I102,'Cost Escalators'!$B$28:$B$92,0)),1))</f>
        <v>1</v>
      </c>
      <c r="R102" s="269">
        <f t="shared" si="8"/>
        <v>471820.87</v>
      </c>
      <c r="S102" s="269">
        <f t="shared" si="9"/>
        <v>471820.87</v>
      </c>
      <c r="T102" s="269">
        <f t="shared" si="10"/>
        <v>471820.87</v>
      </c>
      <c r="U102" s="242">
        <f t="shared" si="11"/>
        <v>0</v>
      </c>
    </row>
    <row r="103" spans="1:21" s="237" customFormat="1" x14ac:dyDescent="0.3">
      <c r="A103" s="237">
        <v>98</v>
      </c>
      <c r="B103" s="263">
        <v>0</v>
      </c>
      <c r="C103" s="263">
        <v>0</v>
      </c>
      <c r="D103" s="264">
        <v>0</v>
      </c>
      <c r="E103" s="383" t="s">
        <v>553</v>
      </c>
      <c r="F103" s="384" t="s">
        <v>364</v>
      </c>
      <c r="G103" s="384">
        <v>31</v>
      </c>
      <c r="H103" s="385">
        <v>34454</v>
      </c>
      <c r="I103" s="265">
        <f t="shared" si="6"/>
        <v>1994</v>
      </c>
      <c r="J103" s="641">
        <v>10</v>
      </c>
      <c r="K103" s="641" t="str">
        <f>VLOOKUP(J103,'Cost Escalators'!$C$313:$D$330,2,FALSE)</f>
        <v>Land</v>
      </c>
      <c r="L103" s="238" t="s">
        <v>554</v>
      </c>
      <c r="M103" s="384" t="s">
        <v>1506</v>
      </c>
      <c r="N103" s="246">
        <v>60000</v>
      </c>
      <c r="O103" s="267">
        <v>0</v>
      </c>
      <c r="P103" s="250">
        <f t="shared" si="7"/>
        <v>1994</v>
      </c>
      <c r="Q103" s="268">
        <f>IF(J103=10,1,IFERROR(INDEX('Cost Escalators'!$D$28:$D$92,MATCH($P$4,'Cost Escalators'!$B$28:$B$92,0))/INDEX('Cost Escalators'!$D$28:$D$92,MATCH(I103,'Cost Escalators'!$B$28:$B$92,0)),1))</f>
        <v>1</v>
      </c>
      <c r="R103" s="269">
        <f t="shared" si="8"/>
        <v>60000</v>
      </c>
      <c r="S103" s="269">
        <f t="shared" si="9"/>
        <v>60000</v>
      </c>
      <c r="T103" s="269">
        <f t="shared" si="10"/>
        <v>60000</v>
      </c>
      <c r="U103" s="242">
        <f t="shared" si="11"/>
        <v>0</v>
      </c>
    </row>
    <row r="104" spans="1:21" s="237" customFormat="1" x14ac:dyDescent="0.3">
      <c r="A104" s="237">
        <v>99</v>
      </c>
      <c r="B104" s="263">
        <v>0</v>
      </c>
      <c r="C104" s="263">
        <v>0</v>
      </c>
      <c r="D104" s="264">
        <v>0</v>
      </c>
      <c r="E104" s="383" t="s">
        <v>555</v>
      </c>
      <c r="F104" s="384" t="s">
        <v>364</v>
      </c>
      <c r="G104" s="384">
        <v>31</v>
      </c>
      <c r="H104" s="385">
        <v>31167</v>
      </c>
      <c r="I104" s="265">
        <f t="shared" si="6"/>
        <v>1985</v>
      </c>
      <c r="J104" s="641">
        <v>10</v>
      </c>
      <c r="K104" s="641" t="str">
        <f>VLOOKUP(J104,'Cost Escalators'!$C$313:$D$330,2,FALSE)</f>
        <v>Land</v>
      </c>
      <c r="L104" s="238" t="s">
        <v>417</v>
      </c>
      <c r="M104" s="384" t="s">
        <v>1506</v>
      </c>
      <c r="N104" s="246">
        <v>112769.05</v>
      </c>
      <c r="O104" s="267">
        <v>0</v>
      </c>
      <c r="P104" s="250">
        <f t="shared" si="7"/>
        <v>1985</v>
      </c>
      <c r="Q104" s="268">
        <f>IF(J104=10,1,IFERROR(INDEX('Cost Escalators'!$D$28:$D$92,MATCH($P$4,'Cost Escalators'!$B$28:$B$92,0))/INDEX('Cost Escalators'!$D$28:$D$92,MATCH(I104,'Cost Escalators'!$B$28:$B$92,0)),1))</f>
        <v>1</v>
      </c>
      <c r="R104" s="269">
        <f t="shared" si="8"/>
        <v>112769.05</v>
      </c>
      <c r="S104" s="269">
        <f t="shared" si="9"/>
        <v>112769.05</v>
      </c>
      <c r="T104" s="269">
        <f t="shared" si="10"/>
        <v>112769.05</v>
      </c>
      <c r="U104" s="242">
        <f t="shared" si="11"/>
        <v>0</v>
      </c>
    </row>
    <row r="105" spans="1:21" s="237" customFormat="1" x14ac:dyDescent="0.3">
      <c r="A105" s="237">
        <v>100</v>
      </c>
      <c r="B105" s="263">
        <v>0</v>
      </c>
      <c r="C105" s="263">
        <v>0</v>
      </c>
      <c r="D105" s="264">
        <v>0</v>
      </c>
      <c r="E105" s="383" t="s">
        <v>556</v>
      </c>
      <c r="F105" s="384" t="s">
        <v>364</v>
      </c>
      <c r="G105" s="384">
        <v>31</v>
      </c>
      <c r="H105" s="385">
        <v>35338</v>
      </c>
      <c r="I105" s="265">
        <f t="shared" si="6"/>
        <v>1996</v>
      </c>
      <c r="J105" s="641">
        <v>10</v>
      </c>
      <c r="K105" s="641" t="str">
        <f>VLOOKUP(J105,'Cost Escalators'!$C$313:$D$330,2,FALSE)</f>
        <v>Land</v>
      </c>
      <c r="L105" s="238" t="s">
        <v>557</v>
      </c>
      <c r="M105" s="384" t="s">
        <v>1506</v>
      </c>
      <c r="N105" s="246">
        <v>52800</v>
      </c>
      <c r="O105" s="267">
        <v>0</v>
      </c>
      <c r="P105" s="250">
        <f t="shared" si="7"/>
        <v>1996</v>
      </c>
      <c r="Q105" s="268">
        <f>IF(J105=10,1,IFERROR(INDEX('Cost Escalators'!$D$28:$D$92,MATCH($P$4,'Cost Escalators'!$B$28:$B$92,0))/INDEX('Cost Escalators'!$D$28:$D$92,MATCH(I105,'Cost Escalators'!$B$28:$B$92,0)),1))</f>
        <v>1</v>
      </c>
      <c r="R105" s="269">
        <f t="shared" si="8"/>
        <v>52800</v>
      </c>
      <c r="S105" s="269">
        <f t="shared" si="9"/>
        <v>52800</v>
      </c>
      <c r="T105" s="269">
        <f t="shared" si="10"/>
        <v>52800</v>
      </c>
      <c r="U105" s="242">
        <f t="shared" si="11"/>
        <v>0</v>
      </c>
    </row>
    <row r="106" spans="1:21" s="237" customFormat="1" x14ac:dyDescent="0.3">
      <c r="A106" s="237">
        <v>101</v>
      </c>
      <c r="B106" s="263">
        <v>0</v>
      </c>
      <c r="C106" s="263">
        <v>0</v>
      </c>
      <c r="D106" s="264">
        <v>0</v>
      </c>
      <c r="E106" s="381" t="s">
        <v>558</v>
      </c>
      <c r="F106" s="384" t="s">
        <v>364</v>
      </c>
      <c r="G106" s="384">
        <v>31</v>
      </c>
      <c r="H106" s="385">
        <v>32628</v>
      </c>
      <c r="I106" s="265">
        <f t="shared" si="6"/>
        <v>1989</v>
      </c>
      <c r="J106" s="641">
        <v>10</v>
      </c>
      <c r="K106" s="641" t="str">
        <f>VLOOKUP(J106,'Cost Escalators'!$C$313:$D$330,2,FALSE)</f>
        <v>Land</v>
      </c>
      <c r="L106" s="238" t="s">
        <v>559</v>
      </c>
      <c r="M106" s="384" t="s">
        <v>1506</v>
      </c>
      <c r="N106" s="246">
        <v>57600</v>
      </c>
      <c r="O106" s="267">
        <v>0</v>
      </c>
      <c r="P106" s="250">
        <f t="shared" si="7"/>
        <v>1989</v>
      </c>
      <c r="Q106" s="268">
        <f>IF(J106=10,1,IFERROR(INDEX('Cost Escalators'!$D$28:$D$92,MATCH($P$4,'Cost Escalators'!$B$28:$B$92,0))/INDEX('Cost Escalators'!$D$28:$D$92,MATCH(I106,'Cost Escalators'!$B$28:$B$92,0)),1))</f>
        <v>1</v>
      </c>
      <c r="R106" s="269">
        <f t="shared" si="8"/>
        <v>57600</v>
      </c>
      <c r="S106" s="269">
        <f t="shared" si="9"/>
        <v>57600</v>
      </c>
      <c r="T106" s="269">
        <f t="shared" si="10"/>
        <v>57600</v>
      </c>
      <c r="U106" s="242">
        <f t="shared" si="11"/>
        <v>0</v>
      </c>
    </row>
    <row r="107" spans="1:21" s="237" customFormat="1" x14ac:dyDescent="0.3">
      <c r="A107" s="237">
        <v>102</v>
      </c>
      <c r="B107" s="263">
        <v>0</v>
      </c>
      <c r="C107" s="263">
        <v>0</v>
      </c>
      <c r="D107" s="264">
        <v>0</v>
      </c>
      <c r="E107" s="383" t="s">
        <v>560</v>
      </c>
      <c r="F107" s="384" t="s">
        <v>364</v>
      </c>
      <c r="G107" s="384">
        <v>31</v>
      </c>
      <c r="H107" s="385">
        <v>32993</v>
      </c>
      <c r="I107" s="265">
        <f t="shared" si="6"/>
        <v>1990</v>
      </c>
      <c r="J107" s="641">
        <v>10</v>
      </c>
      <c r="K107" s="641" t="str">
        <f>VLOOKUP(J107,'Cost Escalators'!$C$313:$D$330,2,FALSE)</f>
        <v>Land</v>
      </c>
      <c r="L107" s="238" t="s">
        <v>561</v>
      </c>
      <c r="M107" s="384" t="s">
        <v>1506</v>
      </c>
      <c r="N107" s="246">
        <v>48000</v>
      </c>
      <c r="O107" s="267">
        <v>0</v>
      </c>
      <c r="P107" s="250">
        <f t="shared" si="7"/>
        <v>1990</v>
      </c>
      <c r="Q107" s="268">
        <f>IF(J107=10,1,IFERROR(INDEX('Cost Escalators'!$D$28:$D$92,MATCH($P$4,'Cost Escalators'!$B$28:$B$92,0))/INDEX('Cost Escalators'!$D$28:$D$92,MATCH(I107,'Cost Escalators'!$B$28:$B$92,0)),1))</f>
        <v>1</v>
      </c>
      <c r="R107" s="269">
        <f t="shared" si="8"/>
        <v>48000</v>
      </c>
      <c r="S107" s="269">
        <f t="shared" si="9"/>
        <v>48000</v>
      </c>
      <c r="T107" s="269">
        <f t="shared" si="10"/>
        <v>48000</v>
      </c>
      <c r="U107" s="242">
        <f t="shared" si="11"/>
        <v>0</v>
      </c>
    </row>
    <row r="108" spans="1:21" s="237" customFormat="1" x14ac:dyDescent="0.3">
      <c r="A108" s="237">
        <v>103</v>
      </c>
      <c r="B108" s="263">
        <v>0</v>
      </c>
      <c r="C108" s="263">
        <v>0</v>
      </c>
      <c r="D108" s="264">
        <v>0</v>
      </c>
      <c r="E108" s="383" t="s">
        <v>562</v>
      </c>
      <c r="F108" s="384" t="s">
        <v>364</v>
      </c>
      <c r="G108" s="384">
        <v>31</v>
      </c>
      <c r="H108" s="385">
        <v>32993</v>
      </c>
      <c r="I108" s="265">
        <f t="shared" si="6"/>
        <v>1990</v>
      </c>
      <c r="J108" s="641">
        <v>10</v>
      </c>
      <c r="K108" s="641" t="str">
        <f>VLOOKUP(J108,'Cost Escalators'!$C$313:$D$330,2,FALSE)</f>
        <v>Land</v>
      </c>
      <c r="L108" s="238" t="s">
        <v>563</v>
      </c>
      <c r="M108" s="384" t="s">
        <v>1506</v>
      </c>
      <c r="N108" s="246">
        <v>181440</v>
      </c>
      <c r="O108" s="267">
        <v>0</v>
      </c>
      <c r="P108" s="250">
        <f t="shared" si="7"/>
        <v>1990</v>
      </c>
      <c r="Q108" s="268">
        <f>IF(J108=10,1,IFERROR(INDEX('Cost Escalators'!$D$28:$D$92,MATCH($P$4,'Cost Escalators'!$B$28:$B$92,0))/INDEX('Cost Escalators'!$D$28:$D$92,MATCH(I108,'Cost Escalators'!$B$28:$B$92,0)),1))</f>
        <v>1</v>
      </c>
      <c r="R108" s="269">
        <f t="shared" si="8"/>
        <v>181440</v>
      </c>
      <c r="S108" s="269">
        <f t="shared" si="9"/>
        <v>181440</v>
      </c>
      <c r="T108" s="269">
        <f t="shared" si="10"/>
        <v>181440</v>
      </c>
      <c r="U108" s="242">
        <f t="shared" si="11"/>
        <v>0</v>
      </c>
    </row>
    <row r="109" spans="1:21" s="237" customFormat="1" x14ac:dyDescent="0.3">
      <c r="A109" s="237">
        <v>104</v>
      </c>
      <c r="B109" s="263">
        <v>0</v>
      </c>
      <c r="C109" s="263">
        <v>0</v>
      </c>
      <c r="D109" s="264">
        <v>0</v>
      </c>
      <c r="E109" s="381" t="s">
        <v>564</v>
      </c>
      <c r="F109" s="384" t="s">
        <v>364</v>
      </c>
      <c r="G109" s="384">
        <v>31</v>
      </c>
      <c r="H109" s="385">
        <v>32263</v>
      </c>
      <c r="I109" s="265">
        <f t="shared" si="6"/>
        <v>1988</v>
      </c>
      <c r="J109" s="641">
        <v>10</v>
      </c>
      <c r="K109" s="641" t="str">
        <f>VLOOKUP(J109,'Cost Escalators'!$C$313:$D$330,2,FALSE)</f>
        <v>Land</v>
      </c>
      <c r="L109" s="238" t="s">
        <v>565</v>
      </c>
      <c r="M109" s="384" t="s">
        <v>1506</v>
      </c>
      <c r="N109" s="246">
        <v>106080</v>
      </c>
      <c r="O109" s="267">
        <v>0</v>
      </c>
      <c r="P109" s="250">
        <f t="shared" si="7"/>
        <v>1988</v>
      </c>
      <c r="Q109" s="268">
        <f>IF(J109=10,1,IFERROR(INDEX('Cost Escalators'!$D$28:$D$92,MATCH($P$4,'Cost Escalators'!$B$28:$B$92,0))/INDEX('Cost Escalators'!$D$28:$D$92,MATCH(I109,'Cost Escalators'!$B$28:$B$92,0)),1))</f>
        <v>1</v>
      </c>
      <c r="R109" s="269">
        <f t="shared" si="8"/>
        <v>106080</v>
      </c>
      <c r="S109" s="269">
        <f t="shared" si="9"/>
        <v>106080</v>
      </c>
      <c r="T109" s="269">
        <f t="shared" si="10"/>
        <v>106080</v>
      </c>
      <c r="U109" s="242">
        <f t="shared" si="11"/>
        <v>0</v>
      </c>
    </row>
    <row r="110" spans="1:21" s="237" customFormat="1" x14ac:dyDescent="0.3">
      <c r="A110" s="237">
        <v>105</v>
      </c>
      <c r="B110" s="263">
        <v>0</v>
      </c>
      <c r="C110" s="263">
        <v>0</v>
      </c>
      <c r="D110" s="264">
        <v>0</v>
      </c>
      <c r="E110" s="383" t="s">
        <v>566</v>
      </c>
      <c r="F110" s="384" t="s">
        <v>364</v>
      </c>
      <c r="G110" s="384">
        <v>31</v>
      </c>
      <c r="H110" s="385">
        <v>35338</v>
      </c>
      <c r="I110" s="265">
        <f t="shared" si="6"/>
        <v>1996</v>
      </c>
      <c r="J110" s="641">
        <v>10</v>
      </c>
      <c r="K110" s="641" t="str">
        <f>VLOOKUP(J110,'Cost Escalators'!$C$313:$D$330,2,FALSE)</f>
        <v>Land</v>
      </c>
      <c r="L110" s="238" t="s">
        <v>567</v>
      </c>
      <c r="M110" s="384" t="s">
        <v>1506</v>
      </c>
      <c r="N110" s="246">
        <v>738000</v>
      </c>
      <c r="O110" s="267">
        <v>0</v>
      </c>
      <c r="P110" s="250">
        <f t="shared" si="7"/>
        <v>1996</v>
      </c>
      <c r="Q110" s="268">
        <f>IF(J110=10,1,IFERROR(INDEX('Cost Escalators'!$D$28:$D$92,MATCH($P$4,'Cost Escalators'!$B$28:$B$92,0))/INDEX('Cost Escalators'!$D$28:$D$92,MATCH(I110,'Cost Escalators'!$B$28:$B$92,0)),1))</f>
        <v>1</v>
      </c>
      <c r="R110" s="269">
        <f t="shared" si="8"/>
        <v>738000</v>
      </c>
      <c r="S110" s="269">
        <f t="shared" si="9"/>
        <v>738000</v>
      </c>
      <c r="T110" s="269">
        <f t="shared" si="10"/>
        <v>738000</v>
      </c>
      <c r="U110" s="242">
        <f t="shared" si="11"/>
        <v>0</v>
      </c>
    </row>
    <row r="111" spans="1:21" s="237" customFormat="1" x14ac:dyDescent="0.3">
      <c r="A111" s="237">
        <v>106</v>
      </c>
      <c r="B111" s="263">
        <v>0</v>
      </c>
      <c r="C111" s="263">
        <v>0</v>
      </c>
      <c r="D111" s="264">
        <v>0</v>
      </c>
      <c r="E111" s="383" t="s">
        <v>568</v>
      </c>
      <c r="F111" s="384" t="s">
        <v>364</v>
      </c>
      <c r="G111" s="384">
        <v>31</v>
      </c>
      <c r="H111" s="385">
        <v>19844</v>
      </c>
      <c r="I111" s="265">
        <f t="shared" si="6"/>
        <v>1954</v>
      </c>
      <c r="J111" s="641">
        <v>10</v>
      </c>
      <c r="K111" s="641" t="str">
        <f>VLOOKUP(J111,'Cost Escalators'!$C$313:$D$330,2,FALSE)</f>
        <v>Land</v>
      </c>
      <c r="L111" s="238" t="s">
        <v>569</v>
      </c>
      <c r="M111" s="384" t="s">
        <v>1506</v>
      </c>
      <c r="N111" s="246">
        <v>5501.49</v>
      </c>
      <c r="O111" s="267">
        <v>0</v>
      </c>
      <c r="P111" s="250">
        <f t="shared" si="7"/>
        <v>1954</v>
      </c>
      <c r="Q111" s="268">
        <f>IF(J111=10,1,IFERROR(INDEX('Cost Escalators'!$D$28:$D$92,MATCH($P$4,'Cost Escalators'!$B$28:$B$92,0))/INDEX('Cost Escalators'!$D$28:$D$92,MATCH(I111,'Cost Escalators'!$B$28:$B$92,0)),1))</f>
        <v>1</v>
      </c>
      <c r="R111" s="269">
        <f t="shared" si="8"/>
        <v>5501.49</v>
      </c>
      <c r="S111" s="269">
        <f t="shared" si="9"/>
        <v>5501.49</v>
      </c>
      <c r="T111" s="269">
        <f t="shared" si="10"/>
        <v>5501.49</v>
      </c>
      <c r="U111" s="242">
        <f t="shared" si="11"/>
        <v>0</v>
      </c>
    </row>
    <row r="112" spans="1:21" s="237" customFormat="1" x14ac:dyDescent="0.3">
      <c r="A112" s="237">
        <v>107</v>
      </c>
      <c r="B112" s="263">
        <v>0</v>
      </c>
      <c r="C112" s="263">
        <v>0</v>
      </c>
      <c r="D112" s="264">
        <v>0</v>
      </c>
      <c r="E112" s="381" t="s">
        <v>570</v>
      </c>
      <c r="F112" s="384" t="s">
        <v>364</v>
      </c>
      <c r="G112" s="384">
        <v>31</v>
      </c>
      <c r="H112" s="385">
        <v>26419</v>
      </c>
      <c r="I112" s="265">
        <f t="shared" si="6"/>
        <v>1972</v>
      </c>
      <c r="J112" s="641">
        <v>10</v>
      </c>
      <c r="K112" s="641" t="str">
        <f>VLOOKUP(J112,'Cost Escalators'!$C$313:$D$330,2,FALSE)</f>
        <v>Land</v>
      </c>
      <c r="L112" s="238" t="s">
        <v>571</v>
      </c>
      <c r="M112" s="384" t="s">
        <v>1506</v>
      </c>
      <c r="N112" s="246">
        <v>64281.13</v>
      </c>
      <c r="O112" s="267">
        <v>0</v>
      </c>
      <c r="P112" s="250">
        <f t="shared" si="7"/>
        <v>1972</v>
      </c>
      <c r="Q112" s="268">
        <f>IF(J112=10,1,IFERROR(INDEX('Cost Escalators'!$D$28:$D$92,MATCH($P$4,'Cost Escalators'!$B$28:$B$92,0))/INDEX('Cost Escalators'!$D$28:$D$92,MATCH(I112,'Cost Escalators'!$B$28:$B$92,0)),1))</f>
        <v>1</v>
      </c>
      <c r="R112" s="269">
        <f t="shared" si="8"/>
        <v>64281.13</v>
      </c>
      <c r="S112" s="269">
        <f t="shared" si="9"/>
        <v>64281.13</v>
      </c>
      <c r="T112" s="269">
        <f t="shared" si="10"/>
        <v>64281.13</v>
      </c>
      <c r="U112" s="242">
        <f t="shared" si="11"/>
        <v>0</v>
      </c>
    </row>
    <row r="113" spans="1:21" s="237" customFormat="1" x14ac:dyDescent="0.3">
      <c r="A113" s="237">
        <v>108</v>
      </c>
      <c r="B113" s="263">
        <v>0</v>
      </c>
      <c r="C113" s="263">
        <v>0</v>
      </c>
      <c r="D113" s="264">
        <v>0</v>
      </c>
      <c r="E113" s="381" t="s">
        <v>572</v>
      </c>
      <c r="F113" s="384" t="s">
        <v>364</v>
      </c>
      <c r="G113" s="384">
        <v>31</v>
      </c>
      <c r="H113" s="385">
        <v>36433</v>
      </c>
      <c r="I113" s="265">
        <f t="shared" si="6"/>
        <v>1999</v>
      </c>
      <c r="J113" s="641">
        <v>10</v>
      </c>
      <c r="K113" s="641" t="str">
        <f>VLOOKUP(J113,'Cost Escalators'!$C$313:$D$330,2,FALSE)</f>
        <v>Land</v>
      </c>
      <c r="L113" s="238" t="s">
        <v>573</v>
      </c>
      <c r="M113" s="384" t="s">
        <v>1506</v>
      </c>
      <c r="N113" s="246">
        <v>128496.38</v>
      </c>
      <c r="O113" s="267">
        <v>0</v>
      </c>
      <c r="P113" s="250">
        <f t="shared" si="7"/>
        <v>1999</v>
      </c>
      <c r="Q113" s="268">
        <f>IF(J113=10,1,IFERROR(INDEX('Cost Escalators'!$D$28:$D$92,MATCH($P$4,'Cost Escalators'!$B$28:$B$92,0))/INDEX('Cost Escalators'!$D$28:$D$92,MATCH(I113,'Cost Escalators'!$B$28:$B$92,0)),1))</f>
        <v>1</v>
      </c>
      <c r="R113" s="269">
        <f t="shared" si="8"/>
        <v>128496.38</v>
      </c>
      <c r="S113" s="269">
        <f t="shared" si="9"/>
        <v>128496.38</v>
      </c>
      <c r="T113" s="269">
        <f t="shared" si="10"/>
        <v>128496.38</v>
      </c>
      <c r="U113" s="242">
        <f t="shared" si="11"/>
        <v>0</v>
      </c>
    </row>
    <row r="114" spans="1:21" s="237" customFormat="1" x14ac:dyDescent="0.3">
      <c r="A114" s="237">
        <v>109</v>
      </c>
      <c r="B114" s="263">
        <v>0</v>
      </c>
      <c r="C114" s="263">
        <v>0</v>
      </c>
      <c r="D114" s="264">
        <v>0</v>
      </c>
      <c r="E114" s="383" t="s">
        <v>574</v>
      </c>
      <c r="F114" s="384" t="s">
        <v>364</v>
      </c>
      <c r="G114" s="384">
        <v>31</v>
      </c>
      <c r="H114" s="385">
        <v>36799</v>
      </c>
      <c r="I114" s="265">
        <f t="shared" si="6"/>
        <v>2000</v>
      </c>
      <c r="J114" s="641">
        <v>10</v>
      </c>
      <c r="K114" s="641" t="str">
        <f>VLOOKUP(J114,'Cost Escalators'!$C$313:$D$330,2,FALSE)</f>
        <v>Land</v>
      </c>
      <c r="L114" s="238" t="s">
        <v>575</v>
      </c>
      <c r="M114" s="384" t="s">
        <v>1506</v>
      </c>
      <c r="N114" s="246">
        <v>95504.06</v>
      </c>
      <c r="O114" s="267">
        <v>0</v>
      </c>
      <c r="P114" s="250">
        <f t="shared" si="7"/>
        <v>2000</v>
      </c>
      <c r="Q114" s="268">
        <f>IF(J114=10,1,IFERROR(INDEX('Cost Escalators'!$D$28:$D$92,MATCH($P$4,'Cost Escalators'!$B$28:$B$92,0))/INDEX('Cost Escalators'!$D$28:$D$92,MATCH(I114,'Cost Escalators'!$B$28:$B$92,0)),1))</f>
        <v>1</v>
      </c>
      <c r="R114" s="269">
        <f t="shared" si="8"/>
        <v>95504.06</v>
      </c>
      <c r="S114" s="269">
        <f t="shared" si="9"/>
        <v>95504.06</v>
      </c>
      <c r="T114" s="269">
        <f t="shared" si="10"/>
        <v>95504.06</v>
      </c>
      <c r="U114" s="242">
        <f t="shared" si="11"/>
        <v>0</v>
      </c>
    </row>
    <row r="115" spans="1:21" s="237" customFormat="1" x14ac:dyDescent="0.3">
      <c r="A115" s="237">
        <v>110</v>
      </c>
      <c r="B115" s="263">
        <v>0</v>
      </c>
      <c r="C115" s="263">
        <v>0</v>
      </c>
      <c r="D115" s="264">
        <v>0</v>
      </c>
      <c r="E115" s="381" t="s">
        <v>576</v>
      </c>
      <c r="F115" s="384" t="s">
        <v>364</v>
      </c>
      <c r="G115" s="384">
        <v>31</v>
      </c>
      <c r="H115" s="385">
        <v>36799</v>
      </c>
      <c r="I115" s="265">
        <f t="shared" si="6"/>
        <v>2000</v>
      </c>
      <c r="J115" s="641">
        <v>10</v>
      </c>
      <c r="K115" s="641" t="str">
        <f>VLOOKUP(J115,'Cost Escalators'!$C$313:$D$330,2,FALSE)</f>
        <v>Land</v>
      </c>
      <c r="L115" s="238" t="s">
        <v>577</v>
      </c>
      <c r="M115" s="384" t="s">
        <v>1506</v>
      </c>
      <c r="N115" s="246">
        <v>174511.97</v>
      </c>
      <c r="O115" s="267">
        <v>0</v>
      </c>
      <c r="P115" s="250">
        <f t="shared" si="7"/>
        <v>2000</v>
      </c>
      <c r="Q115" s="268">
        <f>IF(J115=10,1,IFERROR(INDEX('Cost Escalators'!$D$28:$D$92,MATCH($P$4,'Cost Escalators'!$B$28:$B$92,0))/INDEX('Cost Escalators'!$D$28:$D$92,MATCH(I115,'Cost Escalators'!$B$28:$B$92,0)),1))</f>
        <v>1</v>
      </c>
      <c r="R115" s="269">
        <f t="shared" si="8"/>
        <v>174511.97</v>
      </c>
      <c r="S115" s="269">
        <f t="shared" si="9"/>
        <v>174511.97</v>
      </c>
      <c r="T115" s="269">
        <f t="shared" si="10"/>
        <v>174511.97</v>
      </c>
      <c r="U115" s="242">
        <f t="shared" si="11"/>
        <v>0</v>
      </c>
    </row>
    <row r="116" spans="1:21" s="237" customFormat="1" x14ac:dyDescent="0.3">
      <c r="A116" s="237">
        <v>111</v>
      </c>
      <c r="B116" s="263">
        <v>0</v>
      </c>
      <c r="C116" s="263">
        <v>0</v>
      </c>
      <c r="D116" s="264">
        <v>0</v>
      </c>
      <c r="E116" s="383" t="s">
        <v>578</v>
      </c>
      <c r="F116" s="384" t="s">
        <v>364</v>
      </c>
      <c r="G116" s="384">
        <v>31</v>
      </c>
      <c r="H116" s="385">
        <v>35703</v>
      </c>
      <c r="I116" s="265">
        <f t="shared" si="6"/>
        <v>1997</v>
      </c>
      <c r="J116" s="641">
        <v>10</v>
      </c>
      <c r="K116" s="641" t="str">
        <f>VLOOKUP(J116,'Cost Escalators'!$C$313:$D$330,2,FALSE)</f>
        <v>Land</v>
      </c>
      <c r="L116" s="238" t="s">
        <v>579</v>
      </c>
      <c r="M116" s="384" t="s">
        <v>1506</v>
      </c>
      <c r="N116" s="246">
        <v>161280</v>
      </c>
      <c r="O116" s="267">
        <v>0</v>
      </c>
      <c r="P116" s="250">
        <f t="shared" si="7"/>
        <v>1997</v>
      </c>
      <c r="Q116" s="268">
        <f>IF(J116=10,1,IFERROR(INDEX('Cost Escalators'!$D$28:$D$92,MATCH($P$4,'Cost Escalators'!$B$28:$B$92,0))/INDEX('Cost Escalators'!$D$28:$D$92,MATCH(I116,'Cost Escalators'!$B$28:$B$92,0)),1))</f>
        <v>1</v>
      </c>
      <c r="R116" s="269">
        <f t="shared" si="8"/>
        <v>161280</v>
      </c>
      <c r="S116" s="269">
        <f t="shared" si="9"/>
        <v>161280</v>
      </c>
      <c r="T116" s="269">
        <f t="shared" si="10"/>
        <v>161280</v>
      </c>
      <c r="U116" s="242">
        <f t="shared" si="11"/>
        <v>0</v>
      </c>
    </row>
    <row r="117" spans="1:21" s="237" customFormat="1" x14ac:dyDescent="0.3">
      <c r="A117" s="237">
        <v>112</v>
      </c>
      <c r="B117" s="263">
        <v>0</v>
      </c>
      <c r="C117" s="263">
        <v>0</v>
      </c>
      <c r="D117" s="264">
        <v>0</v>
      </c>
      <c r="E117" s="381" t="s">
        <v>580</v>
      </c>
      <c r="F117" s="384" t="s">
        <v>364</v>
      </c>
      <c r="G117" s="384">
        <v>31</v>
      </c>
      <c r="H117" s="385">
        <v>33724</v>
      </c>
      <c r="I117" s="265">
        <f t="shared" si="6"/>
        <v>1992</v>
      </c>
      <c r="J117" s="641">
        <v>10</v>
      </c>
      <c r="K117" s="641" t="str">
        <f>VLOOKUP(J117,'Cost Escalators'!$C$313:$D$330,2,FALSE)</f>
        <v>Land</v>
      </c>
      <c r="L117" s="238" t="s">
        <v>581</v>
      </c>
      <c r="M117" s="384" t="s">
        <v>1506</v>
      </c>
      <c r="N117" s="246">
        <v>228960</v>
      </c>
      <c r="O117" s="267">
        <v>0</v>
      </c>
      <c r="P117" s="250">
        <f t="shared" si="7"/>
        <v>1992</v>
      </c>
      <c r="Q117" s="268">
        <f>IF(J117=10,1,IFERROR(INDEX('Cost Escalators'!$D$28:$D$92,MATCH($P$4,'Cost Escalators'!$B$28:$B$92,0))/INDEX('Cost Escalators'!$D$28:$D$92,MATCH(I117,'Cost Escalators'!$B$28:$B$92,0)),1))</f>
        <v>1</v>
      </c>
      <c r="R117" s="269">
        <f t="shared" si="8"/>
        <v>228960</v>
      </c>
      <c r="S117" s="269">
        <f t="shared" si="9"/>
        <v>228960</v>
      </c>
      <c r="T117" s="269">
        <f t="shared" si="10"/>
        <v>228960</v>
      </c>
      <c r="U117" s="242">
        <f t="shared" si="11"/>
        <v>0</v>
      </c>
    </row>
    <row r="118" spans="1:21" s="237" customFormat="1" x14ac:dyDescent="0.3">
      <c r="A118" s="237">
        <v>113</v>
      </c>
      <c r="B118" s="263">
        <v>0</v>
      </c>
      <c r="C118" s="263">
        <v>0</v>
      </c>
      <c r="D118" s="264">
        <v>0</v>
      </c>
      <c r="E118" s="383" t="s">
        <v>582</v>
      </c>
      <c r="F118" s="384" t="s">
        <v>364</v>
      </c>
      <c r="G118" s="384">
        <v>31</v>
      </c>
      <c r="H118" s="385">
        <v>32263</v>
      </c>
      <c r="I118" s="265">
        <f t="shared" si="6"/>
        <v>1988</v>
      </c>
      <c r="J118" s="641">
        <v>10</v>
      </c>
      <c r="K118" s="641" t="str">
        <f>VLOOKUP(J118,'Cost Escalators'!$C$313:$D$330,2,FALSE)</f>
        <v>Land</v>
      </c>
      <c r="L118" s="238" t="s">
        <v>583</v>
      </c>
      <c r="M118" s="384" t="s">
        <v>1506</v>
      </c>
      <c r="N118" s="246">
        <v>94080</v>
      </c>
      <c r="O118" s="267">
        <v>0</v>
      </c>
      <c r="P118" s="250">
        <f t="shared" si="7"/>
        <v>1988</v>
      </c>
      <c r="Q118" s="268">
        <f>IF(J118=10,1,IFERROR(INDEX('Cost Escalators'!$D$28:$D$92,MATCH($P$4,'Cost Escalators'!$B$28:$B$92,0))/INDEX('Cost Escalators'!$D$28:$D$92,MATCH(I118,'Cost Escalators'!$B$28:$B$92,0)),1))</f>
        <v>1</v>
      </c>
      <c r="R118" s="269">
        <f t="shared" si="8"/>
        <v>94080</v>
      </c>
      <c r="S118" s="269">
        <f t="shared" si="9"/>
        <v>94080</v>
      </c>
      <c r="T118" s="269">
        <f t="shared" si="10"/>
        <v>94080</v>
      </c>
      <c r="U118" s="242">
        <f t="shared" si="11"/>
        <v>0</v>
      </c>
    </row>
    <row r="119" spans="1:21" s="237" customFormat="1" x14ac:dyDescent="0.3">
      <c r="A119" s="237">
        <v>114</v>
      </c>
      <c r="B119" s="263">
        <v>0</v>
      </c>
      <c r="C119" s="263">
        <v>0</v>
      </c>
      <c r="D119" s="264">
        <v>0</v>
      </c>
      <c r="E119" s="381" t="s">
        <v>584</v>
      </c>
      <c r="F119" s="384" t="s">
        <v>364</v>
      </c>
      <c r="G119" s="384">
        <v>31</v>
      </c>
      <c r="H119" s="385">
        <v>29556</v>
      </c>
      <c r="I119" s="265">
        <f t="shared" si="6"/>
        <v>1980</v>
      </c>
      <c r="J119" s="641">
        <v>10</v>
      </c>
      <c r="K119" s="641" t="str">
        <f>VLOOKUP(J119,'Cost Escalators'!$C$313:$D$330,2,FALSE)</f>
        <v>Land</v>
      </c>
      <c r="L119" s="238" t="s">
        <v>401</v>
      </c>
      <c r="M119" s="384" t="s">
        <v>1506</v>
      </c>
      <c r="N119" s="246">
        <v>10206</v>
      </c>
      <c r="O119" s="267">
        <v>0</v>
      </c>
      <c r="P119" s="250">
        <f t="shared" si="7"/>
        <v>1980</v>
      </c>
      <c r="Q119" s="268">
        <f>IF(J119=10,1,IFERROR(INDEX('Cost Escalators'!$D$28:$D$92,MATCH($P$4,'Cost Escalators'!$B$28:$B$92,0))/INDEX('Cost Escalators'!$D$28:$D$92,MATCH(I119,'Cost Escalators'!$B$28:$B$92,0)),1))</f>
        <v>1</v>
      </c>
      <c r="R119" s="269">
        <f t="shared" si="8"/>
        <v>10206</v>
      </c>
      <c r="S119" s="269">
        <f t="shared" si="9"/>
        <v>10206</v>
      </c>
      <c r="T119" s="269">
        <f t="shared" si="10"/>
        <v>10206</v>
      </c>
      <c r="U119" s="242">
        <f t="shared" si="11"/>
        <v>0</v>
      </c>
    </row>
    <row r="120" spans="1:21" s="237" customFormat="1" x14ac:dyDescent="0.3">
      <c r="A120" s="237">
        <v>115</v>
      </c>
      <c r="B120" s="263">
        <v>0</v>
      </c>
      <c r="C120" s="263">
        <v>0</v>
      </c>
      <c r="D120" s="264">
        <v>0</v>
      </c>
      <c r="E120" s="383" t="s">
        <v>585</v>
      </c>
      <c r="F120" s="384" t="s">
        <v>364</v>
      </c>
      <c r="G120" s="384">
        <v>31</v>
      </c>
      <c r="H120" s="385">
        <v>31897</v>
      </c>
      <c r="I120" s="265">
        <f t="shared" si="6"/>
        <v>1987</v>
      </c>
      <c r="J120" s="641">
        <v>10</v>
      </c>
      <c r="K120" s="641" t="str">
        <f>VLOOKUP(J120,'Cost Escalators'!$C$313:$D$330,2,FALSE)</f>
        <v>Land</v>
      </c>
      <c r="L120" s="238" t="s">
        <v>586</v>
      </c>
      <c r="M120" s="384" t="s">
        <v>1506</v>
      </c>
      <c r="N120" s="246">
        <v>24600</v>
      </c>
      <c r="O120" s="267">
        <v>0</v>
      </c>
      <c r="P120" s="250">
        <f t="shared" si="7"/>
        <v>1987</v>
      </c>
      <c r="Q120" s="268">
        <f>IF(J120=10,1,IFERROR(INDEX('Cost Escalators'!$D$28:$D$92,MATCH($P$4,'Cost Escalators'!$B$28:$B$92,0))/INDEX('Cost Escalators'!$D$28:$D$92,MATCH(I120,'Cost Escalators'!$B$28:$B$92,0)),1))</f>
        <v>1</v>
      </c>
      <c r="R120" s="269">
        <f t="shared" si="8"/>
        <v>24600</v>
      </c>
      <c r="S120" s="269">
        <f t="shared" si="9"/>
        <v>24600</v>
      </c>
      <c r="T120" s="269">
        <f t="shared" si="10"/>
        <v>24600</v>
      </c>
      <c r="U120" s="242">
        <f t="shared" si="11"/>
        <v>0</v>
      </c>
    </row>
    <row r="121" spans="1:21" s="237" customFormat="1" x14ac:dyDescent="0.3">
      <c r="A121" s="237">
        <v>116</v>
      </c>
      <c r="B121" s="263">
        <v>0</v>
      </c>
      <c r="C121" s="263">
        <v>0</v>
      </c>
      <c r="D121" s="264">
        <v>0</v>
      </c>
      <c r="E121" s="381" t="s">
        <v>587</v>
      </c>
      <c r="F121" s="384" t="s">
        <v>364</v>
      </c>
      <c r="G121" s="384">
        <v>31</v>
      </c>
      <c r="H121" s="385">
        <v>25688</v>
      </c>
      <c r="I121" s="265">
        <f t="shared" si="6"/>
        <v>1970</v>
      </c>
      <c r="J121" s="641">
        <v>10</v>
      </c>
      <c r="K121" s="641" t="str">
        <f>VLOOKUP(J121,'Cost Escalators'!$C$313:$D$330,2,FALSE)</f>
        <v>Land</v>
      </c>
      <c r="L121" s="238" t="s">
        <v>588</v>
      </c>
      <c r="M121" s="384" t="s">
        <v>1506</v>
      </c>
      <c r="N121" s="246">
        <v>23495.99</v>
      </c>
      <c r="O121" s="267">
        <v>0</v>
      </c>
      <c r="P121" s="250">
        <f t="shared" si="7"/>
        <v>1970</v>
      </c>
      <c r="Q121" s="268">
        <f>IF(J121=10,1,IFERROR(INDEX('Cost Escalators'!$D$28:$D$92,MATCH($P$4,'Cost Escalators'!$B$28:$B$92,0))/INDEX('Cost Escalators'!$D$28:$D$92,MATCH(I121,'Cost Escalators'!$B$28:$B$92,0)),1))</f>
        <v>1</v>
      </c>
      <c r="R121" s="269">
        <f t="shared" si="8"/>
        <v>23495.99</v>
      </c>
      <c r="S121" s="269">
        <f t="shared" si="9"/>
        <v>23495.99</v>
      </c>
      <c r="T121" s="269">
        <f t="shared" si="10"/>
        <v>23495.99</v>
      </c>
      <c r="U121" s="242">
        <f t="shared" si="11"/>
        <v>0</v>
      </c>
    </row>
    <row r="122" spans="1:21" s="237" customFormat="1" x14ac:dyDescent="0.3">
      <c r="A122" s="237">
        <v>117</v>
      </c>
      <c r="B122" s="263">
        <v>0</v>
      </c>
      <c r="C122" s="263">
        <v>0</v>
      </c>
      <c r="D122" s="264">
        <v>0</v>
      </c>
      <c r="E122" s="383" t="s">
        <v>589</v>
      </c>
      <c r="F122" s="384" t="s">
        <v>364</v>
      </c>
      <c r="G122" s="384">
        <v>31</v>
      </c>
      <c r="H122" s="385">
        <v>32628</v>
      </c>
      <c r="I122" s="265">
        <f t="shared" si="6"/>
        <v>1989</v>
      </c>
      <c r="J122" s="641">
        <v>10</v>
      </c>
      <c r="K122" s="641" t="str">
        <f>VLOOKUP(J122,'Cost Escalators'!$C$313:$D$330,2,FALSE)</f>
        <v>Land</v>
      </c>
      <c r="L122" s="238" t="s">
        <v>590</v>
      </c>
      <c r="M122" s="384" t="s">
        <v>1506</v>
      </c>
      <c r="N122" s="246">
        <v>68000</v>
      </c>
      <c r="O122" s="267">
        <v>0</v>
      </c>
      <c r="P122" s="250">
        <f t="shared" si="7"/>
        <v>1989</v>
      </c>
      <c r="Q122" s="268">
        <f>IF(J122=10,1,IFERROR(INDEX('Cost Escalators'!$D$28:$D$92,MATCH($P$4,'Cost Escalators'!$B$28:$B$92,0))/INDEX('Cost Escalators'!$D$28:$D$92,MATCH(I122,'Cost Escalators'!$B$28:$B$92,0)),1))</f>
        <v>1</v>
      </c>
      <c r="R122" s="269">
        <f t="shared" si="8"/>
        <v>68000</v>
      </c>
      <c r="S122" s="269">
        <f t="shared" si="9"/>
        <v>68000</v>
      </c>
      <c r="T122" s="269">
        <f t="shared" si="10"/>
        <v>68000</v>
      </c>
      <c r="U122" s="242">
        <f t="shared" si="11"/>
        <v>0</v>
      </c>
    </row>
    <row r="123" spans="1:21" s="237" customFormat="1" x14ac:dyDescent="0.3">
      <c r="A123" s="237">
        <v>118</v>
      </c>
      <c r="B123" s="263">
        <v>0</v>
      </c>
      <c r="C123" s="263">
        <v>0</v>
      </c>
      <c r="D123" s="264">
        <v>0</v>
      </c>
      <c r="E123" s="381" t="s">
        <v>589</v>
      </c>
      <c r="F123" s="384" t="s">
        <v>364</v>
      </c>
      <c r="G123" s="384">
        <v>31</v>
      </c>
      <c r="H123" s="385">
        <v>41274</v>
      </c>
      <c r="I123" s="265">
        <f t="shared" si="6"/>
        <v>2012</v>
      </c>
      <c r="J123" s="641">
        <v>10</v>
      </c>
      <c r="K123" s="641" t="str">
        <f>VLOOKUP(J123,'Cost Escalators'!$C$313:$D$330,2,FALSE)</f>
        <v>Land</v>
      </c>
      <c r="L123" s="238" t="s">
        <v>591</v>
      </c>
      <c r="M123" s="384" t="s">
        <v>1506</v>
      </c>
      <c r="N123" s="246">
        <v>10390</v>
      </c>
      <c r="O123" s="267">
        <v>0</v>
      </c>
      <c r="P123" s="250">
        <f t="shared" si="7"/>
        <v>2012</v>
      </c>
      <c r="Q123" s="268">
        <f>IF(J123=10,1,IFERROR(INDEX('Cost Escalators'!$D$28:$D$92,MATCH($P$4,'Cost Escalators'!$B$28:$B$92,0))/INDEX('Cost Escalators'!$D$28:$D$92,MATCH(I123,'Cost Escalators'!$B$28:$B$92,0)),1))</f>
        <v>1</v>
      </c>
      <c r="R123" s="269">
        <f t="shared" si="8"/>
        <v>10390</v>
      </c>
      <c r="S123" s="269">
        <f t="shared" si="9"/>
        <v>10390</v>
      </c>
      <c r="T123" s="269">
        <f t="shared" si="10"/>
        <v>10390</v>
      </c>
      <c r="U123" s="242">
        <f t="shared" si="11"/>
        <v>0</v>
      </c>
    </row>
    <row r="124" spans="1:21" s="237" customFormat="1" x14ac:dyDescent="0.3">
      <c r="A124" s="237">
        <v>119</v>
      </c>
      <c r="B124" s="263">
        <v>0</v>
      </c>
      <c r="C124" s="263">
        <v>0</v>
      </c>
      <c r="D124" s="264">
        <v>0</v>
      </c>
      <c r="E124" s="381" t="s">
        <v>592</v>
      </c>
      <c r="F124" s="384" t="s">
        <v>364</v>
      </c>
      <c r="G124" s="384">
        <v>31</v>
      </c>
      <c r="H124" s="385">
        <v>32628</v>
      </c>
      <c r="I124" s="265">
        <f t="shared" si="6"/>
        <v>1989</v>
      </c>
      <c r="J124" s="641">
        <v>10</v>
      </c>
      <c r="K124" s="641" t="str">
        <f>VLOOKUP(J124,'Cost Escalators'!$C$313:$D$330,2,FALSE)</f>
        <v>Land</v>
      </c>
      <c r="L124" s="238" t="s">
        <v>593</v>
      </c>
      <c r="M124" s="384" t="s">
        <v>1506</v>
      </c>
      <c r="N124" s="246">
        <v>68000</v>
      </c>
      <c r="O124" s="267">
        <v>0</v>
      </c>
      <c r="P124" s="250">
        <f t="shared" si="7"/>
        <v>1989</v>
      </c>
      <c r="Q124" s="268">
        <f>IF(J124=10,1,IFERROR(INDEX('Cost Escalators'!$D$28:$D$92,MATCH($P$4,'Cost Escalators'!$B$28:$B$92,0))/INDEX('Cost Escalators'!$D$28:$D$92,MATCH(I124,'Cost Escalators'!$B$28:$B$92,0)),1))</f>
        <v>1</v>
      </c>
      <c r="R124" s="269">
        <f t="shared" si="8"/>
        <v>68000</v>
      </c>
      <c r="S124" s="269">
        <f t="shared" si="9"/>
        <v>68000</v>
      </c>
      <c r="T124" s="269">
        <f t="shared" si="10"/>
        <v>68000</v>
      </c>
      <c r="U124" s="242">
        <f t="shared" si="11"/>
        <v>0</v>
      </c>
    </row>
    <row r="125" spans="1:21" s="237" customFormat="1" x14ac:dyDescent="0.3">
      <c r="A125" s="237">
        <v>120</v>
      </c>
      <c r="B125" s="263">
        <v>0</v>
      </c>
      <c r="C125" s="263">
        <v>0</v>
      </c>
      <c r="D125" s="264">
        <v>0</v>
      </c>
      <c r="E125" s="381" t="s">
        <v>594</v>
      </c>
      <c r="F125" s="384" t="s">
        <v>364</v>
      </c>
      <c r="G125" s="384">
        <v>31</v>
      </c>
      <c r="H125" s="385">
        <v>32628</v>
      </c>
      <c r="I125" s="265">
        <f t="shared" si="6"/>
        <v>1989</v>
      </c>
      <c r="J125" s="641">
        <v>10</v>
      </c>
      <c r="K125" s="641" t="str">
        <f>VLOOKUP(J125,'Cost Escalators'!$C$313:$D$330,2,FALSE)</f>
        <v>Land</v>
      </c>
      <c r="L125" s="238" t="s">
        <v>595</v>
      </c>
      <c r="M125" s="384" t="s">
        <v>1506</v>
      </c>
      <c r="N125" s="246">
        <v>68000</v>
      </c>
      <c r="O125" s="267">
        <v>0</v>
      </c>
      <c r="P125" s="250">
        <f t="shared" si="7"/>
        <v>1989</v>
      </c>
      <c r="Q125" s="268">
        <f>IF(J125=10,1,IFERROR(INDEX('Cost Escalators'!$D$28:$D$92,MATCH($P$4,'Cost Escalators'!$B$28:$B$92,0))/INDEX('Cost Escalators'!$D$28:$D$92,MATCH(I125,'Cost Escalators'!$B$28:$B$92,0)),1))</f>
        <v>1</v>
      </c>
      <c r="R125" s="269">
        <f t="shared" si="8"/>
        <v>68000</v>
      </c>
      <c r="S125" s="269">
        <f t="shared" si="9"/>
        <v>68000</v>
      </c>
      <c r="T125" s="269">
        <f t="shared" si="10"/>
        <v>68000</v>
      </c>
      <c r="U125" s="242">
        <f t="shared" si="11"/>
        <v>0</v>
      </c>
    </row>
    <row r="126" spans="1:21" s="237" customFormat="1" x14ac:dyDescent="0.3">
      <c r="A126" s="237">
        <v>121</v>
      </c>
      <c r="B126" s="263">
        <v>0</v>
      </c>
      <c r="C126" s="263">
        <v>0</v>
      </c>
      <c r="D126" s="264">
        <v>0</v>
      </c>
      <c r="E126" s="381" t="s">
        <v>594</v>
      </c>
      <c r="F126" s="384" t="s">
        <v>364</v>
      </c>
      <c r="G126" s="384">
        <v>31</v>
      </c>
      <c r="H126" s="385">
        <v>40908</v>
      </c>
      <c r="I126" s="265">
        <f t="shared" si="6"/>
        <v>2011</v>
      </c>
      <c r="J126" s="641">
        <v>10</v>
      </c>
      <c r="K126" s="641" t="str">
        <f>VLOOKUP(J126,'Cost Escalators'!$C$313:$D$330,2,FALSE)</f>
        <v>Land</v>
      </c>
      <c r="L126" s="238" t="s">
        <v>596</v>
      </c>
      <c r="M126" s="384" t="s">
        <v>1506</v>
      </c>
      <c r="N126" s="246">
        <v>98221</v>
      </c>
      <c r="O126" s="267">
        <v>0</v>
      </c>
      <c r="P126" s="250">
        <f t="shared" si="7"/>
        <v>2011</v>
      </c>
      <c r="Q126" s="268">
        <f>IF(J126=10,1,IFERROR(INDEX('Cost Escalators'!$D$28:$D$92,MATCH($P$4,'Cost Escalators'!$B$28:$B$92,0))/INDEX('Cost Escalators'!$D$28:$D$92,MATCH(I126,'Cost Escalators'!$B$28:$B$92,0)),1))</f>
        <v>1</v>
      </c>
      <c r="R126" s="269">
        <f t="shared" si="8"/>
        <v>98221</v>
      </c>
      <c r="S126" s="269">
        <f t="shared" si="9"/>
        <v>98221</v>
      </c>
      <c r="T126" s="269">
        <f t="shared" si="10"/>
        <v>98221</v>
      </c>
      <c r="U126" s="242">
        <f t="shared" si="11"/>
        <v>0</v>
      </c>
    </row>
    <row r="127" spans="1:21" s="237" customFormat="1" x14ac:dyDescent="0.3">
      <c r="A127" s="237">
        <v>122</v>
      </c>
      <c r="B127" s="263">
        <v>0</v>
      </c>
      <c r="C127" s="263">
        <v>0</v>
      </c>
      <c r="D127" s="264">
        <v>0</v>
      </c>
      <c r="E127" s="381" t="s">
        <v>597</v>
      </c>
      <c r="F127" s="384" t="s">
        <v>364</v>
      </c>
      <c r="G127" s="384">
        <v>31</v>
      </c>
      <c r="H127" s="385">
        <v>32628</v>
      </c>
      <c r="I127" s="265">
        <f t="shared" si="6"/>
        <v>1989</v>
      </c>
      <c r="J127" s="641">
        <v>10</v>
      </c>
      <c r="K127" s="641" t="str">
        <f>VLOOKUP(J127,'Cost Escalators'!$C$313:$D$330,2,FALSE)</f>
        <v>Land</v>
      </c>
      <c r="L127" s="238" t="s">
        <v>598</v>
      </c>
      <c r="M127" s="384" t="s">
        <v>1506</v>
      </c>
      <c r="N127" s="246">
        <v>178320</v>
      </c>
      <c r="O127" s="267">
        <v>0</v>
      </c>
      <c r="P127" s="250">
        <f t="shared" si="7"/>
        <v>1989</v>
      </c>
      <c r="Q127" s="268">
        <f>IF(J127=10,1,IFERROR(INDEX('Cost Escalators'!$D$28:$D$92,MATCH($P$4,'Cost Escalators'!$B$28:$B$92,0))/INDEX('Cost Escalators'!$D$28:$D$92,MATCH(I127,'Cost Escalators'!$B$28:$B$92,0)),1))</f>
        <v>1</v>
      </c>
      <c r="R127" s="269">
        <f t="shared" si="8"/>
        <v>178320</v>
      </c>
      <c r="S127" s="269">
        <f t="shared" si="9"/>
        <v>178320</v>
      </c>
      <c r="T127" s="269">
        <f t="shared" si="10"/>
        <v>178320</v>
      </c>
      <c r="U127" s="242">
        <f t="shared" si="11"/>
        <v>0</v>
      </c>
    </row>
    <row r="128" spans="1:21" s="237" customFormat="1" x14ac:dyDescent="0.3">
      <c r="A128" s="237">
        <v>123</v>
      </c>
      <c r="B128" s="263">
        <v>0</v>
      </c>
      <c r="C128" s="263">
        <v>0</v>
      </c>
      <c r="D128" s="264">
        <v>0</v>
      </c>
      <c r="E128" s="381" t="s">
        <v>599</v>
      </c>
      <c r="F128" s="384" t="s">
        <v>364</v>
      </c>
      <c r="G128" s="384">
        <v>31</v>
      </c>
      <c r="H128" s="385">
        <v>32628</v>
      </c>
      <c r="I128" s="265">
        <f t="shared" si="6"/>
        <v>1989</v>
      </c>
      <c r="J128" s="641">
        <v>10</v>
      </c>
      <c r="K128" s="641" t="str">
        <f>VLOOKUP(J128,'Cost Escalators'!$C$313:$D$330,2,FALSE)</f>
        <v>Land</v>
      </c>
      <c r="L128" s="238" t="s">
        <v>598</v>
      </c>
      <c r="M128" s="384" t="s">
        <v>1506</v>
      </c>
      <c r="N128" s="246">
        <v>178320</v>
      </c>
      <c r="O128" s="267">
        <v>0</v>
      </c>
      <c r="P128" s="250">
        <f t="shared" si="7"/>
        <v>1989</v>
      </c>
      <c r="Q128" s="268">
        <f>IF(J128=10,1,IFERROR(INDEX('Cost Escalators'!$D$28:$D$92,MATCH($P$4,'Cost Escalators'!$B$28:$B$92,0))/INDEX('Cost Escalators'!$D$28:$D$92,MATCH(I128,'Cost Escalators'!$B$28:$B$92,0)),1))</f>
        <v>1</v>
      </c>
      <c r="R128" s="269">
        <f t="shared" si="8"/>
        <v>178320</v>
      </c>
      <c r="S128" s="269">
        <f t="shared" si="9"/>
        <v>178320</v>
      </c>
      <c r="T128" s="269">
        <f t="shared" si="10"/>
        <v>178320</v>
      </c>
      <c r="U128" s="242">
        <f t="shared" si="11"/>
        <v>0</v>
      </c>
    </row>
    <row r="129" spans="1:21" s="237" customFormat="1" x14ac:dyDescent="0.3">
      <c r="A129" s="237">
        <v>124</v>
      </c>
      <c r="B129" s="263">
        <v>0</v>
      </c>
      <c r="C129" s="263">
        <v>0</v>
      </c>
      <c r="D129" s="264">
        <v>0</v>
      </c>
      <c r="E129" s="381" t="s">
        <v>600</v>
      </c>
      <c r="F129" s="384" t="s">
        <v>364</v>
      </c>
      <c r="G129" s="384">
        <v>31</v>
      </c>
      <c r="H129" s="385">
        <v>28975</v>
      </c>
      <c r="I129" s="265">
        <f t="shared" si="6"/>
        <v>1979</v>
      </c>
      <c r="J129" s="641">
        <v>10</v>
      </c>
      <c r="K129" s="641" t="str">
        <f>VLOOKUP(J129,'Cost Escalators'!$C$313:$D$330,2,FALSE)</f>
        <v>Land</v>
      </c>
      <c r="L129" s="238" t="s">
        <v>601</v>
      </c>
      <c r="M129" s="384" t="s">
        <v>1506</v>
      </c>
      <c r="N129" s="246">
        <v>8640</v>
      </c>
      <c r="O129" s="267">
        <v>0</v>
      </c>
      <c r="P129" s="250">
        <f t="shared" si="7"/>
        <v>1979</v>
      </c>
      <c r="Q129" s="268">
        <f>IF(J129=10,1,IFERROR(INDEX('Cost Escalators'!$D$28:$D$92,MATCH($P$4,'Cost Escalators'!$B$28:$B$92,0))/INDEX('Cost Escalators'!$D$28:$D$92,MATCH(I129,'Cost Escalators'!$B$28:$B$92,0)),1))</f>
        <v>1</v>
      </c>
      <c r="R129" s="269">
        <f t="shared" si="8"/>
        <v>8640</v>
      </c>
      <c r="S129" s="269">
        <f t="shared" si="9"/>
        <v>8640</v>
      </c>
      <c r="T129" s="269">
        <f t="shared" si="10"/>
        <v>8640</v>
      </c>
      <c r="U129" s="242">
        <f t="shared" si="11"/>
        <v>0</v>
      </c>
    </row>
    <row r="130" spans="1:21" s="237" customFormat="1" x14ac:dyDescent="0.3">
      <c r="A130" s="237">
        <v>125</v>
      </c>
      <c r="B130" s="263">
        <v>0</v>
      </c>
      <c r="C130" s="263">
        <v>0</v>
      </c>
      <c r="D130" s="264">
        <v>0</v>
      </c>
      <c r="E130" s="381" t="s">
        <v>602</v>
      </c>
      <c r="F130" s="384" t="s">
        <v>364</v>
      </c>
      <c r="G130" s="384">
        <v>31</v>
      </c>
      <c r="H130" s="385">
        <v>28975</v>
      </c>
      <c r="I130" s="265">
        <f t="shared" si="6"/>
        <v>1979</v>
      </c>
      <c r="J130" s="641">
        <v>10</v>
      </c>
      <c r="K130" s="641" t="str">
        <f>VLOOKUP(J130,'Cost Escalators'!$C$313:$D$330,2,FALSE)</f>
        <v>Land</v>
      </c>
      <c r="L130" s="238" t="s">
        <v>603</v>
      </c>
      <c r="M130" s="384" t="s">
        <v>1506</v>
      </c>
      <c r="N130" s="246">
        <v>17280</v>
      </c>
      <c r="O130" s="267">
        <v>0</v>
      </c>
      <c r="P130" s="250">
        <f t="shared" si="7"/>
        <v>1979</v>
      </c>
      <c r="Q130" s="268">
        <f>IF(J130=10,1,IFERROR(INDEX('Cost Escalators'!$D$28:$D$92,MATCH($P$4,'Cost Escalators'!$B$28:$B$92,0))/INDEX('Cost Escalators'!$D$28:$D$92,MATCH(I130,'Cost Escalators'!$B$28:$B$92,0)),1))</f>
        <v>1</v>
      </c>
      <c r="R130" s="269">
        <f t="shared" si="8"/>
        <v>17280</v>
      </c>
      <c r="S130" s="269">
        <f t="shared" si="9"/>
        <v>17280</v>
      </c>
      <c r="T130" s="269">
        <f t="shared" si="10"/>
        <v>17280</v>
      </c>
      <c r="U130" s="242">
        <f t="shared" si="11"/>
        <v>0</v>
      </c>
    </row>
    <row r="131" spans="1:21" s="237" customFormat="1" x14ac:dyDescent="0.3">
      <c r="A131" s="237">
        <v>126</v>
      </c>
      <c r="B131" s="263">
        <v>0</v>
      </c>
      <c r="C131" s="263">
        <v>0</v>
      </c>
      <c r="D131" s="264">
        <v>0</v>
      </c>
      <c r="E131" s="381" t="s">
        <v>604</v>
      </c>
      <c r="F131" s="384" t="s">
        <v>364</v>
      </c>
      <c r="G131" s="384">
        <v>31</v>
      </c>
      <c r="H131" s="385">
        <v>35338</v>
      </c>
      <c r="I131" s="265">
        <f t="shared" si="6"/>
        <v>1996</v>
      </c>
      <c r="J131" s="641">
        <v>10</v>
      </c>
      <c r="K131" s="641" t="str">
        <f>VLOOKUP(J131,'Cost Escalators'!$C$313:$D$330,2,FALSE)</f>
        <v>Land</v>
      </c>
      <c r="L131" s="238" t="s">
        <v>605</v>
      </c>
      <c r="M131" s="384" t="s">
        <v>1506</v>
      </c>
      <c r="N131" s="246">
        <v>69600</v>
      </c>
      <c r="O131" s="267">
        <v>0</v>
      </c>
      <c r="P131" s="250">
        <f t="shared" si="7"/>
        <v>1996</v>
      </c>
      <c r="Q131" s="268">
        <f>IF(J131=10,1,IFERROR(INDEX('Cost Escalators'!$D$28:$D$92,MATCH($P$4,'Cost Escalators'!$B$28:$B$92,0))/INDEX('Cost Escalators'!$D$28:$D$92,MATCH(I131,'Cost Escalators'!$B$28:$B$92,0)),1))</f>
        <v>1</v>
      </c>
      <c r="R131" s="269">
        <f t="shared" si="8"/>
        <v>69600</v>
      </c>
      <c r="S131" s="269">
        <f t="shared" si="9"/>
        <v>69600</v>
      </c>
      <c r="T131" s="269">
        <f t="shared" si="10"/>
        <v>69600</v>
      </c>
      <c r="U131" s="242">
        <f t="shared" si="11"/>
        <v>0</v>
      </c>
    </row>
    <row r="132" spans="1:21" s="237" customFormat="1" x14ac:dyDescent="0.3">
      <c r="A132" s="237">
        <v>127</v>
      </c>
      <c r="B132" s="263">
        <v>0</v>
      </c>
      <c r="C132" s="263">
        <v>0</v>
      </c>
      <c r="D132" s="264">
        <v>0</v>
      </c>
      <c r="E132" s="381" t="s">
        <v>606</v>
      </c>
      <c r="F132" s="384" t="s">
        <v>364</v>
      </c>
      <c r="G132" s="384">
        <v>31</v>
      </c>
      <c r="H132" s="385">
        <v>32263</v>
      </c>
      <c r="I132" s="265">
        <f t="shared" si="6"/>
        <v>1988</v>
      </c>
      <c r="J132" s="641">
        <v>10</v>
      </c>
      <c r="K132" s="641" t="str">
        <f>VLOOKUP(J132,'Cost Escalators'!$C$313:$D$330,2,FALSE)</f>
        <v>Land</v>
      </c>
      <c r="L132" s="238" t="s">
        <v>607</v>
      </c>
      <c r="M132" s="384" t="s">
        <v>1506</v>
      </c>
      <c r="N132" s="246">
        <v>31680</v>
      </c>
      <c r="O132" s="267">
        <v>0</v>
      </c>
      <c r="P132" s="250">
        <f t="shared" si="7"/>
        <v>1988</v>
      </c>
      <c r="Q132" s="268">
        <f>IF(J132=10,1,IFERROR(INDEX('Cost Escalators'!$D$28:$D$92,MATCH($P$4,'Cost Escalators'!$B$28:$B$92,0))/INDEX('Cost Escalators'!$D$28:$D$92,MATCH(I132,'Cost Escalators'!$B$28:$B$92,0)),1))</f>
        <v>1</v>
      </c>
      <c r="R132" s="269">
        <f t="shared" si="8"/>
        <v>31680</v>
      </c>
      <c r="S132" s="269">
        <f t="shared" si="9"/>
        <v>31680</v>
      </c>
      <c r="T132" s="269">
        <f t="shared" si="10"/>
        <v>31680</v>
      </c>
      <c r="U132" s="242">
        <f t="shared" si="11"/>
        <v>0</v>
      </c>
    </row>
    <row r="133" spans="1:21" s="237" customFormat="1" x14ac:dyDescent="0.3">
      <c r="A133" s="237">
        <v>128</v>
      </c>
      <c r="B133" s="263">
        <v>0</v>
      </c>
      <c r="C133" s="263">
        <v>0</v>
      </c>
      <c r="D133" s="264">
        <v>0</v>
      </c>
      <c r="E133" s="381" t="s">
        <v>608</v>
      </c>
      <c r="F133" s="384" t="s">
        <v>364</v>
      </c>
      <c r="G133" s="384">
        <v>31</v>
      </c>
      <c r="H133" s="385">
        <v>35703</v>
      </c>
      <c r="I133" s="265">
        <f t="shared" si="6"/>
        <v>1997</v>
      </c>
      <c r="J133" s="641">
        <v>10</v>
      </c>
      <c r="K133" s="641" t="str">
        <f>VLOOKUP(J133,'Cost Escalators'!$C$313:$D$330,2,FALSE)</f>
        <v>Land</v>
      </c>
      <c r="L133" s="238" t="s">
        <v>609</v>
      </c>
      <c r="M133" s="384" t="s">
        <v>1506</v>
      </c>
      <c r="N133" s="246">
        <v>220500</v>
      </c>
      <c r="O133" s="267">
        <v>0</v>
      </c>
      <c r="P133" s="250">
        <f t="shared" si="7"/>
        <v>1997</v>
      </c>
      <c r="Q133" s="268">
        <f>IF(J133=10,1,IFERROR(INDEX('Cost Escalators'!$D$28:$D$92,MATCH($P$4,'Cost Escalators'!$B$28:$B$92,0))/INDEX('Cost Escalators'!$D$28:$D$92,MATCH(I133,'Cost Escalators'!$B$28:$B$92,0)),1))</f>
        <v>1</v>
      </c>
      <c r="R133" s="269">
        <f t="shared" si="8"/>
        <v>220500</v>
      </c>
      <c r="S133" s="269">
        <f t="shared" si="9"/>
        <v>220500</v>
      </c>
      <c r="T133" s="269">
        <f t="shared" si="10"/>
        <v>220500</v>
      </c>
      <c r="U133" s="242">
        <f t="shared" si="11"/>
        <v>0</v>
      </c>
    </row>
    <row r="134" spans="1:21" s="237" customFormat="1" x14ac:dyDescent="0.3">
      <c r="A134" s="237">
        <v>129</v>
      </c>
      <c r="B134" s="263">
        <v>0</v>
      </c>
      <c r="C134" s="263">
        <v>0</v>
      </c>
      <c r="D134" s="264">
        <v>0</v>
      </c>
      <c r="E134" s="381" t="s">
        <v>610</v>
      </c>
      <c r="F134" s="384" t="s">
        <v>364</v>
      </c>
      <c r="G134" s="384">
        <v>31</v>
      </c>
      <c r="H134" s="385">
        <v>32263</v>
      </c>
      <c r="I134" s="265">
        <f t="shared" ref="I134:I197" si="12">YEAR(H134)</f>
        <v>1988</v>
      </c>
      <c r="J134" s="641">
        <v>10</v>
      </c>
      <c r="K134" s="641" t="str">
        <f>VLOOKUP(J134,'Cost Escalators'!$C$313:$D$330,2,FALSE)</f>
        <v>Land</v>
      </c>
      <c r="L134" s="238" t="s">
        <v>611</v>
      </c>
      <c r="M134" s="384" t="s">
        <v>1506</v>
      </c>
      <c r="N134" s="246">
        <v>48000</v>
      </c>
      <c r="O134" s="267">
        <v>0</v>
      </c>
      <c r="P134" s="250">
        <f t="shared" ref="P134:P197" si="13">IF(O134="","",I134+O134)</f>
        <v>1988</v>
      </c>
      <c r="Q134" s="268">
        <f>IF(J134=10,1,IFERROR(INDEX('Cost Escalators'!$D$28:$D$92,MATCH($P$4,'Cost Escalators'!$B$28:$B$92,0))/INDEX('Cost Escalators'!$D$28:$D$92,MATCH(I134,'Cost Escalators'!$B$28:$B$92,0)),1))</f>
        <v>1</v>
      </c>
      <c r="R134" s="269">
        <f t="shared" ref="R134:R197" si="14">N134*Q134</f>
        <v>48000</v>
      </c>
      <c r="S134" s="269">
        <f t="shared" ref="S134:S197" si="15">IFERROR(IF(P134&gt;$P$4,R134*(1+$Q$4)^(P134-$P$4),R134),"")</f>
        <v>48000</v>
      </c>
      <c r="T134" s="269">
        <f t="shared" ref="T134:T197" si="16">IF(J134=10,N134,(N134-U134)*(1+$Q$4)^($P$4-I134))</f>
        <v>48000</v>
      </c>
      <c r="U134" s="242">
        <f t="shared" ref="U134:U197" si="17">IFERROR(IF((N134/O134)*($U$4-I134)&gt;N134,N134,(N134/O134)*($U$4-I134)),0)</f>
        <v>0</v>
      </c>
    </row>
    <row r="135" spans="1:21" s="237" customFormat="1" x14ac:dyDescent="0.3">
      <c r="A135" s="237">
        <v>130</v>
      </c>
      <c r="B135" s="263">
        <v>0</v>
      </c>
      <c r="C135" s="263">
        <v>0</v>
      </c>
      <c r="D135" s="264">
        <v>0</v>
      </c>
      <c r="E135" s="381" t="s">
        <v>612</v>
      </c>
      <c r="F135" s="384" t="s">
        <v>364</v>
      </c>
      <c r="G135" s="384">
        <v>31</v>
      </c>
      <c r="H135" s="385">
        <v>29341</v>
      </c>
      <c r="I135" s="265">
        <f t="shared" si="12"/>
        <v>1980</v>
      </c>
      <c r="J135" s="641">
        <v>10</v>
      </c>
      <c r="K135" s="641" t="str">
        <f>VLOOKUP(J135,'Cost Escalators'!$C$313:$D$330,2,FALSE)</f>
        <v>Land</v>
      </c>
      <c r="L135" s="238" t="s">
        <v>613</v>
      </c>
      <c r="M135" s="384" t="s">
        <v>1506</v>
      </c>
      <c r="N135" s="246">
        <v>4042.14</v>
      </c>
      <c r="O135" s="267">
        <v>0</v>
      </c>
      <c r="P135" s="250">
        <f t="shared" si="13"/>
        <v>1980</v>
      </c>
      <c r="Q135" s="268">
        <f>IF(J135=10,1,IFERROR(INDEX('Cost Escalators'!$D$28:$D$92,MATCH($P$4,'Cost Escalators'!$B$28:$B$92,0))/INDEX('Cost Escalators'!$D$28:$D$92,MATCH(I135,'Cost Escalators'!$B$28:$B$92,0)),1))</f>
        <v>1</v>
      </c>
      <c r="R135" s="269">
        <f t="shared" si="14"/>
        <v>4042.14</v>
      </c>
      <c r="S135" s="269">
        <f t="shared" si="15"/>
        <v>4042.14</v>
      </c>
      <c r="T135" s="269">
        <f t="shared" si="16"/>
        <v>4042.14</v>
      </c>
      <c r="U135" s="242">
        <f t="shared" si="17"/>
        <v>0</v>
      </c>
    </row>
    <row r="136" spans="1:21" s="237" customFormat="1" x14ac:dyDescent="0.3">
      <c r="A136" s="237">
        <v>131</v>
      </c>
      <c r="B136" s="263">
        <v>0</v>
      </c>
      <c r="C136" s="263">
        <v>0</v>
      </c>
      <c r="D136" s="264">
        <v>0</v>
      </c>
      <c r="E136" s="381" t="s">
        <v>614</v>
      </c>
      <c r="F136" s="384" t="s">
        <v>364</v>
      </c>
      <c r="G136" s="384">
        <v>31</v>
      </c>
      <c r="H136" s="385">
        <v>34178</v>
      </c>
      <c r="I136" s="265">
        <f t="shared" si="12"/>
        <v>1993</v>
      </c>
      <c r="J136" s="641">
        <v>10</v>
      </c>
      <c r="K136" s="641" t="str">
        <f>VLOOKUP(J136,'Cost Escalators'!$C$313:$D$330,2,FALSE)</f>
        <v>Land</v>
      </c>
      <c r="L136" s="238" t="s">
        <v>615</v>
      </c>
      <c r="M136" s="384" t="s">
        <v>1506</v>
      </c>
      <c r="N136" s="246">
        <v>116077.3</v>
      </c>
      <c r="O136" s="267">
        <v>0</v>
      </c>
      <c r="P136" s="250">
        <f t="shared" si="13"/>
        <v>1993</v>
      </c>
      <c r="Q136" s="268">
        <f>IF(J136=10,1,IFERROR(INDEX('Cost Escalators'!$D$28:$D$92,MATCH($P$4,'Cost Escalators'!$B$28:$B$92,0))/INDEX('Cost Escalators'!$D$28:$D$92,MATCH(I136,'Cost Escalators'!$B$28:$B$92,0)),1))</f>
        <v>1</v>
      </c>
      <c r="R136" s="269">
        <f t="shared" si="14"/>
        <v>116077.3</v>
      </c>
      <c r="S136" s="269">
        <f t="shared" si="15"/>
        <v>116077.3</v>
      </c>
      <c r="T136" s="269">
        <f t="shared" si="16"/>
        <v>116077.3</v>
      </c>
      <c r="U136" s="242">
        <f t="shared" si="17"/>
        <v>0</v>
      </c>
    </row>
    <row r="137" spans="1:21" s="237" customFormat="1" x14ac:dyDescent="0.3">
      <c r="A137" s="237">
        <v>132</v>
      </c>
      <c r="B137" s="263">
        <v>0</v>
      </c>
      <c r="C137" s="263">
        <v>0</v>
      </c>
      <c r="D137" s="264">
        <v>0</v>
      </c>
      <c r="E137" s="383" t="s">
        <v>616</v>
      </c>
      <c r="F137" s="384" t="s">
        <v>364</v>
      </c>
      <c r="G137" s="384">
        <v>31</v>
      </c>
      <c r="H137" s="385">
        <v>36095</v>
      </c>
      <c r="I137" s="265">
        <f t="shared" si="12"/>
        <v>1998</v>
      </c>
      <c r="J137" s="641">
        <v>10</v>
      </c>
      <c r="K137" s="641" t="str">
        <f>VLOOKUP(J137,'Cost Escalators'!$C$313:$D$330,2,FALSE)</f>
        <v>Land</v>
      </c>
      <c r="L137" s="238" t="s">
        <v>617</v>
      </c>
      <c r="M137" s="384" t="s">
        <v>1506</v>
      </c>
      <c r="N137" s="246">
        <v>124534.59</v>
      </c>
      <c r="O137" s="267">
        <v>0</v>
      </c>
      <c r="P137" s="250">
        <f t="shared" si="13"/>
        <v>1998</v>
      </c>
      <c r="Q137" s="268">
        <f>IF(J137=10,1,IFERROR(INDEX('Cost Escalators'!$D$28:$D$92,MATCH($P$4,'Cost Escalators'!$B$28:$B$92,0))/INDEX('Cost Escalators'!$D$28:$D$92,MATCH(I137,'Cost Escalators'!$B$28:$B$92,0)),1))</f>
        <v>1</v>
      </c>
      <c r="R137" s="269">
        <f t="shared" si="14"/>
        <v>124534.59</v>
      </c>
      <c r="S137" s="269">
        <f t="shared" si="15"/>
        <v>124534.59</v>
      </c>
      <c r="T137" s="269">
        <f t="shared" si="16"/>
        <v>124534.59</v>
      </c>
      <c r="U137" s="242">
        <f t="shared" si="17"/>
        <v>0</v>
      </c>
    </row>
    <row r="138" spans="1:21" s="237" customFormat="1" x14ac:dyDescent="0.3">
      <c r="A138" s="237">
        <v>133</v>
      </c>
      <c r="B138" s="263">
        <v>0</v>
      </c>
      <c r="C138" s="263">
        <v>0</v>
      </c>
      <c r="D138" s="264">
        <v>0</v>
      </c>
      <c r="E138" s="381" t="s">
        <v>618</v>
      </c>
      <c r="F138" s="384" t="s">
        <v>364</v>
      </c>
      <c r="G138" s="384">
        <v>31</v>
      </c>
      <c r="H138" s="385">
        <v>32993</v>
      </c>
      <c r="I138" s="265">
        <f t="shared" si="12"/>
        <v>1990</v>
      </c>
      <c r="J138" s="641">
        <v>10</v>
      </c>
      <c r="K138" s="641" t="str">
        <f>VLOOKUP(J138,'Cost Escalators'!$C$313:$D$330,2,FALSE)</f>
        <v>Land</v>
      </c>
      <c r="L138" s="238" t="s">
        <v>619</v>
      </c>
      <c r="M138" s="384" t="s">
        <v>1506</v>
      </c>
      <c r="N138" s="246">
        <v>297600</v>
      </c>
      <c r="O138" s="267">
        <v>0</v>
      </c>
      <c r="P138" s="250">
        <f t="shared" si="13"/>
        <v>1990</v>
      </c>
      <c r="Q138" s="268">
        <f>IF(J138=10,1,IFERROR(INDEX('Cost Escalators'!$D$28:$D$92,MATCH($P$4,'Cost Escalators'!$B$28:$B$92,0))/INDEX('Cost Escalators'!$D$28:$D$92,MATCH(I138,'Cost Escalators'!$B$28:$B$92,0)),1))</f>
        <v>1</v>
      </c>
      <c r="R138" s="269">
        <f t="shared" si="14"/>
        <v>297600</v>
      </c>
      <c r="S138" s="269">
        <f t="shared" si="15"/>
        <v>297600</v>
      </c>
      <c r="T138" s="269">
        <f t="shared" si="16"/>
        <v>297600</v>
      </c>
      <c r="U138" s="242">
        <f t="shared" si="17"/>
        <v>0</v>
      </c>
    </row>
    <row r="139" spans="1:21" s="237" customFormat="1" x14ac:dyDescent="0.3">
      <c r="A139" s="237">
        <v>134</v>
      </c>
      <c r="B139" s="263">
        <v>0</v>
      </c>
      <c r="C139" s="263">
        <v>0</v>
      </c>
      <c r="D139" s="264">
        <v>0</v>
      </c>
      <c r="E139" s="381" t="s">
        <v>620</v>
      </c>
      <c r="F139" s="384" t="s">
        <v>364</v>
      </c>
      <c r="G139" s="384">
        <v>31</v>
      </c>
      <c r="H139" s="385">
        <v>32143</v>
      </c>
      <c r="I139" s="265">
        <f t="shared" si="12"/>
        <v>1988</v>
      </c>
      <c r="J139" s="641">
        <v>10</v>
      </c>
      <c r="K139" s="641" t="str">
        <f>VLOOKUP(J139,'Cost Escalators'!$C$313:$D$330,2,FALSE)</f>
        <v>Land</v>
      </c>
      <c r="L139" s="238" t="s">
        <v>621</v>
      </c>
      <c r="M139" s="384" t="s">
        <v>1506</v>
      </c>
      <c r="N139" s="246">
        <v>6720</v>
      </c>
      <c r="O139" s="267">
        <v>0</v>
      </c>
      <c r="P139" s="250">
        <f t="shared" si="13"/>
        <v>1988</v>
      </c>
      <c r="Q139" s="268">
        <f>IF(J139=10,1,IFERROR(INDEX('Cost Escalators'!$D$28:$D$92,MATCH($P$4,'Cost Escalators'!$B$28:$B$92,0))/INDEX('Cost Escalators'!$D$28:$D$92,MATCH(I139,'Cost Escalators'!$B$28:$B$92,0)),1))</f>
        <v>1</v>
      </c>
      <c r="R139" s="269">
        <f t="shared" si="14"/>
        <v>6720</v>
      </c>
      <c r="S139" s="269">
        <f t="shared" si="15"/>
        <v>6720</v>
      </c>
      <c r="T139" s="269">
        <f t="shared" si="16"/>
        <v>6720</v>
      </c>
      <c r="U139" s="242">
        <f t="shared" si="17"/>
        <v>0</v>
      </c>
    </row>
    <row r="140" spans="1:21" s="237" customFormat="1" x14ac:dyDescent="0.3">
      <c r="A140" s="237">
        <v>135</v>
      </c>
      <c r="B140" s="263">
        <v>0</v>
      </c>
      <c r="C140" s="263">
        <v>0</v>
      </c>
      <c r="D140" s="264">
        <v>0</v>
      </c>
      <c r="E140" s="383" t="s">
        <v>622</v>
      </c>
      <c r="F140" s="384" t="s">
        <v>364</v>
      </c>
      <c r="G140" s="384">
        <v>31</v>
      </c>
      <c r="H140" s="385">
        <v>34972</v>
      </c>
      <c r="I140" s="265">
        <f t="shared" si="12"/>
        <v>1995</v>
      </c>
      <c r="J140" s="641">
        <v>10</v>
      </c>
      <c r="K140" s="641" t="str">
        <f>VLOOKUP(J140,'Cost Escalators'!$C$313:$D$330,2,FALSE)</f>
        <v>Land</v>
      </c>
      <c r="L140" s="238" t="s">
        <v>623</v>
      </c>
      <c r="M140" s="384" t="s">
        <v>1506</v>
      </c>
      <c r="N140" s="246">
        <v>24000</v>
      </c>
      <c r="O140" s="267">
        <v>0</v>
      </c>
      <c r="P140" s="250">
        <f t="shared" si="13"/>
        <v>1995</v>
      </c>
      <c r="Q140" s="268">
        <f>IF(J140=10,1,IFERROR(INDEX('Cost Escalators'!$D$28:$D$92,MATCH($P$4,'Cost Escalators'!$B$28:$B$92,0))/INDEX('Cost Escalators'!$D$28:$D$92,MATCH(I140,'Cost Escalators'!$B$28:$B$92,0)),1))</f>
        <v>1</v>
      </c>
      <c r="R140" s="269">
        <f t="shared" si="14"/>
        <v>24000</v>
      </c>
      <c r="S140" s="269">
        <f t="shared" si="15"/>
        <v>24000</v>
      </c>
      <c r="T140" s="269">
        <f t="shared" si="16"/>
        <v>24000</v>
      </c>
      <c r="U140" s="242">
        <f t="shared" si="17"/>
        <v>0</v>
      </c>
    </row>
    <row r="141" spans="1:21" s="237" customFormat="1" x14ac:dyDescent="0.3">
      <c r="A141" s="237">
        <v>136</v>
      </c>
      <c r="B141" s="263">
        <v>0</v>
      </c>
      <c r="C141" s="263">
        <v>0</v>
      </c>
      <c r="D141" s="264">
        <v>0</v>
      </c>
      <c r="E141" s="383" t="s">
        <v>624</v>
      </c>
      <c r="F141" s="384" t="s">
        <v>364</v>
      </c>
      <c r="G141" s="384">
        <v>31</v>
      </c>
      <c r="H141" s="385">
        <v>36433</v>
      </c>
      <c r="I141" s="265">
        <f t="shared" si="12"/>
        <v>1999</v>
      </c>
      <c r="J141" s="641">
        <v>10</v>
      </c>
      <c r="K141" s="641" t="str">
        <f>VLOOKUP(J141,'Cost Escalators'!$C$313:$D$330,2,FALSE)</f>
        <v>Land</v>
      </c>
      <c r="L141" s="238" t="s">
        <v>625</v>
      </c>
      <c r="M141" s="384" t="s">
        <v>1506</v>
      </c>
      <c r="N141" s="246">
        <v>7640.33</v>
      </c>
      <c r="O141" s="267">
        <v>0</v>
      </c>
      <c r="P141" s="250">
        <f t="shared" si="13"/>
        <v>1999</v>
      </c>
      <c r="Q141" s="268">
        <f>IF(J141=10,1,IFERROR(INDEX('Cost Escalators'!$D$28:$D$92,MATCH($P$4,'Cost Escalators'!$B$28:$B$92,0))/INDEX('Cost Escalators'!$D$28:$D$92,MATCH(I141,'Cost Escalators'!$B$28:$B$92,0)),1))</f>
        <v>1</v>
      </c>
      <c r="R141" s="269">
        <f t="shared" si="14"/>
        <v>7640.33</v>
      </c>
      <c r="S141" s="269">
        <f t="shared" si="15"/>
        <v>7640.33</v>
      </c>
      <c r="T141" s="269">
        <f t="shared" si="16"/>
        <v>7640.33</v>
      </c>
      <c r="U141" s="242">
        <f t="shared" si="17"/>
        <v>0</v>
      </c>
    </row>
    <row r="142" spans="1:21" s="237" customFormat="1" x14ac:dyDescent="0.3">
      <c r="A142" s="237">
        <v>137</v>
      </c>
      <c r="B142" s="263">
        <v>0</v>
      </c>
      <c r="C142" s="263">
        <v>0</v>
      </c>
      <c r="D142" s="264">
        <v>0</v>
      </c>
      <c r="E142" s="383" t="s">
        <v>626</v>
      </c>
      <c r="F142" s="384" t="s">
        <v>364</v>
      </c>
      <c r="G142" s="384">
        <v>31</v>
      </c>
      <c r="H142" s="385">
        <v>37846</v>
      </c>
      <c r="I142" s="265">
        <f t="shared" si="12"/>
        <v>2003</v>
      </c>
      <c r="J142" s="641">
        <v>10</v>
      </c>
      <c r="K142" s="641" t="str">
        <f>VLOOKUP(J142,'Cost Escalators'!$C$313:$D$330,2,FALSE)</f>
        <v>Land</v>
      </c>
      <c r="L142" s="238" t="s">
        <v>627</v>
      </c>
      <c r="M142" s="384" t="s">
        <v>1506</v>
      </c>
      <c r="N142" s="246">
        <v>1084944.5</v>
      </c>
      <c r="O142" s="267">
        <v>0</v>
      </c>
      <c r="P142" s="250">
        <f t="shared" si="13"/>
        <v>2003</v>
      </c>
      <c r="Q142" s="268">
        <f>IF(J142=10,1,IFERROR(INDEX('Cost Escalators'!$D$28:$D$92,MATCH($P$4,'Cost Escalators'!$B$28:$B$92,0))/INDEX('Cost Escalators'!$D$28:$D$92,MATCH(I142,'Cost Escalators'!$B$28:$B$92,0)),1))</f>
        <v>1</v>
      </c>
      <c r="R142" s="269">
        <f t="shared" si="14"/>
        <v>1084944.5</v>
      </c>
      <c r="S142" s="269">
        <f t="shared" si="15"/>
        <v>1084944.5</v>
      </c>
      <c r="T142" s="269">
        <f t="shared" si="16"/>
        <v>1084944.5</v>
      </c>
      <c r="U142" s="242">
        <f t="shared" si="17"/>
        <v>0</v>
      </c>
    </row>
    <row r="143" spans="1:21" s="237" customFormat="1" x14ac:dyDescent="0.3">
      <c r="A143" s="237">
        <v>138</v>
      </c>
      <c r="B143" s="263">
        <v>0</v>
      </c>
      <c r="C143" s="263">
        <v>0</v>
      </c>
      <c r="D143" s="264">
        <v>0</v>
      </c>
      <c r="E143" s="383" t="s">
        <v>628</v>
      </c>
      <c r="F143" s="384" t="s">
        <v>364</v>
      </c>
      <c r="G143" s="384">
        <v>31</v>
      </c>
      <c r="H143" s="385">
        <v>37894</v>
      </c>
      <c r="I143" s="265">
        <f t="shared" si="12"/>
        <v>2003</v>
      </c>
      <c r="J143" s="641">
        <v>10</v>
      </c>
      <c r="K143" s="641" t="str">
        <f>VLOOKUP(J143,'Cost Escalators'!$C$313:$D$330,2,FALSE)</f>
        <v>Land</v>
      </c>
      <c r="L143" s="238" t="s">
        <v>629</v>
      </c>
      <c r="M143" s="384" t="s">
        <v>1506</v>
      </c>
      <c r="N143" s="246">
        <v>235475.66</v>
      </c>
      <c r="O143" s="267">
        <v>0</v>
      </c>
      <c r="P143" s="250">
        <f t="shared" si="13"/>
        <v>2003</v>
      </c>
      <c r="Q143" s="268">
        <f>IF(J143=10,1,IFERROR(INDEX('Cost Escalators'!$D$28:$D$92,MATCH($P$4,'Cost Escalators'!$B$28:$B$92,0))/INDEX('Cost Escalators'!$D$28:$D$92,MATCH(I143,'Cost Escalators'!$B$28:$B$92,0)),1))</f>
        <v>1</v>
      </c>
      <c r="R143" s="269">
        <f t="shared" si="14"/>
        <v>235475.66</v>
      </c>
      <c r="S143" s="269">
        <f t="shared" si="15"/>
        <v>235475.66</v>
      </c>
      <c r="T143" s="269">
        <f t="shared" si="16"/>
        <v>235475.66</v>
      </c>
      <c r="U143" s="242">
        <f t="shared" si="17"/>
        <v>0</v>
      </c>
    </row>
    <row r="144" spans="1:21" s="237" customFormat="1" x14ac:dyDescent="0.3">
      <c r="A144" s="237">
        <v>139</v>
      </c>
      <c r="B144" s="263">
        <v>0</v>
      </c>
      <c r="C144" s="263">
        <v>0</v>
      </c>
      <c r="D144" s="264">
        <v>0</v>
      </c>
      <c r="E144" s="383" t="s">
        <v>628</v>
      </c>
      <c r="F144" s="384" t="s">
        <v>364</v>
      </c>
      <c r="G144" s="384">
        <v>31</v>
      </c>
      <c r="H144" s="385">
        <v>39355</v>
      </c>
      <c r="I144" s="265">
        <f t="shared" si="12"/>
        <v>2007</v>
      </c>
      <c r="J144" s="641">
        <v>10</v>
      </c>
      <c r="K144" s="641" t="str">
        <f>VLOOKUP(J144,'Cost Escalators'!$C$313:$D$330,2,FALSE)</f>
        <v>Land</v>
      </c>
      <c r="L144" s="238" t="s">
        <v>630</v>
      </c>
      <c r="M144" s="384" t="s">
        <v>1506</v>
      </c>
      <c r="N144" s="246">
        <v>3182.64</v>
      </c>
      <c r="O144" s="267">
        <v>0</v>
      </c>
      <c r="P144" s="250">
        <f t="shared" si="13"/>
        <v>2007</v>
      </c>
      <c r="Q144" s="268">
        <f>IF(J144=10,1,IFERROR(INDEX('Cost Escalators'!$D$28:$D$92,MATCH($P$4,'Cost Escalators'!$B$28:$B$92,0))/INDEX('Cost Escalators'!$D$28:$D$92,MATCH(I144,'Cost Escalators'!$B$28:$B$92,0)),1))</f>
        <v>1</v>
      </c>
      <c r="R144" s="269">
        <f t="shared" si="14"/>
        <v>3182.64</v>
      </c>
      <c r="S144" s="269">
        <f t="shared" si="15"/>
        <v>3182.64</v>
      </c>
      <c r="T144" s="269">
        <f t="shared" si="16"/>
        <v>3182.64</v>
      </c>
      <c r="U144" s="242">
        <f t="shared" si="17"/>
        <v>0</v>
      </c>
    </row>
    <row r="145" spans="1:21" s="237" customFormat="1" x14ac:dyDescent="0.3">
      <c r="A145" s="237">
        <v>140</v>
      </c>
      <c r="B145" s="263">
        <v>0</v>
      </c>
      <c r="C145" s="263">
        <v>0</v>
      </c>
      <c r="D145" s="264">
        <v>0</v>
      </c>
      <c r="E145" s="383" t="s">
        <v>631</v>
      </c>
      <c r="F145" s="384" t="s">
        <v>364</v>
      </c>
      <c r="G145" s="384">
        <v>31</v>
      </c>
      <c r="H145" s="385">
        <v>37894</v>
      </c>
      <c r="I145" s="265">
        <f t="shared" si="12"/>
        <v>2003</v>
      </c>
      <c r="J145" s="641">
        <v>10</v>
      </c>
      <c r="K145" s="641" t="str">
        <f>VLOOKUP(J145,'Cost Escalators'!$C$313:$D$330,2,FALSE)</f>
        <v>Land</v>
      </c>
      <c r="L145" s="238" t="s">
        <v>632</v>
      </c>
      <c r="M145" s="384" t="s">
        <v>1506</v>
      </c>
      <c r="N145" s="246">
        <v>128649.18</v>
      </c>
      <c r="O145" s="267">
        <v>0</v>
      </c>
      <c r="P145" s="250">
        <f t="shared" si="13"/>
        <v>2003</v>
      </c>
      <c r="Q145" s="268">
        <f>IF(J145=10,1,IFERROR(INDEX('Cost Escalators'!$D$28:$D$92,MATCH($P$4,'Cost Escalators'!$B$28:$B$92,0))/INDEX('Cost Escalators'!$D$28:$D$92,MATCH(I145,'Cost Escalators'!$B$28:$B$92,0)),1))</f>
        <v>1</v>
      </c>
      <c r="R145" s="269">
        <f t="shared" si="14"/>
        <v>128649.18</v>
      </c>
      <c r="S145" s="269">
        <f t="shared" si="15"/>
        <v>128649.18</v>
      </c>
      <c r="T145" s="269">
        <f t="shared" si="16"/>
        <v>128649.18</v>
      </c>
      <c r="U145" s="242">
        <f t="shared" si="17"/>
        <v>0</v>
      </c>
    </row>
    <row r="146" spans="1:21" s="237" customFormat="1" x14ac:dyDescent="0.3">
      <c r="A146" s="237">
        <v>141</v>
      </c>
      <c r="B146" s="263">
        <v>0</v>
      </c>
      <c r="C146" s="263">
        <v>0</v>
      </c>
      <c r="D146" s="264">
        <v>0</v>
      </c>
      <c r="E146" s="383" t="s">
        <v>633</v>
      </c>
      <c r="F146" s="384" t="s">
        <v>364</v>
      </c>
      <c r="G146" s="384">
        <v>31</v>
      </c>
      <c r="H146" s="385">
        <v>37894</v>
      </c>
      <c r="I146" s="265">
        <f t="shared" si="12"/>
        <v>2003</v>
      </c>
      <c r="J146" s="641">
        <v>10</v>
      </c>
      <c r="K146" s="641" t="str">
        <f>VLOOKUP(J146,'Cost Escalators'!$C$313:$D$330,2,FALSE)</f>
        <v>Land</v>
      </c>
      <c r="L146" s="238" t="s">
        <v>634</v>
      </c>
      <c r="M146" s="384" t="s">
        <v>1506</v>
      </c>
      <c r="N146" s="246">
        <v>222120.85</v>
      </c>
      <c r="O146" s="267">
        <v>0</v>
      </c>
      <c r="P146" s="250">
        <f t="shared" si="13"/>
        <v>2003</v>
      </c>
      <c r="Q146" s="268">
        <f>IF(J146=10,1,IFERROR(INDEX('Cost Escalators'!$D$28:$D$92,MATCH($P$4,'Cost Escalators'!$B$28:$B$92,0))/INDEX('Cost Escalators'!$D$28:$D$92,MATCH(I146,'Cost Escalators'!$B$28:$B$92,0)),1))</f>
        <v>1</v>
      </c>
      <c r="R146" s="269">
        <f t="shared" si="14"/>
        <v>222120.85</v>
      </c>
      <c r="S146" s="269">
        <f t="shared" si="15"/>
        <v>222120.85</v>
      </c>
      <c r="T146" s="269">
        <f t="shared" si="16"/>
        <v>222120.85</v>
      </c>
      <c r="U146" s="242">
        <f t="shared" si="17"/>
        <v>0</v>
      </c>
    </row>
    <row r="147" spans="1:21" s="237" customFormat="1" x14ac:dyDescent="0.3">
      <c r="A147" s="237">
        <v>142</v>
      </c>
      <c r="B147" s="263">
        <v>0</v>
      </c>
      <c r="C147" s="263">
        <v>0</v>
      </c>
      <c r="D147" s="264">
        <v>0</v>
      </c>
      <c r="E147" s="383" t="s">
        <v>635</v>
      </c>
      <c r="F147" s="384" t="s">
        <v>364</v>
      </c>
      <c r="G147" s="384">
        <v>31</v>
      </c>
      <c r="H147" s="385">
        <v>37894</v>
      </c>
      <c r="I147" s="265">
        <f t="shared" si="12"/>
        <v>2003</v>
      </c>
      <c r="J147" s="641">
        <v>10</v>
      </c>
      <c r="K147" s="641" t="str">
        <f>VLOOKUP(J147,'Cost Escalators'!$C$313:$D$330,2,FALSE)</f>
        <v>Land</v>
      </c>
      <c r="L147" s="238" t="s">
        <v>636</v>
      </c>
      <c r="M147" s="384" t="s">
        <v>1506</v>
      </c>
      <c r="N147" s="246">
        <v>405043.9</v>
      </c>
      <c r="O147" s="267">
        <v>0</v>
      </c>
      <c r="P147" s="250">
        <f t="shared" si="13"/>
        <v>2003</v>
      </c>
      <c r="Q147" s="268">
        <f>IF(J147=10,1,IFERROR(INDEX('Cost Escalators'!$D$28:$D$92,MATCH($P$4,'Cost Escalators'!$B$28:$B$92,0))/INDEX('Cost Escalators'!$D$28:$D$92,MATCH(I147,'Cost Escalators'!$B$28:$B$92,0)),1))</f>
        <v>1</v>
      </c>
      <c r="R147" s="269">
        <f t="shared" si="14"/>
        <v>405043.9</v>
      </c>
      <c r="S147" s="269">
        <f t="shared" si="15"/>
        <v>405043.9</v>
      </c>
      <c r="T147" s="269">
        <f t="shared" si="16"/>
        <v>405043.9</v>
      </c>
      <c r="U147" s="242">
        <f t="shared" si="17"/>
        <v>0</v>
      </c>
    </row>
    <row r="148" spans="1:21" s="237" customFormat="1" x14ac:dyDescent="0.3">
      <c r="A148" s="237">
        <v>143</v>
      </c>
      <c r="B148" s="263">
        <v>0</v>
      </c>
      <c r="C148" s="263">
        <v>0</v>
      </c>
      <c r="D148" s="264">
        <v>0</v>
      </c>
      <c r="E148" s="383" t="s">
        <v>637</v>
      </c>
      <c r="F148" s="384" t="s">
        <v>364</v>
      </c>
      <c r="G148" s="384">
        <v>31</v>
      </c>
      <c r="H148" s="385">
        <v>37894</v>
      </c>
      <c r="I148" s="265">
        <f t="shared" si="12"/>
        <v>2003</v>
      </c>
      <c r="J148" s="641">
        <v>10</v>
      </c>
      <c r="K148" s="641" t="str">
        <f>VLOOKUP(J148,'Cost Escalators'!$C$313:$D$330,2,FALSE)</f>
        <v>Land</v>
      </c>
      <c r="L148" s="238" t="s">
        <v>638</v>
      </c>
      <c r="M148" s="384" t="s">
        <v>1506</v>
      </c>
      <c r="N148" s="246">
        <v>73370.23</v>
      </c>
      <c r="O148" s="267">
        <v>0</v>
      </c>
      <c r="P148" s="250">
        <f t="shared" si="13"/>
        <v>2003</v>
      </c>
      <c r="Q148" s="268">
        <f>IF(J148=10,1,IFERROR(INDEX('Cost Escalators'!$D$28:$D$92,MATCH($P$4,'Cost Escalators'!$B$28:$B$92,0))/INDEX('Cost Escalators'!$D$28:$D$92,MATCH(I148,'Cost Escalators'!$B$28:$B$92,0)),1))</f>
        <v>1</v>
      </c>
      <c r="R148" s="269">
        <f t="shared" si="14"/>
        <v>73370.23</v>
      </c>
      <c r="S148" s="269">
        <f t="shared" si="15"/>
        <v>73370.23</v>
      </c>
      <c r="T148" s="269">
        <f t="shared" si="16"/>
        <v>73370.23</v>
      </c>
      <c r="U148" s="242">
        <f t="shared" si="17"/>
        <v>0</v>
      </c>
    </row>
    <row r="149" spans="1:21" s="237" customFormat="1" x14ac:dyDescent="0.3">
      <c r="A149" s="237">
        <v>144</v>
      </c>
      <c r="B149" s="263">
        <v>0</v>
      </c>
      <c r="C149" s="263">
        <v>0</v>
      </c>
      <c r="D149" s="264">
        <v>0</v>
      </c>
      <c r="E149" s="383" t="s">
        <v>639</v>
      </c>
      <c r="F149" s="384" t="s">
        <v>364</v>
      </c>
      <c r="G149" s="384">
        <v>31</v>
      </c>
      <c r="H149" s="385">
        <v>37894</v>
      </c>
      <c r="I149" s="265">
        <f t="shared" si="12"/>
        <v>2003</v>
      </c>
      <c r="J149" s="641">
        <v>10</v>
      </c>
      <c r="K149" s="641" t="str">
        <f>VLOOKUP(J149,'Cost Escalators'!$C$313:$D$330,2,FALSE)</f>
        <v>Land</v>
      </c>
      <c r="L149" s="238" t="s">
        <v>640</v>
      </c>
      <c r="M149" s="384" t="s">
        <v>1506</v>
      </c>
      <c r="N149" s="246">
        <v>115583.25</v>
      </c>
      <c r="O149" s="267">
        <v>0</v>
      </c>
      <c r="P149" s="250">
        <f t="shared" si="13"/>
        <v>2003</v>
      </c>
      <c r="Q149" s="268">
        <f>IF(J149=10,1,IFERROR(INDEX('Cost Escalators'!$D$28:$D$92,MATCH($P$4,'Cost Escalators'!$B$28:$B$92,0))/INDEX('Cost Escalators'!$D$28:$D$92,MATCH(I149,'Cost Escalators'!$B$28:$B$92,0)),1))</f>
        <v>1</v>
      </c>
      <c r="R149" s="269">
        <f t="shared" si="14"/>
        <v>115583.25</v>
      </c>
      <c r="S149" s="269">
        <f t="shared" si="15"/>
        <v>115583.25</v>
      </c>
      <c r="T149" s="269">
        <f t="shared" si="16"/>
        <v>115583.25</v>
      </c>
      <c r="U149" s="242">
        <f t="shared" si="17"/>
        <v>0</v>
      </c>
    </row>
    <row r="150" spans="1:21" s="237" customFormat="1" x14ac:dyDescent="0.3">
      <c r="A150" s="237">
        <v>145</v>
      </c>
      <c r="B150" s="263">
        <v>0</v>
      </c>
      <c r="C150" s="263">
        <v>0</v>
      </c>
      <c r="D150" s="264">
        <v>0</v>
      </c>
      <c r="E150" s="383" t="s">
        <v>641</v>
      </c>
      <c r="F150" s="384" t="s">
        <v>364</v>
      </c>
      <c r="G150" s="384">
        <v>31</v>
      </c>
      <c r="H150" s="385">
        <v>37894</v>
      </c>
      <c r="I150" s="265">
        <f t="shared" si="12"/>
        <v>2003</v>
      </c>
      <c r="J150" s="641">
        <v>10</v>
      </c>
      <c r="K150" s="641" t="str">
        <f>VLOOKUP(J150,'Cost Escalators'!$C$313:$D$330,2,FALSE)</f>
        <v>Land</v>
      </c>
      <c r="L150" s="238" t="s">
        <v>642</v>
      </c>
      <c r="M150" s="384" t="s">
        <v>1506</v>
      </c>
      <c r="N150" s="246">
        <v>210059.99</v>
      </c>
      <c r="O150" s="267">
        <v>0</v>
      </c>
      <c r="P150" s="250">
        <f t="shared" si="13"/>
        <v>2003</v>
      </c>
      <c r="Q150" s="268">
        <f>IF(J150=10,1,IFERROR(INDEX('Cost Escalators'!$D$28:$D$92,MATCH($P$4,'Cost Escalators'!$B$28:$B$92,0))/INDEX('Cost Escalators'!$D$28:$D$92,MATCH(I150,'Cost Escalators'!$B$28:$B$92,0)),1))</f>
        <v>1</v>
      </c>
      <c r="R150" s="269">
        <f t="shared" si="14"/>
        <v>210059.99</v>
      </c>
      <c r="S150" s="269">
        <f t="shared" si="15"/>
        <v>210059.99</v>
      </c>
      <c r="T150" s="269">
        <f t="shared" si="16"/>
        <v>210059.99</v>
      </c>
      <c r="U150" s="242">
        <f t="shared" si="17"/>
        <v>0</v>
      </c>
    </row>
    <row r="151" spans="1:21" s="237" customFormat="1" x14ac:dyDescent="0.3">
      <c r="A151" s="237">
        <v>146</v>
      </c>
      <c r="B151" s="263">
        <v>0</v>
      </c>
      <c r="C151" s="263">
        <v>0</v>
      </c>
      <c r="D151" s="264">
        <v>0</v>
      </c>
      <c r="E151" s="383" t="s">
        <v>643</v>
      </c>
      <c r="F151" s="384" t="s">
        <v>364</v>
      </c>
      <c r="G151" s="384">
        <v>31</v>
      </c>
      <c r="H151" s="385">
        <v>37894</v>
      </c>
      <c r="I151" s="265">
        <f t="shared" si="12"/>
        <v>2003</v>
      </c>
      <c r="J151" s="641">
        <v>10</v>
      </c>
      <c r="K151" s="641" t="str">
        <f>VLOOKUP(J151,'Cost Escalators'!$C$313:$D$330,2,FALSE)</f>
        <v>Land</v>
      </c>
      <c r="L151" s="238" t="s">
        <v>644</v>
      </c>
      <c r="M151" s="384" t="s">
        <v>1506</v>
      </c>
      <c r="N151" s="246">
        <v>211065.06</v>
      </c>
      <c r="O151" s="267">
        <v>0</v>
      </c>
      <c r="P151" s="250">
        <f t="shared" si="13"/>
        <v>2003</v>
      </c>
      <c r="Q151" s="268">
        <f>IF(J151=10,1,IFERROR(INDEX('Cost Escalators'!$D$28:$D$92,MATCH($P$4,'Cost Escalators'!$B$28:$B$92,0))/INDEX('Cost Escalators'!$D$28:$D$92,MATCH(I151,'Cost Escalators'!$B$28:$B$92,0)),1))</f>
        <v>1</v>
      </c>
      <c r="R151" s="269">
        <f t="shared" si="14"/>
        <v>211065.06</v>
      </c>
      <c r="S151" s="269">
        <f t="shared" si="15"/>
        <v>211065.06</v>
      </c>
      <c r="T151" s="269">
        <f t="shared" si="16"/>
        <v>211065.06</v>
      </c>
      <c r="U151" s="242">
        <f t="shared" si="17"/>
        <v>0</v>
      </c>
    </row>
    <row r="152" spans="1:21" s="237" customFormat="1" x14ac:dyDescent="0.3">
      <c r="A152" s="237">
        <v>147</v>
      </c>
      <c r="B152" s="263">
        <v>0</v>
      </c>
      <c r="C152" s="263">
        <v>0</v>
      </c>
      <c r="D152" s="264">
        <v>0</v>
      </c>
      <c r="E152" s="383" t="s">
        <v>645</v>
      </c>
      <c r="F152" s="384" t="s">
        <v>364</v>
      </c>
      <c r="G152" s="384">
        <v>31</v>
      </c>
      <c r="H152" s="385">
        <v>37894</v>
      </c>
      <c r="I152" s="265">
        <f t="shared" si="12"/>
        <v>2003</v>
      </c>
      <c r="J152" s="641">
        <v>10</v>
      </c>
      <c r="K152" s="641" t="str">
        <f>VLOOKUP(J152,'Cost Escalators'!$C$313:$D$330,2,FALSE)</f>
        <v>Land</v>
      </c>
      <c r="L152" s="238" t="s">
        <v>646</v>
      </c>
      <c r="M152" s="384" t="s">
        <v>1506</v>
      </c>
      <c r="N152" s="246">
        <v>233176.63</v>
      </c>
      <c r="O152" s="267">
        <v>0</v>
      </c>
      <c r="P152" s="250">
        <f t="shared" si="13"/>
        <v>2003</v>
      </c>
      <c r="Q152" s="268">
        <f>IF(J152=10,1,IFERROR(INDEX('Cost Escalators'!$D$28:$D$92,MATCH($P$4,'Cost Escalators'!$B$28:$B$92,0))/INDEX('Cost Escalators'!$D$28:$D$92,MATCH(I152,'Cost Escalators'!$B$28:$B$92,0)),1))</f>
        <v>1</v>
      </c>
      <c r="R152" s="269">
        <f t="shared" si="14"/>
        <v>233176.63</v>
      </c>
      <c r="S152" s="269">
        <f t="shared" si="15"/>
        <v>233176.63</v>
      </c>
      <c r="T152" s="269">
        <f t="shared" si="16"/>
        <v>233176.63</v>
      </c>
      <c r="U152" s="242">
        <f t="shared" si="17"/>
        <v>0</v>
      </c>
    </row>
    <row r="153" spans="1:21" s="237" customFormat="1" x14ac:dyDescent="0.3">
      <c r="A153" s="237">
        <v>148</v>
      </c>
      <c r="B153" s="263">
        <v>0</v>
      </c>
      <c r="C153" s="263">
        <v>0</v>
      </c>
      <c r="D153" s="264">
        <v>0</v>
      </c>
      <c r="E153" s="383" t="s">
        <v>647</v>
      </c>
      <c r="F153" s="384" t="s">
        <v>364</v>
      </c>
      <c r="G153" s="384">
        <v>31</v>
      </c>
      <c r="H153" s="385">
        <v>37894</v>
      </c>
      <c r="I153" s="265">
        <f t="shared" si="12"/>
        <v>2003</v>
      </c>
      <c r="J153" s="641">
        <v>10</v>
      </c>
      <c r="K153" s="641" t="str">
        <f>VLOOKUP(J153,'Cost Escalators'!$C$313:$D$330,2,FALSE)</f>
        <v>Land</v>
      </c>
      <c r="L153" s="238" t="s">
        <v>648</v>
      </c>
      <c r="M153" s="384" t="s">
        <v>1506</v>
      </c>
      <c r="N153" s="246">
        <v>153775.97</v>
      </c>
      <c r="O153" s="267">
        <v>0</v>
      </c>
      <c r="P153" s="250">
        <f t="shared" si="13"/>
        <v>2003</v>
      </c>
      <c r="Q153" s="268">
        <f>IF(J153=10,1,IFERROR(INDEX('Cost Escalators'!$D$28:$D$92,MATCH($P$4,'Cost Escalators'!$B$28:$B$92,0))/INDEX('Cost Escalators'!$D$28:$D$92,MATCH(I153,'Cost Escalators'!$B$28:$B$92,0)),1))</f>
        <v>1</v>
      </c>
      <c r="R153" s="269">
        <f t="shared" si="14"/>
        <v>153775.97</v>
      </c>
      <c r="S153" s="269">
        <f t="shared" si="15"/>
        <v>153775.97</v>
      </c>
      <c r="T153" s="269">
        <f t="shared" si="16"/>
        <v>153775.97</v>
      </c>
      <c r="U153" s="242">
        <f t="shared" si="17"/>
        <v>0</v>
      </c>
    </row>
    <row r="154" spans="1:21" s="237" customFormat="1" x14ac:dyDescent="0.3">
      <c r="A154" s="237">
        <v>149</v>
      </c>
      <c r="B154" s="263">
        <v>0</v>
      </c>
      <c r="C154" s="263">
        <v>0</v>
      </c>
      <c r="D154" s="264">
        <v>0</v>
      </c>
      <c r="E154" s="383" t="s">
        <v>649</v>
      </c>
      <c r="F154" s="384" t="s">
        <v>364</v>
      </c>
      <c r="G154" s="384">
        <v>31</v>
      </c>
      <c r="H154" s="385">
        <v>37894</v>
      </c>
      <c r="I154" s="265">
        <f t="shared" si="12"/>
        <v>2003</v>
      </c>
      <c r="J154" s="641">
        <v>10</v>
      </c>
      <c r="K154" s="641" t="str">
        <f>VLOOKUP(J154,'Cost Escalators'!$C$313:$D$330,2,FALSE)</f>
        <v>Land</v>
      </c>
      <c r="L154" s="238" t="s">
        <v>650</v>
      </c>
      <c r="M154" s="384" t="s">
        <v>1506</v>
      </c>
      <c r="N154" s="246">
        <v>104527.46</v>
      </c>
      <c r="O154" s="267">
        <v>0</v>
      </c>
      <c r="P154" s="250">
        <f t="shared" si="13"/>
        <v>2003</v>
      </c>
      <c r="Q154" s="268">
        <f>IF(J154=10,1,IFERROR(INDEX('Cost Escalators'!$D$28:$D$92,MATCH($P$4,'Cost Escalators'!$B$28:$B$92,0))/INDEX('Cost Escalators'!$D$28:$D$92,MATCH(I154,'Cost Escalators'!$B$28:$B$92,0)),1))</f>
        <v>1</v>
      </c>
      <c r="R154" s="269">
        <f t="shared" si="14"/>
        <v>104527.46</v>
      </c>
      <c r="S154" s="269">
        <f t="shared" si="15"/>
        <v>104527.46</v>
      </c>
      <c r="T154" s="269">
        <f t="shared" si="16"/>
        <v>104527.46</v>
      </c>
      <c r="U154" s="242">
        <f t="shared" si="17"/>
        <v>0</v>
      </c>
    </row>
    <row r="155" spans="1:21" s="237" customFormat="1" x14ac:dyDescent="0.3">
      <c r="A155" s="237">
        <v>150</v>
      </c>
      <c r="B155" s="263">
        <v>0</v>
      </c>
      <c r="C155" s="263">
        <v>0</v>
      </c>
      <c r="D155" s="264">
        <v>0</v>
      </c>
      <c r="E155" s="383" t="s">
        <v>651</v>
      </c>
      <c r="F155" s="384" t="s">
        <v>364</v>
      </c>
      <c r="G155" s="384">
        <v>31</v>
      </c>
      <c r="H155" s="385">
        <v>37894</v>
      </c>
      <c r="I155" s="265">
        <f t="shared" si="12"/>
        <v>2003</v>
      </c>
      <c r="J155" s="641">
        <v>10</v>
      </c>
      <c r="K155" s="641" t="str">
        <f>VLOOKUP(J155,'Cost Escalators'!$C$313:$D$330,2,FALSE)</f>
        <v>Land</v>
      </c>
      <c r="L155" s="238" t="s">
        <v>652</v>
      </c>
      <c r="M155" s="384" t="s">
        <v>1506</v>
      </c>
      <c r="N155" s="246">
        <v>181917.98</v>
      </c>
      <c r="O155" s="267">
        <v>0</v>
      </c>
      <c r="P155" s="250">
        <f t="shared" si="13"/>
        <v>2003</v>
      </c>
      <c r="Q155" s="268">
        <f>IF(J155=10,1,IFERROR(INDEX('Cost Escalators'!$D$28:$D$92,MATCH($P$4,'Cost Escalators'!$B$28:$B$92,0))/INDEX('Cost Escalators'!$D$28:$D$92,MATCH(I155,'Cost Escalators'!$B$28:$B$92,0)),1))</f>
        <v>1</v>
      </c>
      <c r="R155" s="269">
        <f t="shared" si="14"/>
        <v>181917.98</v>
      </c>
      <c r="S155" s="269">
        <f t="shared" si="15"/>
        <v>181917.98</v>
      </c>
      <c r="T155" s="269">
        <f t="shared" si="16"/>
        <v>181917.98</v>
      </c>
      <c r="U155" s="242">
        <f t="shared" si="17"/>
        <v>0</v>
      </c>
    </row>
    <row r="156" spans="1:21" s="237" customFormat="1" x14ac:dyDescent="0.3">
      <c r="A156" s="237">
        <v>151</v>
      </c>
      <c r="B156" s="263">
        <v>0</v>
      </c>
      <c r="C156" s="263">
        <v>0</v>
      </c>
      <c r="D156" s="264">
        <v>0</v>
      </c>
      <c r="E156" s="383" t="s">
        <v>653</v>
      </c>
      <c r="F156" s="384" t="s">
        <v>364</v>
      </c>
      <c r="G156" s="384">
        <v>31</v>
      </c>
      <c r="H156" s="385">
        <v>37894</v>
      </c>
      <c r="I156" s="265">
        <f t="shared" si="12"/>
        <v>2003</v>
      </c>
      <c r="J156" s="641">
        <v>10</v>
      </c>
      <c r="K156" s="641" t="str">
        <f>VLOOKUP(J156,'Cost Escalators'!$C$313:$D$330,2,FALSE)</f>
        <v>Land</v>
      </c>
      <c r="L156" s="238" t="s">
        <v>654</v>
      </c>
      <c r="M156" s="384" t="s">
        <v>1506</v>
      </c>
      <c r="N156" s="246">
        <v>75380.38</v>
      </c>
      <c r="O156" s="267">
        <v>0</v>
      </c>
      <c r="P156" s="250">
        <f t="shared" si="13"/>
        <v>2003</v>
      </c>
      <c r="Q156" s="268">
        <f>IF(J156=10,1,IFERROR(INDEX('Cost Escalators'!$D$28:$D$92,MATCH($P$4,'Cost Escalators'!$B$28:$B$92,0))/INDEX('Cost Escalators'!$D$28:$D$92,MATCH(I156,'Cost Escalators'!$B$28:$B$92,0)),1))</f>
        <v>1</v>
      </c>
      <c r="R156" s="269">
        <f t="shared" si="14"/>
        <v>75380.38</v>
      </c>
      <c r="S156" s="269">
        <f t="shared" si="15"/>
        <v>75380.38</v>
      </c>
      <c r="T156" s="269">
        <f t="shared" si="16"/>
        <v>75380.38</v>
      </c>
      <c r="U156" s="242">
        <f t="shared" si="17"/>
        <v>0</v>
      </c>
    </row>
    <row r="157" spans="1:21" s="237" customFormat="1" x14ac:dyDescent="0.3">
      <c r="A157" s="237">
        <v>152</v>
      </c>
      <c r="B157" s="263">
        <v>0</v>
      </c>
      <c r="C157" s="263">
        <v>0</v>
      </c>
      <c r="D157" s="264">
        <v>0</v>
      </c>
      <c r="E157" s="383" t="s">
        <v>655</v>
      </c>
      <c r="F157" s="384" t="s">
        <v>364</v>
      </c>
      <c r="G157" s="384">
        <v>31</v>
      </c>
      <c r="H157" s="385">
        <v>37894</v>
      </c>
      <c r="I157" s="265">
        <f t="shared" si="12"/>
        <v>2003</v>
      </c>
      <c r="J157" s="641">
        <v>10</v>
      </c>
      <c r="K157" s="641" t="str">
        <f>VLOOKUP(J157,'Cost Escalators'!$C$313:$D$330,2,FALSE)</f>
        <v>Land</v>
      </c>
      <c r="L157" s="238" t="s">
        <v>656</v>
      </c>
      <c r="M157" s="384" t="s">
        <v>1506</v>
      </c>
      <c r="N157" s="246">
        <v>85431.09</v>
      </c>
      <c r="O157" s="267">
        <v>0</v>
      </c>
      <c r="P157" s="250">
        <f t="shared" si="13"/>
        <v>2003</v>
      </c>
      <c r="Q157" s="268">
        <f>IF(J157=10,1,IFERROR(INDEX('Cost Escalators'!$D$28:$D$92,MATCH($P$4,'Cost Escalators'!$B$28:$B$92,0))/INDEX('Cost Escalators'!$D$28:$D$92,MATCH(I157,'Cost Escalators'!$B$28:$B$92,0)),1))</f>
        <v>1</v>
      </c>
      <c r="R157" s="269">
        <f t="shared" si="14"/>
        <v>85431.09</v>
      </c>
      <c r="S157" s="269">
        <f t="shared" si="15"/>
        <v>85431.09</v>
      </c>
      <c r="T157" s="269">
        <f t="shared" si="16"/>
        <v>85431.09</v>
      </c>
      <c r="U157" s="242">
        <f t="shared" si="17"/>
        <v>0</v>
      </c>
    </row>
    <row r="158" spans="1:21" s="237" customFormat="1" x14ac:dyDescent="0.3">
      <c r="A158" s="237">
        <v>153</v>
      </c>
      <c r="B158" s="263">
        <v>0</v>
      </c>
      <c r="C158" s="263">
        <v>0</v>
      </c>
      <c r="D158" s="264">
        <v>0</v>
      </c>
      <c r="E158" s="383" t="s">
        <v>657</v>
      </c>
      <c r="F158" s="384" t="s">
        <v>364</v>
      </c>
      <c r="G158" s="384">
        <v>31</v>
      </c>
      <c r="H158" s="385">
        <v>37894</v>
      </c>
      <c r="I158" s="265">
        <f t="shared" si="12"/>
        <v>2003</v>
      </c>
      <c r="J158" s="641">
        <v>10</v>
      </c>
      <c r="K158" s="641" t="str">
        <f>VLOOKUP(J158,'Cost Escalators'!$C$313:$D$330,2,FALSE)</f>
        <v>Land</v>
      </c>
      <c r="L158" s="238" t="s">
        <v>658</v>
      </c>
      <c r="M158" s="384" t="s">
        <v>1506</v>
      </c>
      <c r="N158" s="246">
        <v>186943.34</v>
      </c>
      <c r="O158" s="267">
        <v>0</v>
      </c>
      <c r="P158" s="250">
        <f t="shared" si="13"/>
        <v>2003</v>
      </c>
      <c r="Q158" s="268">
        <f>IF(J158=10,1,IFERROR(INDEX('Cost Escalators'!$D$28:$D$92,MATCH($P$4,'Cost Escalators'!$B$28:$B$92,0))/INDEX('Cost Escalators'!$D$28:$D$92,MATCH(I158,'Cost Escalators'!$B$28:$B$92,0)),1))</f>
        <v>1</v>
      </c>
      <c r="R158" s="269">
        <f t="shared" si="14"/>
        <v>186943.34</v>
      </c>
      <c r="S158" s="269">
        <f t="shared" si="15"/>
        <v>186943.34</v>
      </c>
      <c r="T158" s="269">
        <f t="shared" si="16"/>
        <v>186943.34</v>
      </c>
      <c r="U158" s="242">
        <f t="shared" si="17"/>
        <v>0</v>
      </c>
    </row>
    <row r="159" spans="1:21" s="237" customFormat="1" x14ac:dyDescent="0.3">
      <c r="A159" s="237">
        <v>154</v>
      </c>
      <c r="B159" s="263">
        <v>0</v>
      </c>
      <c r="C159" s="263">
        <v>0</v>
      </c>
      <c r="D159" s="264">
        <v>0</v>
      </c>
      <c r="E159" s="383" t="s">
        <v>659</v>
      </c>
      <c r="F159" s="384" t="s">
        <v>364</v>
      </c>
      <c r="G159" s="384">
        <v>31</v>
      </c>
      <c r="H159" s="385">
        <v>38538</v>
      </c>
      <c r="I159" s="265">
        <f t="shared" si="12"/>
        <v>2005</v>
      </c>
      <c r="J159" s="641">
        <v>10</v>
      </c>
      <c r="K159" s="641" t="str">
        <f>VLOOKUP(J159,'Cost Escalators'!$C$313:$D$330,2,FALSE)</f>
        <v>Land</v>
      </c>
      <c r="L159" s="238" t="s">
        <v>660</v>
      </c>
      <c r="M159" s="384" t="s">
        <v>1506</v>
      </c>
      <c r="N159" s="246">
        <v>341369.59999999998</v>
      </c>
      <c r="O159" s="267">
        <v>0</v>
      </c>
      <c r="P159" s="250">
        <f t="shared" si="13"/>
        <v>2005</v>
      </c>
      <c r="Q159" s="268">
        <f>IF(J159=10,1,IFERROR(INDEX('Cost Escalators'!$D$28:$D$92,MATCH($P$4,'Cost Escalators'!$B$28:$B$92,0))/INDEX('Cost Escalators'!$D$28:$D$92,MATCH(I159,'Cost Escalators'!$B$28:$B$92,0)),1))</f>
        <v>1</v>
      </c>
      <c r="R159" s="269">
        <f t="shared" si="14"/>
        <v>341369.59999999998</v>
      </c>
      <c r="S159" s="269">
        <f t="shared" si="15"/>
        <v>341369.59999999998</v>
      </c>
      <c r="T159" s="269">
        <f t="shared" si="16"/>
        <v>341369.59999999998</v>
      </c>
      <c r="U159" s="242">
        <f t="shared" si="17"/>
        <v>0</v>
      </c>
    </row>
    <row r="160" spans="1:21" s="237" customFormat="1" x14ac:dyDescent="0.3">
      <c r="A160" s="237">
        <v>155</v>
      </c>
      <c r="B160" s="263">
        <v>0</v>
      </c>
      <c r="C160" s="263">
        <v>0</v>
      </c>
      <c r="D160" s="264">
        <v>0</v>
      </c>
      <c r="E160" s="383" t="s">
        <v>659</v>
      </c>
      <c r="F160" s="384" t="s">
        <v>364</v>
      </c>
      <c r="G160" s="384">
        <v>31</v>
      </c>
      <c r="H160" s="385">
        <v>38990</v>
      </c>
      <c r="I160" s="265">
        <f t="shared" si="12"/>
        <v>2006</v>
      </c>
      <c r="J160" s="641">
        <v>10</v>
      </c>
      <c r="K160" s="641" t="str">
        <f>VLOOKUP(J160,'Cost Escalators'!$C$313:$D$330,2,FALSE)</f>
        <v>Land</v>
      </c>
      <c r="L160" s="238" t="s">
        <v>661</v>
      </c>
      <c r="M160" s="384" t="s">
        <v>1506</v>
      </c>
      <c r="N160" s="246">
        <v>6899.69</v>
      </c>
      <c r="O160" s="267">
        <v>0</v>
      </c>
      <c r="P160" s="250">
        <f t="shared" si="13"/>
        <v>2006</v>
      </c>
      <c r="Q160" s="268">
        <f>IF(J160=10,1,IFERROR(INDEX('Cost Escalators'!$D$28:$D$92,MATCH($P$4,'Cost Escalators'!$B$28:$B$92,0))/INDEX('Cost Escalators'!$D$28:$D$92,MATCH(I160,'Cost Escalators'!$B$28:$B$92,0)),1))</f>
        <v>1</v>
      </c>
      <c r="R160" s="269">
        <f t="shared" si="14"/>
        <v>6899.69</v>
      </c>
      <c r="S160" s="269">
        <f t="shared" si="15"/>
        <v>6899.69</v>
      </c>
      <c r="T160" s="269">
        <f t="shared" si="16"/>
        <v>6899.69</v>
      </c>
      <c r="U160" s="242">
        <f t="shared" si="17"/>
        <v>0</v>
      </c>
    </row>
    <row r="161" spans="1:21" s="237" customFormat="1" x14ac:dyDescent="0.3">
      <c r="A161" s="237">
        <v>156</v>
      </c>
      <c r="B161" s="263">
        <v>0</v>
      </c>
      <c r="C161" s="263">
        <v>0</v>
      </c>
      <c r="D161" s="264">
        <v>0</v>
      </c>
      <c r="E161" s="383" t="s">
        <v>659</v>
      </c>
      <c r="F161" s="384" t="s">
        <v>364</v>
      </c>
      <c r="G161" s="384">
        <v>31</v>
      </c>
      <c r="H161" s="385">
        <v>39355</v>
      </c>
      <c r="I161" s="265">
        <f t="shared" si="12"/>
        <v>2007</v>
      </c>
      <c r="J161" s="641">
        <v>10</v>
      </c>
      <c r="K161" s="641" t="str">
        <f>VLOOKUP(J161,'Cost Escalators'!$C$313:$D$330,2,FALSE)</f>
        <v>Land</v>
      </c>
      <c r="L161" s="238" t="s">
        <v>662</v>
      </c>
      <c r="M161" s="384" t="s">
        <v>1506</v>
      </c>
      <c r="N161" s="246">
        <v>376.67</v>
      </c>
      <c r="O161" s="267">
        <v>0</v>
      </c>
      <c r="P161" s="250">
        <f t="shared" si="13"/>
        <v>2007</v>
      </c>
      <c r="Q161" s="268">
        <f>IF(J161=10,1,IFERROR(INDEX('Cost Escalators'!$D$28:$D$92,MATCH($P$4,'Cost Escalators'!$B$28:$B$92,0))/INDEX('Cost Escalators'!$D$28:$D$92,MATCH(I161,'Cost Escalators'!$B$28:$B$92,0)),1))</f>
        <v>1</v>
      </c>
      <c r="R161" s="269">
        <f t="shared" si="14"/>
        <v>376.67</v>
      </c>
      <c r="S161" s="269">
        <f t="shared" si="15"/>
        <v>376.67</v>
      </c>
      <c r="T161" s="269">
        <f t="shared" si="16"/>
        <v>376.67</v>
      </c>
      <c r="U161" s="242">
        <f t="shared" si="17"/>
        <v>0</v>
      </c>
    </row>
    <row r="162" spans="1:21" s="237" customFormat="1" x14ac:dyDescent="0.3">
      <c r="A162" s="237">
        <v>157</v>
      </c>
      <c r="B162" s="263">
        <v>0</v>
      </c>
      <c r="C162" s="263">
        <v>0</v>
      </c>
      <c r="D162" s="264">
        <v>0</v>
      </c>
      <c r="E162" s="383" t="s">
        <v>659</v>
      </c>
      <c r="F162" s="384" t="s">
        <v>364</v>
      </c>
      <c r="G162" s="384">
        <v>31</v>
      </c>
      <c r="H162" s="385">
        <v>39355</v>
      </c>
      <c r="I162" s="265">
        <f t="shared" si="12"/>
        <v>2007</v>
      </c>
      <c r="J162" s="641">
        <v>10</v>
      </c>
      <c r="K162" s="641" t="str">
        <f>VLOOKUP(J162,'Cost Escalators'!$C$313:$D$330,2,FALSE)</f>
        <v>Land</v>
      </c>
      <c r="L162" s="238" t="s">
        <v>663</v>
      </c>
      <c r="M162" s="384" t="s">
        <v>1506</v>
      </c>
      <c r="N162" s="246">
        <v>652</v>
      </c>
      <c r="O162" s="267">
        <v>0</v>
      </c>
      <c r="P162" s="250">
        <f t="shared" si="13"/>
        <v>2007</v>
      </c>
      <c r="Q162" s="268">
        <f>IF(J162=10,1,IFERROR(INDEX('Cost Escalators'!$D$28:$D$92,MATCH($P$4,'Cost Escalators'!$B$28:$B$92,0))/INDEX('Cost Escalators'!$D$28:$D$92,MATCH(I162,'Cost Escalators'!$B$28:$B$92,0)),1))</f>
        <v>1</v>
      </c>
      <c r="R162" s="269">
        <f t="shared" si="14"/>
        <v>652</v>
      </c>
      <c r="S162" s="269">
        <f t="shared" si="15"/>
        <v>652</v>
      </c>
      <c r="T162" s="269">
        <f t="shared" si="16"/>
        <v>652</v>
      </c>
      <c r="U162" s="242">
        <f t="shared" si="17"/>
        <v>0</v>
      </c>
    </row>
    <row r="163" spans="1:21" s="237" customFormat="1" x14ac:dyDescent="0.3">
      <c r="A163" s="237">
        <v>158</v>
      </c>
      <c r="B163" s="263">
        <v>0</v>
      </c>
      <c r="C163" s="263">
        <v>0</v>
      </c>
      <c r="D163" s="264">
        <v>0</v>
      </c>
      <c r="E163" s="383" t="s">
        <v>659</v>
      </c>
      <c r="F163" s="384" t="s">
        <v>364</v>
      </c>
      <c r="G163" s="384">
        <v>31</v>
      </c>
      <c r="H163" s="385">
        <v>39355</v>
      </c>
      <c r="I163" s="265">
        <f t="shared" si="12"/>
        <v>2007</v>
      </c>
      <c r="J163" s="641">
        <v>10</v>
      </c>
      <c r="K163" s="641" t="str">
        <f>VLOOKUP(J163,'Cost Escalators'!$C$313:$D$330,2,FALSE)</f>
        <v>Land</v>
      </c>
      <c r="L163" s="238" t="s">
        <v>664</v>
      </c>
      <c r="M163" s="384" t="s">
        <v>1506</v>
      </c>
      <c r="N163" s="246">
        <v>1875</v>
      </c>
      <c r="O163" s="267">
        <v>0</v>
      </c>
      <c r="P163" s="250">
        <f t="shared" si="13"/>
        <v>2007</v>
      </c>
      <c r="Q163" s="268">
        <f>IF(J163=10,1,IFERROR(INDEX('Cost Escalators'!$D$28:$D$92,MATCH($P$4,'Cost Escalators'!$B$28:$B$92,0))/INDEX('Cost Escalators'!$D$28:$D$92,MATCH(I163,'Cost Escalators'!$B$28:$B$92,0)),1))</f>
        <v>1</v>
      </c>
      <c r="R163" s="269">
        <f t="shared" si="14"/>
        <v>1875</v>
      </c>
      <c r="S163" s="269">
        <f t="shared" si="15"/>
        <v>1875</v>
      </c>
      <c r="T163" s="269">
        <f t="shared" si="16"/>
        <v>1875</v>
      </c>
      <c r="U163" s="242">
        <f t="shared" si="17"/>
        <v>0</v>
      </c>
    </row>
    <row r="164" spans="1:21" s="237" customFormat="1" x14ac:dyDescent="0.3">
      <c r="A164" s="237">
        <v>159</v>
      </c>
      <c r="B164" s="263">
        <v>0</v>
      </c>
      <c r="C164" s="263">
        <v>0</v>
      </c>
      <c r="D164" s="264">
        <v>0</v>
      </c>
      <c r="E164" s="383" t="s">
        <v>659</v>
      </c>
      <c r="F164" s="384" t="s">
        <v>364</v>
      </c>
      <c r="G164" s="384">
        <v>31</v>
      </c>
      <c r="H164" s="385">
        <v>39417</v>
      </c>
      <c r="I164" s="265">
        <f t="shared" si="12"/>
        <v>2007</v>
      </c>
      <c r="J164" s="641">
        <v>10</v>
      </c>
      <c r="K164" s="641" t="str">
        <f>VLOOKUP(J164,'Cost Escalators'!$C$313:$D$330,2,FALSE)</f>
        <v>Land</v>
      </c>
      <c r="L164" s="238" t="s">
        <v>665</v>
      </c>
      <c r="M164" s="384" t="s">
        <v>1506</v>
      </c>
      <c r="N164" s="246">
        <v>24501.68</v>
      </c>
      <c r="O164" s="267">
        <v>0</v>
      </c>
      <c r="P164" s="250">
        <f t="shared" si="13"/>
        <v>2007</v>
      </c>
      <c r="Q164" s="268">
        <f>IF(J164=10,1,IFERROR(INDEX('Cost Escalators'!$D$28:$D$92,MATCH($P$4,'Cost Escalators'!$B$28:$B$92,0))/INDEX('Cost Escalators'!$D$28:$D$92,MATCH(I164,'Cost Escalators'!$B$28:$B$92,0)),1))</f>
        <v>1</v>
      </c>
      <c r="R164" s="269">
        <f t="shared" si="14"/>
        <v>24501.68</v>
      </c>
      <c r="S164" s="269">
        <f t="shared" si="15"/>
        <v>24501.68</v>
      </c>
      <c r="T164" s="269">
        <f t="shared" si="16"/>
        <v>24501.68</v>
      </c>
      <c r="U164" s="242">
        <f t="shared" si="17"/>
        <v>0</v>
      </c>
    </row>
    <row r="165" spans="1:21" s="237" customFormat="1" x14ac:dyDescent="0.3">
      <c r="A165" s="237">
        <v>160</v>
      </c>
      <c r="B165" s="263">
        <v>0</v>
      </c>
      <c r="C165" s="263">
        <v>0</v>
      </c>
      <c r="D165" s="264">
        <v>0</v>
      </c>
      <c r="E165" s="383" t="s">
        <v>666</v>
      </c>
      <c r="F165" s="384" t="s">
        <v>364</v>
      </c>
      <c r="G165" s="384">
        <v>31</v>
      </c>
      <c r="H165" s="385">
        <v>38311</v>
      </c>
      <c r="I165" s="265">
        <f t="shared" si="12"/>
        <v>2004</v>
      </c>
      <c r="J165" s="641">
        <v>10</v>
      </c>
      <c r="K165" s="641" t="str">
        <f>VLOOKUP(J165,'Cost Escalators'!$C$313:$D$330,2,FALSE)</f>
        <v>Land</v>
      </c>
      <c r="L165" s="238" t="s">
        <v>667</v>
      </c>
      <c r="M165" s="384" t="s">
        <v>1506</v>
      </c>
      <c r="N165" s="246">
        <v>354589.31</v>
      </c>
      <c r="O165" s="267">
        <v>0</v>
      </c>
      <c r="P165" s="250">
        <f t="shared" si="13"/>
        <v>2004</v>
      </c>
      <c r="Q165" s="268">
        <f>IF(J165=10,1,IFERROR(INDEX('Cost Escalators'!$D$28:$D$92,MATCH($P$4,'Cost Escalators'!$B$28:$B$92,0))/INDEX('Cost Escalators'!$D$28:$D$92,MATCH(I165,'Cost Escalators'!$B$28:$B$92,0)),1))</f>
        <v>1</v>
      </c>
      <c r="R165" s="269">
        <f t="shared" si="14"/>
        <v>354589.31</v>
      </c>
      <c r="S165" s="269">
        <f t="shared" si="15"/>
        <v>354589.31</v>
      </c>
      <c r="T165" s="269">
        <f t="shared" si="16"/>
        <v>354589.31</v>
      </c>
      <c r="U165" s="242">
        <f t="shared" si="17"/>
        <v>0</v>
      </c>
    </row>
    <row r="166" spans="1:21" s="237" customFormat="1" x14ac:dyDescent="0.3">
      <c r="A166" s="237">
        <v>161</v>
      </c>
      <c r="B166" s="263">
        <v>0</v>
      </c>
      <c r="C166" s="263">
        <v>0</v>
      </c>
      <c r="D166" s="264">
        <v>0</v>
      </c>
      <c r="E166" s="383" t="s">
        <v>668</v>
      </c>
      <c r="F166" s="384" t="s">
        <v>364</v>
      </c>
      <c r="G166" s="384">
        <v>31</v>
      </c>
      <c r="H166" s="385">
        <v>38476</v>
      </c>
      <c r="I166" s="265">
        <f t="shared" si="12"/>
        <v>2005</v>
      </c>
      <c r="J166" s="641">
        <v>10</v>
      </c>
      <c r="K166" s="641" t="str">
        <f>VLOOKUP(J166,'Cost Escalators'!$C$313:$D$330,2,FALSE)</f>
        <v>Land</v>
      </c>
      <c r="L166" s="238" t="s">
        <v>669</v>
      </c>
      <c r="M166" s="384" t="s">
        <v>1506</v>
      </c>
      <c r="N166" s="246">
        <v>150700.46</v>
      </c>
      <c r="O166" s="267">
        <v>0</v>
      </c>
      <c r="P166" s="250">
        <f t="shared" si="13"/>
        <v>2005</v>
      </c>
      <c r="Q166" s="268">
        <f>IF(J166=10,1,IFERROR(INDEX('Cost Escalators'!$D$28:$D$92,MATCH($P$4,'Cost Escalators'!$B$28:$B$92,0))/INDEX('Cost Escalators'!$D$28:$D$92,MATCH(I166,'Cost Escalators'!$B$28:$B$92,0)),1))</f>
        <v>1</v>
      </c>
      <c r="R166" s="269">
        <f t="shared" si="14"/>
        <v>150700.46</v>
      </c>
      <c r="S166" s="269">
        <f t="shared" si="15"/>
        <v>150700.46</v>
      </c>
      <c r="T166" s="269">
        <f t="shared" si="16"/>
        <v>150700.46</v>
      </c>
      <c r="U166" s="242">
        <f t="shared" si="17"/>
        <v>0</v>
      </c>
    </row>
    <row r="167" spans="1:21" s="237" customFormat="1" x14ac:dyDescent="0.3">
      <c r="A167" s="237">
        <v>162</v>
      </c>
      <c r="B167" s="263">
        <v>0</v>
      </c>
      <c r="C167" s="263">
        <v>0</v>
      </c>
      <c r="D167" s="264">
        <v>0</v>
      </c>
      <c r="E167" s="383" t="s">
        <v>670</v>
      </c>
      <c r="F167" s="384" t="s">
        <v>364</v>
      </c>
      <c r="G167" s="384">
        <v>31</v>
      </c>
      <c r="H167" s="385">
        <v>38490</v>
      </c>
      <c r="I167" s="265">
        <f t="shared" si="12"/>
        <v>2005</v>
      </c>
      <c r="J167" s="641">
        <v>10</v>
      </c>
      <c r="K167" s="641" t="str">
        <f>VLOOKUP(J167,'Cost Escalators'!$C$313:$D$330,2,FALSE)</f>
        <v>Land</v>
      </c>
      <c r="L167" s="238" t="s">
        <v>671</v>
      </c>
      <c r="M167" s="384" t="s">
        <v>1506</v>
      </c>
      <c r="N167" s="246">
        <v>118565.8</v>
      </c>
      <c r="O167" s="267">
        <v>0</v>
      </c>
      <c r="P167" s="250">
        <f t="shared" si="13"/>
        <v>2005</v>
      </c>
      <c r="Q167" s="268">
        <f>IF(J167=10,1,IFERROR(INDEX('Cost Escalators'!$D$28:$D$92,MATCH($P$4,'Cost Escalators'!$B$28:$B$92,0))/INDEX('Cost Escalators'!$D$28:$D$92,MATCH(I167,'Cost Escalators'!$B$28:$B$92,0)),1))</f>
        <v>1</v>
      </c>
      <c r="R167" s="269">
        <f t="shared" si="14"/>
        <v>118565.8</v>
      </c>
      <c r="S167" s="269">
        <f t="shared" si="15"/>
        <v>118565.8</v>
      </c>
      <c r="T167" s="269">
        <f t="shared" si="16"/>
        <v>118565.8</v>
      </c>
      <c r="U167" s="242">
        <f t="shared" si="17"/>
        <v>0</v>
      </c>
    </row>
    <row r="168" spans="1:21" s="237" customFormat="1" x14ac:dyDescent="0.3">
      <c r="A168" s="237">
        <v>163</v>
      </c>
      <c r="B168" s="263">
        <v>0</v>
      </c>
      <c r="C168" s="263">
        <v>0</v>
      </c>
      <c r="D168" s="264">
        <v>0</v>
      </c>
      <c r="E168" s="383" t="s">
        <v>672</v>
      </c>
      <c r="F168" s="384" t="s">
        <v>364</v>
      </c>
      <c r="G168" s="384">
        <v>31</v>
      </c>
      <c r="H168" s="385">
        <v>38565</v>
      </c>
      <c r="I168" s="265">
        <f t="shared" si="12"/>
        <v>2005</v>
      </c>
      <c r="J168" s="641">
        <v>10</v>
      </c>
      <c r="K168" s="641" t="str">
        <f>VLOOKUP(J168,'Cost Escalators'!$C$313:$D$330,2,FALSE)</f>
        <v>Land</v>
      </c>
      <c r="L168" s="238" t="s">
        <v>673</v>
      </c>
      <c r="M168" s="384" t="s">
        <v>1506</v>
      </c>
      <c r="N168" s="246">
        <v>188375.57</v>
      </c>
      <c r="O168" s="267">
        <v>0</v>
      </c>
      <c r="P168" s="250">
        <f t="shared" si="13"/>
        <v>2005</v>
      </c>
      <c r="Q168" s="268">
        <f>IF(J168=10,1,IFERROR(INDEX('Cost Escalators'!$D$28:$D$92,MATCH($P$4,'Cost Escalators'!$B$28:$B$92,0))/INDEX('Cost Escalators'!$D$28:$D$92,MATCH(I168,'Cost Escalators'!$B$28:$B$92,0)),1))</f>
        <v>1</v>
      </c>
      <c r="R168" s="269">
        <f t="shared" si="14"/>
        <v>188375.57</v>
      </c>
      <c r="S168" s="269">
        <f t="shared" si="15"/>
        <v>188375.57</v>
      </c>
      <c r="T168" s="269">
        <f t="shared" si="16"/>
        <v>188375.57</v>
      </c>
      <c r="U168" s="242">
        <f t="shared" si="17"/>
        <v>0</v>
      </c>
    </row>
    <row r="169" spans="1:21" s="237" customFormat="1" x14ac:dyDescent="0.3">
      <c r="A169" s="237">
        <v>164</v>
      </c>
      <c r="B169" s="263">
        <v>0</v>
      </c>
      <c r="C169" s="263">
        <v>0</v>
      </c>
      <c r="D169" s="264">
        <v>0</v>
      </c>
      <c r="E169" s="383" t="s">
        <v>674</v>
      </c>
      <c r="F169" s="384" t="s">
        <v>364</v>
      </c>
      <c r="G169" s="384">
        <v>31</v>
      </c>
      <c r="H169" s="385">
        <v>38490</v>
      </c>
      <c r="I169" s="265">
        <f t="shared" si="12"/>
        <v>2005</v>
      </c>
      <c r="J169" s="641">
        <v>10</v>
      </c>
      <c r="K169" s="641" t="str">
        <f>VLOOKUP(J169,'Cost Escalators'!$C$313:$D$330,2,FALSE)</f>
        <v>Land</v>
      </c>
      <c r="L169" s="238" t="s">
        <v>675</v>
      </c>
      <c r="M169" s="384" t="s">
        <v>1506</v>
      </c>
      <c r="N169" s="246">
        <v>91971.6</v>
      </c>
      <c r="O169" s="267">
        <v>0</v>
      </c>
      <c r="P169" s="250">
        <f t="shared" si="13"/>
        <v>2005</v>
      </c>
      <c r="Q169" s="268">
        <f>IF(J169=10,1,IFERROR(INDEX('Cost Escalators'!$D$28:$D$92,MATCH($P$4,'Cost Escalators'!$B$28:$B$92,0))/INDEX('Cost Escalators'!$D$28:$D$92,MATCH(I169,'Cost Escalators'!$B$28:$B$92,0)),1))</f>
        <v>1</v>
      </c>
      <c r="R169" s="269">
        <f t="shared" si="14"/>
        <v>91971.6</v>
      </c>
      <c r="S169" s="269">
        <f t="shared" si="15"/>
        <v>91971.6</v>
      </c>
      <c r="T169" s="269">
        <f t="shared" si="16"/>
        <v>91971.6</v>
      </c>
      <c r="U169" s="242">
        <f t="shared" si="17"/>
        <v>0</v>
      </c>
    </row>
    <row r="170" spans="1:21" s="237" customFormat="1" x14ac:dyDescent="0.3">
      <c r="A170" s="237">
        <v>165</v>
      </c>
      <c r="B170" s="263">
        <v>0</v>
      </c>
      <c r="C170" s="263">
        <v>0</v>
      </c>
      <c r="D170" s="264">
        <v>0</v>
      </c>
      <c r="E170" s="383" t="s">
        <v>676</v>
      </c>
      <c r="F170" s="384" t="s">
        <v>364</v>
      </c>
      <c r="G170" s="384">
        <v>31</v>
      </c>
      <c r="H170" s="385">
        <v>38490</v>
      </c>
      <c r="I170" s="265">
        <f t="shared" si="12"/>
        <v>2005</v>
      </c>
      <c r="J170" s="641">
        <v>10</v>
      </c>
      <c r="K170" s="641" t="str">
        <f>VLOOKUP(J170,'Cost Escalators'!$C$313:$D$330,2,FALSE)</f>
        <v>Land</v>
      </c>
      <c r="L170" s="238" t="s">
        <v>677</v>
      </c>
      <c r="M170" s="384" t="s">
        <v>1506</v>
      </c>
      <c r="N170" s="246">
        <v>1318628.98</v>
      </c>
      <c r="O170" s="267">
        <v>0</v>
      </c>
      <c r="P170" s="250">
        <f t="shared" si="13"/>
        <v>2005</v>
      </c>
      <c r="Q170" s="268">
        <f>IF(J170=10,1,IFERROR(INDEX('Cost Escalators'!$D$28:$D$92,MATCH($P$4,'Cost Escalators'!$B$28:$B$92,0))/INDEX('Cost Escalators'!$D$28:$D$92,MATCH(I170,'Cost Escalators'!$B$28:$B$92,0)),1))</f>
        <v>1</v>
      </c>
      <c r="R170" s="269">
        <f t="shared" si="14"/>
        <v>1318628.98</v>
      </c>
      <c r="S170" s="269">
        <f t="shared" si="15"/>
        <v>1318628.98</v>
      </c>
      <c r="T170" s="269">
        <f t="shared" si="16"/>
        <v>1318628.98</v>
      </c>
      <c r="U170" s="242">
        <f t="shared" si="17"/>
        <v>0</v>
      </c>
    </row>
    <row r="171" spans="1:21" s="237" customFormat="1" x14ac:dyDescent="0.3">
      <c r="A171" s="237">
        <v>166</v>
      </c>
      <c r="B171" s="263">
        <v>0</v>
      </c>
      <c r="C171" s="263">
        <v>0</v>
      </c>
      <c r="D171" s="264">
        <v>0</v>
      </c>
      <c r="E171" s="383" t="s">
        <v>678</v>
      </c>
      <c r="F171" s="384" t="s">
        <v>364</v>
      </c>
      <c r="G171" s="384">
        <v>31</v>
      </c>
      <c r="H171" s="385">
        <v>38490</v>
      </c>
      <c r="I171" s="265">
        <f t="shared" si="12"/>
        <v>2005</v>
      </c>
      <c r="J171" s="641">
        <v>10</v>
      </c>
      <c r="K171" s="641" t="str">
        <f>VLOOKUP(J171,'Cost Escalators'!$C$313:$D$330,2,FALSE)</f>
        <v>Land</v>
      </c>
      <c r="L171" s="238" t="s">
        <v>679</v>
      </c>
      <c r="M171" s="384" t="s">
        <v>1506</v>
      </c>
      <c r="N171" s="246">
        <v>211645.49</v>
      </c>
      <c r="O171" s="267">
        <v>0</v>
      </c>
      <c r="P171" s="250">
        <f t="shared" si="13"/>
        <v>2005</v>
      </c>
      <c r="Q171" s="268">
        <f>IF(J171=10,1,IFERROR(INDEX('Cost Escalators'!$D$28:$D$92,MATCH($P$4,'Cost Escalators'!$B$28:$B$92,0))/INDEX('Cost Escalators'!$D$28:$D$92,MATCH(I171,'Cost Escalators'!$B$28:$B$92,0)),1))</f>
        <v>1</v>
      </c>
      <c r="R171" s="269">
        <f t="shared" si="14"/>
        <v>211645.49</v>
      </c>
      <c r="S171" s="269">
        <f t="shared" si="15"/>
        <v>211645.49</v>
      </c>
      <c r="T171" s="269">
        <f t="shared" si="16"/>
        <v>211645.49</v>
      </c>
      <c r="U171" s="242">
        <f t="shared" si="17"/>
        <v>0</v>
      </c>
    </row>
    <row r="172" spans="1:21" s="237" customFormat="1" x14ac:dyDescent="0.3">
      <c r="A172" s="237">
        <v>167</v>
      </c>
      <c r="B172" s="263">
        <v>0</v>
      </c>
      <c r="C172" s="263">
        <v>0</v>
      </c>
      <c r="D172" s="264">
        <v>0</v>
      </c>
      <c r="E172" s="383" t="s">
        <v>680</v>
      </c>
      <c r="F172" s="384" t="s">
        <v>364</v>
      </c>
      <c r="G172" s="384">
        <v>31</v>
      </c>
      <c r="H172" s="385">
        <v>38490</v>
      </c>
      <c r="I172" s="265">
        <f t="shared" si="12"/>
        <v>2005</v>
      </c>
      <c r="J172" s="641">
        <v>10</v>
      </c>
      <c r="K172" s="641" t="str">
        <f>VLOOKUP(J172,'Cost Escalators'!$C$313:$D$330,2,FALSE)</f>
        <v>Land</v>
      </c>
      <c r="L172" s="238" t="s">
        <v>681</v>
      </c>
      <c r="M172" s="384" t="s">
        <v>1506</v>
      </c>
      <c r="N172" s="246">
        <v>63161.22</v>
      </c>
      <c r="O172" s="267">
        <v>0</v>
      </c>
      <c r="P172" s="250">
        <f t="shared" si="13"/>
        <v>2005</v>
      </c>
      <c r="Q172" s="268">
        <f>IF(J172=10,1,IFERROR(INDEX('Cost Escalators'!$D$28:$D$92,MATCH($P$4,'Cost Escalators'!$B$28:$B$92,0))/INDEX('Cost Escalators'!$D$28:$D$92,MATCH(I172,'Cost Escalators'!$B$28:$B$92,0)),1))</f>
        <v>1</v>
      </c>
      <c r="R172" s="269">
        <f t="shared" si="14"/>
        <v>63161.22</v>
      </c>
      <c r="S172" s="269">
        <f t="shared" si="15"/>
        <v>63161.22</v>
      </c>
      <c r="T172" s="269">
        <f t="shared" si="16"/>
        <v>63161.22</v>
      </c>
      <c r="U172" s="242">
        <f t="shared" si="17"/>
        <v>0</v>
      </c>
    </row>
    <row r="173" spans="1:21" s="237" customFormat="1" x14ac:dyDescent="0.3">
      <c r="A173" s="237">
        <v>168</v>
      </c>
      <c r="B173" s="263">
        <v>0</v>
      </c>
      <c r="C173" s="263">
        <v>0</v>
      </c>
      <c r="D173" s="264">
        <v>0</v>
      </c>
      <c r="E173" s="383" t="s">
        <v>682</v>
      </c>
      <c r="F173" s="384" t="s">
        <v>364</v>
      </c>
      <c r="G173" s="384">
        <v>31</v>
      </c>
      <c r="H173" s="385">
        <v>38990</v>
      </c>
      <c r="I173" s="265">
        <f t="shared" si="12"/>
        <v>2006</v>
      </c>
      <c r="J173" s="641">
        <v>10</v>
      </c>
      <c r="K173" s="641" t="str">
        <f>VLOOKUP(J173,'Cost Escalators'!$C$313:$D$330,2,FALSE)</f>
        <v>Land</v>
      </c>
      <c r="L173" s="238" t="s">
        <v>683</v>
      </c>
      <c r="M173" s="384" t="s">
        <v>1506</v>
      </c>
      <c r="N173" s="246">
        <v>244334.2</v>
      </c>
      <c r="O173" s="267">
        <v>0</v>
      </c>
      <c r="P173" s="250">
        <f t="shared" si="13"/>
        <v>2006</v>
      </c>
      <c r="Q173" s="268">
        <f>IF(J173=10,1,IFERROR(INDEX('Cost Escalators'!$D$28:$D$92,MATCH($P$4,'Cost Escalators'!$B$28:$B$92,0))/INDEX('Cost Escalators'!$D$28:$D$92,MATCH(I173,'Cost Escalators'!$B$28:$B$92,0)),1))</f>
        <v>1</v>
      </c>
      <c r="R173" s="269">
        <f t="shared" si="14"/>
        <v>244334.2</v>
      </c>
      <c r="S173" s="269">
        <f t="shared" si="15"/>
        <v>244334.2</v>
      </c>
      <c r="T173" s="269">
        <f t="shared" si="16"/>
        <v>244334.2</v>
      </c>
      <c r="U173" s="242">
        <f t="shared" si="17"/>
        <v>0</v>
      </c>
    </row>
    <row r="174" spans="1:21" s="237" customFormat="1" x14ac:dyDescent="0.3">
      <c r="A174" s="237">
        <v>169</v>
      </c>
      <c r="B174" s="263">
        <v>0</v>
      </c>
      <c r="C174" s="263">
        <v>0</v>
      </c>
      <c r="D174" s="264">
        <v>0</v>
      </c>
      <c r="E174" s="383" t="s">
        <v>684</v>
      </c>
      <c r="F174" s="384" t="s">
        <v>364</v>
      </c>
      <c r="G174" s="384">
        <v>31</v>
      </c>
      <c r="H174" s="385">
        <v>38990</v>
      </c>
      <c r="I174" s="265">
        <f t="shared" si="12"/>
        <v>2006</v>
      </c>
      <c r="J174" s="641">
        <v>10</v>
      </c>
      <c r="K174" s="641" t="str">
        <f>VLOOKUP(J174,'Cost Escalators'!$C$313:$D$330,2,FALSE)</f>
        <v>Land</v>
      </c>
      <c r="L174" s="238" t="s">
        <v>685</v>
      </c>
      <c r="M174" s="384" t="s">
        <v>1506</v>
      </c>
      <c r="N174" s="246">
        <v>259459.65</v>
      </c>
      <c r="O174" s="267">
        <v>0</v>
      </c>
      <c r="P174" s="250">
        <f t="shared" si="13"/>
        <v>2006</v>
      </c>
      <c r="Q174" s="268">
        <f>IF(J174=10,1,IFERROR(INDEX('Cost Escalators'!$D$28:$D$92,MATCH($P$4,'Cost Escalators'!$B$28:$B$92,0))/INDEX('Cost Escalators'!$D$28:$D$92,MATCH(I174,'Cost Escalators'!$B$28:$B$92,0)),1))</f>
        <v>1</v>
      </c>
      <c r="R174" s="269">
        <f t="shared" si="14"/>
        <v>259459.65</v>
      </c>
      <c r="S174" s="269">
        <f t="shared" si="15"/>
        <v>259459.65</v>
      </c>
      <c r="T174" s="269">
        <f t="shared" si="16"/>
        <v>259459.65</v>
      </c>
      <c r="U174" s="242">
        <f t="shared" si="17"/>
        <v>0</v>
      </c>
    </row>
    <row r="175" spans="1:21" s="237" customFormat="1" x14ac:dyDescent="0.3">
      <c r="A175" s="237">
        <v>170</v>
      </c>
      <c r="B175" s="263">
        <v>0</v>
      </c>
      <c r="C175" s="263">
        <v>0</v>
      </c>
      <c r="D175" s="264">
        <v>0</v>
      </c>
      <c r="E175" s="383" t="s">
        <v>686</v>
      </c>
      <c r="F175" s="384" t="s">
        <v>364</v>
      </c>
      <c r="G175" s="384">
        <v>31</v>
      </c>
      <c r="H175" s="385">
        <v>38990</v>
      </c>
      <c r="I175" s="265">
        <f t="shared" si="12"/>
        <v>2006</v>
      </c>
      <c r="J175" s="641">
        <v>10</v>
      </c>
      <c r="K175" s="641" t="str">
        <f>VLOOKUP(J175,'Cost Escalators'!$C$313:$D$330,2,FALSE)</f>
        <v>Land</v>
      </c>
      <c r="L175" s="238" t="s">
        <v>687</v>
      </c>
      <c r="M175" s="384" t="s">
        <v>1506</v>
      </c>
      <c r="N175" s="246">
        <v>265277.13</v>
      </c>
      <c r="O175" s="267">
        <v>0</v>
      </c>
      <c r="P175" s="250">
        <f t="shared" si="13"/>
        <v>2006</v>
      </c>
      <c r="Q175" s="268">
        <f>IF(J175=10,1,IFERROR(INDEX('Cost Escalators'!$D$28:$D$92,MATCH($P$4,'Cost Escalators'!$B$28:$B$92,0))/INDEX('Cost Escalators'!$D$28:$D$92,MATCH(I175,'Cost Escalators'!$B$28:$B$92,0)),1))</f>
        <v>1</v>
      </c>
      <c r="R175" s="269">
        <f t="shared" si="14"/>
        <v>265277.13</v>
      </c>
      <c r="S175" s="269">
        <f t="shared" si="15"/>
        <v>265277.13</v>
      </c>
      <c r="T175" s="269">
        <f t="shared" si="16"/>
        <v>265277.13</v>
      </c>
      <c r="U175" s="242">
        <f t="shared" si="17"/>
        <v>0</v>
      </c>
    </row>
    <row r="176" spans="1:21" s="237" customFormat="1" x14ac:dyDescent="0.3">
      <c r="A176" s="237">
        <v>171</v>
      </c>
      <c r="B176" s="263">
        <v>0</v>
      </c>
      <c r="C176" s="263">
        <v>0</v>
      </c>
      <c r="D176" s="264">
        <v>0</v>
      </c>
      <c r="E176" s="383" t="s">
        <v>688</v>
      </c>
      <c r="F176" s="384" t="s">
        <v>364</v>
      </c>
      <c r="G176" s="384">
        <v>31</v>
      </c>
      <c r="H176" s="385">
        <v>38990</v>
      </c>
      <c r="I176" s="265">
        <f t="shared" si="12"/>
        <v>2006</v>
      </c>
      <c r="J176" s="641">
        <v>10</v>
      </c>
      <c r="K176" s="641" t="str">
        <f>VLOOKUP(J176,'Cost Escalators'!$C$313:$D$330,2,FALSE)</f>
        <v>Land</v>
      </c>
      <c r="L176" s="238" t="s">
        <v>689</v>
      </c>
      <c r="M176" s="384" t="s">
        <v>1506</v>
      </c>
      <c r="N176" s="246">
        <v>709732.68</v>
      </c>
      <c r="O176" s="267">
        <v>0</v>
      </c>
      <c r="P176" s="250">
        <f t="shared" si="13"/>
        <v>2006</v>
      </c>
      <c r="Q176" s="268">
        <f>IF(J176=10,1,IFERROR(INDEX('Cost Escalators'!$D$28:$D$92,MATCH($P$4,'Cost Escalators'!$B$28:$B$92,0))/INDEX('Cost Escalators'!$D$28:$D$92,MATCH(I176,'Cost Escalators'!$B$28:$B$92,0)),1))</f>
        <v>1</v>
      </c>
      <c r="R176" s="269">
        <f t="shared" si="14"/>
        <v>709732.68</v>
      </c>
      <c r="S176" s="269">
        <f t="shared" si="15"/>
        <v>709732.68</v>
      </c>
      <c r="T176" s="269">
        <f t="shared" si="16"/>
        <v>709732.68</v>
      </c>
      <c r="U176" s="242">
        <f t="shared" si="17"/>
        <v>0</v>
      </c>
    </row>
    <row r="177" spans="1:21" s="237" customFormat="1" x14ac:dyDescent="0.3">
      <c r="A177" s="237">
        <v>172</v>
      </c>
      <c r="B177" s="263">
        <v>0</v>
      </c>
      <c r="C177" s="263">
        <v>0</v>
      </c>
      <c r="D177" s="264">
        <v>0</v>
      </c>
      <c r="E177" s="383" t="s">
        <v>690</v>
      </c>
      <c r="F177" s="384" t="s">
        <v>364</v>
      </c>
      <c r="G177" s="384">
        <v>31</v>
      </c>
      <c r="H177" s="385">
        <v>38990</v>
      </c>
      <c r="I177" s="265">
        <f t="shared" si="12"/>
        <v>2006</v>
      </c>
      <c r="J177" s="641">
        <v>10</v>
      </c>
      <c r="K177" s="641" t="str">
        <f>VLOOKUP(J177,'Cost Escalators'!$C$313:$D$330,2,FALSE)</f>
        <v>Land</v>
      </c>
      <c r="L177" s="238" t="s">
        <v>691</v>
      </c>
      <c r="M177" s="384" t="s">
        <v>1506</v>
      </c>
      <c r="N177" s="246">
        <v>791177.42</v>
      </c>
      <c r="O177" s="267">
        <v>0</v>
      </c>
      <c r="P177" s="250">
        <f t="shared" si="13"/>
        <v>2006</v>
      </c>
      <c r="Q177" s="268">
        <f>IF(J177=10,1,IFERROR(INDEX('Cost Escalators'!$D$28:$D$92,MATCH($P$4,'Cost Escalators'!$B$28:$B$92,0))/INDEX('Cost Escalators'!$D$28:$D$92,MATCH(I177,'Cost Escalators'!$B$28:$B$92,0)),1))</f>
        <v>1</v>
      </c>
      <c r="R177" s="269">
        <f t="shared" si="14"/>
        <v>791177.42</v>
      </c>
      <c r="S177" s="269">
        <f t="shared" si="15"/>
        <v>791177.42</v>
      </c>
      <c r="T177" s="269">
        <f t="shared" si="16"/>
        <v>791177.42</v>
      </c>
      <c r="U177" s="242">
        <f t="shared" si="17"/>
        <v>0</v>
      </c>
    </row>
    <row r="178" spans="1:21" s="237" customFormat="1" x14ac:dyDescent="0.3">
      <c r="A178" s="237">
        <v>173</v>
      </c>
      <c r="B178" s="263">
        <v>0</v>
      </c>
      <c r="C178" s="263">
        <v>0</v>
      </c>
      <c r="D178" s="264">
        <v>0</v>
      </c>
      <c r="E178" s="383" t="s">
        <v>692</v>
      </c>
      <c r="F178" s="384" t="s">
        <v>364</v>
      </c>
      <c r="G178" s="384">
        <v>31</v>
      </c>
      <c r="H178" s="385">
        <v>38990</v>
      </c>
      <c r="I178" s="265">
        <f t="shared" si="12"/>
        <v>2006</v>
      </c>
      <c r="J178" s="641">
        <v>10</v>
      </c>
      <c r="K178" s="641" t="str">
        <f>VLOOKUP(J178,'Cost Escalators'!$C$313:$D$330,2,FALSE)</f>
        <v>Land</v>
      </c>
      <c r="L178" s="238" t="s">
        <v>693</v>
      </c>
      <c r="M178" s="384" t="s">
        <v>1506</v>
      </c>
      <c r="N178" s="246">
        <v>252478.68</v>
      </c>
      <c r="O178" s="267">
        <v>0</v>
      </c>
      <c r="P178" s="250">
        <f t="shared" si="13"/>
        <v>2006</v>
      </c>
      <c r="Q178" s="268">
        <f>IF(J178=10,1,IFERROR(INDEX('Cost Escalators'!$D$28:$D$92,MATCH($P$4,'Cost Escalators'!$B$28:$B$92,0))/INDEX('Cost Escalators'!$D$28:$D$92,MATCH(I178,'Cost Escalators'!$B$28:$B$92,0)),1))</f>
        <v>1</v>
      </c>
      <c r="R178" s="269">
        <f t="shared" si="14"/>
        <v>252478.68</v>
      </c>
      <c r="S178" s="269">
        <f t="shared" si="15"/>
        <v>252478.68</v>
      </c>
      <c r="T178" s="269">
        <f t="shared" si="16"/>
        <v>252478.68</v>
      </c>
      <c r="U178" s="242">
        <f t="shared" si="17"/>
        <v>0</v>
      </c>
    </row>
    <row r="179" spans="1:21" s="237" customFormat="1" x14ac:dyDescent="0.3">
      <c r="A179" s="237">
        <v>174</v>
      </c>
      <c r="B179" s="263">
        <v>0</v>
      </c>
      <c r="C179" s="263">
        <v>0</v>
      </c>
      <c r="D179" s="264">
        <v>0</v>
      </c>
      <c r="E179" s="383" t="s">
        <v>694</v>
      </c>
      <c r="F179" s="384" t="s">
        <v>364</v>
      </c>
      <c r="G179" s="384">
        <v>31</v>
      </c>
      <c r="H179" s="385">
        <v>38990</v>
      </c>
      <c r="I179" s="265">
        <f t="shared" si="12"/>
        <v>2006</v>
      </c>
      <c r="J179" s="641">
        <v>10</v>
      </c>
      <c r="K179" s="641" t="str">
        <f>VLOOKUP(J179,'Cost Escalators'!$C$313:$D$330,2,FALSE)</f>
        <v>Land</v>
      </c>
      <c r="L179" s="238" t="s">
        <v>695</v>
      </c>
      <c r="M179" s="384" t="s">
        <v>1506</v>
      </c>
      <c r="N179" s="246">
        <v>104714.66</v>
      </c>
      <c r="O179" s="267">
        <v>0</v>
      </c>
      <c r="P179" s="250">
        <f t="shared" si="13"/>
        <v>2006</v>
      </c>
      <c r="Q179" s="268">
        <f>IF(J179=10,1,IFERROR(INDEX('Cost Escalators'!$D$28:$D$92,MATCH($P$4,'Cost Escalators'!$B$28:$B$92,0))/INDEX('Cost Escalators'!$D$28:$D$92,MATCH(I179,'Cost Escalators'!$B$28:$B$92,0)),1))</f>
        <v>1</v>
      </c>
      <c r="R179" s="269">
        <f t="shared" si="14"/>
        <v>104714.66</v>
      </c>
      <c r="S179" s="269">
        <f t="shared" si="15"/>
        <v>104714.66</v>
      </c>
      <c r="T179" s="269">
        <f t="shared" si="16"/>
        <v>104714.66</v>
      </c>
      <c r="U179" s="242">
        <f t="shared" si="17"/>
        <v>0</v>
      </c>
    </row>
    <row r="180" spans="1:21" s="237" customFormat="1" x14ac:dyDescent="0.3">
      <c r="A180" s="237">
        <v>175</v>
      </c>
      <c r="B180" s="263">
        <v>0</v>
      </c>
      <c r="C180" s="263">
        <v>0</v>
      </c>
      <c r="D180" s="264">
        <v>0</v>
      </c>
      <c r="E180" s="383" t="s">
        <v>696</v>
      </c>
      <c r="F180" s="384" t="s">
        <v>364</v>
      </c>
      <c r="G180" s="384">
        <v>31</v>
      </c>
      <c r="H180" s="385">
        <v>39355</v>
      </c>
      <c r="I180" s="265">
        <f t="shared" si="12"/>
        <v>2007</v>
      </c>
      <c r="J180" s="641">
        <v>10</v>
      </c>
      <c r="K180" s="641" t="str">
        <f>VLOOKUP(J180,'Cost Escalators'!$C$313:$D$330,2,FALSE)</f>
        <v>Land</v>
      </c>
      <c r="L180" s="238" t="s">
        <v>697</v>
      </c>
      <c r="M180" s="384" t="s">
        <v>1506</v>
      </c>
      <c r="N180" s="246">
        <v>439801.55</v>
      </c>
      <c r="O180" s="267">
        <v>0</v>
      </c>
      <c r="P180" s="250">
        <f t="shared" si="13"/>
        <v>2007</v>
      </c>
      <c r="Q180" s="268">
        <f>IF(J180=10,1,IFERROR(INDEX('Cost Escalators'!$D$28:$D$92,MATCH($P$4,'Cost Escalators'!$B$28:$B$92,0))/INDEX('Cost Escalators'!$D$28:$D$92,MATCH(I180,'Cost Escalators'!$B$28:$B$92,0)),1))</f>
        <v>1</v>
      </c>
      <c r="R180" s="269">
        <f t="shared" si="14"/>
        <v>439801.55</v>
      </c>
      <c r="S180" s="269">
        <f t="shared" si="15"/>
        <v>439801.55</v>
      </c>
      <c r="T180" s="269">
        <f t="shared" si="16"/>
        <v>439801.55</v>
      </c>
      <c r="U180" s="242">
        <f t="shared" si="17"/>
        <v>0</v>
      </c>
    </row>
    <row r="181" spans="1:21" s="237" customFormat="1" x14ac:dyDescent="0.3">
      <c r="A181" s="237">
        <v>176</v>
      </c>
      <c r="B181" s="263">
        <v>0</v>
      </c>
      <c r="C181" s="263">
        <v>0</v>
      </c>
      <c r="D181" s="264">
        <v>0</v>
      </c>
      <c r="E181" s="383" t="s">
        <v>698</v>
      </c>
      <c r="F181" s="384" t="s">
        <v>364</v>
      </c>
      <c r="G181" s="384">
        <v>31</v>
      </c>
      <c r="H181" s="385">
        <v>39355</v>
      </c>
      <c r="I181" s="265">
        <f t="shared" si="12"/>
        <v>2007</v>
      </c>
      <c r="J181" s="641">
        <v>10</v>
      </c>
      <c r="K181" s="641" t="str">
        <f>VLOOKUP(J181,'Cost Escalators'!$C$313:$D$330,2,FALSE)</f>
        <v>Land</v>
      </c>
      <c r="L181" s="238" t="s">
        <v>699</v>
      </c>
      <c r="M181" s="384" t="s">
        <v>1506</v>
      </c>
      <c r="N181" s="246">
        <v>513101.81</v>
      </c>
      <c r="O181" s="267">
        <v>0</v>
      </c>
      <c r="P181" s="250">
        <f t="shared" si="13"/>
        <v>2007</v>
      </c>
      <c r="Q181" s="268">
        <f>IF(J181=10,1,IFERROR(INDEX('Cost Escalators'!$D$28:$D$92,MATCH($P$4,'Cost Escalators'!$B$28:$B$92,0))/INDEX('Cost Escalators'!$D$28:$D$92,MATCH(I181,'Cost Escalators'!$B$28:$B$92,0)),1))</f>
        <v>1</v>
      </c>
      <c r="R181" s="269">
        <f t="shared" si="14"/>
        <v>513101.81</v>
      </c>
      <c r="S181" s="269">
        <f t="shared" si="15"/>
        <v>513101.81</v>
      </c>
      <c r="T181" s="269">
        <f t="shared" si="16"/>
        <v>513101.81</v>
      </c>
      <c r="U181" s="242">
        <f t="shared" si="17"/>
        <v>0</v>
      </c>
    </row>
    <row r="182" spans="1:21" s="237" customFormat="1" x14ac:dyDescent="0.3">
      <c r="A182" s="237">
        <v>177</v>
      </c>
      <c r="B182" s="263">
        <v>0</v>
      </c>
      <c r="C182" s="263">
        <v>0</v>
      </c>
      <c r="D182" s="264">
        <v>0</v>
      </c>
      <c r="E182" s="383" t="s">
        <v>700</v>
      </c>
      <c r="F182" s="384" t="s">
        <v>364</v>
      </c>
      <c r="G182" s="384">
        <v>31</v>
      </c>
      <c r="H182" s="385">
        <v>39355</v>
      </c>
      <c r="I182" s="265">
        <f t="shared" si="12"/>
        <v>2007</v>
      </c>
      <c r="J182" s="641">
        <v>10</v>
      </c>
      <c r="K182" s="641" t="str">
        <f>VLOOKUP(J182,'Cost Escalators'!$C$313:$D$330,2,FALSE)</f>
        <v>Land</v>
      </c>
      <c r="L182" s="238" t="s">
        <v>701</v>
      </c>
      <c r="M182" s="384" t="s">
        <v>1506</v>
      </c>
      <c r="N182" s="246">
        <v>354284.58</v>
      </c>
      <c r="O182" s="267">
        <v>0</v>
      </c>
      <c r="P182" s="250">
        <f t="shared" si="13"/>
        <v>2007</v>
      </c>
      <c r="Q182" s="268">
        <f>IF(J182=10,1,IFERROR(INDEX('Cost Escalators'!$D$28:$D$92,MATCH($P$4,'Cost Escalators'!$B$28:$B$92,0))/INDEX('Cost Escalators'!$D$28:$D$92,MATCH(I182,'Cost Escalators'!$B$28:$B$92,0)),1))</f>
        <v>1</v>
      </c>
      <c r="R182" s="269">
        <f t="shared" si="14"/>
        <v>354284.58</v>
      </c>
      <c r="S182" s="269">
        <f t="shared" si="15"/>
        <v>354284.58</v>
      </c>
      <c r="T182" s="269">
        <f t="shared" si="16"/>
        <v>354284.58</v>
      </c>
      <c r="U182" s="242">
        <f t="shared" si="17"/>
        <v>0</v>
      </c>
    </row>
    <row r="183" spans="1:21" s="237" customFormat="1" x14ac:dyDescent="0.3">
      <c r="A183" s="237">
        <v>178</v>
      </c>
      <c r="B183" s="263">
        <v>0</v>
      </c>
      <c r="C183" s="263">
        <v>0</v>
      </c>
      <c r="D183" s="264">
        <v>0</v>
      </c>
      <c r="E183" s="383" t="s">
        <v>702</v>
      </c>
      <c r="F183" s="384" t="s">
        <v>364</v>
      </c>
      <c r="G183" s="384">
        <v>31</v>
      </c>
      <c r="H183" s="385">
        <v>39355</v>
      </c>
      <c r="I183" s="265">
        <f t="shared" si="12"/>
        <v>2007</v>
      </c>
      <c r="J183" s="641">
        <v>10</v>
      </c>
      <c r="K183" s="641" t="str">
        <f>VLOOKUP(J183,'Cost Escalators'!$C$313:$D$330,2,FALSE)</f>
        <v>Land</v>
      </c>
      <c r="L183" s="238" t="s">
        <v>703</v>
      </c>
      <c r="M183" s="384" t="s">
        <v>1506</v>
      </c>
      <c r="N183" s="246">
        <v>207684.06</v>
      </c>
      <c r="O183" s="267">
        <v>0</v>
      </c>
      <c r="P183" s="250">
        <f t="shared" si="13"/>
        <v>2007</v>
      </c>
      <c r="Q183" s="268">
        <f>IF(J183=10,1,IFERROR(INDEX('Cost Escalators'!$D$28:$D$92,MATCH($P$4,'Cost Escalators'!$B$28:$B$92,0))/INDEX('Cost Escalators'!$D$28:$D$92,MATCH(I183,'Cost Escalators'!$B$28:$B$92,0)),1))</f>
        <v>1</v>
      </c>
      <c r="R183" s="269">
        <f t="shared" si="14"/>
        <v>207684.06</v>
      </c>
      <c r="S183" s="269">
        <f t="shared" si="15"/>
        <v>207684.06</v>
      </c>
      <c r="T183" s="269">
        <f t="shared" si="16"/>
        <v>207684.06</v>
      </c>
      <c r="U183" s="242">
        <f t="shared" si="17"/>
        <v>0</v>
      </c>
    </row>
    <row r="184" spans="1:21" s="237" customFormat="1" x14ac:dyDescent="0.3">
      <c r="A184" s="237">
        <v>179</v>
      </c>
      <c r="B184" s="263">
        <v>0</v>
      </c>
      <c r="C184" s="263">
        <v>0</v>
      </c>
      <c r="D184" s="264">
        <v>0</v>
      </c>
      <c r="E184" s="383" t="s">
        <v>704</v>
      </c>
      <c r="F184" s="384" t="s">
        <v>364</v>
      </c>
      <c r="G184" s="384">
        <v>31</v>
      </c>
      <c r="H184" s="385">
        <v>39355</v>
      </c>
      <c r="I184" s="265">
        <f t="shared" si="12"/>
        <v>2007</v>
      </c>
      <c r="J184" s="641">
        <v>10</v>
      </c>
      <c r="K184" s="641" t="str">
        <f>VLOOKUP(J184,'Cost Escalators'!$C$313:$D$330,2,FALSE)</f>
        <v>Land</v>
      </c>
      <c r="L184" s="238" t="s">
        <v>705</v>
      </c>
      <c r="M184" s="384" t="s">
        <v>1506</v>
      </c>
      <c r="N184" s="246">
        <v>158817.23000000001</v>
      </c>
      <c r="O184" s="267">
        <v>0</v>
      </c>
      <c r="P184" s="250">
        <f t="shared" si="13"/>
        <v>2007</v>
      </c>
      <c r="Q184" s="268">
        <f>IF(J184=10,1,IFERROR(INDEX('Cost Escalators'!$D$28:$D$92,MATCH($P$4,'Cost Escalators'!$B$28:$B$92,0))/INDEX('Cost Escalators'!$D$28:$D$92,MATCH(I184,'Cost Escalators'!$B$28:$B$92,0)),1))</f>
        <v>1</v>
      </c>
      <c r="R184" s="269">
        <f t="shared" si="14"/>
        <v>158817.23000000001</v>
      </c>
      <c r="S184" s="269">
        <f t="shared" si="15"/>
        <v>158817.23000000001</v>
      </c>
      <c r="T184" s="269">
        <f t="shared" si="16"/>
        <v>158817.23000000001</v>
      </c>
      <c r="U184" s="242">
        <f t="shared" si="17"/>
        <v>0</v>
      </c>
    </row>
    <row r="185" spans="1:21" s="237" customFormat="1" x14ac:dyDescent="0.3">
      <c r="A185" s="237">
        <v>180</v>
      </c>
      <c r="B185" s="263">
        <v>0</v>
      </c>
      <c r="C185" s="263">
        <v>0</v>
      </c>
      <c r="D185" s="264">
        <v>0</v>
      </c>
      <c r="E185" s="383" t="s">
        <v>706</v>
      </c>
      <c r="F185" s="384" t="s">
        <v>364</v>
      </c>
      <c r="G185" s="384">
        <v>31</v>
      </c>
      <c r="H185" s="385">
        <v>39355</v>
      </c>
      <c r="I185" s="265">
        <f t="shared" si="12"/>
        <v>2007</v>
      </c>
      <c r="J185" s="641">
        <v>10</v>
      </c>
      <c r="K185" s="641" t="str">
        <f>VLOOKUP(J185,'Cost Escalators'!$C$313:$D$330,2,FALSE)</f>
        <v>Land</v>
      </c>
      <c r="L185" s="238" t="s">
        <v>707</v>
      </c>
      <c r="M185" s="384" t="s">
        <v>1506</v>
      </c>
      <c r="N185" s="246">
        <v>238225.84</v>
      </c>
      <c r="O185" s="267">
        <v>0</v>
      </c>
      <c r="P185" s="250">
        <f t="shared" si="13"/>
        <v>2007</v>
      </c>
      <c r="Q185" s="268">
        <f>IF(J185=10,1,IFERROR(INDEX('Cost Escalators'!$D$28:$D$92,MATCH($P$4,'Cost Escalators'!$B$28:$B$92,0))/INDEX('Cost Escalators'!$D$28:$D$92,MATCH(I185,'Cost Escalators'!$B$28:$B$92,0)),1))</f>
        <v>1</v>
      </c>
      <c r="R185" s="269">
        <f t="shared" si="14"/>
        <v>238225.84</v>
      </c>
      <c r="S185" s="269">
        <f t="shared" si="15"/>
        <v>238225.84</v>
      </c>
      <c r="T185" s="269">
        <f t="shared" si="16"/>
        <v>238225.84</v>
      </c>
      <c r="U185" s="242">
        <f t="shared" si="17"/>
        <v>0</v>
      </c>
    </row>
    <row r="186" spans="1:21" s="237" customFormat="1" x14ac:dyDescent="0.3">
      <c r="A186" s="237">
        <v>181</v>
      </c>
      <c r="B186" s="263">
        <v>0</v>
      </c>
      <c r="C186" s="263">
        <v>0</v>
      </c>
      <c r="D186" s="264">
        <v>0</v>
      </c>
      <c r="E186" s="383" t="s">
        <v>708</v>
      </c>
      <c r="F186" s="384" t="s">
        <v>364</v>
      </c>
      <c r="G186" s="384">
        <v>31</v>
      </c>
      <c r="H186" s="385">
        <v>39355</v>
      </c>
      <c r="I186" s="265">
        <f t="shared" si="12"/>
        <v>2007</v>
      </c>
      <c r="J186" s="641">
        <v>10</v>
      </c>
      <c r="K186" s="641" t="str">
        <f>VLOOKUP(J186,'Cost Escalators'!$C$313:$D$330,2,FALSE)</f>
        <v>Land</v>
      </c>
      <c r="L186" s="238" t="s">
        <v>709</v>
      </c>
      <c r="M186" s="384" t="s">
        <v>1506</v>
      </c>
      <c r="N186" s="246">
        <v>378718</v>
      </c>
      <c r="O186" s="267">
        <v>0</v>
      </c>
      <c r="P186" s="250">
        <f t="shared" si="13"/>
        <v>2007</v>
      </c>
      <c r="Q186" s="268">
        <f>IF(J186=10,1,IFERROR(INDEX('Cost Escalators'!$D$28:$D$92,MATCH($P$4,'Cost Escalators'!$B$28:$B$92,0))/INDEX('Cost Escalators'!$D$28:$D$92,MATCH(I186,'Cost Escalators'!$B$28:$B$92,0)),1))</f>
        <v>1</v>
      </c>
      <c r="R186" s="269">
        <f t="shared" si="14"/>
        <v>378718</v>
      </c>
      <c r="S186" s="269">
        <f t="shared" si="15"/>
        <v>378718</v>
      </c>
      <c r="T186" s="269">
        <f t="shared" si="16"/>
        <v>378718</v>
      </c>
      <c r="U186" s="242">
        <f t="shared" si="17"/>
        <v>0</v>
      </c>
    </row>
    <row r="187" spans="1:21" s="237" customFormat="1" x14ac:dyDescent="0.3">
      <c r="A187" s="237">
        <v>182</v>
      </c>
      <c r="B187" s="263">
        <v>0</v>
      </c>
      <c r="C187" s="263">
        <v>0</v>
      </c>
      <c r="D187" s="264">
        <v>0</v>
      </c>
      <c r="E187" s="383" t="s">
        <v>710</v>
      </c>
      <c r="F187" s="384" t="s">
        <v>364</v>
      </c>
      <c r="G187" s="384">
        <v>31</v>
      </c>
      <c r="H187" s="385">
        <v>39355</v>
      </c>
      <c r="I187" s="265">
        <f t="shared" si="12"/>
        <v>2007</v>
      </c>
      <c r="J187" s="641">
        <v>10</v>
      </c>
      <c r="K187" s="641" t="str">
        <f>VLOOKUP(J187,'Cost Escalators'!$C$313:$D$330,2,FALSE)</f>
        <v>Land</v>
      </c>
      <c r="L187" s="238" t="s">
        <v>711</v>
      </c>
      <c r="M187" s="384" t="s">
        <v>1506</v>
      </c>
      <c r="N187" s="246">
        <v>68413.570000000007</v>
      </c>
      <c r="O187" s="267">
        <v>0</v>
      </c>
      <c r="P187" s="250">
        <f t="shared" si="13"/>
        <v>2007</v>
      </c>
      <c r="Q187" s="268">
        <f>IF(J187=10,1,IFERROR(INDEX('Cost Escalators'!$D$28:$D$92,MATCH($P$4,'Cost Escalators'!$B$28:$B$92,0))/INDEX('Cost Escalators'!$D$28:$D$92,MATCH(I187,'Cost Escalators'!$B$28:$B$92,0)),1))</f>
        <v>1</v>
      </c>
      <c r="R187" s="269">
        <f t="shared" si="14"/>
        <v>68413.570000000007</v>
      </c>
      <c r="S187" s="269">
        <f t="shared" si="15"/>
        <v>68413.570000000007</v>
      </c>
      <c r="T187" s="269">
        <f t="shared" si="16"/>
        <v>68413.570000000007</v>
      </c>
      <c r="U187" s="242">
        <f t="shared" si="17"/>
        <v>0</v>
      </c>
    </row>
    <row r="188" spans="1:21" s="237" customFormat="1" x14ac:dyDescent="0.3">
      <c r="A188" s="237">
        <v>183</v>
      </c>
      <c r="B188" s="263">
        <v>0</v>
      </c>
      <c r="C188" s="263">
        <v>0</v>
      </c>
      <c r="D188" s="264">
        <v>0</v>
      </c>
      <c r="E188" s="383" t="s">
        <v>712</v>
      </c>
      <c r="F188" s="384" t="s">
        <v>364</v>
      </c>
      <c r="G188" s="384">
        <v>31</v>
      </c>
      <c r="H188" s="385">
        <v>39355</v>
      </c>
      <c r="I188" s="265">
        <f t="shared" si="12"/>
        <v>2007</v>
      </c>
      <c r="J188" s="641">
        <v>10</v>
      </c>
      <c r="K188" s="641" t="str">
        <f>VLOOKUP(J188,'Cost Escalators'!$C$313:$D$330,2,FALSE)</f>
        <v>Land</v>
      </c>
      <c r="L188" s="238" t="s">
        <v>713</v>
      </c>
      <c r="M188" s="384" t="s">
        <v>1506</v>
      </c>
      <c r="N188" s="246">
        <v>119723.76</v>
      </c>
      <c r="O188" s="267">
        <v>0</v>
      </c>
      <c r="P188" s="250">
        <f t="shared" si="13"/>
        <v>2007</v>
      </c>
      <c r="Q188" s="268">
        <f>IF(J188=10,1,IFERROR(INDEX('Cost Escalators'!$D$28:$D$92,MATCH($P$4,'Cost Escalators'!$B$28:$B$92,0))/INDEX('Cost Escalators'!$D$28:$D$92,MATCH(I188,'Cost Escalators'!$B$28:$B$92,0)),1))</f>
        <v>1</v>
      </c>
      <c r="R188" s="269">
        <f t="shared" si="14"/>
        <v>119723.76</v>
      </c>
      <c r="S188" s="269">
        <f t="shared" si="15"/>
        <v>119723.76</v>
      </c>
      <c r="T188" s="269">
        <f t="shared" si="16"/>
        <v>119723.76</v>
      </c>
      <c r="U188" s="242">
        <f t="shared" si="17"/>
        <v>0</v>
      </c>
    </row>
    <row r="189" spans="1:21" s="237" customFormat="1" x14ac:dyDescent="0.3">
      <c r="A189" s="237">
        <v>184</v>
      </c>
      <c r="B189" s="263">
        <v>0</v>
      </c>
      <c r="C189" s="263">
        <v>0</v>
      </c>
      <c r="D189" s="264">
        <v>0</v>
      </c>
      <c r="E189" s="383" t="s">
        <v>714</v>
      </c>
      <c r="F189" s="384" t="s">
        <v>364</v>
      </c>
      <c r="G189" s="384">
        <v>31</v>
      </c>
      <c r="H189" s="385">
        <v>39355</v>
      </c>
      <c r="I189" s="265">
        <f t="shared" si="12"/>
        <v>2007</v>
      </c>
      <c r="J189" s="641">
        <v>10</v>
      </c>
      <c r="K189" s="641" t="str">
        <f>VLOOKUP(J189,'Cost Escalators'!$C$313:$D$330,2,FALSE)</f>
        <v>Land</v>
      </c>
      <c r="L189" s="238" t="s">
        <v>715</v>
      </c>
      <c r="M189" s="384" t="s">
        <v>1506</v>
      </c>
      <c r="N189" s="246">
        <v>68413.570000000007</v>
      </c>
      <c r="O189" s="267">
        <v>0</v>
      </c>
      <c r="P189" s="250">
        <f t="shared" si="13"/>
        <v>2007</v>
      </c>
      <c r="Q189" s="268">
        <f>IF(J189=10,1,IFERROR(INDEX('Cost Escalators'!$D$28:$D$92,MATCH($P$4,'Cost Escalators'!$B$28:$B$92,0))/INDEX('Cost Escalators'!$D$28:$D$92,MATCH(I189,'Cost Escalators'!$B$28:$B$92,0)),1))</f>
        <v>1</v>
      </c>
      <c r="R189" s="269">
        <f t="shared" si="14"/>
        <v>68413.570000000007</v>
      </c>
      <c r="S189" s="269">
        <f t="shared" si="15"/>
        <v>68413.570000000007</v>
      </c>
      <c r="T189" s="269">
        <f t="shared" si="16"/>
        <v>68413.570000000007</v>
      </c>
      <c r="U189" s="242">
        <f t="shared" si="17"/>
        <v>0</v>
      </c>
    </row>
    <row r="190" spans="1:21" s="237" customFormat="1" x14ac:dyDescent="0.3">
      <c r="A190" s="237">
        <v>185</v>
      </c>
      <c r="B190" s="263">
        <v>0</v>
      </c>
      <c r="C190" s="263">
        <v>0</v>
      </c>
      <c r="D190" s="264">
        <v>0</v>
      </c>
      <c r="E190" s="383" t="s">
        <v>716</v>
      </c>
      <c r="F190" s="384" t="s">
        <v>364</v>
      </c>
      <c r="G190" s="384">
        <v>31</v>
      </c>
      <c r="H190" s="385">
        <v>39355</v>
      </c>
      <c r="I190" s="265">
        <f t="shared" si="12"/>
        <v>2007</v>
      </c>
      <c r="J190" s="641">
        <v>10</v>
      </c>
      <c r="K190" s="641" t="str">
        <f>VLOOKUP(J190,'Cost Escalators'!$C$313:$D$330,2,FALSE)</f>
        <v>Land</v>
      </c>
      <c r="L190" s="238" t="s">
        <v>717</v>
      </c>
      <c r="M190" s="384" t="s">
        <v>1506</v>
      </c>
      <c r="N190" s="246">
        <v>146600.51999999999</v>
      </c>
      <c r="O190" s="267">
        <v>0</v>
      </c>
      <c r="P190" s="250">
        <f t="shared" si="13"/>
        <v>2007</v>
      </c>
      <c r="Q190" s="268">
        <f>IF(J190=10,1,IFERROR(INDEX('Cost Escalators'!$D$28:$D$92,MATCH($P$4,'Cost Escalators'!$B$28:$B$92,0))/INDEX('Cost Escalators'!$D$28:$D$92,MATCH(I190,'Cost Escalators'!$B$28:$B$92,0)),1))</f>
        <v>1</v>
      </c>
      <c r="R190" s="269">
        <f t="shared" si="14"/>
        <v>146600.51999999999</v>
      </c>
      <c r="S190" s="269">
        <f t="shared" si="15"/>
        <v>146600.51999999999</v>
      </c>
      <c r="T190" s="269">
        <f t="shared" si="16"/>
        <v>146600.51999999999</v>
      </c>
      <c r="U190" s="242">
        <f t="shared" si="17"/>
        <v>0</v>
      </c>
    </row>
    <row r="191" spans="1:21" s="237" customFormat="1" x14ac:dyDescent="0.3">
      <c r="A191" s="237">
        <v>186</v>
      </c>
      <c r="B191" s="263">
        <v>0</v>
      </c>
      <c r="C191" s="263">
        <v>0</v>
      </c>
      <c r="D191" s="264">
        <v>0</v>
      </c>
      <c r="E191" s="383" t="s">
        <v>718</v>
      </c>
      <c r="F191" s="384" t="s">
        <v>364</v>
      </c>
      <c r="G191" s="384">
        <v>31</v>
      </c>
      <c r="H191" s="385">
        <v>39721</v>
      </c>
      <c r="I191" s="265">
        <f t="shared" si="12"/>
        <v>2008</v>
      </c>
      <c r="J191" s="641">
        <v>10</v>
      </c>
      <c r="K191" s="641" t="str">
        <f>VLOOKUP(J191,'Cost Escalators'!$C$313:$D$330,2,FALSE)</f>
        <v>Land</v>
      </c>
      <c r="L191" s="238" t="s">
        <v>719</v>
      </c>
      <c r="M191" s="384" t="s">
        <v>1506</v>
      </c>
      <c r="N191" s="246">
        <v>2559665</v>
      </c>
      <c r="O191" s="267">
        <v>0</v>
      </c>
      <c r="P191" s="250">
        <f t="shared" si="13"/>
        <v>2008</v>
      </c>
      <c r="Q191" s="268">
        <f>IF(J191=10,1,IFERROR(INDEX('Cost Escalators'!$D$28:$D$92,MATCH($P$4,'Cost Escalators'!$B$28:$B$92,0))/INDEX('Cost Escalators'!$D$28:$D$92,MATCH(I191,'Cost Escalators'!$B$28:$B$92,0)),1))</f>
        <v>1</v>
      </c>
      <c r="R191" s="269">
        <f t="shared" si="14"/>
        <v>2559665</v>
      </c>
      <c r="S191" s="269">
        <f t="shared" si="15"/>
        <v>2559665</v>
      </c>
      <c r="T191" s="269">
        <f t="shared" si="16"/>
        <v>2559665</v>
      </c>
      <c r="U191" s="242">
        <f t="shared" si="17"/>
        <v>0</v>
      </c>
    </row>
    <row r="192" spans="1:21" s="237" customFormat="1" x14ac:dyDescent="0.3">
      <c r="A192" s="237">
        <v>187</v>
      </c>
      <c r="B192" s="263">
        <v>0</v>
      </c>
      <c r="C192" s="263">
        <v>0</v>
      </c>
      <c r="D192" s="264">
        <v>0</v>
      </c>
      <c r="E192" s="383" t="s">
        <v>720</v>
      </c>
      <c r="F192" s="384" t="s">
        <v>364</v>
      </c>
      <c r="G192" s="384">
        <v>31</v>
      </c>
      <c r="H192" s="385">
        <v>40058</v>
      </c>
      <c r="I192" s="265">
        <f t="shared" si="12"/>
        <v>2009</v>
      </c>
      <c r="J192" s="641">
        <v>10</v>
      </c>
      <c r="K192" s="641" t="str">
        <f>VLOOKUP(J192,'Cost Escalators'!$C$313:$D$330,2,FALSE)</f>
        <v>Land</v>
      </c>
      <c r="L192" s="238" t="s">
        <v>721</v>
      </c>
      <c r="M192" s="384" t="s">
        <v>1506</v>
      </c>
      <c r="N192" s="246">
        <v>200473</v>
      </c>
      <c r="O192" s="267">
        <v>0</v>
      </c>
      <c r="P192" s="250">
        <f t="shared" si="13"/>
        <v>2009</v>
      </c>
      <c r="Q192" s="268">
        <f>IF(J192=10,1,IFERROR(INDEX('Cost Escalators'!$D$28:$D$92,MATCH($P$4,'Cost Escalators'!$B$28:$B$92,0))/INDEX('Cost Escalators'!$D$28:$D$92,MATCH(I192,'Cost Escalators'!$B$28:$B$92,0)),1))</f>
        <v>1</v>
      </c>
      <c r="R192" s="269">
        <f t="shared" si="14"/>
        <v>200473</v>
      </c>
      <c r="S192" s="269">
        <f t="shared" si="15"/>
        <v>200473</v>
      </c>
      <c r="T192" s="269">
        <f t="shared" si="16"/>
        <v>200473</v>
      </c>
      <c r="U192" s="242">
        <f t="shared" si="17"/>
        <v>0</v>
      </c>
    </row>
    <row r="193" spans="1:21" s="237" customFormat="1" x14ac:dyDescent="0.3">
      <c r="A193" s="237">
        <v>188</v>
      </c>
      <c r="B193" s="263">
        <v>0</v>
      </c>
      <c r="C193" s="263">
        <v>0</v>
      </c>
      <c r="D193" s="264">
        <v>0</v>
      </c>
      <c r="E193" s="383" t="s">
        <v>720</v>
      </c>
      <c r="F193" s="384" t="s">
        <v>364</v>
      </c>
      <c r="G193" s="384">
        <v>31</v>
      </c>
      <c r="H193" s="385">
        <v>40543</v>
      </c>
      <c r="I193" s="265">
        <f t="shared" si="12"/>
        <v>2010</v>
      </c>
      <c r="J193" s="641">
        <v>10</v>
      </c>
      <c r="K193" s="641" t="str">
        <f>VLOOKUP(J193,'Cost Escalators'!$C$313:$D$330,2,FALSE)</f>
        <v>Land</v>
      </c>
      <c r="L193" s="238" t="s">
        <v>722</v>
      </c>
      <c r="M193" s="384" t="s">
        <v>1506</v>
      </c>
      <c r="N193" s="246">
        <v>19213</v>
      </c>
      <c r="O193" s="267">
        <v>0</v>
      </c>
      <c r="P193" s="250">
        <f t="shared" si="13"/>
        <v>2010</v>
      </c>
      <c r="Q193" s="268">
        <f>IF(J193=10,1,IFERROR(INDEX('Cost Escalators'!$D$28:$D$92,MATCH($P$4,'Cost Escalators'!$B$28:$B$92,0))/INDEX('Cost Escalators'!$D$28:$D$92,MATCH(I193,'Cost Escalators'!$B$28:$B$92,0)),1))</f>
        <v>1</v>
      </c>
      <c r="R193" s="269">
        <f t="shared" si="14"/>
        <v>19213</v>
      </c>
      <c r="S193" s="269">
        <f t="shared" si="15"/>
        <v>19213</v>
      </c>
      <c r="T193" s="269">
        <f t="shared" si="16"/>
        <v>19213</v>
      </c>
      <c r="U193" s="242">
        <f t="shared" si="17"/>
        <v>0</v>
      </c>
    </row>
    <row r="194" spans="1:21" s="237" customFormat="1" x14ac:dyDescent="0.3">
      <c r="A194" s="237">
        <v>189</v>
      </c>
      <c r="B194" s="263">
        <v>0</v>
      </c>
      <c r="C194" s="263">
        <v>0</v>
      </c>
      <c r="D194" s="264">
        <v>0</v>
      </c>
      <c r="E194" s="383" t="s">
        <v>720</v>
      </c>
      <c r="F194" s="384" t="s">
        <v>364</v>
      </c>
      <c r="G194" s="384">
        <v>31</v>
      </c>
      <c r="H194" s="385">
        <v>40908</v>
      </c>
      <c r="I194" s="265">
        <f t="shared" si="12"/>
        <v>2011</v>
      </c>
      <c r="J194" s="641">
        <v>10</v>
      </c>
      <c r="K194" s="641" t="str">
        <f>VLOOKUP(J194,'Cost Escalators'!$C$313:$D$330,2,FALSE)</f>
        <v>Land</v>
      </c>
      <c r="L194" s="238" t="s">
        <v>723</v>
      </c>
      <c r="M194" s="384" t="s">
        <v>1506</v>
      </c>
      <c r="N194" s="246">
        <v>13304</v>
      </c>
      <c r="O194" s="267">
        <v>0</v>
      </c>
      <c r="P194" s="250">
        <f t="shared" si="13"/>
        <v>2011</v>
      </c>
      <c r="Q194" s="268">
        <f>IF(J194=10,1,IFERROR(INDEX('Cost Escalators'!$D$28:$D$92,MATCH($P$4,'Cost Escalators'!$B$28:$B$92,0))/INDEX('Cost Escalators'!$D$28:$D$92,MATCH(I194,'Cost Escalators'!$B$28:$B$92,0)),1))</f>
        <v>1</v>
      </c>
      <c r="R194" s="269">
        <f t="shared" si="14"/>
        <v>13304</v>
      </c>
      <c r="S194" s="269">
        <f t="shared" si="15"/>
        <v>13304</v>
      </c>
      <c r="T194" s="269">
        <f t="shared" si="16"/>
        <v>13304</v>
      </c>
      <c r="U194" s="242">
        <f t="shared" si="17"/>
        <v>0</v>
      </c>
    </row>
    <row r="195" spans="1:21" s="237" customFormat="1" x14ac:dyDescent="0.3">
      <c r="A195" s="237">
        <v>190</v>
      </c>
      <c r="B195" s="263">
        <v>0</v>
      </c>
      <c r="C195" s="263">
        <v>0</v>
      </c>
      <c r="D195" s="264">
        <v>0</v>
      </c>
      <c r="E195" s="383" t="s">
        <v>720</v>
      </c>
      <c r="F195" s="384" t="s">
        <v>364</v>
      </c>
      <c r="G195" s="384">
        <v>31</v>
      </c>
      <c r="H195" s="385">
        <v>41639</v>
      </c>
      <c r="I195" s="265">
        <f t="shared" si="12"/>
        <v>2013</v>
      </c>
      <c r="J195" s="641">
        <v>10</v>
      </c>
      <c r="K195" s="641" t="str">
        <f>VLOOKUP(J195,'Cost Escalators'!$C$313:$D$330,2,FALSE)</f>
        <v>Land</v>
      </c>
      <c r="L195" s="238" t="s">
        <v>724</v>
      </c>
      <c r="M195" s="384" t="s">
        <v>1506</v>
      </c>
      <c r="N195" s="246">
        <v>10073</v>
      </c>
      <c r="O195" s="267">
        <v>0</v>
      </c>
      <c r="P195" s="250">
        <f t="shared" si="13"/>
        <v>2013</v>
      </c>
      <c r="Q195" s="268">
        <f>IF(J195=10,1,IFERROR(INDEX('Cost Escalators'!$D$28:$D$92,MATCH($P$4,'Cost Escalators'!$B$28:$B$92,0))/INDEX('Cost Escalators'!$D$28:$D$92,MATCH(I195,'Cost Escalators'!$B$28:$B$92,0)),1))</f>
        <v>1</v>
      </c>
      <c r="R195" s="269">
        <f t="shared" si="14"/>
        <v>10073</v>
      </c>
      <c r="S195" s="269">
        <f t="shared" si="15"/>
        <v>10073</v>
      </c>
      <c r="T195" s="269">
        <f t="shared" si="16"/>
        <v>10073</v>
      </c>
      <c r="U195" s="242">
        <f t="shared" si="17"/>
        <v>0</v>
      </c>
    </row>
    <row r="196" spans="1:21" s="237" customFormat="1" x14ac:dyDescent="0.3">
      <c r="A196" s="237">
        <v>191</v>
      </c>
      <c r="B196" s="263">
        <v>0</v>
      </c>
      <c r="C196" s="263">
        <v>0</v>
      </c>
      <c r="D196" s="264">
        <v>0</v>
      </c>
      <c r="E196" s="383" t="s">
        <v>720</v>
      </c>
      <c r="F196" s="384" t="s">
        <v>364</v>
      </c>
      <c r="G196" s="384">
        <v>31</v>
      </c>
      <c r="H196" s="385">
        <v>42004</v>
      </c>
      <c r="I196" s="265">
        <f t="shared" si="12"/>
        <v>2014</v>
      </c>
      <c r="J196" s="641">
        <v>10</v>
      </c>
      <c r="K196" s="641" t="str">
        <f>VLOOKUP(J196,'Cost Escalators'!$C$313:$D$330,2,FALSE)</f>
        <v>Land</v>
      </c>
      <c r="L196" s="238" t="s">
        <v>725</v>
      </c>
      <c r="M196" s="384" t="s">
        <v>1506</v>
      </c>
      <c r="N196" s="246">
        <v>6227</v>
      </c>
      <c r="O196" s="267">
        <v>0</v>
      </c>
      <c r="P196" s="250">
        <f t="shared" si="13"/>
        <v>2014</v>
      </c>
      <c r="Q196" s="268">
        <f>IF(J196=10,1,IFERROR(INDEX('Cost Escalators'!$D$28:$D$92,MATCH($P$4,'Cost Escalators'!$B$28:$B$92,0))/INDEX('Cost Escalators'!$D$28:$D$92,MATCH(I196,'Cost Escalators'!$B$28:$B$92,0)),1))</f>
        <v>1</v>
      </c>
      <c r="R196" s="269">
        <f t="shared" si="14"/>
        <v>6227</v>
      </c>
      <c r="S196" s="269">
        <f t="shared" si="15"/>
        <v>6227</v>
      </c>
      <c r="T196" s="269">
        <f t="shared" si="16"/>
        <v>6227</v>
      </c>
      <c r="U196" s="242">
        <f t="shared" si="17"/>
        <v>0</v>
      </c>
    </row>
    <row r="197" spans="1:21" s="237" customFormat="1" x14ac:dyDescent="0.3">
      <c r="A197" s="237">
        <v>192</v>
      </c>
      <c r="B197" s="263">
        <v>0</v>
      </c>
      <c r="C197" s="263">
        <v>0</v>
      </c>
      <c r="D197" s="264">
        <v>0</v>
      </c>
      <c r="E197" s="383" t="s">
        <v>726</v>
      </c>
      <c r="F197" s="384" t="s">
        <v>364</v>
      </c>
      <c r="G197" s="384">
        <v>31</v>
      </c>
      <c r="H197" s="385">
        <v>40178</v>
      </c>
      <c r="I197" s="265">
        <f t="shared" si="12"/>
        <v>2009</v>
      </c>
      <c r="J197" s="641">
        <v>10</v>
      </c>
      <c r="K197" s="641" t="str">
        <f>VLOOKUP(J197,'Cost Escalators'!$C$313:$D$330,2,FALSE)</f>
        <v>Land</v>
      </c>
      <c r="L197" s="238" t="s">
        <v>727</v>
      </c>
      <c r="M197" s="384" t="s">
        <v>1506</v>
      </c>
      <c r="N197" s="246">
        <v>514513</v>
      </c>
      <c r="O197" s="267">
        <v>0</v>
      </c>
      <c r="P197" s="250">
        <f t="shared" si="13"/>
        <v>2009</v>
      </c>
      <c r="Q197" s="268">
        <f>IF(J197=10,1,IFERROR(INDEX('Cost Escalators'!$D$28:$D$92,MATCH($P$4,'Cost Escalators'!$B$28:$B$92,0))/INDEX('Cost Escalators'!$D$28:$D$92,MATCH(I197,'Cost Escalators'!$B$28:$B$92,0)),1))</f>
        <v>1</v>
      </c>
      <c r="R197" s="269">
        <f t="shared" si="14"/>
        <v>514513</v>
      </c>
      <c r="S197" s="269">
        <f t="shared" si="15"/>
        <v>514513</v>
      </c>
      <c r="T197" s="269">
        <f t="shared" si="16"/>
        <v>514513</v>
      </c>
      <c r="U197" s="242">
        <f t="shared" si="17"/>
        <v>0</v>
      </c>
    </row>
    <row r="198" spans="1:21" s="237" customFormat="1" x14ac:dyDescent="0.3">
      <c r="A198" s="237">
        <v>193</v>
      </c>
      <c r="B198" s="263">
        <v>0</v>
      </c>
      <c r="C198" s="263">
        <v>0</v>
      </c>
      <c r="D198" s="264">
        <v>0</v>
      </c>
      <c r="E198" s="383" t="s">
        <v>728</v>
      </c>
      <c r="F198" s="384" t="s">
        <v>364</v>
      </c>
      <c r="G198" s="384">
        <v>31</v>
      </c>
      <c r="H198" s="385">
        <v>40543</v>
      </c>
      <c r="I198" s="265">
        <f t="shared" ref="I198:I261" si="18">YEAR(H198)</f>
        <v>2010</v>
      </c>
      <c r="J198" s="641">
        <v>10</v>
      </c>
      <c r="K198" s="641" t="str">
        <f>VLOOKUP(J198,'Cost Escalators'!$C$313:$D$330,2,FALSE)</f>
        <v>Land</v>
      </c>
      <c r="L198" s="238" t="s">
        <v>729</v>
      </c>
      <c r="M198" s="384" t="s">
        <v>1506</v>
      </c>
      <c r="N198" s="246">
        <v>38998</v>
      </c>
      <c r="O198" s="267">
        <v>0</v>
      </c>
      <c r="P198" s="250">
        <f t="shared" ref="P198:P261" si="19">IF(O198="","",I198+O198)</f>
        <v>2010</v>
      </c>
      <c r="Q198" s="268">
        <f>IF(J198=10,1,IFERROR(INDEX('Cost Escalators'!$D$28:$D$92,MATCH($P$4,'Cost Escalators'!$B$28:$B$92,0))/INDEX('Cost Escalators'!$D$28:$D$92,MATCH(I198,'Cost Escalators'!$B$28:$B$92,0)),1))</f>
        <v>1</v>
      </c>
      <c r="R198" s="269">
        <f t="shared" ref="R198:R261" si="20">N198*Q198</f>
        <v>38998</v>
      </c>
      <c r="S198" s="269">
        <f t="shared" ref="S198:S261" si="21">IFERROR(IF(P198&gt;$P$4,R198*(1+$Q$4)^(P198-$P$4),R198),"")</f>
        <v>38998</v>
      </c>
      <c r="T198" s="269">
        <f t="shared" ref="T198:T261" si="22">IF(J198=10,N198,(N198-U198)*(1+$Q$4)^($P$4-I198))</f>
        <v>38998</v>
      </c>
      <c r="U198" s="242">
        <f t="shared" ref="U198:U261" si="23">IFERROR(IF((N198/O198)*($U$4-I198)&gt;N198,N198,(N198/O198)*($U$4-I198)),0)</f>
        <v>0</v>
      </c>
    </row>
    <row r="199" spans="1:21" s="237" customFormat="1" x14ac:dyDescent="0.3">
      <c r="A199" s="237">
        <v>194</v>
      </c>
      <c r="B199" s="263">
        <v>0</v>
      </c>
      <c r="C199" s="263">
        <v>0</v>
      </c>
      <c r="D199" s="264">
        <v>0</v>
      </c>
      <c r="E199" s="383" t="s">
        <v>730</v>
      </c>
      <c r="F199" s="384" t="s">
        <v>364</v>
      </c>
      <c r="G199" s="384">
        <v>31</v>
      </c>
      <c r="H199" s="385">
        <v>40908</v>
      </c>
      <c r="I199" s="265">
        <f t="shared" si="18"/>
        <v>2011</v>
      </c>
      <c r="J199" s="641">
        <v>10</v>
      </c>
      <c r="K199" s="641" t="str">
        <f>VLOOKUP(J199,'Cost Escalators'!$C$313:$D$330,2,FALSE)</f>
        <v>Land</v>
      </c>
      <c r="L199" s="238" t="s">
        <v>731</v>
      </c>
      <c r="M199" s="384" t="s">
        <v>1506</v>
      </c>
      <c r="N199" s="246">
        <v>160280</v>
      </c>
      <c r="O199" s="267">
        <v>0</v>
      </c>
      <c r="P199" s="250">
        <f t="shared" si="19"/>
        <v>2011</v>
      </c>
      <c r="Q199" s="268">
        <f>IF(J199=10,1,IFERROR(INDEX('Cost Escalators'!$D$28:$D$92,MATCH($P$4,'Cost Escalators'!$B$28:$B$92,0))/INDEX('Cost Escalators'!$D$28:$D$92,MATCH(I199,'Cost Escalators'!$B$28:$B$92,0)),1))</f>
        <v>1</v>
      </c>
      <c r="R199" s="269">
        <f t="shared" si="20"/>
        <v>160280</v>
      </c>
      <c r="S199" s="269">
        <f t="shared" si="21"/>
        <v>160280</v>
      </c>
      <c r="T199" s="269">
        <f t="shared" si="22"/>
        <v>160280</v>
      </c>
      <c r="U199" s="242">
        <f t="shared" si="23"/>
        <v>0</v>
      </c>
    </row>
    <row r="200" spans="1:21" s="237" customFormat="1" x14ac:dyDescent="0.3">
      <c r="A200" s="237">
        <v>195</v>
      </c>
      <c r="B200" s="263">
        <v>0</v>
      </c>
      <c r="C200" s="263">
        <v>0</v>
      </c>
      <c r="D200" s="264">
        <v>0</v>
      </c>
      <c r="E200" s="383" t="s">
        <v>732</v>
      </c>
      <c r="F200" s="384" t="s">
        <v>364</v>
      </c>
      <c r="G200" s="384">
        <v>31</v>
      </c>
      <c r="H200" s="385">
        <v>40908</v>
      </c>
      <c r="I200" s="265">
        <f t="shared" si="18"/>
        <v>2011</v>
      </c>
      <c r="J200" s="641">
        <v>10</v>
      </c>
      <c r="K200" s="641" t="str">
        <f>VLOOKUP(J200,'Cost Escalators'!$C$313:$D$330,2,FALSE)</f>
        <v>Land</v>
      </c>
      <c r="L200" s="238" t="s">
        <v>733</v>
      </c>
      <c r="M200" s="384" t="s">
        <v>1506</v>
      </c>
      <c r="N200" s="246">
        <v>206075</v>
      </c>
      <c r="O200" s="267">
        <v>0</v>
      </c>
      <c r="P200" s="250">
        <f t="shared" si="19"/>
        <v>2011</v>
      </c>
      <c r="Q200" s="268">
        <f>IF(J200=10,1,IFERROR(INDEX('Cost Escalators'!$D$28:$D$92,MATCH($P$4,'Cost Escalators'!$B$28:$B$92,0))/INDEX('Cost Escalators'!$D$28:$D$92,MATCH(I200,'Cost Escalators'!$B$28:$B$92,0)),1))</f>
        <v>1</v>
      </c>
      <c r="R200" s="269">
        <f t="shared" si="20"/>
        <v>206075</v>
      </c>
      <c r="S200" s="269">
        <f t="shared" si="21"/>
        <v>206075</v>
      </c>
      <c r="T200" s="269">
        <f t="shared" si="22"/>
        <v>206075</v>
      </c>
      <c r="U200" s="242">
        <f t="shared" si="23"/>
        <v>0</v>
      </c>
    </row>
    <row r="201" spans="1:21" s="237" customFormat="1" x14ac:dyDescent="0.3">
      <c r="A201" s="237">
        <v>196</v>
      </c>
      <c r="B201" s="263">
        <v>0</v>
      </c>
      <c r="C201" s="263">
        <v>0</v>
      </c>
      <c r="D201" s="264">
        <v>0</v>
      </c>
      <c r="E201" s="383" t="s">
        <v>734</v>
      </c>
      <c r="F201" s="384" t="s">
        <v>364</v>
      </c>
      <c r="G201" s="384">
        <v>31</v>
      </c>
      <c r="H201" s="385">
        <v>40908</v>
      </c>
      <c r="I201" s="265">
        <f t="shared" si="18"/>
        <v>2011</v>
      </c>
      <c r="J201" s="641">
        <v>10</v>
      </c>
      <c r="K201" s="641" t="str">
        <f>VLOOKUP(J201,'Cost Escalators'!$C$313:$D$330,2,FALSE)</f>
        <v>Land</v>
      </c>
      <c r="L201" s="238" t="s">
        <v>735</v>
      </c>
      <c r="M201" s="384" t="s">
        <v>1506</v>
      </c>
      <c r="N201" s="246">
        <v>95629</v>
      </c>
      <c r="O201" s="267">
        <v>0</v>
      </c>
      <c r="P201" s="250">
        <f t="shared" si="19"/>
        <v>2011</v>
      </c>
      <c r="Q201" s="268">
        <f>IF(J201=10,1,IFERROR(INDEX('Cost Escalators'!$D$28:$D$92,MATCH($P$4,'Cost Escalators'!$B$28:$B$92,0))/INDEX('Cost Escalators'!$D$28:$D$92,MATCH(I201,'Cost Escalators'!$B$28:$B$92,0)),1))</f>
        <v>1</v>
      </c>
      <c r="R201" s="269">
        <f t="shared" si="20"/>
        <v>95629</v>
      </c>
      <c r="S201" s="269">
        <f t="shared" si="21"/>
        <v>95629</v>
      </c>
      <c r="T201" s="269">
        <f t="shared" si="22"/>
        <v>95629</v>
      </c>
      <c r="U201" s="242">
        <f t="shared" si="23"/>
        <v>0</v>
      </c>
    </row>
    <row r="202" spans="1:21" s="237" customFormat="1" x14ac:dyDescent="0.3">
      <c r="A202" s="237">
        <v>197</v>
      </c>
      <c r="B202" s="263">
        <v>0</v>
      </c>
      <c r="C202" s="263">
        <v>0</v>
      </c>
      <c r="D202" s="264">
        <v>0</v>
      </c>
      <c r="E202" s="383" t="s">
        <v>736</v>
      </c>
      <c r="F202" s="384" t="s">
        <v>364</v>
      </c>
      <c r="G202" s="384">
        <v>31</v>
      </c>
      <c r="H202" s="385">
        <v>40908</v>
      </c>
      <c r="I202" s="265">
        <f t="shared" si="18"/>
        <v>2011</v>
      </c>
      <c r="J202" s="641">
        <v>10</v>
      </c>
      <c r="K202" s="641" t="str">
        <f>VLOOKUP(J202,'Cost Escalators'!$C$313:$D$330,2,FALSE)</f>
        <v>Land</v>
      </c>
      <c r="L202" s="238" t="s">
        <v>737</v>
      </c>
      <c r="M202" s="384" t="s">
        <v>1506</v>
      </c>
      <c r="N202" s="246">
        <v>74870</v>
      </c>
      <c r="O202" s="267">
        <v>0</v>
      </c>
      <c r="P202" s="250">
        <f t="shared" si="19"/>
        <v>2011</v>
      </c>
      <c r="Q202" s="268">
        <f>IF(J202=10,1,IFERROR(INDEX('Cost Escalators'!$D$28:$D$92,MATCH($P$4,'Cost Escalators'!$B$28:$B$92,0))/INDEX('Cost Escalators'!$D$28:$D$92,MATCH(I202,'Cost Escalators'!$B$28:$B$92,0)),1))</f>
        <v>1</v>
      </c>
      <c r="R202" s="269">
        <f t="shared" si="20"/>
        <v>74870</v>
      </c>
      <c r="S202" s="269">
        <f t="shared" si="21"/>
        <v>74870</v>
      </c>
      <c r="T202" s="269">
        <f t="shared" si="22"/>
        <v>74870</v>
      </c>
      <c r="U202" s="242">
        <f t="shared" si="23"/>
        <v>0</v>
      </c>
    </row>
    <row r="203" spans="1:21" s="237" customFormat="1" x14ac:dyDescent="0.3">
      <c r="A203" s="237">
        <v>198</v>
      </c>
      <c r="B203" s="263">
        <v>0</v>
      </c>
      <c r="C203" s="263">
        <v>0</v>
      </c>
      <c r="D203" s="264">
        <v>0</v>
      </c>
      <c r="E203" s="383" t="s">
        <v>738</v>
      </c>
      <c r="F203" s="384" t="s">
        <v>364</v>
      </c>
      <c r="G203" s="384">
        <v>31</v>
      </c>
      <c r="H203" s="385">
        <v>41274</v>
      </c>
      <c r="I203" s="265">
        <f t="shared" si="18"/>
        <v>2012</v>
      </c>
      <c r="J203" s="641">
        <v>10</v>
      </c>
      <c r="K203" s="641" t="str">
        <f>VLOOKUP(J203,'Cost Escalators'!$C$313:$D$330,2,FALSE)</f>
        <v>Land</v>
      </c>
      <c r="L203" s="238" t="s">
        <v>739</v>
      </c>
      <c r="M203" s="384" t="s">
        <v>1506</v>
      </c>
      <c r="N203" s="246">
        <v>88895</v>
      </c>
      <c r="O203" s="267">
        <v>0</v>
      </c>
      <c r="P203" s="250">
        <f t="shared" si="19"/>
        <v>2012</v>
      </c>
      <c r="Q203" s="268">
        <f>IF(J203=10,1,IFERROR(INDEX('Cost Escalators'!$D$28:$D$92,MATCH($P$4,'Cost Escalators'!$B$28:$B$92,0))/INDEX('Cost Escalators'!$D$28:$D$92,MATCH(I203,'Cost Escalators'!$B$28:$B$92,0)),1))</f>
        <v>1</v>
      </c>
      <c r="R203" s="269">
        <f t="shared" si="20"/>
        <v>88895</v>
      </c>
      <c r="S203" s="269">
        <f t="shared" si="21"/>
        <v>88895</v>
      </c>
      <c r="T203" s="269">
        <f t="shared" si="22"/>
        <v>88895</v>
      </c>
      <c r="U203" s="242">
        <f t="shared" si="23"/>
        <v>0</v>
      </c>
    </row>
    <row r="204" spans="1:21" s="237" customFormat="1" x14ac:dyDescent="0.3">
      <c r="A204" s="237">
        <v>199</v>
      </c>
      <c r="B204" s="263">
        <v>0</v>
      </c>
      <c r="C204" s="263">
        <v>0</v>
      </c>
      <c r="D204" s="264">
        <v>0</v>
      </c>
      <c r="E204" s="383" t="s">
        <v>740</v>
      </c>
      <c r="F204" s="384" t="s">
        <v>364</v>
      </c>
      <c r="G204" s="384">
        <v>31</v>
      </c>
      <c r="H204" s="385">
        <v>41274</v>
      </c>
      <c r="I204" s="265">
        <f t="shared" si="18"/>
        <v>2012</v>
      </c>
      <c r="J204" s="641">
        <v>10</v>
      </c>
      <c r="K204" s="641" t="str">
        <f>VLOOKUP(J204,'Cost Escalators'!$C$313:$D$330,2,FALSE)</f>
        <v>Land</v>
      </c>
      <c r="L204" s="238" t="s">
        <v>741</v>
      </c>
      <c r="M204" s="384" t="s">
        <v>1506</v>
      </c>
      <c r="N204" s="246">
        <v>49031</v>
      </c>
      <c r="O204" s="267">
        <v>0</v>
      </c>
      <c r="P204" s="250">
        <f t="shared" si="19"/>
        <v>2012</v>
      </c>
      <c r="Q204" s="268">
        <f>IF(J204=10,1,IFERROR(INDEX('Cost Escalators'!$D$28:$D$92,MATCH($P$4,'Cost Escalators'!$B$28:$B$92,0))/INDEX('Cost Escalators'!$D$28:$D$92,MATCH(I204,'Cost Escalators'!$B$28:$B$92,0)),1))</f>
        <v>1</v>
      </c>
      <c r="R204" s="269">
        <f t="shared" si="20"/>
        <v>49031</v>
      </c>
      <c r="S204" s="269">
        <f t="shared" si="21"/>
        <v>49031</v>
      </c>
      <c r="T204" s="269">
        <f t="shared" si="22"/>
        <v>49031</v>
      </c>
      <c r="U204" s="242">
        <f t="shared" si="23"/>
        <v>0</v>
      </c>
    </row>
    <row r="205" spans="1:21" s="237" customFormat="1" x14ac:dyDescent="0.3">
      <c r="A205" s="237">
        <v>200</v>
      </c>
      <c r="B205" s="263">
        <v>0</v>
      </c>
      <c r="C205" s="263">
        <v>0</v>
      </c>
      <c r="D205" s="264">
        <v>0</v>
      </c>
      <c r="E205" s="383" t="s">
        <v>742</v>
      </c>
      <c r="F205" s="384" t="s">
        <v>364</v>
      </c>
      <c r="G205" s="384">
        <v>31</v>
      </c>
      <c r="H205" s="385">
        <v>41639</v>
      </c>
      <c r="I205" s="265">
        <f t="shared" si="18"/>
        <v>2013</v>
      </c>
      <c r="J205" s="641">
        <v>10</v>
      </c>
      <c r="K205" s="641" t="str">
        <f>VLOOKUP(J205,'Cost Escalators'!$C$313:$D$330,2,FALSE)</f>
        <v>Land</v>
      </c>
      <c r="L205" s="238" t="s">
        <v>743</v>
      </c>
      <c r="M205" s="384" t="s">
        <v>1506</v>
      </c>
      <c r="N205" s="246">
        <v>289582</v>
      </c>
      <c r="O205" s="267">
        <v>0</v>
      </c>
      <c r="P205" s="250">
        <f t="shared" si="19"/>
        <v>2013</v>
      </c>
      <c r="Q205" s="268">
        <f>IF(J205=10,1,IFERROR(INDEX('Cost Escalators'!$D$28:$D$92,MATCH($P$4,'Cost Escalators'!$B$28:$B$92,0))/INDEX('Cost Escalators'!$D$28:$D$92,MATCH(I205,'Cost Escalators'!$B$28:$B$92,0)),1))</f>
        <v>1</v>
      </c>
      <c r="R205" s="269">
        <f t="shared" si="20"/>
        <v>289582</v>
      </c>
      <c r="S205" s="269">
        <f t="shared" si="21"/>
        <v>289582</v>
      </c>
      <c r="T205" s="269">
        <f t="shared" si="22"/>
        <v>289582</v>
      </c>
      <c r="U205" s="242">
        <f t="shared" si="23"/>
        <v>0</v>
      </c>
    </row>
    <row r="206" spans="1:21" s="237" customFormat="1" x14ac:dyDescent="0.3">
      <c r="A206" s="237">
        <v>201</v>
      </c>
      <c r="B206" s="263">
        <v>0</v>
      </c>
      <c r="C206" s="263">
        <v>0</v>
      </c>
      <c r="D206" s="264">
        <v>0</v>
      </c>
      <c r="E206" s="383" t="s">
        <v>744</v>
      </c>
      <c r="F206" s="384" t="s">
        <v>364</v>
      </c>
      <c r="G206" s="384">
        <v>31</v>
      </c>
      <c r="H206" s="385">
        <v>41639</v>
      </c>
      <c r="I206" s="265">
        <f t="shared" si="18"/>
        <v>2013</v>
      </c>
      <c r="J206" s="641">
        <v>10</v>
      </c>
      <c r="K206" s="641" t="str">
        <f>VLOOKUP(J206,'Cost Escalators'!$C$313:$D$330,2,FALSE)</f>
        <v>Land</v>
      </c>
      <c r="L206" s="238" t="s">
        <v>745</v>
      </c>
      <c r="M206" s="384" t="s">
        <v>1506</v>
      </c>
      <c r="N206" s="246">
        <v>227625</v>
      </c>
      <c r="O206" s="267">
        <v>0</v>
      </c>
      <c r="P206" s="250">
        <f t="shared" si="19"/>
        <v>2013</v>
      </c>
      <c r="Q206" s="268">
        <f>IF(J206=10,1,IFERROR(INDEX('Cost Escalators'!$D$28:$D$92,MATCH($P$4,'Cost Escalators'!$B$28:$B$92,0))/INDEX('Cost Escalators'!$D$28:$D$92,MATCH(I206,'Cost Escalators'!$B$28:$B$92,0)),1))</f>
        <v>1</v>
      </c>
      <c r="R206" s="269">
        <f t="shared" si="20"/>
        <v>227625</v>
      </c>
      <c r="S206" s="269">
        <f t="shared" si="21"/>
        <v>227625</v>
      </c>
      <c r="T206" s="269">
        <f t="shared" si="22"/>
        <v>227625</v>
      </c>
      <c r="U206" s="242">
        <f t="shared" si="23"/>
        <v>0</v>
      </c>
    </row>
    <row r="207" spans="1:21" s="237" customFormat="1" x14ac:dyDescent="0.3">
      <c r="A207" s="237">
        <v>202</v>
      </c>
      <c r="B207" s="263">
        <v>0</v>
      </c>
      <c r="C207" s="263">
        <v>0</v>
      </c>
      <c r="D207" s="264">
        <v>0</v>
      </c>
      <c r="E207" s="383" t="s">
        <v>746</v>
      </c>
      <c r="F207" s="384" t="s">
        <v>364</v>
      </c>
      <c r="G207" s="384">
        <v>31</v>
      </c>
      <c r="H207" s="385">
        <v>41639</v>
      </c>
      <c r="I207" s="265">
        <f t="shared" si="18"/>
        <v>2013</v>
      </c>
      <c r="J207" s="641">
        <v>10</v>
      </c>
      <c r="K207" s="641" t="str">
        <f>VLOOKUP(J207,'Cost Escalators'!$C$313:$D$330,2,FALSE)</f>
        <v>Land</v>
      </c>
      <c r="L207" s="238" t="s">
        <v>747</v>
      </c>
      <c r="M207" s="384" t="s">
        <v>1506</v>
      </c>
      <c r="N207" s="246">
        <v>367702</v>
      </c>
      <c r="O207" s="267">
        <v>0</v>
      </c>
      <c r="P207" s="250">
        <f t="shared" si="19"/>
        <v>2013</v>
      </c>
      <c r="Q207" s="268">
        <f>IF(J207=10,1,IFERROR(INDEX('Cost Escalators'!$D$28:$D$92,MATCH($P$4,'Cost Escalators'!$B$28:$B$92,0))/INDEX('Cost Escalators'!$D$28:$D$92,MATCH(I207,'Cost Escalators'!$B$28:$B$92,0)),1))</f>
        <v>1</v>
      </c>
      <c r="R207" s="269">
        <f t="shared" si="20"/>
        <v>367702</v>
      </c>
      <c r="S207" s="269">
        <f t="shared" si="21"/>
        <v>367702</v>
      </c>
      <c r="T207" s="269">
        <f t="shared" si="22"/>
        <v>367702</v>
      </c>
      <c r="U207" s="242">
        <f t="shared" si="23"/>
        <v>0</v>
      </c>
    </row>
    <row r="208" spans="1:21" s="237" customFormat="1" x14ac:dyDescent="0.3">
      <c r="A208" s="237">
        <v>203</v>
      </c>
      <c r="B208" s="263">
        <v>0</v>
      </c>
      <c r="C208" s="263">
        <v>0</v>
      </c>
      <c r="D208" s="264">
        <v>0</v>
      </c>
      <c r="E208" s="383" t="s">
        <v>748</v>
      </c>
      <c r="F208" s="384" t="s">
        <v>364</v>
      </c>
      <c r="G208" s="384">
        <v>31</v>
      </c>
      <c r="H208" s="385">
        <v>41639</v>
      </c>
      <c r="I208" s="265">
        <f t="shared" si="18"/>
        <v>2013</v>
      </c>
      <c r="J208" s="641">
        <v>10</v>
      </c>
      <c r="K208" s="641" t="str">
        <f>VLOOKUP(J208,'Cost Escalators'!$C$313:$D$330,2,FALSE)</f>
        <v>Land</v>
      </c>
      <c r="L208" s="238" t="s">
        <v>749</v>
      </c>
      <c r="M208" s="384" t="s">
        <v>1506</v>
      </c>
      <c r="N208" s="246">
        <v>26234</v>
      </c>
      <c r="O208" s="267">
        <v>0</v>
      </c>
      <c r="P208" s="250">
        <f t="shared" si="19"/>
        <v>2013</v>
      </c>
      <c r="Q208" s="268">
        <f>IF(J208=10,1,IFERROR(INDEX('Cost Escalators'!$D$28:$D$92,MATCH($P$4,'Cost Escalators'!$B$28:$B$92,0))/INDEX('Cost Escalators'!$D$28:$D$92,MATCH(I208,'Cost Escalators'!$B$28:$B$92,0)),1))</f>
        <v>1</v>
      </c>
      <c r="R208" s="269">
        <f t="shared" si="20"/>
        <v>26234</v>
      </c>
      <c r="S208" s="269">
        <f t="shared" si="21"/>
        <v>26234</v>
      </c>
      <c r="T208" s="269">
        <f t="shared" si="22"/>
        <v>26234</v>
      </c>
      <c r="U208" s="242">
        <f t="shared" si="23"/>
        <v>0</v>
      </c>
    </row>
    <row r="209" spans="1:21" s="237" customFormat="1" x14ac:dyDescent="0.3">
      <c r="A209" s="237">
        <v>204</v>
      </c>
      <c r="B209" s="263">
        <v>0</v>
      </c>
      <c r="C209" s="263">
        <v>0</v>
      </c>
      <c r="D209" s="264">
        <v>0</v>
      </c>
      <c r="E209" s="383" t="s">
        <v>750</v>
      </c>
      <c r="F209" s="384" t="s">
        <v>364</v>
      </c>
      <c r="G209" s="384">
        <v>31</v>
      </c>
      <c r="H209" s="385">
        <v>42004</v>
      </c>
      <c r="I209" s="265">
        <f t="shared" si="18"/>
        <v>2014</v>
      </c>
      <c r="J209" s="641">
        <v>10</v>
      </c>
      <c r="K209" s="641" t="str">
        <f>VLOOKUP(J209,'Cost Escalators'!$C$313:$D$330,2,FALSE)</f>
        <v>Land</v>
      </c>
      <c r="L209" s="238" t="s">
        <v>751</v>
      </c>
      <c r="M209" s="384" t="s">
        <v>1506</v>
      </c>
      <c r="N209" s="246">
        <v>141424</v>
      </c>
      <c r="O209" s="267">
        <v>0</v>
      </c>
      <c r="P209" s="250">
        <f t="shared" si="19"/>
        <v>2014</v>
      </c>
      <c r="Q209" s="268">
        <f>IF(J209=10,1,IFERROR(INDEX('Cost Escalators'!$D$28:$D$92,MATCH($P$4,'Cost Escalators'!$B$28:$B$92,0))/INDEX('Cost Escalators'!$D$28:$D$92,MATCH(I209,'Cost Escalators'!$B$28:$B$92,0)),1))</f>
        <v>1</v>
      </c>
      <c r="R209" s="269">
        <f t="shared" si="20"/>
        <v>141424</v>
      </c>
      <c r="S209" s="269">
        <f t="shared" si="21"/>
        <v>141424</v>
      </c>
      <c r="T209" s="269">
        <f t="shared" si="22"/>
        <v>141424</v>
      </c>
      <c r="U209" s="242">
        <f t="shared" si="23"/>
        <v>0</v>
      </c>
    </row>
    <row r="210" spans="1:21" s="237" customFormat="1" x14ac:dyDescent="0.3">
      <c r="A210" s="237">
        <v>205</v>
      </c>
      <c r="B210" s="263">
        <v>0</v>
      </c>
      <c r="C210" s="263">
        <v>0</v>
      </c>
      <c r="D210" s="264">
        <f t="shared" ref="D210:D224" si="24">1-B210-C210</f>
        <v>1</v>
      </c>
      <c r="E210" s="383" t="s">
        <v>752</v>
      </c>
      <c r="F210" s="384" t="s">
        <v>364</v>
      </c>
      <c r="G210" s="384">
        <v>31</v>
      </c>
      <c r="H210" s="385">
        <v>38260</v>
      </c>
      <c r="I210" s="265">
        <f t="shared" si="18"/>
        <v>2004</v>
      </c>
      <c r="J210" s="383">
        <v>110</v>
      </c>
      <c r="K210" s="641" t="str">
        <f>VLOOKUP(J210,'Cost Escalators'!$C$313:$D$330,2,FALSE)</f>
        <v>Land Improvements</v>
      </c>
      <c r="L210" s="238" t="s">
        <v>753</v>
      </c>
      <c r="M210" s="384" t="s">
        <v>1506</v>
      </c>
      <c r="N210" s="246">
        <v>804710.18</v>
      </c>
      <c r="O210" s="267">
        <v>20</v>
      </c>
      <c r="P210" s="250">
        <f t="shared" si="19"/>
        <v>2024</v>
      </c>
      <c r="Q210" s="268">
        <f>IF(J210=10,1,IFERROR(INDEX('Cost Escalators'!$D$28:$D$92,MATCH($P$4,'Cost Escalators'!$B$28:$B$92,0))/INDEX('Cost Escalators'!$D$28:$D$92,MATCH(I210,'Cost Escalators'!$B$28:$B$92,0)),1))</f>
        <v>1.4107378777231201</v>
      </c>
      <c r="R210" s="269">
        <f t="shared" si="20"/>
        <v>1135235.13151539</v>
      </c>
      <c r="S210" s="269">
        <f t="shared" si="21"/>
        <v>1467463.6479600191</v>
      </c>
      <c r="T210" s="269">
        <f t="shared" si="22"/>
        <v>495572.51451982971</v>
      </c>
      <c r="U210" s="242">
        <f t="shared" si="23"/>
        <v>442590.59900000005</v>
      </c>
    </row>
    <row r="211" spans="1:21" s="237" customFormat="1" x14ac:dyDescent="0.3">
      <c r="A211" s="237">
        <v>206</v>
      </c>
      <c r="B211" s="263">
        <v>0</v>
      </c>
      <c r="C211" s="263">
        <v>0</v>
      </c>
      <c r="D211" s="264">
        <f t="shared" si="24"/>
        <v>1</v>
      </c>
      <c r="E211" s="383" t="s">
        <v>754</v>
      </c>
      <c r="F211" s="384" t="s">
        <v>364</v>
      </c>
      <c r="G211" s="384">
        <v>31</v>
      </c>
      <c r="H211" s="385">
        <v>38272</v>
      </c>
      <c r="I211" s="265">
        <f t="shared" si="18"/>
        <v>2004</v>
      </c>
      <c r="J211" s="383">
        <v>110</v>
      </c>
      <c r="K211" s="641" t="str">
        <f>VLOOKUP(J211,'Cost Escalators'!$C$313:$D$330,2,FALSE)</f>
        <v>Land Improvements</v>
      </c>
      <c r="L211" s="868" t="s">
        <v>755</v>
      </c>
      <c r="M211" s="384" t="s">
        <v>1506</v>
      </c>
      <c r="N211" s="246">
        <v>11096</v>
      </c>
      <c r="O211" s="267">
        <v>20</v>
      </c>
      <c r="P211" s="250">
        <f t="shared" si="19"/>
        <v>2024</v>
      </c>
      <c r="Q211" s="268">
        <f>IF(J211=10,1,IFERROR(INDEX('Cost Escalators'!$D$28:$D$92,MATCH($P$4,'Cost Escalators'!$B$28:$B$92,0))/INDEX('Cost Escalators'!$D$28:$D$92,MATCH(I211,'Cost Escalators'!$B$28:$B$92,0)),1))</f>
        <v>1.4107378777231201</v>
      </c>
      <c r="R211" s="269">
        <f t="shared" si="20"/>
        <v>15653.547491215741</v>
      </c>
      <c r="S211" s="269">
        <f t="shared" si="21"/>
        <v>20234.585124503297</v>
      </c>
      <c r="T211" s="269">
        <f t="shared" si="22"/>
        <v>6833.3578445745916</v>
      </c>
      <c r="U211" s="242">
        <f t="shared" si="23"/>
        <v>6102.7999999999993</v>
      </c>
    </row>
    <row r="212" spans="1:21" s="237" customFormat="1" x14ac:dyDescent="0.3">
      <c r="A212" s="237">
        <v>207</v>
      </c>
      <c r="B212" s="263">
        <v>0</v>
      </c>
      <c r="C212" s="263">
        <v>0</v>
      </c>
      <c r="D212" s="264">
        <f t="shared" si="24"/>
        <v>1</v>
      </c>
      <c r="E212" s="383" t="s">
        <v>756</v>
      </c>
      <c r="F212" s="384" t="s">
        <v>364</v>
      </c>
      <c r="G212" s="384">
        <v>31</v>
      </c>
      <c r="H212" s="385">
        <v>38330</v>
      </c>
      <c r="I212" s="265">
        <f t="shared" si="18"/>
        <v>2004</v>
      </c>
      <c r="J212" s="383">
        <v>110</v>
      </c>
      <c r="K212" s="641" t="str">
        <f>VLOOKUP(J212,'Cost Escalators'!$C$313:$D$330,2,FALSE)</f>
        <v>Land Improvements</v>
      </c>
      <c r="L212" s="238" t="s">
        <v>757</v>
      </c>
      <c r="M212" s="384" t="s">
        <v>1506</v>
      </c>
      <c r="N212" s="246">
        <v>70000</v>
      </c>
      <c r="O212" s="267">
        <v>20</v>
      </c>
      <c r="P212" s="250">
        <f t="shared" si="19"/>
        <v>2024</v>
      </c>
      <c r="Q212" s="268">
        <f>IF(J212=10,1,IFERROR(INDEX('Cost Escalators'!$D$28:$D$92,MATCH($P$4,'Cost Escalators'!$B$28:$B$92,0))/INDEX('Cost Escalators'!$D$28:$D$92,MATCH(I212,'Cost Escalators'!$B$28:$B$92,0)),1))</f>
        <v>1.4107378777231201</v>
      </c>
      <c r="R212" s="269">
        <f t="shared" si="20"/>
        <v>98751.6514406184</v>
      </c>
      <c r="S212" s="269">
        <f t="shared" si="21"/>
        <v>127651.4923139177</v>
      </c>
      <c r="T212" s="269">
        <f t="shared" si="22"/>
        <v>43108.782364836094</v>
      </c>
      <c r="U212" s="242">
        <f t="shared" si="23"/>
        <v>38500</v>
      </c>
    </row>
    <row r="213" spans="1:21" s="237" customFormat="1" x14ac:dyDescent="0.3">
      <c r="A213" s="237">
        <v>208</v>
      </c>
      <c r="B213" s="263">
        <v>0</v>
      </c>
      <c r="C213" s="263">
        <v>0</v>
      </c>
      <c r="D213" s="264">
        <f t="shared" si="24"/>
        <v>1</v>
      </c>
      <c r="E213" s="383" t="s">
        <v>758</v>
      </c>
      <c r="F213" s="384" t="s">
        <v>364</v>
      </c>
      <c r="G213" s="384">
        <v>31</v>
      </c>
      <c r="H213" s="385">
        <v>38482</v>
      </c>
      <c r="I213" s="265">
        <f t="shared" si="18"/>
        <v>2005</v>
      </c>
      <c r="J213" s="383">
        <v>110</v>
      </c>
      <c r="K213" s="641" t="str">
        <f>VLOOKUP(J213,'Cost Escalators'!$C$313:$D$330,2,FALSE)</f>
        <v>Land Improvements</v>
      </c>
      <c r="L213" s="238" t="s">
        <v>759</v>
      </c>
      <c r="M213" s="384" t="s">
        <v>1506</v>
      </c>
      <c r="N213" s="246">
        <v>155463.32</v>
      </c>
      <c r="O213" s="267">
        <v>20</v>
      </c>
      <c r="P213" s="250">
        <f t="shared" si="19"/>
        <v>2025</v>
      </c>
      <c r="Q213" s="268">
        <f>IF(J213=10,1,IFERROR(INDEX('Cost Escalators'!$D$28:$D$92,MATCH($P$4,'Cost Escalators'!$B$28:$B$92,0))/INDEX('Cost Escalators'!$D$28:$D$92,MATCH(I213,'Cost Escalators'!$B$28:$B$92,0)),1))</f>
        <v>1.3480106991371303</v>
      </c>
      <c r="R213" s="269">
        <f t="shared" si="20"/>
        <v>209566.21868337944</v>
      </c>
      <c r="S213" s="269">
        <f t="shared" si="21"/>
        <v>278733.80473904568</v>
      </c>
      <c r="T213" s="269">
        <f t="shared" si="22"/>
        <v>103387.08918166035</v>
      </c>
      <c r="U213" s="242">
        <f t="shared" si="23"/>
        <v>77731.66</v>
      </c>
    </row>
    <row r="214" spans="1:21" s="237" customFormat="1" x14ac:dyDescent="0.3">
      <c r="A214" s="237">
        <v>209</v>
      </c>
      <c r="B214" s="263">
        <v>0</v>
      </c>
      <c r="C214" s="263">
        <v>0</v>
      </c>
      <c r="D214" s="264">
        <f t="shared" si="24"/>
        <v>1</v>
      </c>
      <c r="E214" s="383" t="s">
        <v>760</v>
      </c>
      <c r="F214" s="384" t="s">
        <v>364</v>
      </c>
      <c r="G214" s="384">
        <v>31</v>
      </c>
      <c r="H214" s="385">
        <v>38625</v>
      </c>
      <c r="I214" s="265">
        <f t="shared" si="18"/>
        <v>2005</v>
      </c>
      <c r="J214" s="383">
        <v>110</v>
      </c>
      <c r="K214" s="641" t="str">
        <f>VLOOKUP(J214,'Cost Escalators'!$C$313:$D$330,2,FALSE)</f>
        <v>Land Improvements</v>
      </c>
      <c r="L214" s="238" t="s">
        <v>753</v>
      </c>
      <c r="M214" s="384" t="s">
        <v>1506</v>
      </c>
      <c r="N214" s="246">
        <v>341669.66</v>
      </c>
      <c r="O214" s="267">
        <v>20</v>
      </c>
      <c r="P214" s="250">
        <f t="shared" si="19"/>
        <v>2025</v>
      </c>
      <c r="Q214" s="268">
        <f>IF(J214=10,1,IFERROR(INDEX('Cost Escalators'!$D$28:$D$92,MATCH($P$4,'Cost Escalators'!$B$28:$B$92,0))/INDEX('Cost Escalators'!$D$28:$D$92,MATCH(I214,'Cost Escalators'!$B$28:$B$92,0)),1))</f>
        <v>1.3480106991371303</v>
      </c>
      <c r="R214" s="269">
        <f t="shared" si="20"/>
        <v>460574.35725054558</v>
      </c>
      <c r="S214" s="269">
        <f t="shared" si="21"/>
        <v>612587.48556055606</v>
      </c>
      <c r="T214" s="269">
        <f t="shared" si="22"/>
        <v>227219.07398534627</v>
      </c>
      <c r="U214" s="242">
        <f t="shared" si="23"/>
        <v>170834.83000000002</v>
      </c>
    </row>
    <row r="215" spans="1:21" s="237" customFormat="1" x14ac:dyDescent="0.3">
      <c r="A215" s="237">
        <v>210</v>
      </c>
      <c r="B215" s="263">
        <v>0</v>
      </c>
      <c r="C215" s="263">
        <v>0</v>
      </c>
      <c r="D215" s="264">
        <f t="shared" si="24"/>
        <v>1</v>
      </c>
      <c r="E215" s="383" t="s">
        <v>760</v>
      </c>
      <c r="F215" s="384" t="s">
        <v>364</v>
      </c>
      <c r="G215" s="384">
        <v>31</v>
      </c>
      <c r="H215" s="385">
        <v>38990</v>
      </c>
      <c r="I215" s="265">
        <f t="shared" si="18"/>
        <v>2006</v>
      </c>
      <c r="J215" s="383">
        <v>110</v>
      </c>
      <c r="K215" s="641" t="str">
        <f>VLOOKUP(J215,'Cost Escalators'!$C$313:$D$330,2,FALSE)</f>
        <v>Land Improvements</v>
      </c>
      <c r="L215" s="238" t="s">
        <v>761</v>
      </c>
      <c r="M215" s="384" t="s">
        <v>1506</v>
      </c>
      <c r="N215" s="246">
        <v>23383</v>
      </c>
      <c r="O215" s="267">
        <v>20</v>
      </c>
      <c r="P215" s="250">
        <f t="shared" si="19"/>
        <v>2026</v>
      </c>
      <c r="Q215" s="268">
        <f>IF(J215=10,1,IFERROR(INDEX('Cost Escalators'!$D$28:$D$92,MATCH($P$4,'Cost Escalators'!$B$28:$B$92,0))/INDEX('Cost Escalators'!$D$28:$D$92,MATCH(I215,'Cost Escalators'!$B$28:$B$92,0)),1))</f>
        <v>1.2949395258829222</v>
      </c>
      <c r="R215" s="269">
        <f t="shared" si="20"/>
        <v>30279.57093372037</v>
      </c>
      <c r="S215" s="269">
        <f t="shared" si="21"/>
        <v>41438.585189916455</v>
      </c>
      <c r="T215" s="269">
        <f t="shared" si="22"/>
        <v>16624.341372297615</v>
      </c>
      <c r="U215" s="242">
        <f t="shared" si="23"/>
        <v>10522.35</v>
      </c>
    </row>
    <row r="216" spans="1:21" s="237" customFormat="1" x14ac:dyDescent="0.3">
      <c r="A216" s="237">
        <v>211</v>
      </c>
      <c r="B216" s="263">
        <v>0</v>
      </c>
      <c r="C216" s="263">
        <v>0</v>
      </c>
      <c r="D216" s="264">
        <f t="shared" si="24"/>
        <v>1</v>
      </c>
      <c r="E216" s="383" t="s">
        <v>762</v>
      </c>
      <c r="F216" s="384" t="s">
        <v>364</v>
      </c>
      <c r="G216" s="384">
        <v>31</v>
      </c>
      <c r="H216" s="385">
        <v>39721</v>
      </c>
      <c r="I216" s="265">
        <f t="shared" si="18"/>
        <v>2008</v>
      </c>
      <c r="J216" s="383">
        <v>110</v>
      </c>
      <c r="K216" s="641" t="str">
        <f>VLOOKUP(J216,'Cost Escalators'!$C$313:$D$330,2,FALSE)</f>
        <v>Land Improvements</v>
      </c>
      <c r="L216" s="238" t="s">
        <v>763</v>
      </c>
      <c r="M216" s="384" t="s">
        <v>1506</v>
      </c>
      <c r="N216" s="246">
        <v>4583279</v>
      </c>
      <c r="O216" s="267">
        <v>20</v>
      </c>
      <c r="P216" s="250">
        <f t="shared" si="19"/>
        <v>2028</v>
      </c>
      <c r="Q216" s="268">
        <f>IF(J216=10,1,IFERROR(INDEX('Cost Escalators'!$D$28:$D$92,MATCH($P$4,'Cost Escalators'!$B$28:$B$92,0))/INDEX('Cost Escalators'!$D$28:$D$92,MATCH(I216,'Cost Escalators'!$B$28:$B$92,0)),1))</f>
        <v>1.2078821488382354</v>
      </c>
      <c r="R216" s="269">
        <f t="shared" si="20"/>
        <v>5536060.8872451587</v>
      </c>
      <c r="S216" s="269">
        <f t="shared" si="21"/>
        <v>8021022.4785871897</v>
      </c>
      <c r="T216" s="269">
        <f t="shared" si="22"/>
        <v>3637453.9820892299</v>
      </c>
      <c r="U216" s="242">
        <f t="shared" si="23"/>
        <v>1604147.6500000001</v>
      </c>
    </row>
    <row r="217" spans="1:21" s="237" customFormat="1" x14ac:dyDescent="0.3">
      <c r="A217" s="237">
        <v>212</v>
      </c>
      <c r="B217" s="263">
        <v>0.5</v>
      </c>
      <c r="C217" s="263">
        <f t="shared" ref="C217:C224" si="25">1-B217</f>
        <v>0.5</v>
      </c>
      <c r="D217" s="264">
        <f t="shared" si="24"/>
        <v>0</v>
      </c>
      <c r="E217" s="383" t="s">
        <v>765</v>
      </c>
      <c r="F217" s="384" t="s">
        <v>764</v>
      </c>
      <c r="G217" s="384">
        <v>31</v>
      </c>
      <c r="H217" s="385">
        <v>31532</v>
      </c>
      <c r="I217" s="265">
        <f t="shared" si="18"/>
        <v>1986</v>
      </c>
      <c r="J217" s="383">
        <v>110</v>
      </c>
      <c r="K217" s="641" t="str">
        <f>VLOOKUP(J217,'Cost Escalators'!$C$313:$D$330,2,FALSE)</f>
        <v>Land Improvements</v>
      </c>
      <c r="L217" s="238" t="s">
        <v>766</v>
      </c>
      <c r="M217" s="384" t="s">
        <v>1506</v>
      </c>
      <c r="N217" s="246">
        <v>46155</v>
      </c>
      <c r="O217" s="267">
        <v>20</v>
      </c>
      <c r="P217" s="250">
        <f t="shared" si="19"/>
        <v>2006</v>
      </c>
      <c r="Q217" s="268">
        <f>IF(J217=10,1,IFERROR(INDEX('Cost Escalators'!$D$28:$D$92,MATCH($P$4,'Cost Escalators'!$B$28:$B$92,0))/INDEX('Cost Escalators'!$D$28:$D$92,MATCH(I217,'Cost Escalators'!$B$28:$B$92,0)),1))</f>
        <v>2.3369965075669383</v>
      </c>
      <c r="R217" s="269">
        <f t="shared" si="20"/>
        <v>107864.07380675204</v>
      </c>
      <c r="S217" s="269">
        <f t="shared" si="21"/>
        <v>107864.07380675204</v>
      </c>
      <c r="T217" s="269">
        <f t="shared" si="22"/>
        <v>0</v>
      </c>
      <c r="U217" s="242">
        <f t="shared" si="23"/>
        <v>46155</v>
      </c>
    </row>
    <row r="218" spans="1:21" s="237" customFormat="1" x14ac:dyDescent="0.3">
      <c r="A218" s="237">
        <v>213</v>
      </c>
      <c r="B218" s="263">
        <v>0.5</v>
      </c>
      <c r="C218" s="263">
        <f t="shared" si="25"/>
        <v>0.5</v>
      </c>
      <c r="D218" s="264">
        <f t="shared" si="24"/>
        <v>0</v>
      </c>
      <c r="E218" s="383" t="s">
        <v>767</v>
      </c>
      <c r="F218" s="384" t="s">
        <v>764</v>
      </c>
      <c r="G218" s="384">
        <v>31</v>
      </c>
      <c r="H218" s="385">
        <v>31897</v>
      </c>
      <c r="I218" s="265">
        <f t="shared" si="18"/>
        <v>1987</v>
      </c>
      <c r="J218" s="383">
        <v>110</v>
      </c>
      <c r="K218" s="641" t="str">
        <f>VLOOKUP(J218,'Cost Escalators'!$C$313:$D$330,2,FALSE)</f>
        <v>Land Improvements</v>
      </c>
      <c r="L218" s="238" t="s">
        <v>768</v>
      </c>
      <c r="M218" s="384" t="s">
        <v>1506</v>
      </c>
      <c r="N218" s="246">
        <v>14187.1</v>
      </c>
      <c r="O218" s="267">
        <v>20</v>
      </c>
      <c r="P218" s="250">
        <f t="shared" si="19"/>
        <v>2007</v>
      </c>
      <c r="Q218" s="268">
        <f>IF(J218=10,1,IFERROR(INDEX('Cost Escalators'!$D$28:$D$92,MATCH($P$4,'Cost Escalators'!$B$28:$B$92,0))/INDEX('Cost Escalators'!$D$28:$D$92,MATCH(I218,'Cost Escalators'!$B$28:$B$92,0)),1))</f>
        <v>2.2781207444394007</v>
      </c>
      <c r="R218" s="269">
        <f t="shared" si="20"/>
        <v>32319.926813436221</v>
      </c>
      <c r="S218" s="269">
        <f t="shared" si="21"/>
        <v>32319.926813436221</v>
      </c>
      <c r="T218" s="269">
        <f t="shared" si="22"/>
        <v>0</v>
      </c>
      <c r="U218" s="242">
        <f t="shared" si="23"/>
        <v>14187.1</v>
      </c>
    </row>
    <row r="219" spans="1:21" s="237" customFormat="1" x14ac:dyDescent="0.3">
      <c r="A219" s="237">
        <v>214</v>
      </c>
      <c r="B219" s="263">
        <v>0</v>
      </c>
      <c r="C219" s="263">
        <v>0</v>
      </c>
      <c r="D219" s="264">
        <f t="shared" si="24"/>
        <v>1</v>
      </c>
      <c r="E219" s="383" t="s">
        <v>769</v>
      </c>
      <c r="F219" s="384" t="s">
        <v>364</v>
      </c>
      <c r="G219" s="384">
        <v>31</v>
      </c>
      <c r="H219" s="385">
        <v>36117</v>
      </c>
      <c r="I219" s="265">
        <f t="shared" si="18"/>
        <v>1998</v>
      </c>
      <c r="J219" s="383">
        <v>150</v>
      </c>
      <c r="K219" s="641" t="str">
        <f>VLOOKUP(J219,'Cost Escalators'!$C$313:$D$330,2,FALSE)</f>
        <v>Below Ground Piping (See 335)</v>
      </c>
      <c r="L219" s="868" t="s">
        <v>770</v>
      </c>
      <c r="M219" s="384" t="s">
        <v>1506</v>
      </c>
      <c r="N219" s="246">
        <v>21614.400000000001</v>
      </c>
      <c r="O219" s="267">
        <v>20</v>
      </c>
      <c r="P219" s="250">
        <f t="shared" si="19"/>
        <v>2018</v>
      </c>
      <c r="Q219" s="268">
        <f>IF(J219=10,1,IFERROR(INDEX('Cost Escalators'!$D$28:$D$92,MATCH($P$4,'Cost Escalators'!$B$28:$B$92,0))/INDEX('Cost Escalators'!$D$28:$D$92,MATCH(I219,'Cost Escalators'!$B$28:$B$92,0)),1))</f>
        <v>1.6955067567567568</v>
      </c>
      <c r="R219" s="269">
        <f t="shared" si="20"/>
        <v>36647.361243243249</v>
      </c>
      <c r="S219" s="269">
        <f t="shared" si="21"/>
        <v>39921.166128526929</v>
      </c>
      <c r="T219" s="269">
        <f t="shared" si="22"/>
        <v>5265.1489906174365</v>
      </c>
      <c r="U219" s="242">
        <f t="shared" si="23"/>
        <v>18372.240000000002</v>
      </c>
    </row>
    <row r="220" spans="1:21" s="237" customFormat="1" x14ac:dyDescent="0.3">
      <c r="A220" s="237">
        <v>215</v>
      </c>
      <c r="B220" s="263">
        <v>0</v>
      </c>
      <c r="C220" s="263">
        <v>0</v>
      </c>
      <c r="D220" s="264">
        <f t="shared" si="24"/>
        <v>1</v>
      </c>
      <c r="E220" s="383" t="s">
        <v>771</v>
      </c>
      <c r="F220" s="384" t="s">
        <v>364</v>
      </c>
      <c r="G220" s="384">
        <v>31</v>
      </c>
      <c r="H220" s="385">
        <v>36091</v>
      </c>
      <c r="I220" s="265">
        <f t="shared" si="18"/>
        <v>1998</v>
      </c>
      <c r="J220" s="383">
        <v>150</v>
      </c>
      <c r="K220" s="641" t="str">
        <f>VLOOKUP(J220,'Cost Escalators'!$C$313:$D$330,2,FALSE)</f>
        <v>Below Ground Piping (See 335)</v>
      </c>
      <c r="L220" s="868" t="s">
        <v>772</v>
      </c>
      <c r="M220" s="384" t="s">
        <v>1506</v>
      </c>
      <c r="N220" s="246">
        <v>34690.25</v>
      </c>
      <c r="O220" s="267">
        <v>20</v>
      </c>
      <c r="P220" s="250">
        <f t="shared" si="19"/>
        <v>2018</v>
      </c>
      <c r="Q220" s="268">
        <f>IF(J220=10,1,IFERROR(INDEX('Cost Escalators'!$D$28:$D$92,MATCH($P$4,'Cost Escalators'!$B$28:$B$92,0))/INDEX('Cost Escalators'!$D$28:$D$92,MATCH(I220,'Cost Escalators'!$B$28:$B$92,0)),1))</f>
        <v>1.6955067567567568</v>
      </c>
      <c r="R220" s="269">
        <f t="shared" si="20"/>
        <v>58817.553268581083</v>
      </c>
      <c r="S220" s="269">
        <f t="shared" si="21"/>
        <v>64071.879547437406</v>
      </c>
      <c r="T220" s="269">
        <f t="shared" si="22"/>
        <v>8450.3541514807948</v>
      </c>
      <c r="U220" s="242">
        <f t="shared" si="23"/>
        <v>29486.712500000001</v>
      </c>
    </row>
    <row r="221" spans="1:21" s="237" customFormat="1" x14ac:dyDescent="0.3">
      <c r="A221" s="237">
        <v>216</v>
      </c>
      <c r="B221" s="263">
        <v>0.5</v>
      </c>
      <c r="C221" s="263">
        <f t="shared" si="25"/>
        <v>0.5</v>
      </c>
      <c r="D221" s="264">
        <f t="shared" si="24"/>
        <v>0</v>
      </c>
      <c r="E221" s="383" t="s">
        <v>773</v>
      </c>
      <c r="F221" s="384" t="s">
        <v>364</v>
      </c>
      <c r="G221" s="384">
        <v>31</v>
      </c>
      <c r="H221" s="385">
        <v>36314</v>
      </c>
      <c r="I221" s="265">
        <f t="shared" si="18"/>
        <v>1999</v>
      </c>
      <c r="J221" s="383">
        <v>150</v>
      </c>
      <c r="K221" s="641" t="str">
        <f>VLOOKUP(J221,'Cost Escalators'!$C$313:$D$330,2,FALSE)</f>
        <v>Below Ground Piping (See 335)</v>
      </c>
      <c r="L221" s="868" t="s">
        <v>774</v>
      </c>
      <c r="M221" s="384" t="s">
        <v>1506</v>
      </c>
      <c r="N221" s="246">
        <v>65743.5</v>
      </c>
      <c r="O221" s="267">
        <v>20</v>
      </c>
      <c r="P221" s="250">
        <f t="shared" si="19"/>
        <v>2019</v>
      </c>
      <c r="Q221" s="268">
        <f>IF(J221=10,1,IFERROR(INDEX('Cost Escalators'!$D$28:$D$92,MATCH($P$4,'Cost Escalators'!$B$28:$B$92,0))/INDEX('Cost Escalators'!$D$28:$D$92,MATCH(I221,'Cost Escalators'!$B$28:$B$92,0)),1))</f>
        <v>1.6566100016504373</v>
      </c>
      <c r="R221" s="269">
        <f t="shared" si="20"/>
        <v>108911.33964350552</v>
      </c>
      <c r="S221" s="269">
        <f t="shared" si="21"/>
        <v>122073.23291669805</v>
      </c>
      <c r="T221" s="269">
        <f t="shared" si="22"/>
        <v>20752.585022774456</v>
      </c>
      <c r="U221" s="242">
        <f t="shared" si="23"/>
        <v>52594.8</v>
      </c>
    </row>
    <row r="222" spans="1:21" s="237" customFormat="1" x14ac:dyDescent="0.3">
      <c r="A222" s="237">
        <v>217</v>
      </c>
      <c r="B222" s="263">
        <v>0.5</v>
      </c>
      <c r="C222" s="263">
        <f t="shared" si="25"/>
        <v>0.5</v>
      </c>
      <c r="D222" s="264">
        <f t="shared" si="24"/>
        <v>0</v>
      </c>
      <c r="E222" s="383" t="s">
        <v>775</v>
      </c>
      <c r="F222" s="384" t="s">
        <v>364</v>
      </c>
      <c r="G222" s="384">
        <v>31</v>
      </c>
      <c r="H222" s="385">
        <v>36270</v>
      </c>
      <c r="I222" s="265">
        <f t="shared" si="18"/>
        <v>1999</v>
      </c>
      <c r="J222" s="383">
        <v>150</v>
      </c>
      <c r="K222" s="641" t="str">
        <f>VLOOKUP(J222,'Cost Escalators'!$C$313:$D$330,2,FALSE)</f>
        <v>Below Ground Piping (See 335)</v>
      </c>
      <c r="L222" s="868" t="s">
        <v>776</v>
      </c>
      <c r="M222" s="384" t="s">
        <v>1506</v>
      </c>
      <c r="N222" s="246">
        <v>284256.5</v>
      </c>
      <c r="O222" s="267">
        <v>20</v>
      </c>
      <c r="P222" s="250">
        <f t="shared" si="19"/>
        <v>2019</v>
      </c>
      <c r="Q222" s="268">
        <f>IF(J222=10,1,IFERROR(INDEX('Cost Escalators'!$D$28:$D$92,MATCH($P$4,'Cost Escalators'!$B$28:$B$92,0))/INDEX('Cost Escalators'!$D$28:$D$92,MATCH(I222,'Cost Escalators'!$B$28:$B$92,0)),1))</f>
        <v>1.6566100016504373</v>
      </c>
      <c r="R222" s="269">
        <f t="shared" si="20"/>
        <v>470902.16093414754</v>
      </c>
      <c r="S222" s="269">
        <f t="shared" si="21"/>
        <v>527810.50495616114</v>
      </c>
      <c r="T222" s="269">
        <f t="shared" si="22"/>
        <v>89728.371390727407</v>
      </c>
      <c r="U222" s="242">
        <f t="shared" si="23"/>
        <v>227405.2</v>
      </c>
    </row>
    <row r="223" spans="1:21" s="237" customFormat="1" x14ac:dyDescent="0.3">
      <c r="A223" s="237">
        <v>218</v>
      </c>
      <c r="B223" s="263">
        <v>0</v>
      </c>
      <c r="C223" s="263">
        <f t="shared" si="25"/>
        <v>1</v>
      </c>
      <c r="D223" s="264">
        <f t="shared" si="24"/>
        <v>0</v>
      </c>
      <c r="E223" s="383" t="s">
        <v>777</v>
      </c>
      <c r="F223" s="384" t="s">
        <v>364</v>
      </c>
      <c r="G223" s="384">
        <v>31</v>
      </c>
      <c r="H223" s="385">
        <v>36433</v>
      </c>
      <c r="I223" s="265">
        <f t="shared" si="18"/>
        <v>1999</v>
      </c>
      <c r="J223" s="383">
        <v>150</v>
      </c>
      <c r="K223" s="641" t="str">
        <f>VLOOKUP(J223,'Cost Escalators'!$C$313:$D$330,2,FALSE)</f>
        <v>Below Ground Piping (See 335)</v>
      </c>
      <c r="L223" s="238" t="s">
        <v>778</v>
      </c>
      <c r="M223" s="384" t="s">
        <v>1506</v>
      </c>
      <c r="N223" s="246">
        <v>142728.75</v>
      </c>
      <c r="O223" s="267">
        <v>20</v>
      </c>
      <c r="P223" s="250">
        <f t="shared" si="19"/>
        <v>2019</v>
      </c>
      <c r="Q223" s="268">
        <f>IF(J223=10,1,IFERROR(INDEX('Cost Escalators'!$D$28:$D$92,MATCH($P$4,'Cost Escalators'!$B$28:$B$92,0))/INDEX('Cost Escalators'!$D$28:$D$92,MATCH(I223,'Cost Escalators'!$B$28:$B$92,0)),1))</f>
        <v>1.6566100016504373</v>
      </c>
      <c r="R223" s="269">
        <f t="shared" si="20"/>
        <v>236445.87477306486</v>
      </c>
      <c r="S223" s="269">
        <f t="shared" si="21"/>
        <v>265020.26729120244</v>
      </c>
      <c r="T223" s="269">
        <f t="shared" si="22"/>
        <v>45053.739450581736</v>
      </c>
      <c r="U223" s="242">
        <f t="shared" si="23"/>
        <v>114183</v>
      </c>
    </row>
    <row r="224" spans="1:21" s="237" customFormat="1" x14ac:dyDescent="0.3">
      <c r="A224" s="237">
        <v>219</v>
      </c>
      <c r="B224" s="263">
        <v>1</v>
      </c>
      <c r="C224" s="263">
        <f t="shared" si="25"/>
        <v>0</v>
      </c>
      <c r="D224" s="264">
        <f t="shared" si="24"/>
        <v>0</v>
      </c>
      <c r="E224" s="383" t="s">
        <v>779</v>
      </c>
      <c r="F224" s="384" t="s">
        <v>364</v>
      </c>
      <c r="G224" s="384">
        <v>31</v>
      </c>
      <c r="H224" s="385">
        <v>36798</v>
      </c>
      <c r="I224" s="265">
        <f t="shared" si="18"/>
        <v>2000</v>
      </c>
      <c r="J224" s="383">
        <v>150</v>
      </c>
      <c r="K224" s="641" t="str">
        <f>VLOOKUP(J224,'Cost Escalators'!$C$313:$D$330,2,FALSE)</f>
        <v>Below Ground Piping (See 335)</v>
      </c>
      <c r="L224" s="238" t="s">
        <v>780</v>
      </c>
      <c r="M224" s="384" t="s">
        <v>1506</v>
      </c>
      <c r="N224" s="246">
        <v>7245.99</v>
      </c>
      <c r="O224" s="267">
        <v>20</v>
      </c>
      <c r="P224" s="250">
        <f t="shared" si="19"/>
        <v>2020</v>
      </c>
      <c r="Q224" s="268">
        <f>IF(J224=10,1,IFERROR(INDEX('Cost Escalators'!$D$28:$D$92,MATCH($P$4,'Cost Escalators'!$B$28:$B$92,0))/INDEX('Cost Escalators'!$D$28:$D$92,MATCH(I224,'Cost Escalators'!$B$28:$B$92,0)),1))</f>
        <v>1.6134705031345442</v>
      </c>
      <c r="R224" s="269">
        <f t="shared" si="20"/>
        <v>11691.191131007876</v>
      </c>
      <c r="S224" s="269">
        <f t="shared" si="21"/>
        <v>13483.198970360678</v>
      </c>
      <c r="T224" s="269">
        <f t="shared" si="22"/>
        <v>2778.6912124051482</v>
      </c>
      <c r="U224" s="242">
        <f t="shared" si="23"/>
        <v>5434.4924999999994</v>
      </c>
    </row>
    <row r="225" spans="1:21" s="237" customFormat="1" x14ac:dyDescent="0.3">
      <c r="A225" s="237">
        <v>220</v>
      </c>
      <c r="B225" s="263">
        <v>0</v>
      </c>
      <c r="C225" s="263">
        <v>0</v>
      </c>
      <c r="D225" s="626">
        <v>0</v>
      </c>
      <c r="E225" s="383" t="s">
        <v>781</v>
      </c>
      <c r="F225" s="384" t="s">
        <v>364</v>
      </c>
      <c r="G225" s="384">
        <v>31</v>
      </c>
      <c r="H225" s="385">
        <v>32540</v>
      </c>
      <c r="I225" s="265">
        <f t="shared" si="18"/>
        <v>1989</v>
      </c>
      <c r="J225" s="383">
        <v>210</v>
      </c>
      <c r="K225" s="641" t="str">
        <f>VLOOKUP(J225,'Cost Escalators'!$C$313:$D$330,2,FALSE)</f>
        <v>Building</v>
      </c>
      <c r="L225" s="868" t="s">
        <v>782</v>
      </c>
      <c r="M225" s="384" t="s">
        <v>1506</v>
      </c>
      <c r="N225" s="246">
        <v>62919.7</v>
      </c>
      <c r="O225" s="267">
        <v>50</v>
      </c>
      <c r="P225" s="250">
        <f t="shared" si="19"/>
        <v>2039</v>
      </c>
      <c r="Q225" s="268">
        <f>IF(J225=10,1,IFERROR(INDEX('Cost Escalators'!$D$28:$D$92,MATCH($P$4,'Cost Escalators'!$B$28:$B$92,0))/INDEX('Cost Escalators'!$D$28:$D$92,MATCH(I225,'Cost Escalators'!$B$28:$B$92,0)),1))</f>
        <v>2.1749512459371614</v>
      </c>
      <c r="R225" s="269">
        <f t="shared" si="20"/>
        <v>136847.27990899241</v>
      </c>
      <c r="S225" s="269">
        <f t="shared" si="21"/>
        <v>271344.01522429858</v>
      </c>
      <c r="T225" s="269">
        <f t="shared" si="22"/>
        <v>63399.470615043334</v>
      </c>
      <c r="U225" s="242">
        <f t="shared" si="23"/>
        <v>32718.243999999999</v>
      </c>
    </row>
    <row r="226" spans="1:21" s="237" customFormat="1" x14ac:dyDescent="0.3">
      <c r="A226" s="237">
        <v>221</v>
      </c>
      <c r="B226" s="263">
        <v>0</v>
      </c>
      <c r="C226" s="263">
        <v>0</v>
      </c>
      <c r="D226" s="626">
        <v>0</v>
      </c>
      <c r="E226" s="383" t="s">
        <v>781</v>
      </c>
      <c r="F226" s="384" t="s">
        <v>364</v>
      </c>
      <c r="G226" s="384">
        <v>31</v>
      </c>
      <c r="H226" s="385">
        <v>32448</v>
      </c>
      <c r="I226" s="265">
        <f t="shared" si="18"/>
        <v>1988</v>
      </c>
      <c r="J226" s="383">
        <v>210</v>
      </c>
      <c r="K226" s="641" t="str">
        <f>VLOOKUP(J226,'Cost Escalators'!$C$313:$D$330,2,FALSE)</f>
        <v>Building</v>
      </c>
      <c r="L226" s="868" t="s">
        <v>783</v>
      </c>
      <c r="M226" s="384" t="s">
        <v>1506</v>
      </c>
      <c r="N226" s="246">
        <v>32719.93</v>
      </c>
      <c r="O226" s="267">
        <v>50</v>
      </c>
      <c r="P226" s="250">
        <f t="shared" si="19"/>
        <v>2038</v>
      </c>
      <c r="Q226" s="268">
        <f>IF(J226=10,1,IFERROR(INDEX('Cost Escalators'!$D$28:$D$92,MATCH($P$4,'Cost Escalators'!$B$28:$B$92,0))/INDEX('Cost Escalators'!$D$28:$D$92,MATCH(I226,'Cost Escalators'!$B$28:$B$92,0)),1))</f>
        <v>2.2211551228147819</v>
      </c>
      <c r="R226" s="269">
        <f t="shared" si="20"/>
        <v>72676.040137641074</v>
      </c>
      <c r="S226" s="269">
        <f t="shared" si="21"/>
        <v>140051.73627111138</v>
      </c>
      <c r="T226" s="269">
        <f t="shared" si="22"/>
        <v>32509.836479857539</v>
      </c>
      <c r="U226" s="242">
        <f t="shared" si="23"/>
        <v>17668.762200000001</v>
      </c>
    </row>
    <row r="227" spans="1:21" s="237" customFormat="1" x14ac:dyDescent="0.3">
      <c r="A227" s="237">
        <v>222</v>
      </c>
      <c r="B227" s="263">
        <v>1</v>
      </c>
      <c r="C227" s="263">
        <f t="shared" ref="C227:C242" si="26">1-B227</f>
        <v>0</v>
      </c>
      <c r="D227" s="264">
        <f t="shared" ref="D227:D290" si="27">1-B227-C227</f>
        <v>0</v>
      </c>
      <c r="E227" s="383" t="s">
        <v>784</v>
      </c>
      <c r="F227" s="384" t="s">
        <v>364</v>
      </c>
      <c r="G227" s="384">
        <v>31</v>
      </c>
      <c r="H227" s="385">
        <v>34089</v>
      </c>
      <c r="I227" s="265">
        <f t="shared" si="18"/>
        <v>1993</v>
      </c>
      <c r="J227" s="383">
        <v>210</v>
      </c>
      <c r="K227" s="641" t="str">
        <f>VLOOKUP(J227,'Cost Escalators'!$C$313:$D$330,2,FALSE)</f>
        <v>Building</v>
      </c>
      <c r="L227" s="238" t="s">
        <v>785</v>
      </c>
      <c r="M227" s="384" t="s">
        <v>1506</v>
      </c>
      <c r="N227" s="246">
        <v>13875</v>
      </c>
      <c r="O227" s="267">
        <v>50</v>
      </c>
      <c r="P227" s="250">
        <f t="shared" si="19"/>
        <v>2043</v>
      </c>
      <c r="Q227" s="268">
        <f>IF(J227=10,1,IFERROR(INDEX('Cost Escalators'!$D$28:$D$92,MATCH($P$4,'Cost Escalators'!$B$28:$B$92,0))/INDEX('Cost Escalators'!$D$28:$D$92,MATCH(I227,'Cost Escalators'!$B$28:$B$92,0)),1))</f>
        <v>1.9265642994241843</v>
      </c>
      <c r="R227" s="269">
        <f t="shared" si="20"/>
        <v>26731.079654510559</v>
      </c>
      <c r="S227" s="269">
        <f t="shared" si="21"/>
        <v>59408.409313778167</v>
      </c>
      <c r="T227" s="269">
        <f t="shared" si="22"/>
        <v>14552.292767876341</v>
      </c>
      <c r="U227" s="242">
        <f t="shared" si="23"/>
        <v>6105</v>
      </c>
    </row>
    <row r="228" spans="1:21" s="237" customFormat="1" x14ac:dyDescent="0.3">
      <c r="A228" s="237">
        <v>223</v>
      </c>
      <c r="B228" s="263">
        <v>0.5</v>
      </c>
      <c r="C228" s="263">
        <f t="shared" si="26"/>
        <v>0.5</v>
      </c>
      <c r="D228" s="264">
        <f t="shared" si="27"/>
        <v>0</v>
      </c>
      <c r="E228" s="383" t="s">
        <v>786</v>
      </c>
      <c r="F228" s="384" t="s">
        <v>364</v>
      </c>
      <c r="G228" s="384">
        <v>31</v>
      </c>
      <c r="H228" s="385">
        <v>28969</v>
      </c>
      <c r="I228" s="265">
        <f t="shared" si="18"/>
        <v>1979</v>
      </c>
      <c r="J228" s="383">
        <v>210</v>
      </c>
      <c r="K228" s="641" t="str">
        <f>VLOOKUP(J228,'Cost Escalators'!$C$313:$D$330,2,FALSE)</f>
        <v>Building</v>
      </c>
      <c r="L228" s="238" t="s">
        <v>787</v>
      </c>
      <c r="M228" s="384" t="s">
        <v>1506</v>
      </c>
      <c r="N228" s="246">
        <v>82582.14</v>
      </c>
      <c r="O228" s="267">
        <v>50</v>
      </c>
      <c r="P228" s="250">
        <f t="shared" si="19"/>
        <v>2029</v>
      </c>
      <c r="Q228" s="268">
        <f>IF(J228=10,1,IFERROR(INDEX('Cost Escalators'!$D$28:$D$92,MATCH($P$4,'Cost Escalators'!$B$28:$B$92,0))/INDEX('Cost Escalators'!$D$28:$D$92,MATCH(I228,'Cost Escalators'!$B$28:$B$92,0)),1))</f>
        <v>3.3424575424575425</v>
      </c>
      <c r="R228" s="269">
        <f t="shared" si="20"/>
        <v>276027.2967152847</v>
      </c>
      <c r="S228" s="269">
        <f t="shared" si="21"/>
        <v>411498.01462859241</v>
      </c>
      <c r="T228" s="269">
        <f t="shared" si="22"/>
        <v>64561.00478111767</v>
      </c>
      <c r="U228" s="242">
        <f t="shared" si="23"/>
        <v>59459.140800000001</v>
      </c>
    </row>
    <row r="229" spans="1:21" s="237" customFormat="1" x14ac:dyDescent="0.3">
      <c r="A229" s="237">
        <v>224</v>
      </c>
      <c r="B229" s="263">
        <v>1</v>
      </c>
      <c r="C229" s="263">
        <f t="shared" si="26"/>
        <v>0</v>
      </c>
      <c r="D229" s="264">
        <f t="shared" si="27"/>
        <v>0</v>
      </c>
      <c r="E229" s="383" t="s">
        <v>788</v>
      </c>
      <c r="F229" s="384" t="s">
        <v>364</v>
      </c>
      <c r="G229" s="384">
        <v>31</v>
      </c>
      <c r="H229" s="385">
        <v>26299</v>
      </c>
      <c r="I229" s="265">
        <f t="shared" si="18"/>
        <v>1972</v>
      </c>
      <c r="J229" s="383">
        <v>211</v>
      </c>
      <c r="K229" s="641" t="str">
        <f>VLOOKUP(J229,'Cost Escalators'!$C$313:$D$330,2,FALSE)</f>
        <v>Pump Houses</v>
      </c>
      <c r="L229" s="238" t="s">
        <v>789</v>
      </c>
      <c r="M229" s="384" t="s">
        <v>1506</v>
      </c>
      <c r="N229" s="246">
        <v>31500</v>
      </c>
      <c r="O229" s="267">
        <v>50</v>
      </c>
      <c r="P229" s="250">
        <f t="shared" si="19"/>
        <v>2022</v>
      </c>
      <c r="Q229" s="268">
        <f>IF(J229=10,1,IFERROR(INDEX('Cost Escalators'!$D$28:$D$92,MATCH($P$4,'Cost Escalators'!$B$28:$B$92,0))/INDEX('Cost Escalators'!$D$28:$D$92,MATCH(I229,'Cost Escalators'!$B$28:$B$92,0)),1))</f>
        <v>5.7258414147176264</v>
      </c>
      <c r="R229" s="269">
        <f t="shared" si="20"/>
        <v>180364.00456360524</v>
      </c>
      <c r="S229" s="269">
        <f t="shared" si="21"/>
        <v>220220.49032025595</v>
      </c>
      <c r="T229" s="269">
        <f t="shared" si="22"/>
        <v>15033.931327899785</v>
      </c>
      <c r="U229" s="242">
        <f t="shared" si="23"/>
        <v>27090</v>
      </c>
    </row>
    <row r="230" spans="1:21" s="237" customFormat="1" x14ac:dyDescent="0.3">
      <c r="A230" s="237">
        <v>225</v>
      </c>
      <c r="B230" s="263">
        <v>1</v>
      </c>
      <c r="C230" s="263">
        <f t="shared" si="26"/>
        <v>0</v>
      </c>
      <c r="D230" s="264">
        <f t="shared" si="27"/>
        <v>0</v>
      </c>
      <c r="E230" s="383" t="s">
        <v>788</v>
      </c>
      <c r="F230" s="384" t="s">
        <v>364</v>
      </c>
      <c r="G230" s="384">
        <v>31</v>
      </c>
      <c r="H230" s="385">
        <v>34607</v>
      </c>
      <c r="I230" s="265">
        <f t="shared" si="18"/>
        <v>1994</v>
      </c>
      <c r="J230" s="383">
        <v>211</v>
      </c>
      <c r="K230" s="641" t="str">
        <f>VLOOKUP(J230,'Cost Escalators'!$C$313:$D$330,2,FALSE)</f>
        <v>Pump Houses</v>
      </c>
      <c r="L230" s="238" t="s">
        <v>790</v>
      </c>
      <c r="M230" s="384" t="s">
        <v>1506</v>
      </c>
      <c r="N230" s="246">
        <v>4953.8900000000003</v>
      </c>
      <c r="O230" s="267">
        <v>50</v>
      </c>
      <c r="P230" s="250">
        <f t="shared" si="19"/>
        <v>2044</v>
      </c>
      <c r="Q230" s="268">
        <f>IF(J230=10,1,IFERROR(INDEX('Cost Escalators'!$D$28:$D$92,MATCH($P$4,'Cost Escalators'!$B$28:$B$92,0))/INDEX('Cost Escalators'!$D$28:$D$92,MATCH(I230,'Cost Escalators'!$B$28:$B$92,0)),1))</f>
        <v>1.8560281065088757</v>
      </c>
      <c r="R230" s="269">
        <f t="shared" si="20"/>
        <v>9194.5590765532543</v>
      </c>
      <c r="S230" s="269">
        <f t="shared" si="21"/>
        <v>21025.637290148734</v>
      </c>
      <c r="T230" s="269">
        <f t="shared" si="22"/>
        <v>5229.9546202742431</v>
      </c>
      <c r="U230" s="242">
        <f t="shared" si="23"/>
        <v>2080.6338000000001</v>
      </c>
    </row>
    <row r="231" spans="1:21" s="237" customFormat="1" x14ac:dyDescent="0.3">
      <c r="A231" s="237">
        <v>226</v>
      </c>
      <c r="B231" s="263">
        <v>1</v>
      </c>
      <c r="C231" s="263">
        <f t="shared" si="26"/>
        <v>0</v>
      </c>
      <c r="D231" s="264">
        <f t="shared" si="27"/>
        <v>0</v>
      </c>
      <c r="E231" s="383" t="s">
        <v>788</v>
      </c>
      <c r="F231" s="384" t="s">
        <v>364</v>
      </c>
      <c r="G231" s="384">
        <v>31</v>
      </c>
      <c r="H231" s="385">
        <v>34607</v>
      </c>
      <c r="I231" s="265">
        <f t="shared" si="18"/>
        <v>1994</v>
      </c>
      <c r="J231" s="383">
        <v>211</v>
      </c>
      <c r="K231" s="641" t="str">
        <f>VLOOKUP(J231,'Cost Escalators'!$C$313:$D$330,2,FALSE)</f>
        <v>Pump Houses</v>
      </c>
      <c r="L231" s="238" t="s">
        <v>791</v>
      </c>
      <c r="M231" s="384" t="s">
        <v>1506</v>
      </c>
      <c r="N231" s="246">
        <v>1656.44</v>
      </c>
      <c r="O231" s="267">
        <v>50</v>
      </c>
      <c r="P231" s="250">
        <f t="shared" si="19"/>
        <v>2044</v>
      </c>
      <c r="Q231" s="268">
        <f>IF(J231=10,1,IFERROR(INDEX('Cost Escalators'!$D$28:$D$92,MATCH($P$4,'Cost Escalators'!$B$28:$B$92,0))/INDEX('Cost Escalators'!$D$28:$D$92,MATCH(I231,'Cost Escalators'!$B$28:$B$92,0)),1))</f>
        <v>1.8560281065088757</v>
      </c>
      <c r="R231" s="269">
        <f t="shared" si="20"/>
        <v>3074.3991967455622</v>
      </c>
      <c r="S231" s="269">
        <f t="shared" si="21"/>
        <v>7030.3754489691883</v>
      </c>
      <c r="T231" s="269">
        <f t="shared" si="22"/>
        <v>1748.7481617894357</v>
      </c>
      <c r="U231" s="242">
        <f t="shared" si="23"/>
        <v>695.70479999999998</v>
      </c>
    </row>
    <row r="232" spans="1:21" s="237" customFormat="1" x14ac:dyDescent="0.3">
      <c r="A232" s="237">
        <v>227</v>
      </c>
      <c r="B232" s="263">
        <v>1</v>
      </c>
      <c r="C232" s="263">
        <f t="shared" si="26"/>
        <v>0</v>
      </c>
      <c r="D232" s="264">
        <f t="shared" si="27"/>
        <v>0</v>
      </c>
      <c r="E232" s="383" t="s">
        <v>792</v>
      </c>
      <c r="F232" s="384" t="s">
        <v>364</v>
      </c>
      <c r="G232" s="384">
        <v>31</v>
      </c>
      <c r="H232" s="385">
        <v>33376</v>
      </c>
      <c r="I232" s="265">
        <f t="shared" si="18"/>
        <v>1991</v>
      </c>
      <c r="J232" s="383">
        <v>211</v>
      </c>
      <c r="K232" s="641" t="str">
        <f>VLOOKUP(J232,'Cost Escalators'!$C$313:$D$330,2,FALSE)</f>
        <v>Pump Houses</v>
      </c>
      <c r="L232" s="238" t="s">
        <v>793</v>
      </c>
      <c r="M232" s="384" t="s">
        <v>1506</v>
      </c>
      <c r="N232" s="246">
        <v>845</v>
      </c>
      <c r="O232" s="267">
        <v>50</v>
      </c>
      <c r="P232" s="250">
        <f t="shared" si="19"/>
        <v>2041</v>
      </c>
      <c r="Q232" s="268">
        <f>IF(J232=10,1,IFERROR(INDEX('Cost Escalators'!$D$28:$D$92,MATCH($P$4,'Cost Escalators'!$B$28:$B$92,0))/INDEX('Cost Escalators'!$D$28:$D$92,MATCH(I232,'Cost Escalators'!$B$28:$B$92,0)),1))</f>
        <v>2.0759875904860392</v>
      </c>
      <c r="R232" s="269">
        <f t="shared" si="20"/>
        <v>1754.2095139607031</v>
      </c>
      <c r="S232" s="269">
        <f t="shared" si="21"/>
        <v>3682.4699621429195</v>
      </c>
      <c r="T232" s="269">
        <f t="shared" si="22"/>
        <v>871.252686709209</v>
      </c>
      <c r="U232" s="242">
        <f t="shared" si="23"/>
        <v>405.59999999999997</v>
      </c>
    </row>
    <row r="233" spans="1:21" s="237" customFormat="1" x14ac:dyDescent="0.3">
      <c r="A233" s="237">
        <v>228</v>
      </c>
      <c r="B233" s="263">
        <v>1</v>
      </c>
      <c r="C233" s="263">
        <f t="shared" si="26"/>
        <v>0</v>
      </c>
      <c r="D233" s="264">
        <f t="shared" si="27"/>
        <v>0</v>
      </c>
      <c r="E233" s="383" t="s">
        <v>792</v>
      </c>
      <c r="F233" s="384" t="s">
        <v>364</v>
      </c>
      <c r="G233" s="384">
        <v>31</v>
      </c>
      <c r="H233" s="385">
        <v>33387</v>
      </c>
      <c r="I233" s="265">
        <f t="shared" si="18"/>
        <v>1991</v>
      </c>
      <c r="J233" s="383">
        <v>211</v>
      </c>
      <c r="K233" s="641" t="str">
        <f>VLOOKUP(J233,'Cost Escalators'!$C$313:$D$330,2,FALSE)</f>
        <v>Pump Houses</v>
      </c>
      <c r="L233" s="238" t="s">
        <v>794</v>
      </c>
      <c r="M233" s="384" t="s">
        <v>1506</v>
      </c>
      <c r="N233" s="246">
        <v>740</v>
      </c>
      <c r="O233" s="267">
        <v>50</v>
      </c>
      <c r="P233" s="250">
        <f t="shared" si="19"/>
        <v>2041</v>
      </c>
      <c r="Q233" s="268">
        <f>IF(J233=10,1,IFERROR(INDEX('Cost Escalators'!$D$28:$D$92,MATCH($P$4,'Cost Escalators'!$B$28:$B$92,0))/INDEX('Cost Escalators'!$D$28:$D$92,MATCH(I233,'Cost Escalators'!$B$28:$B$92,0)),1))</f>
        <v>2.0759875904860392</v>
      </c>
      <c r="R233" s="269">
        <f t="shared" si="20"/>
        <v>1536.230816959669</v>
      </c>
      <c r="S233" s="269">
        <f t="shared" si="21"/>
        <v>3224.8849372612549</v>
      </c>
      <c r="T233" s="269">
        <f t="shared" si="22"/>
        <v>762.9905185382421</v>
      </c>
      <c r="U233" s="242">
        <f t="shared" si="23"/>
        <v>355.20000000000005</v>
      </c>
    </row>
    <row r="234" spans="1:21" s="237" customFormat="1" x14ac:dyDescent="0.3">
      <c r="A234" s="237">
        <v>229</v>
      </c>
      <c r="B234" s="263">
        <v>1</v>
      </c>
      <c r="C234" s="263">
        <f t="shared" si="26"/>
        <v>0</v>
      </c>
      <c r="D234" s="264">
        <f t="shared" si="27"/>
        <v>0</v>
      </c>
      <c r="E234" s="383" t="s">
        <v>792</v>
      </c>
      <c r="F234" s="384" t="s">
        <v>364</v>
      </c>
      <c r="G234" s="384">
        <v>31</v>
      </c>
      <c r="H234" s="385">
        <v>29465</v>
      </c>
      <c r="I234" s="265">
        <f t="shared" si="18"/>
        <v>1980</v>
      </c>
      <c r="J234" s="383">
        <v>211</v>
      </c>
      <c r="K234" s="641" t="str">
        <f>VLOOKUP(J234,'Cost Escalators'!$C$313:$D$330,2,FALSE)</f>
        <v>Pump Houses</v>
      </c>
      <c r="L234" s="238" t="s">
        <v>795</v>
      </c>
      <c r="M234" s="384" t="s">
        <v>1506</v>
      </c>
      <c r="N234" s="246">
        <v>78555</v>
      </c>
      <c r="O234" s="267">
        <v>50</v>
      </c>
      <c r="P234" s="250">
        <f t="shared" si="19"/>
        <v>2030</v>
      </c>
      <c r="Q234" s="268">
        <f>IF(J234=10,1,IFERROR(INDEX('Cost Escalators'!$D$28:$D$92,MATCH($P$4,'Cost Escalators'!$B$28:$B$92,0))/INDEX('Cost Escalators'!$D$28:$D$92,MATCH(I234,'Cost Escalators'!$B$28:$B$92,0)),1))</f>
        <v>3.1008341056533828</v>
      </c>
      <c r="R234" s="269">
        <f t="shared" si="20"/>
        <v>243586.02316960148</v>
      </c>
      <c r="S234" s="269">
        <f t="shared" si="21"/>
        <v>373641.33378383814</v>
      </c>
      <c r="T234" s="269">
        <f t="shared" si="22"/>
        <v>63949.089844181006</v>
      </c>
      <c r="U234" s="242">
        <f t="shared" si="23"/>
        <v>54988.5</v>
      </c>
    </row>
    <row r="235" spans="1:21" s="237" customFormat="1" x14ac:dyDescent="0.3">
      <c r="A235" s="237">
        <v>230</v>
      </c>
      <c r="B235" s="263">
        <v>1</v>
      </c>
      <c r="C235" s="263">
        <f t="shared" si="26"/>
        <v>0</v>
      </c>
      <c r="D235" s="264">
        <f t="shared" si="27"/>
        <v>0</v>
      </c>
      <c r="E235" s="383" t="s">
        <v>796</v>
      </c>
      <c r="F235" s="384" t="s">
        <v>364</v>
      </c>
      <c r="G235" s="384">
        <v>31</v>
      </c>
      <c r="H235" s="385">
        <v>29342</v>
      </c>
      <c r="I235" s="265">
        <f t="shared" si="18"/>
        <v>1980</v>
      </c>
      <c r="J235" s="383">
        <v>211</v>
      </c>
      <c r="K235" s="641" t="str">
        <f>VLOOKUP(J235,'Cost Escalators'!$C$313:$D$330,2,FALSE)</f>
        <v>Pump Houses</v>
      </c>
      <c r="L235" s="238" t="s">
        <v>797</v>
      </c>
      <c r="M235" s="384" t="s">
        <v>1506</v>
      </c>
      <c r="N235" s="246">
        <v>73120</v>
      </c>
      <c r="O235" s="267">
        <v>50</v>
      </c>
      <c r="P235" s="250">
        <f t="shared" si="19"/>
        <v>2030</v>
      </c>
      <c r="Q235" s="268">
        <f>IF(J235=10,1,IFERROR(INDEX('Cost Escalators'!$D$28:$D$92,MATCH($P$4,'Cost Escalators'!$B$28:$B$92,0))/INDEX('Cost Escalators'!$D$28:$D$92,MATCH(I235,'Cost Escalators'!$B$28:$B$92,0)),1))</f>
        <v>3.1008341056533828</v>
      </c>
      <c r="R235" s="269">
        <f t="shared" si="20"/>
        <v>226732.98980537534</v>
      </c>
      <c r="S235" s="269">
        <f t="shared" si="21"/>
        <v>347790.13845425809</v>
      </c>
      <c r="T235" s="269">
        <f t="shared" si="22"/>
        <v>59524.631779091273</v>
      </c>
      <c r="U235" s="242">
        <f t="shared" si="23"/>
        <v>51184</v>
      </c>
    </row>
    <row r="236" spans="1:21" s="237" customFormat="1" x14ac:dyDescent="0.3">
      <c r="A236" s="237">
        <v>231</v>
      </c>
      <c r="B236" s="263">
        <v>1</v>
      </c>
      <c r="C236" s="263">
        <f t="shared" si="26"/>
        <v>0</v>
      </c>
      <c r="D236" s="264">
        <f t="shared" si="27"/>
        <v>0</v>
      </c>
      <c r="E236" s="383" t="s">
        <v>796</v>
      </c>
      <c r="F236" s="384" t="s">
        <v>364</v>
      </c>
      <c r="G236" s="384">
        <v>31</v>
      </c>
      <c r="H236" s="385">
        <v>29487</v>
      </c>
      <c r="I236" s="265">
        <f t="shared" si="18"/>
        <v>1980</v>
      </c>
      <c r="J236" s="383">
        <v>211</v>
      </c>
      <c r="K236" s="641" t="str">
        <f>VLOOKUP(J236,'Cost Escalators'!$C$313:$D$330,2,FALSE)</f>
        <v>Pump Houses</v>
      </c>
      <c r="L236" s="238" t="s">
        <v>798</v>
      </c>
      <c r="M236" s="384" t="s">
        <v>1506</v>
      </c>
      <c r="N236" s="246">
        <v>10495</v>
      </c>
      <c r="O236" s="267">
        <v>50</v>
      </c>
      <c r="P236" s="250">
        <f t="shared" si="19"/>
        <v>2030</v>
      </c>
      <c r="Q236" s="268">
        <f>IF(J236=10,1,IFERROR(INDEX('Cost Escalators'!$D$28:$D$92,MATCH($P$4,'Cost Escalators'!$B$28:$B$92,0))/INDEX('Cost Escalators'!$D$28:$D$92,MATCH(I236,'Cost Escalators'!$B$28:$B$92,0)),1))</f>
        <v>3.1008341056533828</v>
      </c>
      <c r="R236" s="269">
        <f t="shared" si="20"/>
        <v>32543.253938832251</v>
      </c>
      <c r="S236" s="269">
        <f t="shared" si="21"/>
        <v>49918.729527864314</v>
      </c>
      <c r="T236" s="269">
        <f t="shared" si="22"/>
        <v>8543.6407347040877</v>
      </c>
      <c r="U236" s="242">
        <f t="shared" si="23"/>
        <v>7346.5</v>
      </c>
    </row>
    <row r="237" spans="1:21" s="237" customFormat="1" x14ac:dyDescent="0.3">
      <c r="A237" s="237">
        <v>232</v>
      </c>
      <c r="B237" s="263">
        <v>1</v>
      </c>
      <c r="C237" s="263">
        <f t="shared" si="26"/>
        <v>0</v>
      </c>
      <c r="D237" s="264">
        <f t="shared" si="27"/>
        <v>0</v>
      </c>
      <c r="E237" s="383" t="s">
        <v>799</v>
      </c>
      <c r="F237" s="384" t="s">
        <v>364</v>
      </c>
      <c r="G237" s="384">
        <v>31</v>
      </c>
      <c r="H237" s="385">
        <v>29242</v>
      </c>
      <c r="I237" s="265">
        <f t="shared" si="18"/>
        <v>1980</v>
      </c>
      <c r="J237" s="383">
        <v>211</v>
      </c>
      <c r="K237" s="641" t="str">
        <f>VLOOKUP(J237,'Cost Escalators'!$C$313:$D$330,2,FALSE)</f>
        <v>Pump Houses</v>
      </c>
      <c r="L237" s="238" t="s">
        <v>800</v>
      </c>
      <c r="M237" s="384" t="s">
        <v>1506</v>
      </c>
      <c r="N237" s="246">
        <v>68455</v>
      </c>
      <c r="O237" s="267">
        <v>50</v>
      </c>
      <c r="P237" s="250">
        <f t="shared" si="19"/>
        <v>2030</v>
      </c>
      <c r="Q237" s="268">
        <f>IF(J237=10,1,IFERROR(INDEX('Cost Escalators'!$D$28:$D$92,MATCH($P$4,'Cost Escalators'!$B$28:$B$92,0))/INDEX('Cost Escalators'!$D$28:$D$92,MATCH(I237,'Cost Escalators'!$B$28:$B$92,0)),1))</f>
        <v>3.1008341056533828</v>
      </c>
      <c r="R237" s="269">
        <f t="shared" si="20"/>
        <v>212267.59870250232</v>
      </c>
      <c r="S237" s="269">
        <f t="shared" si="21"/>
        <v>325601.39398093871</v>
      </c>
      <c r="T237" s="269">
        <f t="shared" si="22"/>
        <v>55727.005859377641</v>
      </c>
      <c r="U237" s="242">
        <f t="shared" si="23"/>
        <v>47918.5</v>
      </c>
    </row>
    <row r="238" spans="1:21" s="237" customFormat="1" x14ac:dyDescent="0.3">
      <c r="A238" s="237">
        <v>233</v>
      </c>
      <c r="B238" s="263">
        <v>1</v>
      </c>
      <c r="C238" s="263">
        <f t="shared" si="26"/>
        <v>0</v>
      </c>
      <c r="D238" s="264">
        <f t="shared" si="27"/>
        <v>0</v>
      </c>
      <c r="E238" s="383" t="s">
        <v>799</v>
      </c>
      <c r="F238" s="384" t="s">
        <v>364</v>
      </c>
      <c r="G238" s="384">
        <v>31</v>
      </c>
      <c r="H238" s="385">
        <v>29390</v>
      </c>
      <c r="I238" s="265">
        <f t="shared" si="18"/>
        <v>1980</v>
      </c>
      <c r="J238" s="383">
        <v>211</v>
      </c>
      <c r="K238" s="641" t="str">
        <f>VLOOKUP(J238,'Cost Escalators'!$C$313:$D$330,2,FALSE)</f>
        <v>Pump Houses</v>
      </c>
      <c r="L238" s="238" t="s">
        <v>801</v>
      </c>
      <c r="M238" s="384" t="s">
        <v>1506</v>
      </c>
      <c r="N238" s="246">
        <v>625</v>
      </c>
      <c r="O238" s="267">
        <v>50</v>
      </c>
      <c r="P238" s="250">
        <f t="shared" si="19"/>
        <v>2030</v>
      </c>
      <c r="Q238" s="268">
        <f>IF(J238=10,1,IFERROR(INDEX('Cost Escalators'!$D$28:$D$92,MATCH($P$4,'Cost Escalators'!$B$28:$B$92,0))/INDEX('Cost Escalators'!$D$28:$D$92,MATCH(I238,'Cost Escalators'!$B$28:$B$92,0)),1))</f>
        <v>3.1008341056533828</v>
      </c>
      <c r="R238" s="269">
        <f t="shared" si="20"/>
        <v>1938.0213160333642</v>
      </c>
      <c r="S238" s="269">
        <f t="shared" si="21"/>
        <v>2972.7685521596186</v>
      </c>
      <c r="T238" s="269">
        <f t="shared" si="22"/>
        <v>508.79232579228727</v>
      </c>
      <c r="U238" s="242">
        <f t="shared" si="23"/>
        <v>437.5</v>
      </c>
    </row>
    <row r="239" spans="1:21" s="237" customFormat="1" x14ac:dyDescent="0.3">
      <c r="A239" s="237">
        <v>234</v>
      </c>
      <c r="B239" s="263">
        <v>1</v>
      </c>
      <c r="C239" s="263">
        <f t="shared" si="26"/>
        <v>0</v>
      </c>
      <c r="D239" s="264">
        <f t="shared" si="27"/>
        <v>0</v>
      </c>
      <c r="E239" s="383" t="s">
        <v>802</v>
      </c>
      <c r="F239" s="384" t="s">
        <v>364</v>
      </c>
      <c r="G239" s="384">
        <v>31</v>
      </c>
      <c r="H239" s="385">
        <v>35004</v>
      </c>
      <c r="I239" s="265">
        <f t="shared" si="18"/>
        <v>1995</v>
      </c>
      <c r="J239" s="383">
        <v>211</v>
      </c>
      <c r="K239" s="641" t="str">
        <f>VLOOKUP(J239,'Cost Escalators'!$C$313:$D$330,2,FALSE)</f>
        <v>Pump Houses</v>
      </c>
      <c r="L239" s="238" t="s">
        <v>803</v>
      </c>
      <c r="M239" s="384" t="s">
        <v>1506</v>
      </c>
      <c r="N239" s="246">
        <v>15540.06</v>
      </c>
      <c r="O239" s="267">
        <v>50</v>
      </c>
      <c r="P239" s="250">
        <f t="shared" si="19"/>
        <v>2045</v>
      </c>
      <c r="Q239" s="268">
        <f>IF(J239=10,1,IFERROR(INDEX('Cost Escalators'!$D$28:$D$92,MATCH($P$4,'Cost Escalators'!$B$28:$B$92,0))/INDEX('Cost Escalators'!$D$28:$D$92,MATCH(I239,'Cost Escalators'!$B$28:$B$92,0)),1))</f>
        <v>1.8346554560409432</v>
      </c>
      <c r="R239" s="269">
        <f t="shared" si="20"/>
        <v>28510.655866203619</v>
      </c>
      <c r="S239" s="269">
        <f t="shared" si="21"/>
        <v>67082.973575249707</v>
      </c>
      <c r="T239" s="269">
        <f t="shared" si="22"/>
        <v>16494.557649173505</v>
      </c>
      <c r="U239" s="242">
        <f t="shared" si="23"/>
        <v>6216.0239999999994</v>
      </c>
    </row>
    <row r="240" spans="1:21" s="237" customFormat="1" x14ac:dyDescent="0.3">
      <c r="A240" s="237">
        <v>235</v>
      </c>
      <c r="B240" s="263">
        <v>1</v>
      </c>
      <c r="C240" s="263">
        <f t="shared" si="26"/>
        <v>0</v>
      </c>
      <c r="D240" s="264">
        <f t="shared" si="27"/>
        <v>0</v>
      </c>
      <c r="E240" s="383" t="s">
        <v>804</v>
      </c>
      <c r="F240" s="384" t="s">
        <v>364</v>
      </c>
      <c r="G240" s="384">
        <v>31</v>
      </c>
      <c r="H240" s="385">
        <v>37813</v>
      </c>
      <c r="I240" s="265">
        <f t="shared" si="18"/>
        <v>2003</v>
      </c>
      <c r="J240" s="383">
        <v>211</v>
      </c>
      <c r="K240" s="641" t="str">
        <f>VLOOKUP(J240,'Cost Escalators'!$C$313:$D$330,2,FALSE)</f>
        <v>Pump Houses</v>
      </c>
      <c r="L240" s="238" t="s">
        <v>805</v>
      </c>
      <c r="M240" s="384" t="s">
        <v>1506</v>
      </c>
      <c r="N240" s="246">
        <v>24000</v>
      </c>
      <c r="O240" s="267">
        <v>50</v>
      </c>
      <c r="P240" s="250">
        <f t="shared" si="19"/>
        <v>2053</v>
      </c>
      <c r="Q240" s="268">
        <f>IF(J240=10,1,IFERROR(INDEX('Cost Escalators'!$D$28:$D$92,MATCH($P$4,'Cost Escalators'!$B$28:$B$92,0))/INDEX('Cost Escalators'!$D$28:$D$92,MATCH(I240,'Cost Escalators'!$B$28:$B$92,0)),1))</f>
        <v>1.4994622049596653</v>
      </c>
      <c r="R240" s="269">
        <f t="shared" si="20"/>
        <v>35987.092919031966</v>
      </c>
      <c r="S240" s="269">
        <f t="shared" si="21"/>
        <v>106376.71015433308</v>
      </c>
      <c r="T240" s="269">
        <f t="shared" si="22"/>
        <v>25684.249075510066</v>
      </c>
      <c r="U240" s="242">
        <f t="shared" si="23"/>
        <v>5760</v>
      </c>
    </row>
    <row r="241" spans="1:21" s="237" customFormat="1" x14ac:dyDescent="0.3">
      <c r="A241" s="237">
        <v>236</v>
      </c>
      <c r="B241" s="263">
        <v>1</v>
      </c>
      <c r="C241" s="263">
        <f t="shared" si="26"/>
        <v>0</v>
      </c>
      <c r="D241" s="264">
        <f t="shared" si="27"/>
        <v>0</v>
      </c>
      <c r="E241" s="383" t="s">
        <v>806</v>
      </c>
      <c r="F241" s="384" t="s">
        <v>364</v>
      </c>
      <c r="G241" s="384">
        <v>31</v>
      </c>
      <c r="H241" s="385">
        <v>40087</v>
      </c>
      <c r="I241" s="265">
        <f t="shared" si="18"/>
        <v>2009</v>
      </c>
      <c r="J241" s="383">
        <v>211</v>
      </c>
      <c r="K241" s="641" t="str">
        <f>VLOOKUP(J241,'Cost Escalators'!$C$313:$D$330,2,FALSE)</f>
        <v>Pump Houses</v>
      </c>
      <c r="L241" s="238" t="s">
        <v>807</v>
      </c>
      <c r="M241" s="384" t="s">
        <v>1506</v>
      </c>
      <c r="N241" s="246">
        <v>630395</v>
      </c>
      <c r="O241" s="267">
        <v>50</v>
      </c>
      <c r="P241" s="250">
        <f t="shared" si="19"/>
        <v>2059</v>
      </c>
      <c r="Q241" s="268">
        <f>IF(J241=10,1,IFERROR(INDEX('Cost Escalators'!$D$28:$D$92,MATCH($P$4,'Cost Escalators'!$B$28:$B$92,0))/INDEX('Cost Escalators'!$D$28:$D$92,MATCH(I241,'Cost Escalators'!$B$28:$B$92,0)),1))</f>
        <v>1.1712138155015994</v>
      </c>
      <c r="R241" s="269">
        <f t="shared" si="20"/>
        <v>738327.33322313079</v>
      </c>
      <c r="S241" s="269">
        <f t="shared" si="21"/>
        <v>2589821.0456476342</v>
      </c>
      <c r="T241" s="269">
        <f t="shared" si="22"/>
        <v>658288.77774055663</v>
      </c>
      <c r="U241" s="242">
        <f t="shared" si="23"/>
        <v>75647.399999999994</v>
      </c>
    </row>
    <row r="242" spans="1:21" s="237" customFormat="1" x14ac:dyDescent="0.3">
      <c r="A242" s="237">
        <v>237</v>
      </c>
      <c r="B242" s="263">
        <v>0</v>
      </c>
      <c r="C242" s="263">
        <f t="shared" si="26"/>
        <v>1</v>
      </c>
      <c r="D242" s="264">
        <f t="shared" si="27"/>
        <v>0</v>
      </c>
      <c r="E242" s="383" t="s">
        <v>808</v>
      </c>
      <c r="F242" s="384" t="s">
        <v>364</v>
      </c>
      <c r="G242" s="384">
        <v>31</v>
      </c>
      <c r="H242" s="385">
        <v>35100</v>
      </c>
      <c r="I242" s="265">
        <f t="shared" si="18"/>
        <v>1996</v>
      </c>
      <c r="J242" s="383">
        <v>212</v>
      </c>
      <c r="K242" s="641" t="str">
        <f>VLOOKUP(J242,'Cost Escalators'!$C$313:$D$330,2,FALSE)</f>
        <v>Lift Stations</v>
      </c>
      <c r="L242" s="238" t="s">
        <v>809</v>
      </c>
      <c r="M242" s="384" t="s">
        <v>1506</v>
      </c>
      <c r="N242" s="246">
        <v>4306</v>
      </c>
      <c r="O242" s="267">
        <v>50</v>
      </c>
      <c r="P242" s="250">
        <f t="shared" si="19"/>
        <v>2046</v>
      </c>
      <c r="Q242" s="268">
        <f>IF(J242=10,1,IFERROR(INDEX('Cost Escalators'!$D$28:$D$92,MATCH($P$4,'Cost Escalators'!$B$28:$B$92,0))/INDEX('Cost Escalators'!$D$28:$D$92,MATCH(I242,'Cost Escalators'!$B$28:$B$92,0)),1))</f>
        <v>1.7860142348754449</v>
      </c>
      <c r="R242" s="269">
        <f t="shared" si="20"/>
        <v>7690.5772953736659</v>
      </c>
      <c r="S242" s="269">
        <f t="shared" si="21"/>
        <v>18618.765206122513</v>
      </c>
      <c r="T242" s="269">
        <f t="shared" si="22"/>
        <v>4590.0309071725987</v>
      </c>
      <c r="U242" s="242">
        <f t="shared" si="23"/>
        <v>1636.2800000000002</v>
      </c>
    </row>
    <row r="243" spans="1:21" s="237" customFormat="1" x14ac:dyDescent="0.3">
      <c r="A243" s="237">
        <v>238</v>
      </c>
      <c r="B243" s="263">
        <v>0</v>
      </c>
      <c r="C243" s="263">
        <f t="shared" ref="C243:C267" si="28">1-B243</f>
        <v>1</v>
      </c>
      <c r="D243" s="264">
        <f t="shared" si="27"/>
        <v>0</v>
      </c>
      <c r="E243" s="383" t="s">
        <v>808</v>
      </c>
      <c r="F243" s="384" t="s">
        <v>364</v>
      </c>
      <c r="G243" s="384">
        <v>31</v>
      </c>
      <c r="H243" s="385">
        <v>25749</v>
      </c>
      <c r="I243" s="265">
        <f t="shared" si="18"/>
        <v>1970</v>
      </c>
      <c r="J243" s="383">
        <v>212</v>
      </c>
      <c r="K243" s="641" t="str">
        <f>VLOOKUP(J243,'Cost Escalators'!$C$313:$D$330,2,FALSE)</f>
        <v>Lift Stations</v>
      </c>
      <c r="L243" s="238" t="s">
        <v>810</v>
      </c>
      <c r="M243" s="384" t="s">
        <v>1506</v>
      </c>
      <c r="N243" s="246">
        <v>146000</v>
      </c>
      <c r="O243" s="267">
        <v>50</v>
      </c>
      <c r="P243" s="250">
        <f t="shared" si="19"/>
        <v>2020</v>
      </c>
      <c r="Q243" s="268">
        <f>IF(J243=10,1,IFERROR(INDEX('Cost Escalators'!$D$28:$D$92,MATCH($P$4,'Cost Escalators'!$B$28:$B$92,0))/INDEX('Cost Escalators'!$D$28:$D$92,MATCH(I243,'Cost Escalators'!$B$28:$B$92,0)),1))</f>
        <v>7.2682114409847935</v>
      </c>
      <c r="R243" s="269">
        <f t="shared" si="20"/>
        <v>1061158.8703837798</v>
      </c>
      <c r="S243" s="269">
        <f t="shared" si="21"/>
        <v>1223811.6739533818</v>
      </c>
      <c r="T243" s="269">
        <f t="shared" si="22"/>
        <v>52693.91925330957</v>
      </c>
      <c r="U243" s="242">
        <f t="shared" si="23"/>
        <v>131400</v>
      </c>
    </row>
    <row r="244" spans="1:21" s="237" customFormat="1" x14ac:dyDescent="0.3">
      <c r="A244" s="237">
        <v>239</v>
      </c>
      <c r="B244" s="263">
        <v>0</v>
      </c>
      <c r="C244" s="263">
        <f t="shared" si="28"/>
        <v>1</v>
      </c>
      <c r="D244" s="264">
        <f t="shared" si="27"/>
        <v>0</v>
      </c>
      <c r="E244" s="383" t="s">
        <v>808</v>
      </c>
      <c r="F244" s="384" t="s">
        <v>364</v>
      </c>
      <c r="G244" s="384">
        <v>31</v>
      </c>
      <c r="H244" s="385">
        <v>35219</v>
      </c>
      <c r="I244" s="265">
        <f t="shared" si="18"/>
        <v>1996</v>
      </c>
      <c r="J244" s="383">
        <v>212</v>
      </c>
      <c r="K244" s="641" t="str">
        <f>VLOOKUP(J244,'Cost Escalators'!$C$313:$D$330,2,FALSE)</f>
        <v>Lift Stations</v>
      </c>
      <c r="L244" s="238" t="s">
        <v>811</v>
      </c>
      <c r="M244" s="384" t="s">
        <v>1506</v>
      </c>
      <c r="N244" s="246">
        <v>999.7</v>
      </c>
      <c r="O244" s="267">
        <v>50</v>
      </c>
      <c r="P244" s="250">
        <f t="shared" si="19"/>
        <v>2046</v>
      </c>
      <c r="Q244" s="268">
        <f>IF(J244=10,1,IFERROR(INDEX('Cost Escalators'!$D$28:$D$92,MATCH($P$4,'Cost Escalators'!$B$28:$B$92,0))/INDEX('Cost Escalators'!$D$28:$D$92,MATCH(I244,'Cost Escalators'!$B$28:$B$92,0)),1))</f>
        <v>1.7860142348754449</v>
      </c>
      <c r="R244" s="269">
        <f t="shared" si="20"/>
        <v>1785.4784306049823</v>
      </c>
      <c r="S244" s="269">
        <f t="shared" si="21"/>
        <v>4322.6148575384759</v>
      </c>
      <c r="T244" s="269">
        <f t="shared" si="22"/>
        <v>1065.6418713191936</v>
      </c>
      <c r="U244" s="242">
        <f t="shared" si="23"/>
        <v>379.88599999999997</v>
      </c>
    </row>
    <row r="245" spans="1:21" s="237" customFormat="1" x14ac:dyDescent="0.3">
      <c r="A245" s="237">
        <v>240</v>
      </c>
      <c r="B245" s="263">
        <v>0</v>
      </c>
      <c r="C245" s="263">
        <f t="shared" si="28"/>
        <v>1</v>
      </c>
      <c r="D245" s="264">
        <f t="shared" si="27"/>
        <v>0</v>
      </c>
      <c r="E245" s="383" t="s">
        <v>812</v>
      </c>
      <c r="F245" s="384" t="s">
        <v>364</v>
      </c>
      <c r="G245" s="384">
        <v>31</v>
      </c>
      <c r="H245" s="385">
        <v>29295</v>
      </c>
      <c r="I245" s="265">
        <f t="shared" si="18"/>
        <v>1980</v>
      </c>
      <c r="J245" s="383">
        <v>212</v>
      </c>
      <c r="K245" s="641" t="str">
        <f>VLOOKUP(J245,'Cost Escalators'!$C$313:$D$330,2,FALSE)</f>
        <v>Lift Stations</v>
      </c>
      <c r="L245" s="238" t="s">
        <v>813</v>
      </c>
      <c r="M245" s="384" t="s">
        <v>1506</v>
      </c>
      <c r="N245" s="246">
        <v>237284</v>
      </c>
      <c r="O245" s="267">
        <v>50</v>
      </c>
      <c r="P245" s="250">
        <f t="shared" si="19"/>
        <v>2030</v>
      </c>
      <c r="Q245" s="268">
        <f>IF(J245=10,1,IFERROR(INDEX('Cost Escalators'!$D$28:$D$92,MATCH($P$4,'Cost Escalators'!$B$28:$B$92,0))/INDEX('Cost Escalators'!$D$28:$D$92,MATCH(I245,'Cost Escalators'!$B$28:$B$92,0)),1))</f>
        <v>3.1008341056533828</v>
      </c>
      <c r="R245" s="269">
        <f t="shared" si="20"/>
        <v>735778.31992585724</v>
      </c>
      <c r="S245" s="269">
        <f t="shared" si="21"/>
        <v>1128624.6610090286</v>
      </c>
      <c r="T245" s="269">
        <f t="shared" si="22"/>
        <v>193165.2451732753</v>
      </c>
      <c r="U245" s="242">
        <f t="shared" si="23"/>
        <v>166098.80000000002</v>
      </c>
    </row>
    <row r="246" spans="1:21" s="237" customFormat="1" x14ac:dyDescent="0.3">
      <c r="A246" s="237">
        <v>241</v>
      </c>
      <c r="B246" s="263">
        <v>0</v>
      </c>
      <c r="C246" s="263">
        <f t="shared" si="28"/>
        <v>1</v>
      </c>
      <c r="D246" s="264">
        <f t="shared" si="27"/>
        <v>0</v>
      </c>
      <c r="E246" s="383" t="s">
        <v>812</v>
      </c>
      <c r="F246" s="384" t="s">
        <v>364</v>
      </c>
      <c r="G246" s="384">
        <v>31</v>
      </c>
      <c r="H246" s="385">
        <v>29295</v>
      </c>
      <c r="I246" s="265">
        <f t="shared" si="18"/>
        <v>1980</v>
      </c>
      <c r="J246" s="383">
        <v>212</v>
      </c>
      <c r="K246" s="641" t="str">
        <f>VLOOKUP(J246,'Cost Escalators'!$C$313:$D$330,2,FALSE)</f>
        <v>Lift Stations</v>
      </c>
      <c r="L246" s="238" t="s">
        <v>814</v>
      </c>
      <c r="M246" s="384" t="s">
        <v>1506</v>
      </c>
      <c r="N246" s="246">
        <v>94900</v>
      </c>
      <c r="O246" s="267">
        <v>50</v>
      </c>
      <c r="P246" s="250">
        <f t="shared" si="19"/>
        <v>2030</v>
      </c>
      <c r="Q246" s="268">
        <f>IF(J246=10,1,IFERROR(INDEX('Cost Escalators'!$D$28:$D$92,MATCH($P$4,'Cost Escalators'!$B$28:$B$92,0))/INDEX('Cost Escalators'!$D$28:$D$92,MATCH(I246,'Cost Escalators'!$B$28:$B$92,0)),1))</f>
        <v>3.1008341056533828</v>
      </c>
      <c r="R246" s="269">
        <f t="shared" si="20"/>
        <v>294269.15662650601</v>
      </c>
      <c r="S246" s="269">
        <f t="shared" si="21"/>
        <v>451385.17695991643</v>
      </c>
      <c r="T246" s="269">
        <f t="shared" si="22"/>
        <v>77255.026748300894</v>
      </c>
      <c r="U246" s="242">
        <f t="shared" si="23"/>
        <v>66430</v>
      </c>
    </row>
    <row r="247" spans="1:21" s="237" customFormat="1" x14ac:dyDescent="0.3">
      <c r="A247" s="237">
        <v>242</v>
      </c>
      <c r="B247" s="263">
        <v>0</v>
      </c>
      <c r="C247" s="263">
        <f t="shared" si="28"/>
        <v>1</v>
      </c>
      <c r="D247" s="264">
        <f t="shared" si="27"/>
        <v>0</v>
      </c>
      <c r="E247" s="383" t="s">
        <v>812</v>
      </c>
      <c r="F247" s="384" t="s">
        <v>364</v>
      </c>
      <c r="G247" s="384">
        <v>31</v>
      </c>
      <c r="H247" s="385">
        <v>40908</v>
      </c>
      <c r="I247" s="265">
        <f t="shared" si="18"/>
        <v>2011</v>
      </c>
      <c r="J247" s="383">
        <v>212</v>
      </c>
      <c r="K247" s="641" t="str">
        <f>VLOOKUP(J247,'Cost Escalators'!$C$313:$D$330,2,FALSE)</f>
        <v>Lift Stations</v>
      </c>
      <c r="L247" s="238" t="s">
        <v>815</v>
      </c>
      <c r="M247" s="384" t="s">
        <v>1506</v>
      </c>
      <c r="N247" s="246">
        <v>60970</v>
      </c>
      <c r="O247" s="267">
        <v>50</v>
      </c>
      <c r="P247" s="250">
        <f t="shared" si="19"/>
        <v>2061</v>
      </c>
      <c r="Q247" s="268">
        <f>IF(J247=10,1,IFERROR(INDEX('Cost Escalators'!$D$28:$D$92,MATCH($P$4,'Cost Escalators'!$B$28:$B$92,0))/INDEX('Cost Escalators'!$D$28:$D$92,MATCH(I247,'Cost Escalators'!$B$28:$B$92,0)),1))</f>
        <v>1.1066796523273121</v>
      </c>
      <c r="R247" s="269">
        <f t="shared" si="20"/>
        <v>67474.258402396226</v>
      </c>
      <c r="S247" s="269">
        <f t="shared" si="21"/>
        <v>250572.03633249452</v>
      </c>
      <c r="T247" s="269">
        <f t="shared" si="22"/>
        <v>62871.144845613046</v>
      </c>
      <c r="U247" s="242">
        <f t="shared" si="23"/>
        <v>4877.6000000000004</v>
      </c>
    </row>
    <row r="248" spans="1:21" s="237" customFormat="1" x14ac:dyDescent="0.3">
      <c r="A248" s="237">
        <v>243</v>
      </c>
      <c r="B248" s="263">
        <v>0</v>
      </c>
      <c r="C248" s="263">
        <f t="shared" si="28"/>
        <v>1</v>
      </c>
      <c r="D248" s="264">
        <f t="shared" si="27"/>
        <v>0</v>
      </c>
      <c r="E248" s="383" t="s">
        <v>816</v>
      </c>
      <c r="F248" s="384" t="s">
        <v>364</v>
      </c>
      <c r="G248" s="384">
        <v>31</v>
      </c>
      <c r="H248" s="385">
        <v>35139</v>
      </c>
      <c r="I248" s="265">
        <f t="shared" si="18"/>
        <v>1996</v>
      </c>
      <c r="J248" s="383">
        <v>212</v>
      </c>
      <c r="K248" s="641" t="str">
        <f>VLOOKUP(J248,'Cost Escalators'!$C$313:$D$330,2,FALSE)</f>
        <v>Lift Stations</v>
      </c>
      <c r="L248" s="238" t="s">
        <v>817</v>
      </c>
      <c r="M248" s="384" t="s">
        <v>1506</v>
      </c>
      <c r="N248" s="246">
        <v>800</v>
      </c>
      <c r="O248" s="267">
        <v>50</v>
      </c>
      <c r="P248" s="250">
        <f t="shared" si="19"/>
        <v>2046</v>
      </c>
      <c r="Q248" s="268">
        <f>IF(J248=10,1,IFERROR(INDEX('Cost Escalators'!$D$28:$D$92,MATCH($P$4,'Cost Escalators'!$B$28:$B$92,0))/INDEX('Cost Escalators'!$D$28:$D$92,MATCH(I248,'Cost Escalators'!$B$28:$B$92,0)),1))</f>
        <v>1.7860142348754449</v>
      </c>
      <c r="R248" s="269">
        <f t="shared" si="20"/>
        <v>1428.8113879003558</v>
      </c>
      <c r="S248" s="269">
        <f t="shared" si="21"/>
        <v>3459.129624918256</v>
      </c>
      <c r="T248" s="269">
        <f t="shared" si="22"/>
        <v>852.76932785371093</v>
      </c>
      <c r="U248" s="242">
        <f t="shared" si="23"/>
        <v>304</v>
      </c>
    </row>
    <row r="249" spans="1:21" s="237" customFormat="1" x14ac:dyDescent="0.3">
      <c r="A249" s="237">
        <v>244</v>
      </c>
      <c r="B249" s="263">
        <v>0</v>
      </c>
      <c r="C249" s="263">
        <f t="shared" si="28"/>
        <v>1</v>
      </c>
      <c r="D249" s="264">
        <f t="shared" si="27"/>
        <v>0</v>
      </c>
      <c r="E249" s="383" t="s">
        <v>818</v>
      </c>
      <c r="F249" s="384" t="s">
        <v>364</v>
      </c>
      <c r="G249" s="384">
        <v>31</v>
      </c>
      <c r="H249" s="385">
        <v>28306</v>
      </c>
      <c r="I249" s="265">
        <f t="shared" si="18"/>
        <v>1977</v>
      </c>
      <c r="J249" s="383">
        <v>212</v>
      </c>
      <c r="K249" s="641" t="str">
        <f>VLOOKUP(J249,'Cost Escalators'!$C$313:$D$330,2,FALSE)</f>
        <v>Lift Stations</v>
      </c>
      <c r="L249" s="238" t="s">
        <v>819</v>
      </c>
      <c r="M249" s="384" t="s">
        <v>1506</v>
      </c>
      <c r="N249" s="246">
        <v>30000</v>
      </c>
      <c r="O249" s="267">
        <v>50</v>
      </c>
      <c r="P249" s="250">
        <f t="shared" si="19"/>
        <v>2027</v>
      </c>
      <c r="Q249" s="268">
        <f>IF(J249=10,1,IFERROR(INDEX('Cost Escalators'!$D$28:$D$92,MATCH($P$4,'Cost Escalators'!$B$28:$B$92,0))/INDEX('Cost Escalators'!$D$28:$D$92,MATCH(I249,'Cost Escalators'!$B$28:$B$92,0)),1))</f>
        <v>3.8965062111801241</v>
      </c>
      <c r="R249" s="269">
        <f t="shared" si="20"/>
        <v>116895.18633540372</v>
      </c>
      <c r="S249" s="269">
        <f t="shared" si="21"/>
        <v>164603.34877010252</v>
      </c>
      <c r="T249" s="269">
        <f t="shared" si="22"/>
        <v>21282.972615610786</v>
      </c>
      <c r="U249" s="242">
        <f t="shared" si="23"/>
        <v>22800</v>
      </c>
    </row>
    <row r="250" spans="1:21" s="237" customFormat="1" x14ac:dyDescent="0.3">
      <c r="A250" s="237">
        <v>245</v>
      </c>
      <c r="B250" s="263">
        <v>0</v>
      </c>
      <c r="C250" s="263">
        <f t="shared" si="28"/>
        <v>1</v>
      </c>
      <c r="D250" s="264">
        <f t="shared" si="27"/>
        <v>0</v>
      </c>
      <c r="E250" s="383" t="s">
        <v>820</v>
      </c>
      <c r="F250" s="384" t="s">
        <v>364</v>
      </c>
      <c r="G250" s="384">
        <v>31</v>
      </c>
      <c r="H250" s="385">
        <v>27941</v>
      </c>
      <c r="I250" s="265">
        <f t="shared" si="18"/>
        <v>1976</v>
      </c>
      <c r="J250" s="383">
        <v>212</v>
      </c>
      <c r="K250" s="641" t="str">
        <f>VLOOKUP(J250,'Cost Escalators'!$C$313:$D$330,2,FALSE)</f>
        <v>Lift Stations</v>
      </c>
      <c r="L250" s="238" t="s">
        <v>821</v>
      </c>
      <c r="M250" s="384" t="s">
        <v>1506</v>
      </c>
      <c r="N250" s="246">
        <v>30000</v>
      </c>
      <c r="O250" s="267">
        <v>50</v>
      </c>
      <c r="P250" s="250">
        <f t="shared" si="19"/>
        <v>2026</v>
      </c>
      <c r="Q250" s="268">
        <f>IF(J250=10,1,IFERROR(INDEX('Cost Escalators'!$D$28:$D$92,MATCH($P$4,'Cost Escalators'!$B$28:$B$92,0))/INDEX('Cost Escalators'!$D$28:$D$92,MATCH(I250,'Cost Escalators'!$B$28:$B$92,0)),1))</f>
        <v>4.1805081216159934</v>
      </c>
      <c r="R250" s="269">
        <f t="shared" si="20"/>
        <v>125415.24364847979</v>
      </c>
      <c r="S250" s="269">
        <f t="shared" si="21"/>
        <v>171634.87122778437</v>
      </c>
      <c r="T250" s="269">
        <f t="shared" si="22"/>
        <v>20073.844791719697</v>
      </c>
      <c r="U250" s="242">
        <f t="shared" si="23"/>
        <v>23400</v>
      </c>
    </row>
    <row r="251" spans="1:21" s="237" customFormat="1" x14ac:dyDescent="0.3">
      <c r="A251" s="237">
        <v>246</v>
      </c>
      <c r="B251" s="263">
        <v>0</v>
      </c>
      <c r="C251" s="263">
        <f t="shared" si="28"/>
        <v>1</v>
      </c>
      <c r="D251" s="264">
        <f t="shared" si="27"/>
        <v>0</v>
      </c>
      <c r="E251" s="383" t="s">
        <v>822</v>
      </c>
      <c r="F251" s="384" t="s">
        <v>364</v>
      </c>
      <c r="G251" s="384">
        <v>31</v>
      </c>
      <c r="H251" s="385">
        <v>26114</v>
      </c>
      <c r="I251" s="265">
        <f t="shared" si="18"/>
        <v>1971</v>
      </c>
      <c r="J251" s="383">
        <v>212</v>
      </c>
      <c r="K251" s="641" t="str">
        <f>VLOOKUP(J251,'Cost Escalators'!$C$313:$D$330,2,FALSE)</f>
        <v>Lift Stations</v>
      </c>
      <c r="L251" s="238" t="s">
        <v>823</v>
      </c>
      <c r="M251" s="384" t="s">
        <v>1506</v>
      </c>
      <c r="N251" s="246">
        <v>22500</v>
      </c>
      <c r="O251" s="267">
        <v>50</v>
      </c>
      <c r="P251" s="250">
        <f t="shared" si="19"/>
        <v>2021</v>
      </c>
      <c r="Q251" s="268">
        <f>IF(J251=10,1,IFERROR(INDEX('Cost Escalators'!$D$28:$D$92,MATCH($P$4,'Cost Escalators'!$B$28:$B$92,0))/INDEX('Cost Escalators'!$D$28:$D$92,MATCH(I251,'Cost Escalators'!$B$28:$B$92,0)),1))</f>
        <v>6.3487666034155597</v>
      </c>
      <c r="R251" s="269">
        <f t="shared" si="20"/>
        <v>142847.24857685011</v>
      </c>
      <c r="S251" s="269">
        <f t="shared" si="21"/>
        <v>169509.05361150933</v>
      </c>
      <c r="T251" s="269">
        <f t="shared" si="22"/>
        <v>9470.7543776323873</v>
      </c>
      <c r="U251" s="242">
        <f t="shared" si="23"/>
        <v>19800</v>
      </c>
    </row>
    <row r="252" spans="1:21" s="237" customFormat="1" x14ac:dyDescent="0.3">
      <c r="A252" s="237">
        <v>247</v>
      </c>
      <c r="B252" s="263">
        <v>0</v>
      </c>
      <c r="C252" s="263">
        <f t="shared" si="28"/>
        <v>1</v>
      </c>
      <c r="D252" s="264">
        <f t="shared" si="27"/>
        <v>0</v>
      </c>
      <c r="E252" s="383" t="s">
        <v>824</v>
      </c>
      <c r="F252" s="384" t="s">
        <v>364</v>
      </c>
      <c r="G252" s="384">
        <v>31</v>
      </c>
      <c r="H252" s="385">
        <v>27210</v>
      </c>
      <c r="I252" s="265">
        <f t="shared" si="18"/>
        <v>1974</v>
      </c>
      <c r="J252" s="383">
        <v>212</v>
      </c>
      <c r="K252" s="641" t="str">
        <f>VLOOKUP(J252,'Cost Escalators'!$C$313:$D$330,2,FALSE)</f>
        <v>Lift Stations</v>
      </c>
      <c r="L252" s="238" t="s">
        <v>825</v>
      </c>
      <c r="M252" s="384" t="s">
        <v>1506</v>
      </c>
      <c r="N252" s="246">
        <v>32500</v>
      </c>
      <c r="O252" s="267">
        <v>50</v>
      </c>
      <c r="P252" s="250">
        <f t="shared" si="19"/>
        <v>2024</v>
      </c>
      <c r="Q252" s="268">
        <f>IF(J252=10,1,IFERROR(INDEX('Cost Escalators'!$D$28:$D$92,MATCH($P$4,'Cost Escalators'!$B$28:$B$92,0))/INDEX('Cost Escalators'!$D$28:$D$92,MATCH(I252,'Cost Escalators'!$B$28:$B$92,0)),1))</f>
        <v>4.9690099009900992</v>
      </c>
      <c r="R252" s="269">
        <f t="shared" si="20"/>
        <v>161492.82178217822</v>
      </c>
      <c r="S252" s="269">
        <f t="shared" si="21"/>
        <v>208753.97421456542</v>
      </c>
      <c r="T252" s="269">
        <f t="shared" si="22"/>
        <v>18837.192052765782</v>
      </c>
      <c r="U252" s="242">
        <f t="shared" si="23"/>
        <v>26650</v>
      </c>
    </row>
    <row r="253" spans="1:21" s="237" customFormat="1" x14ac:dyDescent="0.3">
      <c r="A253" s="237">
        <v>248</v>
      </c>
      <c r="B253" s="263">
        <v>0</v>
      </c>
      <c r="C253" s="263">
        <f t="shared" si="28"/>
        <v>1</v>
      </c>
      <c r="D253" s="264">
        <f t="shared" si="27"/>
        <v>0</v>
      </c>
      <c r="E253" s="383" t="s">
        <v>824</v>
      </c>
      <c r="F253" s="384" t="s">
        <v>364</v>
      </c>
      <c r="G253" s="384">
        <v>31</v>
      </c>
      <c r="H253" s="385">
        <v>35338</v>
      </c>
      <c r="I253" s="265">
        <f t="shared" si="18"/>
        <v>1996</v>
      </c>
      <c r="J253" s="383">
        <v>212</v>
      </c>
      <c r="K253" s="641" t="str">
        <f>VLOOKUP(J253,'Cost Escalators'!$C$313:$D$330,2,FALSE)</f>
        <v>Lift Stations</v>
      </c>
      <c r="L253" s="238" t="s">
        <v>826</v>
      </c>
      <c r="M253" s="384" t="s">
        <v>1506</v>
      </c>
      <c r="N253" s="246">
        <v>303169.5</v>
      </c>
      <c r="O253" s="267">
        <v>50</v>
      </c>
      <c r="P253" s="250">
        <f t="shared" si="19"/>
        <v>2046</v>
      </c>
      <c r="Q253" s="268">
        <f>IF(J253=10,1,IFERROR(INDEX('Cost Escalators'!$D$28:$D$92,MATCH($P$4,'Cost Escalators'!$B$28:$B$92,0))/INDEX('Cost Escalators'!$D$28:$D$92,MATCH(I253,'Cost Escalators'!$B$28:$B$92,0)),1))</f>
        <v>1.7860142348754449</v>
      </c>
      <c r="R253" s="269">
        <f t="shared" si="20"/>
        <v>541465.04258007114</v>
      </c>
      <c r="S253" s="269">
        <f t="shared" si="21"/>
        <v>1310878.2485270689</v>
      </c>
      <c r="T253" s="269">
        <f t="shared" si="22"/>
        <v>323167.06342593202</v>
      </c>
      <c r="U253" s="242">
        <f t="shared" si="23"/>
        <v>115204.41</v>
      </c>
    </row>
    <row r="254" spans="1:21" s="237" customFormat="1" x14ac:dyDescent="0.3">
      <c r="A254" s="237">
        <v>249</v>
      </c>
      <c r="B254" s="263">
        <v>0</v>
      </c>
      <c r="C254" s="263">
        <f t="shared" si="28"/>
        <v>1</v>
      </c>
      <c r="D254" s="264">
        <f t="shared" si="27"/>
        <v>0</v>
      </c>
      <c r="E254" s="383" t="s">
        <v>827</v>
      </c>
      <c r="F254" s="384" t="s">
        <v>364</v>
      </c>
      <c r="G254" s="384">
        <v>31</v>
      </c>
      <c r="H254" s="385">
        <v>32086</v>
      </c>
      <c r="I254" s="265">
        <f t="shared" si="18"/>
        <v>1987</v>
      </c>
      <c r="J254" s="383">
        <v>212</v>
      </c>
      <c r="K254" s="641" t="str">
        <f>VLOOKUP(J254,'Cost Escalators'!$C$313:$D$330,2,FALSE)</f>
        <v>Lift Stations</v>
      </c>
      <c r="L254" s="238" t="s">
        <v>828</v>
      </c>
      <c r="M254" s="384" t="s">
        <v>1506</v>
      </c>
      <c r="N254" s="246">
        <v>225236.97</v>
      </c>
      <c r="O254" s="267">
        <v>50</v>
      </c>
      <c r="P254" s="250">
        <f t="shared" si="19"/>
        <v>2037</v>
      </c>
      <c r="Q254" s="268">
        <f>IF(J254=10,1,IFERROR(INDEX('Cost Escalators'!$D$28:$D$92,MATCH($P$4,'Cost Escalators'!$B$28:$B$92,0))/INDEX('Cost Escalators'!$D$28:$D$92,MATCH(I254,'Cost Escalators'!$B$28:$B$92,0)),1))</f>
        <v>2.2781207444394007</v>
      </c>
      <c r="R254" s="269">
        <f t="shared" si="20"/>
        <v>513117.01377167495</v>
      </c>
      <c r="S254" s="269">
        <f t="shared" si="21"/>
        <v>961007.59441233589</v>
      </c>
      <c r="T254" s="269">
        <f t="shared" si="22"/>
        <v>220253.9861050022</v>
      </c>
      <c r="U254" s="242">
        <f t="shared" si="23"/>
        <v>126132.70320000002</v>
      </c>
    </row>
    <row r="255" spans="1:21" s="237" customFormat="1" x14ac:dyDescent="0.3">
      <c r="A255" s="237">
        <v>250</v>
      </c>
      <c r="B255" s="263">
        <v>0</v>
      </c>
      <c r="C255" s="263">
        <f t="shared" si="28"/>
        <v>1</v>
      </c>
      <c r="D255" s="264">
        <f t="shared" si="27"/>
        <v>0</v>
      </c>
      <c r="E255" s="383" t="s">
        <v>829</v>
      </c>
      <c r="F255" s="384" t="s">
        <v>364</v>
      </c>
      <c r="G255" s="384">
        <v>31</v>
      </c>
      <c r="H255" s="385">
        <v>36433</v>
      </c>
      <c r="I255" s="265">
        <f t="shared" si="18"/>
        <v>1999</v>
      </c>
      <c r="J255" s="383">
        <v>212</v>
      </c>
      <c r="K255" s="641" t="str">
        <f>VLOOKUP(J255,'Cost Escalators'!$C$313:$D$330,2,FALSE)</f>
        <v>Lift Stations</v>
      </c>
      <c r="L255" s="238" t="s">
        <v>830</v>
      </c>
      <c r="M255" s="384" t="s">
        <v>1506</v>
      </c>
      <c r="N255" s="246">
        <v>150000</v>
      </c>
      <c r="O255" s="267">
        <v>20</v>
      </c>
      <c r="P255" s="250">
        <f t="shared" si="19"/>
        <v>2019</v>
      </c>
      <c r="Q255" s="268">
        <f>IF(J255=10,1,IFERROR(INDEX('Cost Escalators'!$D$28:$D$92,MATCH($P$4,'Cost Escalators'!$B$28:$B$92,0))/INDEX('Cost Escalators'!$D$28:$D$92,MATCH(I255,'Cost Escalators'!$B$28:$B$92,0)),1))</f>
        <v>1.6566100016504373</v>
      </c>
      <c r="R255" s="269">
        <f t="shared" si="20"/>
        <v>248491.50024756559</v>
      </c>
      <c r="S255" s="269">
        <f t="shared" si="21"/>
        <v>278521.60194551107</v>
      </c>
      <c r="T255" s="269">
        <f t="shared" si="22"/>
        <v>47348.981320072235</v>
      </c>
      <c r="U255" s="242">
        <f t="shared" si="23"/>
        <v>120000</v>
      </c>
    </row>
    <row r="256" spans="1:21" s="237" customFormat="1" x14ac:dyDescent="0.3">
      <c r="A256" s="237">
        <v>251</v>
      </c>
      <c r="B256" s="263">
        <v>0</v>
      </c>
      <c r="C256" s="263">
        <f t="shared" si="28"/>
        <v>1</v>
      </c>
      <c r="D256" s="264">
        <f t="shared" si="27"/>
        <v>0</v>
      </c>
      <c r="E256" s="383" t="s">
        <v>831</v>
      </c>
      <c r="F256" s="384" t="s">
        <v>364</v>
      </c>
      <c r="G256" s="384">
        <v>31</v>
      </c>
      <c r="H256" s="385">
        <v>36433</v>
      </c>
      <c r="I256" s="265">
        <f t="shared" si="18"/>
        <v>1999</v>
      </c>
      <c r="J256" s="383">
        <v>212</v>
      </c>
      <c r="K256" s="641" t="str">
        <f>VLOOKUP(J256,'Cost Escalators'!$C$313:$D$330,2,FALSE)</f>
        <v>Lift Stations</v>
      </c>
      <c r="L256" s="238" t="s">
        <v>832</v>
      </c>
      <c r="M256" s="384" t="s">
        <v>1506</v>
      </c>
      <c r="N256" s="246">
        <v>16491.47</v>
      </c>
      <c r="O256" s="267">
        <v>20</v>
      </c>
      <c r="P256" s="250">
        <f t="shared" si="19"/>
        <v>2019</v>
      </c>
      <c r="Q256" s="268">
        <f>IF(J256=10,1,IFERROR(INDEX('Cost Escalators'!$D$28:$D$92,MATCH($P$4,'Cost Escalators'!$B$28:$B$92,0))/INDEX('Cost Escalators'!$D$28:$D$92,MATCH(I256,'Cost Escalators'!$B$28:$B$92,0)),1))</f>
        <v>1.6566100016504373</v>
      </c>
      <c r="R256" s="269">
        <f t="shared" si="20"/>
        <v>27319.934143918137</v>
      </c>
      <c r="S256" s="269">
        <f t="shared" si="21"/>
        <v>30621.537618908918</v>
      </c>
      <c r="T256" s="269">
        <f t="shared" si="22"/>
        <v>5205.6953664702114</v>
      </c>
      <c r="U256" s="242">
        <f t="shared" si="23"/>
        <v>13193.176000000001</v>
      </c>
    </row>
    <row r="257" spans="1:21" s="237" customFormat="1" x14ac:dyDescent="0.3">
      <c r="A257" s="237">
        <v>252</v>
      </c>
      <c r="B257" s="263">
        <v>0</v>
      </c>
      <c r="C257" s="263">
        <f t="shared" si="28"/>
        <v>1</v>
      </c>
      <c r="D257" s="264">
        <f t="shared" si="27"/>
        <v>0</v>
      </c>
      <c r="E257" s="383" t="s">
        <v>833</v>
      </c>
      <c r="F257" s="384" t="s">
        <v>364</v>
      </c>
      <c r="G257" s="384">
        <v>31</v>
      </c>
      <c r="H257" s="385">
        <v>37846</v>
      </c>
      <c r="I257" s="265">
        <f t="shared" si="18"/>
        <v>2003</v>
      </c>
      <c r="J257" s="383">
        <v>212</v>
      </c>
      <c r="K257" s="641" t="str">
        <f>VLOOKUP(J257,'Cost Escalators'!$C$313:$D$330,2,FALSE)</f>
        <v>Lift Stations</v>
      </c>
      <c r="L257" s="238" t="s">
        <v>834</v>
      </c>
      <c r="M257" s="384" t="s">
        <v>1506</v>
      </c>
      <c r="N257" s="246">
        <v>25990.42</v>
      </c>
      <c r="O257" s="267">
        <v>20</v>
      </c>
      <c r="P257" s="250">
        <f t="shared" si="19"/>
        <v>2023</v>
      </c>
      <c r="Q257" s="268">
        <f>IF(J257=10,1,IFERROR(INDEX('Cost Escalators'!$D$28:$D$92,MATCH($P$4,'Cost Escalators'!$B$28:$B$92,0))/INDEX('Cost Escalators'!$D$28:$D$92,MATCH(I257,'Cost Escalators'!$B$28:$B$92,0)),1))</f>
        <v>1.4994622049596653</v>
      </c>
      <c r="R257" s="269">
        <f t="shared" si="20"/>
        <v>38971.652481027784</v>
      </c>
      <c r="S257" s="269">
        <f t="shared" si="21"/>
        <v>48960.237266990691</v>
      </c>
      <c r="T257" s="269">
        <f t="shared" si="22"/>
        <v>14639.132036340312</v>
      </c>
      <c r="U257" s="242">
        <f t="shared" si="23"/>
        <v>15594.252</v>
      </c>
    </row>
    <row r="258" spans="1:21" s="237" customFormat="1" x14ac:dyDescent="0.3">
      <c r="A258" s="237">
        <v>253</v>
      </c>
      <c r="B258" s="263">
        <v>0</v>
      </c>
      <c r="C258" s="263">
        <f t="shared" si="28"/>
        <v>1</v>
      </c>
      <c r="D258" s="264">
        <f t="shared" si="27"/>
        <v>0</v>
      </c>
      <c r="E258" s="383" t="s">
        <v>835</v>
      </c>
      <c r="F258" s="384" t="s">
        <v>364</v>
      </c>
      <c r="G258" s="384">
        <v>31</v>
      </c>
      <c r="H258" s="385">
        <v>37846</v>
      </c>
      <c r="I258" s="265">
        <f t="shared" si="18"/>
        <v>2003</v>
      </c>
      <c r="J258" s="383">
        <v>212</v>
      </c>
      <c r="K258" s="641" t="str">
        <f>VLOOKUP(J258,'Cost Escalators'!$C$313:$D$330,2,FALSE)</f>
        <v>Lift Stations</v>
      </c>
      <c r="L258" s="238" t="s">
        <v>836</v>
      </c>
      <c r="M258" s="384" t="s">
        <v>1506</v>
      </c>
      <c r="N258" s="246">
        <v>25990.44</v>
      </c>
      <c r="O258" s="267">
        <v>20</v>
      </c>
      <c r="P258" s="250">
        <f t="shared" si="19"/>
        <v>2023</v>
      </c>
      <c r="Q258" s="268">
        <f>IF(J258=10,1,IFERROR(INDEX('Cost Escalators'!$D$28:$D$92,MATCH($P$4,'Cost Escalators'!$B$28:$B$92,0))/INDEX('Cost Escalators'!$D$28:$D$92,MATCH(I258,'Cost Escalators'!$B$28:$B$92,0)),1))</f>
        <v>1.4994622049596653</v>
      </c>
      <c r="R258" s="269">
        <f t="shared" si="20"/>
        <v>38971.68247027188</v>
      </c>
      <c r="S258" s="269">
        <f t="shared" si="21"/>
        <v>48960.274942593671</v>
      </c>
      <c r="T258" s="269">
        <f t="shared" si="22"/>
        <v>14639.143301361839</v>
      </c>
      <c r="U258" s="242">
        <f t="shared" si="23"/>
        <v>15594.263999999999</v>
      </c>
    </row>
    <row r="259" spans="1:21" s="237" customFormat="1" x14ac:dyDescent="0.3">
      <c r="A259" s="237">
        <v>254</v>
      </c>
      <c r="B259" s="263">
        <v>0</v>
      </c>
      <c r="C259" s="263">
        <f t="shared" si="28"/>
        <v>1</v>
      </c>
      <c r="D259" s="264">
        <f t="shared" si="27"/>
        <v>0</v>
      </c>
      <c r="E259" s="383" t="s">
        <v>837</v>
      </c>
      <c r="F259" s="384" t="s">
        <v>364</v>
      </c>
      <c r="G259" s="384">
        <v>31</v>
      </c>
      <c r="H259" s="385">
        <v>38131</v>
      </c>
      <c r="I259" s="265">
        <f t="shared" si="18"/>
        <v>2004</v>
      </c>
      <c r="J259" s="383">
        <v>212</v>
      </c>
      <c r="K259" s="641" t="str">
        <f>VLOOKUP(J259,'Cost Escalators'!$C$313:$D$330,2,FALSE)</f>
        <v>Lift Stations</v>
      </c>
      <c r="L259" s="238" t="s">
        <v>838</v>
      </c>
      <c r="M259" s="384" t="s">
        <v>1506</v>
      </c>
      <c r="N259" s="246">
        <v>46687.94</v>
      </c>
      <c r="O259" s="267">
        <v>20</v>
      </c>
      <c r="P259" s="250">
        <f t="shared" si="19"/>
        <v>2024</v>
      </c>
      <c r="Q259" s="268">
        <f>IF(J259=10,1,IFERROR(INDEX('Cost Escalators'!$D$28:$D$92,MATCH($P$4,'Cost Escalators'!$B$28:$B$92,0))/INDEX('Cost Escalators'!$D$28:$D$92,MATCH(I259,'Cost Escalators'!$B$28:$B$92,0)),1))</f>
        <v>1.4107378777231201</v>
      </c>
      <c r="R259" s="269">
        <f t="shared" si="20"/>
        <v>65864.445390864377</v>
      </c>
      <c r="S259" s="269">
        <f t="shared" si="21"/>
        <v>85139.788772323605</v>
      </c>
      <c r="T259" s="269">
        <f t="shared" si="22"/>
        <v>28752.289207464659</v>
      </c>
      <c r="U259" s="242">
        <f t="shared" si="23"/>
        <v>25678.366999999998</v>
      </c>
    </row>
    <row r="260" spans="1:21" s="237" customFormat="1" x14ac:dyDescent="0.3">
      <c r="A260" s="237">
        <v>255</v>
      </c>
      <c r="B260" s="263">
        <v>0</v>
      </c>
      <c r="C260" s="263">
        <f t="shared" si="28"/>
        <v>1</v>
      </c>
      <c r="D260" s="264">
        <f t="shared" si="27"/>
        <v>0</v>
      </c>
      <c r="E260" s="383" t="s">
        <v>837</v>
      </c>
      <c r="F260" s="384" t="s">
        <v>364</v>
      </c>
      <c r="G260" s="384">
        <v>31</v>
      </c>
      <c r="H260" s="385">
        <v>37894</v>
      </c>
      <c r="I260" s="265">
        <f t="shared" si="18"/>
        <v>2003</v>
      </c>
      <c r="J260" s="383">
        <v>212</v>
      </c>
      <c r="K260" s="641" t="str">
        <f>VLOOKUP(J260,'Cost Escalators'!$C$313:$D$330,2,FALSE)</f>
        <v>Lift Stations</v>
      </c>
      <c r="L260" s="238" t="s">
        <v>839</v>
      </c>
      <c r="M260" s="384" t="s">
        <v>1506</v>
      </c>
      <c r="N260" s="246">
        <v>538205.48</v>
      </c>
      <c r="O260" s="267">
        <v>20</v>
      </c>
      <c r="P260" s="250">
        <f t="shared" si="19"/>
        <v>2023</v>
      </c>
      <c r="Q260" s="268">
        <f>IF(J260=10,1,IFERROR(INDEX('Cost Escalators'!$D$28:$D$92,MATCH($P$4,'Cost Escalators'!$B$28:$B$92,0))/INDEX('Cost Escalators'!$D$28:$D$92,MATCH(I260,'Cost Escalators'!$B$28:$B$92,0)),1))</f>
        <v>1.4994622049596653</v>
      </c>
      <c r="R260" s="269">
        <f t="shared" si="20"/>
        <v>807018.77576217498</v>
      </c>
      <c r="S260" s="269">
        <f t="shared" si="21"/>
        <v>1013860.7994482048</v>
      </c>
      <c r="T260" s="269">
        <f t="shared" si="22"/>
        <v>303144.8158360626</v>
      </c>
      <c r="U260" s="242">
        <f t="shared" si="23"/>
        <v>322923.28799999994</v>
      </c>
    </row>
    <row r="261" spans="1:21" s="237" customFormat="1" x14ac:dyDescent="0.3">
      <c r="A261" s="237">
        <v>256</v>
      </c>
      <c r="B261" s="263">
        <v>0</v>
      </c>
      <c r="C261" s="263">
        <f t="shared" si="28"/>
        <v>1</v>
      </c>
      <c r="D261" s="264">
        <f t="shared" si="27"/>
        <v>0</v>
      </c>
      <c r="E261" s="383" t="s">
        <v>837</v>
      </c>
      <c r="F261" s="384" t="s">
        <v>364</v>
      </c>
      <c r="G261" s="384">
        <v>31</v>
      </c>
      <c r="H261" s="385">
        <v>38625</v>
      </c>
      <c r="I261" s="265">
        <f t="shared" si="18"/>
        <v>2005</v>
      </c>
      <c r="J261" s="383">
        <v>212</v>
      </c>
      <c r="K261" s="641" t="str">
        <f>VLOOKUP(J261,'Cost Escalators'!$C$313:$D$330,2,FALSE)</f>
        <v>Lift Stations</v>
      </c>
      <c r="L261" s="238" t="s">
        <v>840</v>
      </c>
      <c r="M261" s="384" t="s">
        <v>1506</v>
      </c>
      <c r="N261" s="246">
        <v>4140</v>
      </c>
      <c r="O261" s="267">
        <v>20</v>
      </c>
      <c r="P261" s="250">
        <f t="shared" si="19"/>
        <v>2025</v>
      </c>
      <c r="Q261" s="268">
        <f>IF(J261=10,1,IFERROR(INDEX('Cost Escalators'!$D$28:$D$92,MATCH($P$4,'Cost Escalators'!$B$28:$B$92,0))/INDEX('Cost Escalators'!$D$28:$D$92,MATCH(I261,'Cost Escalators'!$B$28:$B$92,0)),1))</f>
        <v>1.3480106991371303</v>
      </c>
      <c r="R261" s="269">
        <f t="shared" si="20"/>
        <v>5580.7642944277195</v>
      </c>
      <c r="S261" s="269">
        <f t="shared" si="21"/>
        <v>7422.7023558975125</v>
      </c>
      <c r="T261" s="269">
        <f t="shared" si="22"/>
        <v>2753.2060244955137</v>
      </c>
      <c r="U261" s="242">
        <f t="shared" si="23"/>
        <v>2070</v>
      </c>
    </row>
    <row r="262" spans="1:21" s="237" customFormat="1" x14ac:dyDescent="0.3">
      <c r="A262" s="237">
        <v>257</v>
      </c>
      <c r="B262" s="263">
        <v>0</v>
      </c>
      <c r="C262" s="263">
        <f t="shared" si="28"/>
        <v>1</v>
      </c>
      <c r="D262" s="264">
        <f t="shared" si="27"/>
        <v>0</v>
      </c>
      <c r="E262" s="383" t="s">
        <v>837</v>
      </c>
      <c r="F262" s="384" t="s">
        <v>364</v>
      </c>
      <c r="G262" s="384">
        <v>31</v>
      </c>
      <c r="H262" s="385">
        <v>38321</v>
      </c>
      <c r="I262" s="265">
        <f t="shared" ref="I262:I325" si="29">YEAR(H262)</f>
        <v>2004</v>
      </c>
      <c r="J262" s="383">
        <v>212</v>
      </c>
      <c r="K262" s="641" t="str">
        <f>VLOOKUP(J262,'Cost Escalators'!$C$313:$D$330,2,FALSE)</f>
        <v>Lift Stations</v>
      </c>
      <c r="L262" s="238" t="s">
        <v>840</v>
      </c>
      <c r="M262" s="384" t="s">
        <v>1506</v>
      </c>
      <c r="N262" s="246">
        <v>423.52</v>
      </c>
      <c r="O262" s="267">
        <v>20</v>
      </c>
      <c r="P262" s="250">
        <f t="shared" ref="P262:P325" si="30">IF(O262="","",I262+O262)</f>
        <v>2024</v>
      </c>
      <c r="Q262" s="268">
        <f>IF(J262=10,1,IFERROR(INDEX('Cost Escalators'!$D$28:$D$92,MATCH($P$4,'Cost Escalators'!$B$28:$B$92,0))/INDEX('Cost Escalators'!$D$28:$D$92,MATCH(I262,'Cost Escalators'!$B$28:$B$92,0)),1))</f>
        <v>1.4107378777231201</v>
      </c>
      <c r="R262" s="269">
        <f t="shared" ref="R262:R325" si="31">N262*Q262</f>
        <v>597.47570597329582</v>
      </c>
      <c r="S262" s="269">
        <f t="shared" ref="S262:S325" si="32">IFERROR(IF(P262&gt;$P$4,R262*(1+$Q$4)^(P262-$P$4),R262),"")</f>
        <v>772.32800035414903</v>
      </c>
      <c r="T262" s="269">
        <f t="shared" ref="T262:T325" si="33">IF(J262=10,N262,(N262-U262)*(1+$Q$4)^($P$4-I262))</f>
        <v>260.82045010221975</v>
      </c>
      <c r="U262" s="242">
        <f t="shared" ref="U262:U325" si="34">IFERROR(IF((N262/O262)*($U$4-I262)&gt;N262,N262,(N262/O262)*($U$4-I262)),0)</f>
        <v>232.93599999999998</v>
      </c>
    </row>
    <row r="263" spans="1:21" s="237" customFormat="1" x14ac:dyDescent="0.3">
      <c r="A263" s="237">
        <v>258</v>
      </c>
      <c r="B263" s="263">
        <v>0</v>
      </c>
      <c r="C263" s="263">
        <f t="shared" si="28"/>
        <v>1</v>
      </c>
      <c r="D263" s="264">
        <f t="shared" si="27"/>
        <v>0</v>
      </c>
      <c r="E263" s="383" t="s">
        <v>841</v>
      </c>
      <c r="F263" s="384" t="s">
        <v>364</v>
      </c>
      <c r="G263" s="384">
        <v>31</v>
      </c>
      <c r="H263" s="385">
        <v>38070</v>
      </c>
      <c r="I263" s="265">
        <f t="shared" si="29"/>
        <v>2004</v>
      </c>
      <c r="J263" s="383">
        <v>212</v>
      </c>
      <c r="K263" s="641" t="str">
        <f>VLOOKUP(J263,'Cost Escalators'!$C$313:$D$330,2,FALSE)</f>
        <v>Lift Stations</v>
      </c>
      <c r="L263" s="238" t="s">
        <v>842</v>
      </c>
      <c r="M263" s="384" t="s">
        <v>1506</v>
      </c>
      <c r="N263" s="246">
        <v>66442.87</v>
      </c>
      <c r="O263" s="267">
        <v>50</v>
      </c>
      <c r="P263" s="250">
        <f t="shared" si="30"/>
        <v>2054</v>
      </c>
      <c r="Q263" s="268">
        <f>IF(J263=10,1,IFERROR(INDEX('Cost Escalators'!$D$28:$D$92,MATCH($P$4,'Cost Escalators'!$B$28:$B$92,0))/INDEX('Cost Escalators'!$D$28:$D$92,MATCH(I263,'Cost Escalators'!$B$28:$B$92,0)),1))</f>
        <v>1.4107378777231201</v>
      </c>
      <c r="R263" s="269">
        <f t="shared" si="31"/>
        <v>93733.473413633154</v>
      </c>
      <c r="S263" s="269">
        <f t="shared" si="32"/>
        <v>285089.5753172813</v>
      </c>
      <c r="T263" s="269">
        <f t="shared" si="33"/>
        <v>70924.811224430974</v>
      </c>
      <c r="U263" s="242">
        <f t="shared" si="34"/>
        <v>14617.431399999998</v>
      </c>
    </row>
    <row r="264" spans="1:21" s="237" customFormat="1" x14ac:dyDescent="0.3">
      <c r="A264" s="237">
        <v>259</v>
      </c>
      <c r="B264" s="263">
        <v>0</v>
      </c>
      <c r="C264" s="263">
        <f t="shared" si="28"/>
        <v>1</v>
      </c>
      <c r="D264" s="264">
        <f t="shared" si="27"/>
        <v>0</v>
      </c>
      <c r="E264" s="383" t="s">
        <v>843</v>
      </c>
      <c r="F264" s="384" t="s">
        <v>364</v>
      </c>
      <c r="G264" s="384">
        <v>31</v>
      </c>
      <c r="H264" s="385">
        <v>38623</v>
      </c>
      <c r="I264" s="265">
        <f t="shared" si="29"/>
        <v>2005</v>
      </c>
      <c r="J264" s="383">
        <v>212</v>
      </c>
      <c r="K264" s="641" t="str">
        <f>VLOOKUP(J264,'Cost Escalators'!$C$313:$D$330,2,FALSE)</f>
        <v>Lift Stations</v>
      </c>
      <c r="L264" s="238" t="s">
        <v>844</v>
      </c>
      <c r="M264" s="384" t="s">
        <v>1506</v>
      </c>
      <c r="N264" s="246">
        <v>497940</v>
      </c>
      <c r="O264" s="267">
        <v>50</v>
      </c>
      <c r="P264" s="250">
        <f t="shared" si="30"/>
        <v>2055</v>
      </c>
      <c r="Q264" s="268">
        <f>IF(J264=10,1,IFERROR(INDEX('Cost Escalators'!$D$28:$D$92,MATCH($P$4,'Cost Escalators'!$B$28:$B$92,0))/INDEX('Cost Escalators'!$D$28:$D$92,MATCH(I264,'Cost Escalators'!$B$28:$B$92,0)),1))</f>
        <v>1.3480106991371303</v>
      </c>
      <c r="R264" s="269">
        <f t="shared" si="31"/>
        <v>671228.44752834272</v>
      </c>
      <c r="S264" s="269">
        <f t="shared" si="32"/>
        <v>2100602.2054649764</v>
      </c>
      <c r="T264" s="269">
        <f t="shared" si="33"/>
        <v>529828.56341538008</v>
      </c>
      <c r="U264" s="242">
        <f t="shared" si="34"/>
        <v>99588</v>
      </c>
    </row>
    <row r="265" spans="1:21" s="237" customFormat="1" x14ac:dyDescent="0.3">
      <c r="A265" s="237">
        <v>260</v>
      </c>
      <c r="B265" s="263">
        <v>0</v>
      </c>
      <c r="C265" s="263">
        <f t="shared" si="28"/>
        <v>1</v>
      </c>
      <c r="D265" s="264">
        <f t="shared" si="27"/>
        <v>0</v>
      </c>
      <c r="E265" s="383" t="s">
        <v>843</v>
      </c>
      <c r="F265" s="384" t="s">
        <v>364</v>
      </c>
      <c r="G265" s="384">
        <v>31</v>
      </c>
      <c r="H265" s="385">
        <v>38990</v>
      </c>
      <c r="I265" s="265">
        <f t="shared" si="29"/>
        <v>2006</v>
      </c>
      <c r="J265" s="383">
        <v>212</v>
      </c>
      <c r="K265" s="641" t="str">
        <f>VLOOKUP(J265,'Cost Escalators'!$C$313:$D$330,2,FALSE)</f>
        <v>Lift Stations</v>
      </c>
      <c r="L265" s="238" t="s">
        <v>845</v>
      </c>
      <c r="M265" s="384" t="s">
        <v>1506</v>
      </c>
      <c r="N265" s="246">
        <v>17500</v>
      </c>
      <c r="O265" s="267">
        <v>50</v>
      </c>
      <c r="P265" s="250">
        <f t="shared" si="30"/>
        <v>2056</v>
      </c>
      <c r="Q265" s="268">
        <f>IF(J265=10,1,IFERROR(INDEX('Cost Escalators'!$D$28:$D$92,MATCH($P$4,'Cost Escalators'!$B$28:$B$92,0))/INDEX('Cost Escalators'!$D$28:$D$92,MATCH(I265,'Cost Escalators'!$B$28:$B$92,0)),1))</f>
        <v>1.2949395258829222</v>
      </c>
      <c r="R265" s="269">
        <f t="shared" si="31"/>
        <v>22661.441702951139</v>
      </c>
      <c r="S265" s="269">
        <f t="shared" si="32"/>
        <v>72970.586248042091</v>
      </c>
      <c r="T265" s="269">
        <f t="shared" si="33"/>
        <v>18549.552214893552</v>
      </c>
      <c r="U265" s="242">
        <f t="shared" si="34"/>
        <v>3150</v>
      </c>
    </row>
    <row r="266" spans="1:21" s="237" customFormat="1" x14ac:dyDescent="0.3">
      <c r="A266" s="237">
        <v>261</v>
      </c>
      <c r="B266" s="263">
        <v>0</v>
      </c>
      <c r="C266" s="263">
        <f t="shared" si="28"/>
        <v>1</v>
      </c>
      <c r="D266" s="264">
        <f t="shared" si="27"/>
        <v>0</v>
      </c>
      <c r="E266" s="383" t="s">
        <v>846</v>
      </c>
      <c r="F266" s="384" t="s">
        <v>764</v>
      </c>
      <c r="G266" s="384">
        <v>31</v>
      </c>
      <c r="H266" s="385">
        <v>22462</v>
      </c>
      <c r="I266" s="265">
        <f t="shared" si="29"/>
        <v>1961</v>
      </c>
      <c r="J266" s="383">
        <v>212</v>
      </c>
      <c r="K266" s="641" t="str">
        <f>VLOOKUP(J266,'Cost Escalators'!$C$313:$D$330,2,FALSE)</f>
        <v>Lift Stations</v>
      </c>
      <c r="L266" s="238" t="s">
        <v>847</v>
      </c>
      <c r="M266" s="384" t="s">
        <v>1506</v>
      </c>
      <c r="N266" s="246">
        <v>15000</v>
      </c>
      <c r="O266" s="267">
        <v>50</v>
      </c>
      <c r="P266" s="250">
        <f t="shared" si="30"/>
        <v>2011</v>
      </c>
      <c r="Q266" s="268">
        <f>IF(J266=10,1,IFERROR(INDEX('Cost Escalators'!$D$28:$D$92,MATCH($P$4,'Cost Escalators'!$B$28:$B$92,0))/INDEX('Cost Escalators'!$D$28:$D$92,MATCH(I266,'Cost Escalators'!$B$28:$B$92,0)),1))</f>
        <v>11.850531286894922</v>
      </c>
      <c r="R266" s="269">
        <f t="shared" si="31"/>
        <v>177757.96930342383</v>
      </c>
      <c r="S266" s="269">
        <f t="shared" si="32"/>
        <v>177757.96930342383</v>
      </c>
      <c r="T266" s="269">
        <f t="shared" si="33"/>
        <v>0</v>
      </c>
      <c r="U266" s="242">
        <f t="shared" si="34"/>
        <v>15000</v>
      </c>
    </row>
    <row r="267" spans="1:21" s="237" customFormat="1" x14ac:dyDescent="0.3">
      <c r="A267" s="237">
        <v>262</v>
      </c>
      <c r="B267" s="263">
        <v>0</v>
      </c>
      <c r="C267" s="263">
        <f t="shared" si="28"/>
        <v>1</v>
      </c>
      <c r="D267" s="264">
        <f t="shared" si="27"/>
        <v>0</v>
      </c>
      <c r="E267" s="383" t="s">
        <v>816</v>
      </c>
      <c r="F267" s="384" t="s">
        <v>764</v>
      </c>
      <c r="G267" s="384">
        <v>31</v>
      </c>
      <c r="H267" s="385">
        <v>22462</v>
      </c>
      <c r="I267" s="265">
        <f t="shared" si="29"/>
        <v>1961</v>
      </c>
      <c r="J267" s="383">
        <v>212</v>
      </c>
      <c r="K267" s="641" t="str">
        <f>VLOOKUP(J267,'Cost Escalators'!$C$313:$D$330,2,FALSE)</f>
        <v>Lift Stations</v>
      </c>
      <c r="L267" s="238" t="s">
        <v>848</v>
      </c>
      <c r="M267" s="384" t="s">
        <v>1506</v>
      </c>
      <c r="N267" s="246">
        <v>16250</v>
      </c>
      <c r="O267" s="267">
        <v>50</v>
      </c>
      <c r="P267" s="250">
        <f t="shared" si="30"/>
        <v>2011</v>
      </c>
      <c r="Q267" s="268">
        <f>IF(J267=10,1,IFERROR(INDEX('Cost Escalators'!$D$28:$D$92,MATCH($P$4,'Cost Escalators'!$B$28:$B$92,0))/INDEX('Cost Escalators'!$D$28:$D$92,MATCH(I267,'Cost Escalators'!$B$28:$B$92,0)),1))</f>
        <v>11.850531286894922</v>
      </c>
      <c r="R267" s="269">
        <f t="shared" si="31"/>
        <v>192571.13341204249</v>
      </c>
      <c r="S267" s="269">
        <f t="shared" si="32"/>
        <v>192571.13341204249</v>
      </c>
      <c r="T267" s="269">
        <f t="shared" si="33"/>
        <v>0</v>
      </c>
      <c r="U267" s="242">
        <f t="shared" si="34"/>
        <v>16250</v>
      </c>
    </row>
    <row r="268" spans="1:21" s="237" customFormat="1" x14ac:dyDescent="0.3">
      <c r="A268" s="237">
        <v>263</v>
      </c>
      <c r="B268" s="263">
        <v>0</v>
      </c>
      <c r="C268" s="263">
        <f t="shared" ref="C268:C288" si="35">1-B268</f>
        <v>1</v>
      </c>
      <c r="D268" s="264">
        <f t="shared" si="27"/>
        <v>0</v>
      </c>
      <c r="E268" s="383" t="s">
        <v>849</v>
      </c>
      <c r="F268" s="384" t="s">
        <v>764</v>
      </c>
      <c r="G268" s="384">
        <v>31</v>
      </c>
      <c r="H268" s="385">
        <v>36775</v>
      </c>
      <c r="I268" s="265">
        <f t="shared" si="29"/>
        <v>2000</v>
      </c>
      <c r="J268" s="383">
        <v>212</v>
      </c>
      <c r="K268" s="641" t="str">
        <f>VLOOKUP(J268,'Cost Escalators'!$C$313:$D$330,2,FALSE)</f>
        <v>Lift Stations</v>
      </c>
      <c r="L268" s="238" t="s">
        <v>850</v>
      </c>
      <c r="M268" s="384" t="s">
        <v>1506</v>
      </c>
      <c r="N268" s="246">
        <v>180000</v>
      </c>
      <c r="O268" s="267">
        <v>10</v>
      </c>
      <c r="P268" s="250">
        <f t="shared" si="30"/>
        <v>2010</v>
      </c>
      <c r="Q268" s="268">
        <f>IF(J268=10,1,IFERROR(INDEX('Cost Escalators'!$D$28:$D$92,MATCH($P$4,'Cost Escalators'!$B$28:$B$92,0))/INDEX('Cost Escalators'!$D$28:$D$92,MATCH(I268,'Cost Escalators'!$B$28:$B$92,0)),1))</f>
        <v>1.6134705031345442</v>
      </c>
      <c r="R268" s="269">
        <f t="shared" si="31"/>
        <v>290424.69056421798</v>
      </c>
      <c r="S268" s="269">
        <f t="shared" si="32"/>
        <v>290424.69056421798</v>
      </c>
      <c r="T268" s="269">
        <f t="shared" si="33"/>
        <v>0</v>
      </c>
      <c r="U268" s="242">
        <f t="shared" si="34"/>
        <v>180000</v>
      </c>
    </row>
    <row r="269" spans="1:21" s="237" customFormat="1" x14ac:dyDescent="0.3">
      <c r="A269" s="237">
        <v>264</v>
      </c>
      <c r="B269" s="263">
        <v>1</v>
      </c>
      <c r="C269" s="263">
        <f t="shared" si="35"/>
        <v>0</v>
      </c>
      <c r="D269" s="264">
        <f t="shared" si="27"/>
        <v>0</v>
      </c>
      <c r="E269" s="383" t="s">
        <v>851</v>
      </c>
      <c r="F269" s="384" t="s">
        <v>364</v>
      </c>
      <c r="G269" s="384">
        <v>31</v>
      </c>
      <c r="H269" s="385">
        <v>26463</v>
      </c>
      <c r="I269" s="265">
        <f t="shared" si="29"/>
        <v>1972</v>
      </c>
      <c r="J269" s="383">
        <v>310</v>
      </c>
      <c r="K269" s="641" t="str">
        <f>VLOOKUP(J269,'Cost Escalators'!$C$313:$D$330,2,FALSE)</f>
        <v>Towers</v>
      </c>
      <c r="L269" s="238" t="s">
        <v>852</v>
      </c>
      <c r="M269" s="384" t="s">
        <v>1506</v>
      </c>
      <c r="N269" s="246">
        <v>120100</v>
      </c>
      <c r="O269" s="267">
        <v>100</v>
      </c>
      <c r="P269" s="250">
        <f t="shared" si="30"/>
        <v>2072</v>
      </c>
      <c r="Q269" s="268">
        <f>IF(J269=10,1,IFERROR(INDEX('Cost Escalators'!$D$28:$D$92,MATCH($P$4,'Cost Escalators'!$B$28:$B$92,0))/INDEX('Cost Escalators'!$D$28:$D$92,MATCH(I269,'Cost Escalators'!$B$28:$B$92,0)),1))</f>
        <v>5.7258414147176264</v>
      </c>
      <c r="R269" s="269">
        <f t="shared" si="31"/>
        <v>687673.55390758696</v>
      </c>
      <c r="S269" s="269">
        <f t="shared" si="32"/>
        <v>3494877.9007440712</v>
      </c>
      <c r="T269" s="269">
        <f t="shared" si="33"/>
        <v>233373.65916418043</v>
      </c>
      <c r="U269" s="242">
        <f t="shared" si="34"/>
        <v>51643</v>
      </c>
    </row>
    <row r="270" spans="1:21" s="237" customFormat="1" x14ac:dyDescent="0.3">
      <c r="A270" s="237">
        <v>265</v>
      </c>
      <c r="B270" s="263">
        <v>1</v>
      </c>
      <c r="C270" s="263">
        <f t="shared" si="35"/>
        <v>0</v>
      </c>
      <c r="D270" s="264">
        <f t="shared" si="27"/>
        <v>0</v>
      </c>
      <c r="E270" s="383" t="s">
        <v>853</v>
      </c>
      <c r="F270" s="384" t="s">
        <v>364</v>
      </c>
      <c r="G270" s="384">
        <v>31</v>
      </c>
      <c r="H270" s="385">
        <v>26299</v>
      </c>
      <c r="I270" s="265">
        <f t="shared" si="29"/>
        <v>1972</v>
      </c>
      <c r="J270" s="383">
        <v>310</v>
      </c>
      <c r="K270" s="641" t="str">
        <f>VLOOKUP(J270,'Cost Escalators'!$C$313:$D$330,2,FALSE)</f>
        <v>Towers</v>
      </c>
      <c r="L270" s="238" t="s">
        <v>854</v>
      </c>
      <c r="M270" s="384" t="s">
        <v>1506</v>
      </c>
      <c r="N270" s="246">
        <v>94510</v>
      </c>
      <c r="O270" s="267">
        <v>100</v>
      </c>
      <c r="P270" s="250">
        <f t="shared" si="30"/>
        <v>2072</v>
      </c>
      <c r="Q270" s="268">
        <f>IF(J270=10,1,IFERROR(INDEX('Cost Escalators'!$D$28:$D$92,MATCH($P$4,'Cost Escalators'!$B$28:$B$92,0))/INDEX('Cost Escalators'!$D$28:$D$92,MATCH(I270,'Cost Escalators'!$B$28:$B$92,0)),1))</f>
        <v>5.7258414147176264</v>
      </c>
      <c r="R270" s="269">
        <f t="shared" si="31"/>
        <v>541149.27210496285</v>
      </c>
      <c r="S270" s="269">
        <f t="shared" si="32"/>
        <v>2750215.7402108419</v>
      </c>
      <c r="T270" s="269">
        <f t="shared" si="33"/>
        <v>183648.16425983922</v>
      </c>
      <c r="U270" s="242">
        <f t="shared" si="34"/>
        <v>40639.300000000003</v>
      </c>
    </row>
    <row r="271" spans="1:21" s="237" customFormat="1" x14ac:dyDescent="0.3">
      <c r="A271" s="237">
        <v>266</v>
      </c>
      <c r="B271" s="263">
        <v>1</v>
      </c>
      <c r="C271" s="263">
        <f t="shared" si="35"/>
        <v>0</v>
      </c>
      <c r="D271" s="264">
        <f t="shared" si="27"/>
        <v>0</v>
      </c>
      <c r="E271" s="383" t="s">
        <v>855</v>
      </c>
      <c r="F271" s="384" t="s">
        <v>364</v>
      </c>
      <c r="G271" s="384">
        <v>31</v>
      </c>
      <c r="H271" s="385">
        <v>28429</v>
      </c>
      <c r="I271" s="265">
        <f t="shared" si="29"/>
        <v>1977</v>
      </c>
      <c r="J271" s="383">
        <v>310</v>
      </c>
      <c r="K271" s="641" t="str">
        <f>VLOOKUP(J271,'Cost Escalators'!$C$313:$D$330,2,FALSE)</f>
        <v>Towers</v>
      </c>
      <c r="L271" s="238" t="s">
        <v>856</v>
      </c>
      <c r="M271" s="384" t="s">
        <v>1506</v>
      </c>
      <c r="N271" s="246">
        <v>185500</v>
      </c>
      <c r="O271" s="267">
        <v>100</v>
      </c>
      <c r="P271" s="250">
        <f t="shared" si="30"/>
        <v>2077</v>
      </c>
      <c r="Q271" s="268">
        <f>IF(J271=10,1,IFERROR(INDEX('Cost Escalators'!$D$28:$D$92,MATCH($P$4,'Cost Escalators'!$B$28:$B$92,0))/INDEX('Cost Escalators'!$D$28:$D$92,MATCH(I271,'Cost Escalators'!$B$28:$B$92,0)),1))</f>
        <v>3.8965062111801241</v>
      </c>
      <c r="R271" s="269">
        <f t="shared" si="31"/>
        <v>722801.90217391297</v>
      </c>
      <c r="S271" s="269">
        <f t="shared" si="32"/>
        <v>4236460.4308051961</v>
      </c>
      <c r="T271" s="269">
        <f t="shared" si="33"/>
        <v>339965.92785019398</v>
      </c>
      <c r="U271" s="242">
        <f t="shared" si="34"/>
        <v>70490</v>
      </c>
    </row>
    <row r="272" spans="1:21" s="237" customFormat="1" x14ac:dyDescent="0.3">
      <c r="A272" s="237">
        <v>267</v>
      </c>
      <c r="B272" s="263">
        <v>1</v>
      </c>
      <c r="C272" s="263">
        <f t="shared" si="35"/>
        <v>0</v>
      </c>
      <c r="D272" s="264">
        <f t="shared" si="27"/>
        <v>0</v>
      </c>
      <c r="E272" s="383" t="s">
        <v>857</v>
      </c>
      <c r="F272" s="384" t="s">
        <v>364</v>
      </c>
      <c r="G272" s="384">
        <v>31</v>
      </c>
      <c r="H272" s="385">
        <v>29474</v>
      </c>
      <c r="I272" s="265">
        <f t="shared" si="29"/>
        <v>1980</v>
      </c>
      <c r="J272" s="383">
        <v>310</v>
      </c>
      <c r="K272" s="641" t="str">
        <f>VLOOKUP(J272,'Cost Escalators'!$C$313:$D$330,2,FALSE)</f>
        <v>Towers</v>
      </c>
      <c r="L272" s="238" t="s">
        <v>858</v>
      </c>
      <c r="M272" s="384" t="s">
        <v>1506</v>
      </c>
      <c r="N272" s="246">
        <v>304100</v>
      </c>
      <c r="O272" s="267">
        <v>100</v>
      </c>
      <c r="P272" s="250">
        <f t="shared" si="30"/>
        <v>2080</v>
      </c>
      <c r="Q272" s="268">
        <f>IF(J272=10,1,IFERROR(INDEX('Cost Escalators'!$D$28:$D$92,MATCH($P$4,'Cost Escalators'!$B$28:$B$92,0))/INDEX('Cost Escalators'!$D$28:$D$92,MATCH(I272,'Cost Escalators'!$B$28:$B$92,0)),1))</f>
        <v>3.1008341056533828</v>
      </c>
      <c r="R272" s="269">
        <f t="shared" si="31"/>
        <v>942963.65152919374</v>
      </c>
      <c r="S272" s="269">
        <f t="shared" si="32"/>
        <v>6020593.8354120264</v>
      </c>
      <c r="T272" s="269">
        <f t="shared" si="33"/>
        <v>536375.65374790644</v>
      </c>
      <c r="U272" s="242">
        <f t="shared" si="34"/>
        <v>106435</v>
      </c>
    </row>
    <row r="273" spans="1:21" s="237" customFormat="1" x14ac:dyDescent="0.3">
      <c r="A273" s="237">
        <v>268</v>
      </c>
      <c r="B273" s="263">
        <v>1</v>
      </c>
      <c r="C273" s="263">
        <f t="shared" si="35"/>
        <v>0</v>
      </c>
      <c r="D273" s="264">
        <f t="shared" si="27"/>
        <v>0</v>
      </c>
      <c r="E273" s="383" t="s">
        <v>859</v>
      </c>
      <c r="F273" s="384" t="s">
        <v>364</v>
      </c>
      <c r="G273" s="384">
        <v>31</v>
      </c>
      <c r="H273" s="385">
        <v>29270</v>
      </c>
      <c r="I273" s="265">
        <f t="shared" si="29"/>
        <v>1980</v>
      </c>
      <c r="J273" s="383">
        <v>310</v>
      </c>
      <c r="K273" s="641" t="str">
        <f>VLOOKUP(J273,'Cost Escalators'!$C$313:$D$330,2,FALSE)</f>
        <v>Towers</v>
      </c>
      <c r="L273" s="238" t="s">
        <v>860</v>
      </c>
      <c r="M273" s="384" t="s">
        <v>1506</v>
      </c>
      <c r="N273" s="246">
        <v>269970</v>
      </c>
      <c r="O273" s="267">
        <v>100</v>
      </c>
      <c r="P273" s="250">
        <f t="shared" si="30"/>
        <v>2080</v>
      </c>
      <c r="Q273" s="268">
        <f>IF(J273=10,1,IFERROR(INDEX('Cost Escalators'!$D$28:$D$92,MATCH($P$4,'Cost Escalators'!$B$28:$B$92,0))/INDEX('Cost Escalators'!$D$28:$D$92,MATCH(I273,'Cost Escalators'!$B$28:$B$92,0)),1))</f>
        <v>3.1008341056533828</v>
      </c>
      <c r="R273" s="269">
        <f t="shared" si="31"/>
        <v>837132.18350324372</v>
      </c>
      <c r="S273" s="269">
        <f t="shared" si="32"/>
        <v>5344885.622315635</v>
      </c>
      <c r="T273" s="269">
        <f t="shared" si="33"/>
        <v>476176.70253969851</v>
      </c>
      <c r="U273" s="242">
        <f t="shared" si="34"/>
        <v>94489.5</v>
      </c>
    </row>
    <row r="274" spans="1:21" s="237" customFormat="1" x14ac:dyDescent="0.3">
      <c r="A274" s="237">
        <v>269</v>
      </c>
      <c r="B274" s="263">
        <v>1</v>
      </c>
      <c r="C274" s="263">
        <f t="shared" si="35"/>
        <v>0</v>
      </c>
      <c r="D274" s="264">
        <f t="shared" si="27"/>
        <v>0</v>
      </c>
      <c r="E274" s="383" t="s">
        <v>861</v>
      </c>
      <c r="F274" s="384" t="s">
        <v>364</v>
      </c>
      <c r="G274" s="384">
        <v>31</v>
      </c>
      <c r="H274" s="385">
        <v>34972</v>
      </c>
      <c r="I274" s="265">
        <f t="shared" si="29"/>
        <v>1995</v>
      </c>
      <c r="J274" s="383">
        <v>310</v>
      </c>
      <c r="K274" s="641" t="str">
        <f>VLOOKUP(J274,'Cost Escalators'!$C$313:$D$330,2,FALSE)</f>
        <v>Towers</v>
      </c>
      <c r="L274" s="238" t="s">
        <v>862</v>
      </c>
      <c r="M274" s="384" t="s">
        <v>1506</v>
      </c>
      <c r="N274" s="246">
        <v>1553299.54</v>
      </c>
      <c r="O274" s="267">
        <v>100</v>
      </c>
      <c r="P274" s="250">
        <f t="shared" si="30"/>
        <v>2095</v>
      </c>
      <c r="Q274" s="268">
        <f>IF(J274=10,1,IFERROR(INDEX('Cost Escalators'!$D$28:$D$92,MATCH($P$4,'Cost Escalators'!$B$28:$B$92,0))/INDEX('Cost Escalators'!$D$28:$D$92,MATCH(I274,'Cost Escalators'!$B$28:$B$92,0)),1))</f>
        <v>1.8346554560409432</v>
      </c>
      <c r="R274" s="269">
        <f t="shared" si="31"/>
        <v>2849769.4759268872</v>
      </c>
      <c r="S274" s="269">
        <f t="shared" si="32"/>
        <v>27909795.625742845</v>
      </c>
      <c r="T274" s="269">
        <f t="shared" si="33"/>
        <v>2198274.5505456808</v>
      </c>
      <c r="U274" s="242">
        <f t="shared" si="34"/>
        <v>310659.908</v>
      </c>
    </row>
    <row r="275" spans="1:21" s="237" customFormat="1" x14ac:dyDescent="0.3">
      <c r="A275" s="237">
        <v>270</v>
      </c>
      <c r="B275" s="263">
        <v>1</v>
      </c>
      <c r="C275" s="263">
        <f t="shared" si="35"/>
        <v>0</v>
      </c>
      <c r="D275" s="264">
        <f t="shared" si="27"/>
        <v>0</v>
      </c>
      <c r="E275" s="383" t="s">
        <v>863</v>
      </c>
      <c r="F275" s="384" t="s">
        <v>364</v>
      </c>
      <c r="G275" s="384">
        <v>31</v>
      </c>
      <c r="H275" s="385">
        <v>36799</v>
      </c>
      <c r="I275" s="265">
        <f t="shared" si="29"/>
        <v>2000</v>
      </c>
      <c r="J275" s="383">
        <v>310</v>
      </c>
      <c r="K275" s="641" t="str">
        <f>VLOOKUP(J275,'Cost Escalators'!$C$313:$D$330,2,FALSE)</f>
        <v>Towers</v>
      </c>
      <c r="L275" s="238" t="s">
        <v>864</v>
      </c>
      <c r="M275" s="384" t="s">
        <v>1506</v>
      </c>
      <c r="N275" s="246">
        <v>1003681.18</v>
      </c>
      <c r="O275" s="267">
        <v>50</v>
      </c>
      <c r="P275" s="250">
        <f t="shared" si="30"/>
        <v>2050</v>
      </c>
      <c r="Q275" s="268">
        <f>IF(J275=10,1,IFERROR(INDEX('Cost Escalators'!$D$28:$D$92,MATCH($P$4,'Cost Escalators'!$B$28:$B$92,0))/INDEX('Cost Escalators'!$D$28:$D$92,MATCH(I275,'Cost Escalators'!$B$28:$B$92,0)),1))</f>
        <v>1.6134705031345442</v>
      </c>
      <c r="R275" s="269">
        <f t="shared" si="31"/>
        <v>1619409.9784812732</v>
      </c>
      <c r="S275" s="269">
        <f t="shared" si="32"/>
        <v>4394364.6366011994</v>
      </c>
      <c r="T275" s="269">
        <f t="shared" si="33"/>
        <v>1077696.2443755514</v>
      </c>
      <c r="U275" s="242">
        <f t="shared" si="34"/>
        <v>301104.35400000005</v>
      </c>
    </row>
    <row r="276" spans="1:21" s="237" customFormat="1" x14ac:dyDescent="0.3">
      <c r="A276" s="237">
        <v>271</v>
      </c>
      <c r="B276" s="263">
        <v>1</v>
      </c>
      <c r="C276" s="263">
        <f t="shared" si="35"/>
        <v>0</v>
      </c>
      <c r="D276" s="264">
        <f t="shared" si="27"/>
        <v>0</v>
      </c>
      <c r="E276" s="383" t="s">
        <v>865</v>
      </c>
      <c r="F276" s="384" t="s">
        <v>364</v>
      </c>
      <c r="G276" s="384">
        <v>31</v>
      </c>
      <c r="H276" s="385">
        <v>26463</v>
      </c>
      <c r="I276" s="265">
        <f t="shared" si="29"/>
        <v>1972</v>
      </c>
      <c r="J276" s="383">
        <v>320</v>
      </c>
      <c r="K276" s="641" t="str">
        <f>VLOOKUP(J276,'Cost Escalators'!$C$313:$D$330,2,FALSE)</f>
        <v>Foundations</v>
      </c>
      <c r="L276" s="238" t="s">
        <v>866</v>
      </c>
      <c r="M276" s="384" t="s">
        <v>1506</v>
      </c>
      <c r="N276" s="246">
        <v>17700</v>
      </c>
      <c r="O276" s="267">
        <v>100</v>
      </c>
      <c r="P276" s="250">
        <f t="shared" si="30"/>
        <v>2072</v>
      </c>
      <c r="Q276" s="268">
        <f>IF(J276=10,1,IFERROR(INDEX('Cost Escalators'!$D$28:$D$92,MATCH($P$4,'Cost Escalators'!$B$28:$B$92,0))/INDEX('Cost Escalators'!$D$28:$D$92,MATCH(I276,'Cost Escalators'!$B$28:$B$92,0)),1))</f>
        <v>5.7258414147176264</v>
      </c>
      <c r="R276" s="269">
        <f t="shared" si="31"/>
        <v>101347.39304050199</v>
      </c>
      <c r="S276" s="269">
        <f t="shared" si="32"/>
        <v>515065.26930199884</v>
      </c>
      <c r="T276" s="269">
        <f t="shared" si="33"/>
        <v>34393.953099134</v>
      </c>
      <c r="U276" s="242">
        <f t="shared" si="34"/>
        <v>7611</v>
      </c>
    </row>
    <row r="277" spans="1:21" s="237" customFormat="1" x14ac:dyDescent="0.3">
      <c r="A277" s="237">
        <v>272</v>
      </c>
      <c r="B277" s="263">
        <v>1</v>
      </c>
      <c r="C277" s="263">
        <f t="shared" si="35"/>
        <v>0</v>
      </c>
      <c r="D277" s="264">
        <f t="shared" si="27"/>
        <v>0</v>
      </c>
      <c r="E277" s="383" t="s">
        <v>853</v>
      </c>
      <c r="F277" s="384" t="s">
        <v>364</v>
      </c>
      <c r="G277" s="384">
        <v>31</v>
      </c>
      <c r="H277" s="385">
        <v>26299</v>
      </c>
      <c r="I277" s="265">
        <f t="shared" si="29"/>
        <v>1972</v>
      </c>
      <c r="J277" s="383">
        <v>320</v>
      </c>
      <c r="K277" s="641" t="str">
        <f>VLOOKUP(J277,'Cost Escalators'!$C$313:$D$330,2,FALSE)</f>
        <v>Foundations</v>
      </c>
      <c r="L277" s="238" t="s">
        <v>867</v>
      </c>
      <c r="M277" s="384" t="s">
        <v>1506</v>
      </c>
      <c r="N277" s="246">
        <v>13000</v>
      </c>
      <c r="O277" s="267">
        <v>100</v>
      </c>
      <c r="P277" s="250">
        <f t="shared" si="30"/>
        <v>2072</v>
      </c>
      <c r="Q277" s="268">
        <f>IF(J277=10,1,IFERROR(INDEX('Cost Escalators'!$D$28:$D$92,MATCH($P$4,'Cost Escalators'!$B$28:$B$92,0))/INDEX('Cost Escalators'!$D$28:$D$92,MATCH(I277,'Cost Escalators'!$B$28:$B$92,0)),1))</f>
        <v>5.7258414147176264</v>
      </c>
      <c r="R277" s="269">
        <f t="shared" si="31"/>
        <v>74435.938391329139</v>
      </c>
      <c r="S277" s="269">
        <f t="shared" si="32"/>
        <v>378296.52547604428</v>
      </c>
      <c r="T277" s="269">
        <f t="shared" si="33"/>
        <v>25261.095496539096</v>
      </c>
      <c r="U277" s="242">
        <f t="shared" si="34"/>
        <v>5590</v>
      </c>
    </row>
    <row r="278" spans="1:21" s="237" customFormat="1" x14ac:dyDescent="0.3">
      <c r="A278" s="237">
        <v>273</v>
      </c>
      <c r="B278" s="263">
        <v>1</v>
      </c>
      <c r="C278" s="263">
        <f t="shared" si="35"/>
        <v>0</v>
      </c>
      <c r="D278" s="264">
        <f t="shared" si="27"/>
        <v>0</v>
      </c>
      <c r="E278" s="383" t="s">
        <v>855</v>
      </c>
      <c r="F278" s="384" t="s">
        <v>364</v>
      </c>
      <c r="G278" s="384">
        <v>31</v>
      </c>
      <c r="H278" s="385">
        <v>28429</v>
      </c>
      <c r="I278" s="265">
        <f t="shared" si="29"/>
        <v>1977</v>
      </c>
      <c r="J278" s="383">
        <v>320</v>
      </c>
      <c r="K278" s="641" t="str">
        <f>VLOOKUP(J278,'Cost Escalators'!$C$313:$D$330,2,FALSE)</f>
        <v>Foundations</v>
      </c>
      <c r="L278" s="238" t="s">
        <v>868</v>
      </c>
      <c r="M278" s="384" t="s">
        <v>1506</v>
      </c>
      <c r="N278" s="246">
        <v>19300</v>
      </c>
      <c r="O278" s="267">
        <v>100</v>
      </c>
      <c r="P278" s="250">
        <f t="shared" si="30"/>
        <v>2077</v>
      </c>
      <c r="Q278" s="268">
        <f>IF(J278=10,1,IFERROR(INDEX('Cost Escalators'!$D$28:$D$92,MATCH($P$4,'Cost Escalators'!$B$28:$B$92,0))/INDEX('Cost Escalators'!$D$28:$D$92,MATCH(I278,'Cost Escalators'!$B$28:$B$92,0)),1))</f>
        <v>3.8965062111801241</v>
      </c>
      <c r="R278" s="269">
        <f t="shared" si="31"/>
        <v>75202.569875776389</v>
      </c>
      <c r="S278" s="269">
        <f t="shared" si="32"/>
        <v>440774.58929671312</v>
      </c>
      <c r="T278" s="269">
        <f t="shared" si="33"/>
        <v>35371.118099777595</v>
      </c>
      <c r="U278" s="242">
        <f t="shared" si="34"/>
        <v>7334</v>
      </c>
    </row>
    <row r="279" spans="1:21" s="237" customFormat="1" x14ac:dyDescent="0.3">
      <c r="A279" s="237">
        <v>274</v>
      </c>
      <c r="B279" s="263">
        <v>1</v>
      </c>
      <c r="C279" s="263">
        <f t="shared" si="35"/>
        <v>0</v>
      </c>
      <c r="D279" s="264">
        <f t="shared" si="27"/>
        <v>0</v>
      </c>
      <c r="E279" s="383" t="s">
        <v>857</v>
      </c>
      <c r="F279" s="384" t="s">
        <v>364</v>
      </c>
      <c r="G279" s="384">
        <v>31</v>
      </c>
      <c r="H279" s="385">
        <v>29474</v>
      </c>
      <c r="I279" s="265">
        <f t="shared" si="29"/>
        <v>1980</v>
      </c>
      <c r="J279" s="383">
        <v>320</v>
      </c>
      <c r="K279" s="641" t="str">
        <f>VLOOKUP(J279,'Cost Escalators'!$C$313:$D$330,2,FALSE)</f>
        <v>Foundations</v>
      </c>
      <c r="L279" s="238" t="s">
        <v>869</v>
      </c>
      <c r="M279" s="384" t="s">
        <v>1506</v>
      </c>
      <c r="N279" s="246">
        <v>40000</v>
      </c>
      <c r="O279" s="267">
        <v>100</v>
      </c>
      <c r="P279" s="250">
        <f t="shared" si="30"/>
        <v>2080</v>
      </c>
      <c r="Q279" s="268">
        <f>IF(J279=10,1,IFERROR(INDEX('Cost Escalators'!$D$28:$D$92,MATCH($P$4,'Cost Escalators'!$B$28:$B$92,0))/INDEX('Cost Escalators'!$D$28:$D$92,MATCH(I279,'Cost Escalators'!$B$28:$B$92,0)),1))</f>
        <v>3.1008341056533828</v>
      </c>
      <c r="R279" s="269">
        <f t="shared" si="31"/>
        <v>124033.36422613531</v>
      </c>
      <c r="S279" s="269">
        <f t="shared" si="32"/>
        <v>791922.89844288409</v>
      </c>
      <c r="T279" s="269">
        <f t="shared" si="33"/>
        <v>70552.535843197169</v>
      </c>
      <c r="U279" s="242">
        <f t="shared" si="34"/>
        <v>14000</v>
      </c>
    </row>
    <row r="280" spans="1:21" s="237" customFormat="1" x14ac:dyDescent="0.3">
      <c r="A280" s="237">
        <v>275</v>
      </c>
      <c r="B280" s="263">
        <v>1</v>
      </c>
      <c r="C280" s="263">
        <f t="shared" si="35"/>
        <v>0</v>
      </c>
      <c r="D280" s="264">
        <f t="shared" si="27"/>
        <v>0</v>
      </c>
      <c r="E280" s="383" t="s">
        <v>859</v>
      </c>
      <c r="F280" s="384" t="s">
        <v>364</v>
      </c>
      <c r="G280" s="384">
        <v>31</v>
      </c>
      <c r="H280" s="385">
        <v>29270</v>
      </c>
      <c r="I280" s="265">
        <f t="shared" si="29"/>
        <v>1980</v>
      </c>
      <c r="J280" s="383">
        <v>320</v>
      </c>
      <c r="K280" s="641" t="str">
        <f>VLOOKUP(J280,'Cost Escalators'!$C$313:$D$330,2,FALSE)</f>
        <v>Foundations</v>
      </c>
      <c r="L280" s="238" t="s">
        <v>870</v>
      </c>
      <c r="M280" s="384" t="s">
        <v>1506</v>
      </c>
      <c r="N280" s="246">
        <v>38000</v>
      </c>
      <c r="O280" s="267">
        <v>100</v>
      </c>
      <c r="P280" s="250">
        <f t="shared" si="30"/>
        <v>2080</v>
      </c>
      <c r="Q280" s="268">
        <f>IF(J280=10,1,IFERROR(INDEX('Cost Escalators'!$D$28:$D$92,MATCH($P$4,'Cost Escalators'!$B$28:$B$92,0))/INDEX('Cost Escalators'!$D$28:$D$92,MATCH(I280,'Cost Escalators'!$B$28:$B$92,0)),1))</f>
        <v>3.1008341056533828</v>
      </c>
      <c r="R280" s="269">
        <f t="shared" si="31"/>
        <v>117831.69601482854</v>
      </c>
      <c r="S280" s="269">
        <f t="shared" si="32"/>
        <v>752326.75352073985</v>
      </c>
      <c r="T280" s="269">
        <f t="shared" si="33"/>
        <v>67024.909051037306</v>
      </c>
      <c r="U280" s="242">
        <f t="shared" si="34"/>
        <v>13300</v>
      </c>
    </row>
    <row r="281" spans="1:21" s="237" customFormat="1" x14ac:dyDescent="0.3">
      <c r="A281" s="237">
        <v>276</v>
      </c>
      <c r="B281" s="263">
        <v>1</v>
      </c>
      <c r="C281" s="263">
        <f t="shared" si="35"/>
        <v>0</v>
      </c>
      <c r="D281" s="264">
        <f t="shared" si="27"/>
        <v>0</v>
      </c>
      <c r="E281" s="383" t="s">
        <v>871</v>
      </c>
      <c r="F281" s="384" t="s">
        <v>364</v>
      </c>
      <c r="G281" s="384">
        <v>31</v>
      </c>
      <c r="H281" s="385">
        <v>31967</v>
      </c>
      <c r="I281" s="265">
        <f t="shared" si="29"/>
        <v>1987</v>
      </c>
      <c r="J281" s="383">
        <v>330</v>
      </c>
      <c r="K281" s="641" t="str">
        <f>VLOOKUP(J281,'Cost Escalators'!$C$313:$D$330,2,FALSE)</f>
        <v>Reservoir</v>
      </c>
      <c r="L281" s="238" t="s">
        <v>872</v>
      </c>
      <c r="M281" s="384" t="s">
        <v>1506</v>
      </c>
      <c r="N281" s="246">
        <v>43990</v>
      </c>
      <c r="O281" s="267">
        <v>100</v>
      </c>
      <c r="P281" s="250">
        <f t="shared" si="30"/>
        <v>2087</v>
      </c>
      <c r="Q281" s="268">
        <f>IF(J281=10,1,IFERROR(INDEX('Cost Escalators'!$D$28:$D$92,MATCH($P$4,'Cost Escalators'!$B$28:$B$92,0))/INDEX('Cost Escalators'!$D$28:$D$92,MATCH(I281,'Cost Escalators'!$B$28:$B$92,0)),1))</f>
        <v>2.2781207444394007</v>
      </c>
      <c r="R281" s="269">
        <f t="shared" si="31"/>
        <v>100214.53154788924</v>
      </c>
      <c r="S281" s="269">
        <f t="shared" si="32"/>
        <v>781237.23455269448</v>
      </c>
      <c r="T281" s="269">
        <f t="shared" si="33"/>
        <v>70391.121153085565</v>
      </c>
      <c r="U281" s="242">
        <f t="shared" si="34"/>
        <v>12317.199999999999</v>
      </c>
    </row>
    <row r="282" spans="1:21" s="237" customFormat="1" x14ac:dyDescent="0.3">
      <c r="A282" s="237">
        <v>277</v>
      </c>
      <c r="B282" s="263">
        <v>1</v>
      </c>
      <c r="C282" s="263">
        <f t="shared" si="35"/>
        <v>0</v>
      </c>
      <c r="D282" s="264">
        <f t="shared" si="27"/>
        <v>0</v>
      </c>
      <c r="E282" s="383" t="s">
        <v>873</v>
      </c>
      <c r="F282" s="384" t="s">
        <v>364</v>
      </c>
      <c r="G282" s="384">
        <v>31</v>
      </c>
      <c r="H282" s="385">
        <v>31930</v>
      </c>
      <c r="I282" s="265">
        <f t="shared" si="29"/>
        <v>1987</v>
      </c>
      <c r="J282" s="383">
        <v>330</v>
      </c>
      <c r="K282" s="641" t="str">
        <f>VLOOKUP(J282,'Cost Escalators'!$C$313:$D$330,2,FALSE)</f>
        <v>Reservoir</v>
      </c>
      <c r="L282" s="238" t="s">
        <v>874</v>
      </c>
      <c r="M282" s="384" t="s">
        <v>1506</v>
      </c>
      <c r="N282" s="246">
        <v>19100</v>
      </c>
      <c r="O282" s="267">
        <v>100</v>
      </c>
      <c r="P282" s="250">
        <f t="shared" si="30"/>
        <v>2087</v>
      </c>
      <c r="Q282" s="268">
        <f>IF(J282=10,1,IFERROR(INDEX('Cost Escalators'!$D$28:$D$92,MATCH($P$4,'Cost Escalators'!$B$28:$B$92,0))/INDEX('Cost Escalators'!$D$28:$D$92,MATCH(I282,'Cost Escalators'!$B$28:$B$92,0)),1))</f>
        <v>2.2781207444394007</v>
      </c>
      <c r="R282" s="269">
        <f t="shared" si="31"/>
        <v>43512.106218792556</v>
      </c>
      <c r="S282" s="269">
        <f t="shared" si="32"/>
        <v>339205.07342478889</v>
      </c>
      <c r="T282" s="269">
        <f t="shared" si="33"/>
        <v>30563.091930528168</v>
      </c>
      <c r="U282" s="242">
        <f t="shared" si="34"/>
        <v>5348</v>
      </c>
    </row>
    <row r="283" spans="1:21" s="237" customFormat="1" x14ac:dyDescent="0.3">
      <c r="A283" s="237">
        <v>278</v>
      </c>
      <c r="B283" s="263">
        <v>1</v>
      </c>
      <c r="C283" s="263">
        <f t="shared" si="35"/>
        <v>0</v>
      </c>
      <c r="D283" s="264">
        <f t="shared" si="27"/>
        <v>0</v>
      </c>
      <c r="E283" s="383" t="s">
        <v>875</v>
      </c>
      <c r="F283" s="384" t="s">
        <v>364</v>
      </c>
      <c r="G283" s="384">
        <v>31</v>
      </c>
      <c r="H283" s="385">
        <v>31927</v>
      </c>
      <c r="I283" s="265">
        <f t="shared" si="29"/>
        <v>1987</v>
      </c>
      <c r="J283" s="383">
        <v>330</v>
      </c>
      <c r="K283" s="641" t="str">
        <f>VLOOKUP(J283,'Cost Escalators'!$C$313:$D$330,2,FALSE)</f>
        <v>Reservoir</v>
      </c>
      <c r="L283" s="238" t="s">
        <v>876</v>
      </c>
      <c r="M283" s="384" t="s">
        <v>1506</v>
      </c>
      <c r="N283" s="246">
        <v>157148.72</v>
      </c>
      <c r="O283" s="267">
        <v>100</v>
      </c>
      <c r="P283" s="250">
        <f t="shared" si="30"/>
        <v>2087</v>
      </c>
      <c r="Q283" s="268">
        <f>IF(J283=10,1,IFERROR(INDEX('Cost Escalators'!$D$28:$D$92,MATCH($P$4,'Cost Escalators'!$B$28:$B$92,0))/INDEX('Cost Escalators'!$D$28:$D$92,MATCH(I283,'Cost Escalators'!$B$28:$B$92,0)),1))</f>
        <v>2.2781207444394007</v>
      </c>
      <c r="R283" s="269">
        <f t="shared" si="31"/>
        <v>358003.75899409893</v>
      </c>
      <c r="S283" s="269">
        <f t="shared" si="32"/>
        <v>2790871.3668173607</v>
      </c>
      <c r="T283" s="269">
        <f t="shared" si="33"/>
        <v>251463.3914201482</v>
      </c>
      <c r="U283" s="242">
        <f t="shared" si="34"/>
        <v>44001.641600000003</v>
      </c>
    </row>
    <row r="284" spans="1:21" s="237" customFormat="1" x14ac:dyDescent="0.3">
      <c r="A284" s="237">
        <v>279</v>
      </c>
      <c r="B284" s="263">
        <v>1</v>
      </c>
      <c r="C284" s="263">
        <f t="shared" si="35"/>
        <v>0</v>
      </c>
      <c r="D284" s="264">
        <f t="shared" si="27"/>
        <v>0</v>
      </c>
      <c r="E284" s="383" t="s">
        <v>877</v>
      </c>
      <c r="F284" s="384" t="s">
        <v>364</v>
      </c>
      <c r="G284" s="384">
        <v>31</v>
      </c>
      <c r="H284" s="385">
        <v>32133</v>
      </c>
      <c r="I284" s="265">
        <f t="shared" si="29"/>
        <v>1987</v>
      </c>
      <c r="J284" s="383">
        <v>330</v>
      </c>
      <c r="K284" s="641" t="str">
        <f>VLOOKUP(J284,'Cost Escalators'!$C$313:$D$330,2,FALSE)</f>
        <v>Reservoir</v>
      </c>
      <c r="L284" s="238" t="s">
        <v>878</v>
      </c>
      <c r="M284" s="384" t="s">
        <v>1506</v>
      </c>
      <c r="N284" s="246">
        <v>312681.90000000002</v>
      </c>
      <c r="O284" s="267">
        <v>100</v>
      </c>
      <c r="P284" s="250">
        <f t="shared" si="30"/>
        <v>2087</v>
      </c>
      <c r="Q284" s="268">
        <f>IF(J284=10,1,IFERROR(INDEX('Cost Escalators'!$D$28:$D$92,MATCH($P$4,'Cost Escalators'!$B$28:$B$92,0))/INDEX('Cost Escalators'!$D$28:$D$92,MATCH(I284,'Cost Escalators'!$B$28:$B$92,0)),1))</f>
        <v>2.2781207444394007</v>
      </c>
      <c r="R284" s="269">
        <f t="shared" si="31"/>
        <v>712327.12280072633</v>
      </c>
      <c r="S284" s="269">
        <f t="shared" si="32"/>
        <v>5553051.6674399218</v>
      </c>
      <c r="T284" s="269">
        <f t="shared" si="33"/>
        <v>500341.65731477569</v>
      </c>
      <c r="U284" s="242">
        <f t="shared" si="34"/>
        <v>87550.932000000015</v>
      </c>
    </row>
    <row r="285" spans="1:21" s="237" customFormat="1" x14ac:dyDescent="0.3">
      <c r="A285" s="237">
        <v>280</v>
      </c>
      <c r="B285" s="263">
        <v>1</v>
      </c>
      <c r="C285" s="263">
        <f t="shared" si="35"/>
        <v>0</v>
      </c>
      <c r="D285" s="264">
        <f t="shared" si="27"/>
        <v>0</v>
      </c>
      <c r="E285" s="383" t="s">
        <v>879</v>
      </c>
      <c r="F285" s="384" t="s">
        <v>364</v>
      </c>
      <c r="G285" s="384">
        <v>31</v>
      </c>
      <c r="H285" s="385">
        <v>32448</v>
      </c>
      <c r="I285" s="265">
        <f t="shared" si="29"/>
        <v>1988</v>
      </c>
      <c r="J285" s="383">
        <v>330</v>
      </c>
      <c r="K285" s="641" t="str">
        <f>VLOOKUP(J285,'Cost Escalators'!$C$313:$D$330,2,FALSE)</f>
        <v>Reservoir</v>
      </c>
      <c r="L285" s="238" t="s">
        <v>880</v>
      </c>
      <c r="M285" s="384" t="s">
        <v>1506</v>
      </c>
      <c r="N285" s="246">
        <v>3369048.77</v>
      </c>
      <c r="O285" s="267">
        <v>100</v>
      </c>
      <c r="P285" s="250">
        <f t="shared" si="30"/>
        <v>2088</v>
      </c>
      <c r="Q285" s="268">
        <f>IF(J285=10,1,IFERROR(INDEX('Cost Escalators'!$D$28:$D$92,MATCH($P$4,'Cost Escalators'!$B$28:$B$92,0))/INDEX('Cost Escalators'!$D$28:$D$92,MATCH(I285,'Cost Escalators'!$B$28:$B$92,0)),1))</f>
        <v>2.2211551228147819</v>
      </c>
      <c r="R285" s="269">
        <f t="shared" si="31"/>
        <v>7483179.9344983399</v>
      </c>
      <c r="S285" s="269">
        <f t="shared" si="32"/>
        <v>60024044.847608879</v>
      </c>
      <c r="T285" s="269">
        <f t="shared" si="33"/>
        <v>5312204.0113004763</v>
      </c>
      <c r="U285" s="242">
        <f t="shared" si="34"/>
        <v>909643.1679</v>
      </c>
    </row>
    <row r="286" spans="1:21" s="237" customFormat="1" x14ac:dyDescent="0.3">
      <c r="A286" s="237">
        <v>281</v>
      </c>
      <c r="B286" s="263">
        <v>1</v>
      </c>
      <c r="C286" s="263">
        <f t="shared" si="35"/>
        <v>0</v>
      </c>
      <c r="D286" s="264">
        <f t="shared" si="27"/>
        <v>0</v>
      </c>
      <c r="E286" s="383" t="s">
        <v>881</v>
      </c>
      <c r="F286" s="384" t="s">
        <v>364</v>
      </c>
      <c r="G286" s="384">
        <v>31</v>
      </c>
      <c r="H286" s="385">
        <v>32240</v>
      </c>
      <c r="I286" s="265">
        <f t="shared" si="29"/>
        <v>1988</v>
      </c>
      <c r="J286" s="383">
        <v>330</v>
      </c>
      <c r="K286" s="641" t="str">
        <f>VLOOKUP(J286,'Cost Escalators'!$C$313:$D$330,2,FALSE)</f>
        <v>Reservoir</v>
      </c>
      <c r="L286" s="238" t="s">
        <v>882</v>
      </c>
      <c r="M286" s="384" t="s">
        <v>1506</v>
      </c>
      <c r="N286" s="246">
        <v>395228.35</v>
      </c>
      <c r="O286" s="267">
        <v>100</v>
      </c>
      <c r="P286" s="250">
        <f t="shared" si="30"/>
        <v>2088</v>
      </c>
      <c r="Q286" s="268">
        <f>IF(J286=10,1,IFERROR(INDEX('Cost Escalators'!$D$28:$D$92,MATCH($P$4,'Cost Escalators'!$B$28:$B$92,0))/INDEX('Cost Escalators'!$D$28:$D$92,MATCH(I286,'Cost Escalators'!$B$28:$B$92,0)),1))</f>
        <v>2.2211551228147819</v>
      </c>
      <c r="R286" s="269">
        <f t="shared" si="31"/>
        <v>877863.47428413352</v>
      </c>
      <c r="S286" s="269">
        <f t="shared" si="32"/>
        <v>7041514.0370456725</v>
      </c>
      <c r="T286" s="269">
        <f t="shared" si="33"/>
        <v>623182.91291748465</v>
      </c>
      <c r="U286" s="242">
        <f t="shared" si="34"/>
        <v>106711.65449999999</v>
      </c>
    </row>
    <row r="287" spans="1:21" s="237" customFormat="1" x14ac:dyDescent="0.3">
      <c r="A287" s="237">
        <v>282</v>
      </c>
      <c r="B287" s="263">
        <v>1</v>
      </c>
      <c r="C287" s="263">
        <f t="shared" si="35"/>
        <v>0</v>
      </c>
      <c r="D287" s="264">
        <f t="shared" si="27"/>
        <v>0</v>
      </c>
      <c r="E287" s="383" t="s">
        <v>883</v>
      </c>
      <c r="F287" s="384" t="s">
        <v>364</v>
      </c>
      <c r="G287" s="384">
        <v>31</v>
      </c>
      <c r="H287" s="385">
        <v>40087</v>
      </c>
      <c r="I287" s="265">
        <f t="shared" si="29"/>
        <v>2009</v>
      </c>
      <c r="J287" s="383">
        <v>330</v>
      </c>
      <c r="K287" s="641" t="str">
        <f>VLOOKUP(J287,'Cost Escalators'!$C$313:$D$330,2,FALSE)</f>
        <v>Reservoir</v>
      </c>
      <c r="L287" s="238" t="s">
        <v>884</v>
      </c>
      <c r="M287" s="384" t="s">
        <v>1506</v>
      </c>
      <c r="N287" s="246">
        <v>9691657.8900000006</v>
      </c>
      <c r="O287" s="267">
        <v>50</v>
      </c>
      <c r="P287" s="250">
        <f t="shared" si="30"/>
        <v>2059</v>
      </c>
      <c r="Q287" s="268">
        <f>IF(J287=10,1,IFERROR(INDEX('Cost Escalators'!$D$28:$D$92,MATCH($P$4,'Cost Escalators'!$B$28:$B$92,0))/INDEX('Cost Escalators'!$D$28:$D$92,MATCH(I287,'Cost Escalators'!$B$28:$B$92,0)),1))</f>
        <v>1.1712138155015994</v>
      </c>
      <c r="R287" s="269">
        <f t="shared" si="31"/>
        <v>11351003.61588308</v>
      </c>
      <c r="S287" s="269">
        <f t="shared" si="32"/>
        <v>39815765.624313243</v>
      </c>
      <c r="T287" s="269">
        <f t="shared" si="33"/>
        <v>10120495.287379693</v>
      </c>
      <c r="U287" s="242">
        <f t="shared" si="34"/>
        <v>1162998.9468</v>
      </c>
    </row>
    <row r="288" spans="1:21" s="237" customFormat="1" x14ac:dyDescent="0.3">
      <c r="A288" s="237">
        <v>283</v>
      </c>
      <c r="B288" s="263">
        <v>1</v>
      </c>
      <c r="C288" s="263">
        <f t="shared" si="35"/>
        <v>0</v>
      </c>
      <c r="D288" s="264">
        <f t="shared" si="27"/>
        <v>0</v>
      </c>
      <c r="E288" s="383" t="s">
        <v>883</v>
      </c>
      <c r="F288" s="384" t="s">
        <v>364</v>
      </c>
      <c r="G288" s="384">
        <v>31</v>
      </c>
      <c r="H288" s="385">
        <v>40543</v>
      </c>
      <c r="I288" s="265">
        <f t="shared" si="29"/>
        <v>2010</v>
      </c>
      <c r="J288" s="383">
        <v>330</v>
      </c>
      <c r="K288" s="641" t="str">
        <f>VLOOKUP(J288,'Cost Escalators'!$C$313:$D$330,2,FALSE)</f>
        <v>Reservoir</v>
      </c>
      <c r="L288" s="238" t="s">
        <v>885</v>
      </c>
      <c r="M288" s="384" t="s">
        <v>1506</v>
      </c>
      <c r="N288" s="246">
        <v>351005</v>
      </c>
      <c r="O288" s="267">
        <v>50</v>
      </c>
      <c r="P288" s="250">
        <f t="shared" si="30"/>
        <v>2060</v>
      </c>
      <c r="Q288" s="268">
        <f>IF(J288=10,1,IFERROR(INDEX('Cost Escalators'!$D$28:$D$92,MATCH($P$4,'Cost Escalators'!$B$28:$B$92,0))/INDEX('Cost Escalators'!$D$28:$D$92,MATCH(I288,'Cost Escalators'!$B$28:$B$92,0)),1))</f>
        <v>1.1407540701033272</v>
      </c>
      <c r="R288" s="269">
        <f t="shared" si="31"/>
        <v>400410.38237661833</v>
      </c>
      <c r="S288" s="269">
        <f t="shared" si="32"/>
        <v>1445150.1614479681</v>
      </c>
      <c r="T288" s="269">
        <f t="shared" si="33"/>
        <v>364325.85708357242</v>
      </c>
      <c r="U288" s="242">
        <f t="shared" si="34"/>
        <v>35100.5</v>
      </c>
    </row>
    <row r="289" spans="1:21" s="237" customFormat="1" x14ac:dyDescent="0.3">
      <c r="A289" s="237">
        <v>284</v>
      </c>
      <c r="B289" s="263">
        <v>0</v>
      </c>
      <c r="C289" s="263">
        <v>0</v>
      </c>
      <c r="D289" s="264">
        <f t="shared" si="27"/>
        <v>1</v>
      </c>
      <c r="E289" s="383" t="s">
        <v>886</v>
      </c>
      <c r="F289" s="384" t="s">
        <v>364</v>
      </c>
      <c r="G289" s="384">
        <v>31</v>
      </c>
      <c r="H289" s="385">
        <v>36019</v>
      </c>
      <c r="I289" s="265">
        <f t="shared" si="29"/>
        <v>1998</v>
      </c>
      <c r="J289" s="383">
        <v>335</v>
      </c>
      <c r="K289" s="641" t="str">
        <f>VLOOKUP(J289,'Cost Escalators'!$C$313:$D$330,2,FALSE)</f>
        <v>Below Ground Piping (See 150)</v>
      </c>
      <c r="L289" s="868" t="s">
        <v>887</v>
      </c>
      <c r="M289" s="384" t="s">
        <v>1506</v>
      </c>
      <c r="N289" s="246">
        <v>52145.11</v>
      </c>
      <c r="O289" s="267">
        <v>50</v>
      </c>
      <c r="P289" s="250">
        <f t="shared" si="30"/>
        <v>2048</v>
      </c>
      <c r="Q289" s="268">
        <f>IF(J289=10,1,IFERROR(INDEX('Cost Escalators'!$D$28:$D$92,MATCH($P$4,'Cost Escalators'!$B$28:$B$92,0))/INDEX('Cost Escalators'!$D$28:$D$92,MATCH(I289,'Cost Escalators'!$B$28:$B$92,0)),1))</f>
        <v>1.6955067567567568</v>
      </c>
      <c r="R289" s="269">
        <f t="shared" si="31"/>
        <v>88412.386336824333</v>
      </c>
      <c r="S289" s="269">
        <f t="shared" si="32"/>
        <v>226609.81680212208</v>
      </c>
      <c r="T289" s="269">
        <f t="shared" si="33"/>
        <v>55889.953107252331</v>
      </c>
      <c r="U289" s="242">
        <f t="shared" si="34"/>
        <v>17729.3374</v>
      </c>
    </row>
    <row r="290" spans="1:21" s="237" customFormat="1" x14ac:dyDescent="0.3">
      <c r="A290" s="237">
        <v>285</v>
      </c>
      <c r="B290" s="263">
        <v>0</v>
      </c>
      <c r="C290" s="263">
        <v>0</v>
      </c>
      <c r="D290" s="264">
        <f t="shared" si="27"/>
        <v>1</v>
      </c>
      <c r="E290" s="383" t="s">
        <v>888</v>
      </c>
      <c r="F290" s="384" t="s">
        <v>364</v>
      </c>
      <c r="G290" s="384">
        <v>31</v>
      </c>
      <c r="H290" s="385">
        <v>36007</v>
      </c>
      <c r="I290" s="265">
        <f t="shared" si="29"/>
        <v>1998</v>
      </c>
      <c r="J290" s="383">
        <v>335</v>
      </c>
      <c r="K290" s="641" t="str">
        <f>VLOOKUP(J290,'Cost Escalators'!$C$313:$D$330,2,FALSE)</f>
        <v>Below Ground Piping (See 150)</v>
      </c>
      <c r="L290" s="868" t="s">
        <v>889</v>
      </c>
      <c r="M290" s="384" t="s">
        <v>1506</v>
      </c>
      <c r="N290" s="246">
        <v>138621.38</v>
      </c>
      <c r="O290" s="267">
        <v>50</v>
      </c>
      <c r="P290" s="250">
        <f t="shared" si="30"/>
        <v>2048</v>
      </c>
      <c r="Q290" s="268">
        <f>IF(J290=10,1,IFERROR(INDEX('Cost Escalators'!$D$28:$D$92,MATCH($P$4,'Cost Escalators'!$B$28:$B$92,0))/INDEX('Cost Escalators'!$D$28:$D$92,MATCH(I290,'Cost Escalators'!$B$28:$B$92,0)),1))</f>
        <v>1.6955067567567568</v>
      </c>
      <c r="R290" s="269">
        <f t="shared" si="31"/>
        <v>235033.48642094596</v>
      </c>
      <c r="S290" s="269">
        <f t="shared" si="32"/>
        <v>602414.40715452225</v>
      </c>
      <c r="T290" s="269">
        <f t="shared" si="33"/>
        <v>148576.58614321853</v>
      </c>
      <c r="U290" s="242">
        <f t="shared" si="34"/>
        <v>47131.269200000002</v>
      </c>
    </row>
    <row r="291" spans="1:21" s="237" customFormat="1" x14ac:dyDescent="0.3">
      <c r="A291" s="237">
        <v>286</v>
      </c>
      <c r="B291" s="263">
        <v>0</v>
      </c>
      <c r="C291" s="263">
        <v>0</v>
      </c>
      <c r="D291" s="264">
        <f t="shared" ref="D291:D354" si="36">1-B291-C291</f>
        <v>1</v>
      </c>
      <c r="E291" s="383" t="s">
        <v>890</v>
      </c>
      <c r="F291" s="384" t="s">
        <v>364</v>
      </c>
      <c r="G291" s="384">
        <v>31</v>
      </c>
      <c r="H291" s="385">
        <v>36007</v>
      </c>
      <c r="I291" s="265">
        <f t="shared" si="29"/>
        <v>1998</v>
      </c>
      <c r="J291" s="383">
        <v>335</v>
      </c>
      <c r="K291" s="641" t="str">
        <f>VLOOKUP(J291,'Cost Escalators'!$C$313:$D$330,2,FALSE)</f>
        <v>Below Ground Piping (See 150)</v>
      </c>
      <c r="L291" s="868" t="s">
        <v>772</v>
      </c>
      <c r="M291" s="384" t="s">
        <v>1506</v>
      </c>
      <c r="N291" s="246">
        <v>359325.99</v>
      </c>
      <c r="O291" s="267">
        <v>50</v>
      </c>
      <c r="P291" s="250">
        <f t="shared" si="30"/>
        <v>2048</v>
      </c>
      <c r="Q291" s="268">
        <f>IF(J291=10,1,IFERROR(INDEX('Cost Escalators'!$D$28:$D$92,MATCH($P$4,'Cost Escalators'!$B$28:$B$92,0))/INDEX('Cost Escalators'!$D$28:$D$92,MATCH(I291,'Cost Escalators'!$B$28:$B$92,0)),1))</f>
        <v>1.6955067567567568</v>
      </c>
      <c r="R291" s="269">
        <f t="shared" si="31"/>
        <v>609239.6439233108</v>
      </c>
      <c r="S291" s="269">
        <f t="shared" si="32"/>
        <v>1561542.3338092708</v>
      </c>
      <c r="T291" s="269">
        <f t="shared" si="33"/>
        <v>385131.27561370615</v>
      </c>
      <c r="U291" s="242">
        <f t="shared" si="34"/>
        <v>122170.8366</v>
      </c>
    </row>
    <row r="292" spans="1:21" s="237" customFormat="1" x14ac:dyDescent="0.3">
      <c r="A292" s="237">
        <v>287</v>
      </c>
      <c r="B292" s="263">
        <v>0</v>
      </c>
      <c r="C292" s="263">
        <v>0</v>
      </c>
      <c r="D292" s="264">
        <f t="shared" si="36"/>
        <v>1</v>
      </c>
      <c r="E292" s="383" t="s">
        <v>891</v>
      </c>
      <c r="F292" s="384" t="s">
        <v>364</v>
      </c>
      <c r="G292" s="384">
        <v>31</v>
      </c>
      <c r="H292" s="385">
        <v>35936</v>
      </c>
      <c r="I292" s="265">
        <f t="shared" si="29"/>
        <v>1998</v>
      </c>
      <c r="J292" s="383">
        <v>335</v>
      </c>
      <c r="K292" s="641" t="str">
        <f>VLOOKUP(J292,'Cost Escalators'!$C$313:$D$330,2,FALSE)</f>
        <v>Below Ground Piping (See 150)</v>
      </c>
      <c r="L292" s="868" t="s">
        <v>2019</v>
      </c>
      <c r="M292" s="384" t="s">
        <v>1506</v>
      </c>
      <c r="N292" s="246">
        <v>12214.53</v>
      </c>
      <c r="O292" s="267">
        <v>50</v>
      </c>
      <c r="P292" s="250">
        <f t="shared" si="30"/>
        <v>2048</v>
      </c>
      <c r="Q292" s="268">
        <f>IF(J292=10,1,IFERROR(INDEX('Cost Escalators'!$D$28:$D$92,MATCH($P$4,'Cost Escalators'!$B$28:$B$92,0))/INDEX('Cost Escalators'!$D$28:$D$92,MATCH(I292,'Cost Escalators'!$B$28:$B$92,0)),1))</f>
        <v>1.6955067567567568</v>
      </c>
      <c r="R292" s="269">
        <f t="shared" si="31"/>
        <v>20709.818145608111</v>
      </c>
      <c r="S292" s="269">
        <f t="shared" si="32"/>
        <v>53081.341771529951</v>
      </c>
      <c r="T292" s="269">
        <f t="shared" si="33"/>
        <v>13091.72631771468</v>
      </c>
      <c r="U292" s="242">
        <f t="shared" si="34"/>
        <v>4152.9402</v>
      </c>
    </row>
    <row r="293" spans="1:21" s="237" customFormat="1" x14ac:dyDescent="0.3">
      <c r="A293" s="237">
        <v>288</v>
      </c>
      <c r="B293" s="263">
        <v>0</v>
      </c>
      <c r="C293" s="263">
        <v>0</v>
      </c>
      <c r="D293" s="264">
        <f t="shared" si="36"/>
        <v>1</v>
      </c>
      <c r="E293" s="270" t="s">
        <v>891</v>
      </c>
      <c r="F293" s="384" t="s">
        <v>364</v>
      </c>
      <c r="G293" s="384">
        <v>31</v>
      </c>
      <c r="H293" s="385">
        <v>35936</v>
      </c>
      <c r="I293" s="265">
        <f t="shared" si="29"/>
        <v>1998</v>
      </c>
      <c r="J293" s="383">
        <v>335</v>
      </c>
      <c r="K293" s="641" t="str">
        <f>VLOOKUP(J293,'Cost Escalators'!$C$313:$D$330,2,FALSE)</f>
        <v>Below Ground Piping (See 150)</v>
      </c>
      <c r="L293" s="868" t="s">
        <v>892</v>
      </c>
      <c r="M293" s="384" t="s">
        <v>1506</v>
      </c>
      <c r="N293" s="246">
        <v>657</v>
      </c>
      <c r="O293" s="267">
        <v>50</v>
      </c>
      <c r="P293" s="250">
        <f t="shared" si="30"/>
        <v>2048</v>
      </c>
      <c r="Q293" s="268">
        <f>IF(J293=10,1,IFERROR(INDEX('Cost Escalators'!$D$28:$D$92,MATCH($P$4,'Cost Escalators'!$B$28:$B$92,0))/INDEX('Cost Escalators'!$D$28:$D$92,MATCH(I293,'Cost Escalators'!$B$28:$B$92,0)),1))</f>
        <v>1.6955067567567568</v>
      </c>
      <c r="R293" s="269">
        <f t="shared" si="31"/>
        <v>1113.9479391891891</v>
      </c>
      <c r="S293" s="269">
        <f t="shared" si="32"/>
        <v>2855.1603331356318</v>
      </c>
      <c r="T293" s="269">
        <f t="shared" si="33"/>
        <v>704.18298458790832</v>
      </c>
      <c r="U293" s="242">
        <f t="shared" si="34"/>
        <v>223.38</v>
      </c>
    </row>
    <row r="294" spans="1:21" s="237" customFormat="1" x14ac:dyDescent="0.3">
      <c r="A294" s="237">
        <v>289</v>
      </c>
      <c r="B294" s="263">
        <v>0</v>
      </c>
      <c r="C294" s="263">
        <v>0</v>
      </c>
      <c r="D294" s="264">
        <f t="shared" si="36"/>
        <v>1</v>
      </c>
      <c r="E294" s="270" t="s">
        <v>891</v>
      </c>
      <c r="F294" s="384" t="s">
        <v>364</v>
      </c>
      <c r="G294" s="384">
        <v>31</v>
      </c>
      <c r="H294" s="385">
        <v>35936</v>
      </c>
      <c r="I294" s="265">
        <f t="shared" si="29"/>
        <v>1998</v>
      </c>
      <c r="J294" s="383">
        <v>335</v>
      </c>
      <c r="K294" s="641" t="str">
        <f>VLOOKUP(J294,'Cost Escalators'!$C$313:$D$330,2,FALSE)</f>
        <v>Below Ground Piping (See 150)</v>
      </c>
      <c r="L294" s="238" t="s">
        <v>893</v>
      </c>
      <c r="M294" s="384" t="s">
        <v>1506</v>
      </c>
      <c r="N294" s="246">
        <v>30860</v>
      </c>
      <c r="O294" s="267">
        <v>50</v>
      </c>
      <c r="P294" s="250">
        <f t="shared" si="30"/>
        <v>2048</v>
      </c>
      <c r="Q294" s="268">
        <f>IF(J294=10,1,IFERROR(INDEX('Cost Escalators'!$D$28:$D$92,MATCH($P$4,'Cost Escalators'!$B$28:$B$92,0))/INDEX('Cost Escalators'!$D$28:$D$92,MATCH(I294,'Cost Escalators'!$B$28:$B$92,0)),1))</f>
        <v>1.6955067567567568</v>
      </c>
      <c r="R294" s="269">
        <f t="shared" si="31"/>
        <v>52323.33851351351</v>
      </c>
      <c r="S294" s="269">
        <f t="shared" si="32"/>
        <v>134109.96633267216</v>
      </c>
      <c r="T294" s="269">
        <f t="shared" si="33"/>
        <v>33076.23577531636</v>
      </c>
      <c r="U294" s="242">
        <f t="shared" si="34"/>
        <v>10492.400000000001</v>
      </c>
    </row>
    <row r="295" spans="1:21" s="237" customFormat="1" x14ac:dyDescent="0.3">
      <c r="A295" s="237">
        <v>290</v>
      </c>
      <c r="B295" s="263">
        <v>0.5</v>
      </c>
      <c r="C295" s="263">
        <f t="shared" ref="C295:C326" si="37">1-B295</f>
        <v>0.5</v>
      </c>
      <c r="D295" s="264">
        <f t="shared" si="36"/>
        <v>0</v>
      </c>
      <c r="E295" s="270" t="s">
        <v>894</v>
      </c>
      <c r="F295" s="384" t="s">
        <v>364</v>
      </c>
      <c r="G295" s="384">
        <v>31</v>
      </c>
      <c r="H295" s="385">
        <v>36707</v>
      </c>
      <c r="I295" s="265">
        <f t="shared" si="29"/>
        <v>2000</v>
      </c>
      <c r="J295" s="383">
        <v>335</v>
      </c>
      <c r="K295" s="641" t="str">
        <f>VLOOKUP(J295,'Cost Escalators'!$C$313:$D$330,2,FALSE)</f>
        <v>Below Ground Piping (See 150)</v>
      </c>
      <c r="L295" s="238" t="s">
        <v>895</v>
      </c>
      <c r="M295" s="384" t="s">
        <v>1506</v>
      </c>
      <c r="N295" s="246">
        <v>8787.69</v>
      </c>
      <c r="O295" s="267">
        <v>20</v>
      </c>
      <c r="P295" s="250">
        <f t="shared" si="30"/>
        <v>2020</v>
      </c>
      <c r="Q295" s="268">
        <f>IF(J295=10,1,IFERROR(INDEX('Cost Escalators'!$D$28:$D$92,MATCH($P$4,'Cost Escalators'!$B$28:$B$92,0))/INDEX('Cost Escalators'!$D$28:$D$92,MATCH(I295,'Cost Escalators'!$B$28:$B$92,0)),1))</f>
        <v>1.6134705031345442</v>
      </c>
      <c r="R295" s="269">
        <f t="shared" si="31"/>
        <v>14178.678605690404</v>
      </c>
      <c r="S295" s="269">
        <f t="shared" si="32"/>
        <v>16351.964708735291</v>
      </c>
      <c r="T295" s="269">
        <f t="shared" si="33"/>
        <v>3369.902108661563</v>
      </c>
      <c r="U295" s="242">
        <f t="shared" si="34"/>
        <v>6590.7674999999999</v>
      </c>
    </row>
    <row r="296" spans="1:21" s="237" customFormat="1" x14ac:dyDescent="0.3">
      <c r="A296" s="237">
        <v>291</v>
      </c>
      <c r="B296" s="263">
        <v>0</v>
      </c>
      <c r="C296" s="263">
        <f t="shared" si="37"/>
        <v>1</v>
      </c>
      <c r="D296" s="264">
        <f t="shared" si="36"/>
        <v>0</v>
      </c>
      <c r="E296" s="270" t="s">
        <v>896</v>
      </c>
      <c r="F296" s="384" t="s">
        <v>364</v>
      </c>
      <c r="G296" s="384">
        <v>31</v>
      </c>
      <c r="H296" s="385">
        <v>36700</v>
      </c>
      <c r="I296" s="265">
        <f t="shared" si="29"/>
        <v>2000</v>
      </c>
      <c r="J296" s="383">
        <v>335</v>
      </c>
      <c r="K296" s="641" t="str">
        <f>VLOOKUP(J296,'Cost Escalators'!$C$313:$D$330,2,FALSE)</f>
        <v>Below Ground Piping (See 150)</v>
      </c>
      <c r="L296" s="238" t="s">
        <v>897</v>
      </c>
      <c r="M296" s="384" t="s">
        <v>1506</v>
      </c>
      <c r="N296" s="246">
        <v>156177.5</v>
      </c>
      <c r="O296" s="267">
        <v>20</v>
      </c>
      <c r="P296" s="250">
        <f t="shared" si="30"/>
        <v>2020</v>
      </c>
      <c r="Q296" s="268">
        <f>IF(J296=10,1,IFERROR(INDEX('Cost Escalators'!$D$28:$D$92,MATCH($P$4,'Cost Escalators'!$B$28:$B$92,0))/INDEX('Cost Escalators'!$D$28:$D$92,MATCH(I296,'Cost Escalators'!$B$28:$B$92,0)),1))</f>
        <v>1.6134705031345442</v>
      </c>
      <c r="R296" s="269">
        <f t="shared" si="31"/>
        <v>251987.78950329527</v>
      </c>
      <c r="S296" s="269">
        <f t="shared" si="32"/>
        <v>290612.09126613545</v>
      </c>
      <c r="T296" s="269">
        <f t="shared" si="33"/>
        <v>59890.925439505838</v>
      </c>
      <c r="U296" s="242">
        <f t="shared" si="34"/>
        <v>117133.125</v>
      </c>
    </row>
    <row r="297" spans="1:21" s="237" customFormat="1" x14ac:dyDescent="0.3">
      <c r="A297" s="237">
        <v>292</v>
      </c>
      <c r="B297" s="263">
        <v>0</v>
      </c>
      <c r="C297" s="263">
        <f t="shared" si="37"/>
        <v>1</v>
      </c>
      <c r="D297" s="264">
        <f t="shared" si="36"/>
        <v>0</v>
      </c>
      <c r="E297" s="270" t="s">
        <v>898</v>
      </c>
      <c r="F297" s="384" t="s">
        <v>364</v>
      </c>
      <c r="G297" s="384">
        <v>31</v>
      </c>
      <c r="H297" s="385">
        <v>36799</v>
      </c>
      <c r="I297" s="265">
        <f t="shared" si="29"/>
        <v>2000</v>
      </c>
      <c r="J297" s="383">
        <v>335</v>
      </c>
      <c r="K297" s="641" t="str">
        <f>VLOOKUP(J297,'Cost Escalators'!$C$313:$D$330,2,FALSE)</f>
        <v>Below Ground Piping (See 150)</v>
      </c>
      <c r="L297" s="238" t="s">
        <v>899</v>
      </c>
      <c r="M297" s="384" t="s">
        <v>1506</v>
      </c>
      <c r="N297" s="246">
        <v>256340</v>
      </c>
      <c r="O297" s="267">
        <v>50</v>
      </c>
      <c r="P297" s="250">
        <f t="shared" si="30"/>
        <v>2050</v>
      </c>
      <c r="Q297" s="268">
        <f>IF(J297=10,1,IFERROR(INDEX('Cost Escalators'!$D$28:$D$92,MATCH($P$4,'Cost Escalators'!$B$28:$B$92,0))/INDEX('Cost Escalators'!$D$28:$D$92,MATCH(I297,'Cost Escalators'!$B$28:$B$92,0)),1))</f>
        <v>1.6134705031345442</v>
      </c>
      <c r="R297" s="269">
        <f t="shared" si="31"/>
        <v>413597.02877350908</v>
      </c>
      <c r="S297" s="269">
        <f t="shared" si="32"/>
        <v>1122319.9691224173</v>
      </c>
      <c r="T297" s="269">
        <f t="shared" si="33"/>
        <v>275243.43465644022</v>
      </c>
      <c r="U297" s="242">
        <f t="shared" si="34"/>
        <v>76902</v>
      </c>
    </row>
    <row r="298" spans="1:21" s="237" customFormat="1" x14ac:dyDescent="0.3">
      <c r="A298" s="237">
        <v>293</v>
      </c>
      <c r="B298" s="263">
        <v>0</v>
      </c>
      <c r="C298" s="263">
        <v>0</v>
      </c>
      <c r="D298" s="264">
        <f t="shared" si="36"/>
        <v>1</v>
      </c>
      <c r="E298" s="270" t="s">
        <v>900</v>
      </c>
      <c r="F298" s="384" t="s">
        <v>364</v>
      </c>
      <c r="G298" s="384">
        <v>31</v>
      </c>
      <c r="H298" s="385">
        <v>37144</v>
      </c>
      <c r="I298" s="265">
        <f t="shared" si="29"/>
        <v>2001</v>
      </c>
      <c r="J298" s="383">
        <v>335</v>
      </c>
      <c r="K298" s="641" t="str">
        <f>VLOOKUP(J298,'Cost Escalators'!$C$313:$D$330,2,FALSE)</f>
        <v>Below Ground Piping (See 150)</v>
      </c>
      <c r="L298" s="868" t="s">
        <v>901</v>
      </c>
      <c r="M298" s="384" t="s">
        <v>1506</v>
      </c>
      <c r="N298" s="246">
        <v>71227.97</v>
      </c>
      <c r="O298" s="267">
        <v>20</v>
      </c>
      <c r="P298" s="250">
        <f t="shared" si="30"/>
        <v>2021</v>
      </c>
      <c r="Q298" s="268">
        <f>IF(J298=10,1,IFERROR(INDEX('Cost Escalators'!$D$28:$D$92,MATCH($P$4,'Cost Escalators'!$B$28:$B$92,0))/INDEX('Cost Escalators'!$D$28:$D$92,MATCH(I298,'Cost Escalators'!$B$28:$B$92,0)),1))</f>
        <v>1.5824373324925114</v>
      </c>
      <c r="R298" s="269">
        <f t="shared" si="31"/>
        <v>112713.79884565662</v>
      </c>
      <c r="S298" s="269">
        <f t="shared" si="32"/>
        <v>133751.32921098219</v>
      </c>
      <c r="T298" s="269">
        <f t="shared" si="33"/>
        <v>31855.727954968504</v>
      </c>
      <c r="U298" s="242">
        <f t="shared" si="34"/>
        <v>49859.579000000005</v>
      </c>
    </row>
    <row r="299" spans="1:21" s="237" customFormat="1" x14ac:dyDescent="0.3">
      <c r="A299" s="237">
        <v>294</v>
      </c>
      <c r="B299" s="263">
        <v>0.5</v>
      </c>
      <c r="C299" s="263">
        <f t="shared" si="37"/>
        <v>0.5</v>
      </c>
      <c r="D299" s="264">
        <f t="shared" si="36"/>
        <v>0</v>
      </c>
      <c r="E299" s="270" t="s">
        <v>902</v>
      </c>
      <c r="F299" s="384" t="s">
        <v>364</v>
      </c>
      <c r="G299" s="384">
        <v>31</v>
      </c>
      <c r="H299" s="385">
        <v>37164</v>
      </c>
      <c r="I299" s="265">
        <f t="shared" si="29"/>
        <v>2001</v>
      </c>
      <c r="J299" s="383">
        <v>335</v>
      </c>
      <c r="K299" s="641" t="str">
        <f>VLOOKUP(J299,'Cost Escalators'!$C$313:$D$330,2,FALSE)</f>
        <v>Below Ground Piping (See 150)</v>
      </c>
      <c r="L299" s="238" t="s">
        <v>903</v>
      </c>
      <c r="M299" s="384" t="s">
        <v>1506</v>
      </c>
      <c r="N299" s="246">
        <v>1541.7</v>
      </c>
      <c r="O299" s="267">
        <v>20</v>
      </c>
      <c r="P299" s="250">
        <f t="shared" si="30"/>
        <v>2021</v>
      </c>
      <c r="Q299" s="268">
        <f>IF(J299=10,1,IFERROR(INDEX('Cost Escalators'!$D$28:$D$92,MATCH($P$4,'Cost Escalators'!$B$28:$B$92,0))/INDEX('Cost Escalators'!$D$28:$D$92,MATCH(I299,'Cost Escalators'!$B$28:$B$92,0)),1))</f>
        <v>1.5824373324925114</v>
      </c>
      <c r="R299" s="269">
        <f t="shared" si="31"/>
        <v>2439.6436355037049</v>
      </c>
      <c r="S299" s="269">
        <f t="shared" si="32"/>
        <v>2894.9922936814182</v>
      </c>
      <c r="T299" s="269">
        <f t="shared" si="33"/>
        <v>689.50407807740339</v>
      </c>
      <c r="U299" s="242">
        <f t="shared" si="34"/>
        <v>1079.19</v>
      </c>
    </row>
    <row r="300" spans="1:21" s="237" customFormat="1" x14ac:dyDescent="0.3">
      <c r="A300" s="237">
        <v>295</v>
      </c>
      <c r="B300" s="263">
        <v>0</v>
      </c>
      <c r="C300" s="263">
        <f t="shared" si="37"/>
        <v>1</v>
      </c>
      <c r="D300" s="264">
        <f t="shared" si="36"/>
        <v>0</v>
      </c>
      <c r="E300" s="270" t="s">
        <v>904</v>
      </c>
      <c r="F300" s="384" t="s">
        <v>364</v>
      </c>
      <c r="G300" s="384">
        <v>31</v>
      </c>
      <c r="H300" s="385">
        <v>36829</v>
      </c>
      <c r="I300" s="265">
        <f t="shared" si="29"/>
        <v>2000</v>
      </c>
      <c r="J300" s="383">
        <v>335</v>
      </c>
      <c r="K300" s="641" t="str">
        <f>VLOOKUP(J300,'Cost Escalators'!$C$313:$D$330,2,FALSE)</f>
        <v>Below Ground Piping (See 150)</v>
      </c>
      <c r="L300" s="238" t="s">
        <v>905</v>
      </c>
      <c r="M300" s="384" t="s">
        <v>1506</v>
      </c>
      <c r="N300" s="246">
        <v>1069402.8</v>
      </c>
      <c r="O300" s="267">
        <v>50</v>
      </c>
      <c r="P300" s="250">
        <f t="shared" si="30"/>
        <v>2050</v>
      </c>
      <c r="Q300" s="268">
        <f>IF(J300=10,1,IFERROR(INDEX('Cost Escalators'!$D$28:$D$92,MATCH($P$4,'Cost Escalators'!$B$28:$B$92,0))/INDEX('Cost Escalators'!$D$28:$D$92,MATCH(I300,'Cost Escalators'!$B$28:$B$92,0)),1))</f>
        <v>1.6134705031345442</v>
      </c>
      <c r="R300" s="269">
        <f t="shared" si="31"/>
        <v>1725449.8737694905</v>
      </c>
      <c r="S300" s="269">
        <f t="shared" si="32"/>
        <v>4682110.1563370004</v>
      </c>
      <c r="T300" s="269">
        <f t="shared" si="33"/>
        <v>1148264.4132917775</v>
      </c>
      <c r="U300" s="242">
        <f t="shared" si="34"/>
        <v>320820.84000000003</v>
      </c>
    </row>
    <row r="301" spans="1:21" s="237" customFormat="1" x14ac:dyDescent="0.3">
      <c r="A301" s="237">
        <v>296</v>
      </c>
      <c r="B301" s="263">
        <v>0</v>
      </c>
      <c r="C301" s="263">
        <v>0</v>
      </c>
      <c r="D301" s="264">
        <f t="shared" si="36"/>
        <v>1</v>
      </c>
      <c r="E301" s="270" t="s">
        <v>906</v>
      </c>
      <c r="F301" s="384" t="s">
        <v>364</v>
      </c>
      <c r="G301" s="384">
        <v>31</v>
      </c>
      <c r="H301" s="385">
        <v>36707</v>
      </c>
      <c r="I301" s="265">
        <f t="shared" si="29"/>
        <v>2000</v>
      </c>
      <c r="J301" s="383">
        <v>335</v>
      </c>
      <c r="K301" s="641" t="str">
        <f>VLOOKUP(J301,'Cost Escalators'!$C$313:$D$330,2,FALSE)</f>
        <v>Below Ground Piping (See 150)</v>
      </c>
      <c r="L301" s="868" t="s">
        <v>907</v>
      </c>
      <c r="M301" s="384" t="s">
        <v>1506</v>
      </c>
      <c r="N301" s="246">
        <v>355792.68</v>
      </c>
      <c r="O301" s="267">
        <v>20</v>
      </c>
      <c r="P301" s="250">
        <f t="shared" si="30"/>
        <v>2020</v>
      </c>
      <c r="Q301" s="268">
        <f>IF(J301=10,1,IFERROR(INDEX('Cost Escalators'!$D$28:$D$92,MATCH($P$4,'Cost Escalators'!$B$28:$B$92,0))/INDEX('Cost Escalators'!$D$28:$D$92,MATCH(I301,'Cost Escalators'!$B$28:$B$92,0)),1))</f>
        <v>1.6134705031345442</v>
      </c>
      <c r="R301" s="269">
        <f t="shared" si="31"/>
        <v>574060.99441118783</v>
      </c>
      <c r="S301" s="269">
        <f t="shared" si="32"/>
        <v>662052.18288154772</v>
      </c>
      <c r="T301" s="269">
        <f t="shared" si="33"/>
        <v>136439.32621409596</v>
      </c>
      <c r="U301" s="242">
        <f t="shared" si="34"/>
        <v>266844.50999999995</v>
      </c>
    </row>
    <row r="302" spans="1:21" s="237" customFormat="1" x14ac:dyDescent="0.3">
      <c r="A302" s="237">
        <v>297</v>
      </c>
      <c r="B302" s="263">
        <v>0</v>
      </c>
      <c r="C302" s="263">
        <f t="shared" si="37"/>
        <v>1</v>
      </c>
      <c r="D302" s="264">
        <f t="shared" si="36"/>
        <v>0</v>
      </c>
      <c r="E302" s="270" t="s">
        <v>908</v>
      </c>
      <c r="F302" s="384" t="s">
        <v>364</v>
      </c>
      <c r="G302" s="384">
        <v>31</v>
      </c>
      <c r="H302" s="385">
        <v>37346</v>
      </c>
      <c r="I302" s="265">
        <f t="shared" si="29"/>
        <v>2002</v>
      </c>
      <c r="J302" s="383">
        <v>335</v>
      </c>
      <c r="K302" s="641" t="str">
        <f>VLOOKUP(J302,'Cost Escalators'!$C$313:$D$330,2,FALSE)</f>
        <v>Below Ground Piping (See 150)</v>
      </c>
      <c r="L302" s="238" t="s">
        <v>909</v>
      </c>
      <c r="M302" s="384" t="s">
        <v>1506</v>
      </c>
      <c r="N302" s="246">
        <v>482180.5</v>
      </c>
      <c r="O302" s="267">
        <v>30</v>
      </c>
      <c r="P302" s="250">
        <f t="shared" si="30"/>
        <v>2032</v>
      </c>
      <c r="Q302" s="268">
        <f>IF(J302=10,1,IFERROR(INDEX('Cost Escalators'!$D$28:$D$92,MATCH($P$4,'Cost Escalators'!$B$28:$B$92,0))/INDEX('Cost Escalators'!$D$28:$D$92,MATCH(I302,'Cost Escalators'!$B$28:$B$92,0)),1))</f>
        <v>1.5352401345977362</v>
      </c>
      <c r="R302" s="269">
        <f t="shared" si="31"/>
        <v>740262.85572040372</v>
      </c>
      <c r="S302" s="269">
        <f t="shared" si="32"/>
        <v>1202159.7415265949</v>
      </c>
      <c r="T302" s="269">
        <f t="shared" si="33"/>
        <v>395882.3914461243</v>
      </c>
      <c r="U302" s="242">
        <f t="shared" si="34"/>
        <v>208944.88333333333</v>
      </c>
    </row>
    <row r="303" spans="1:21" s="237" customFormat="1" x14ac:dyDescent="0.3">
      <c r="A303" s="237">
        <v>298</v>
      </c>
      <c r="B303" s="263">
        <v>1</v>
      </c>
      <c r="C303" s="263">
        <f t="shared" si="37"/>
        <v>0</v>
      </c>
      <c r="D303" s="264">
        <f t="shared" si="36"/>
        <v>0</v>
      </c>
      <c r="E303" s="270" t="s">
        <v>910</v>
      </c>
      <c r="F303" s="384" t="s">
        <v>364</v>
      </c>
      <c r="G303" s="384">
        <v>31</v>
      </c>
      <c r="H303" s="385">
        <v>37529</v>
      </c>
      <c r="I303" s="265">
        <f t="shared" si="29"/>
        <v>2002</v>
      </c>
      <c r="J303" s="383">
        <v>335</v>
      </c>
      <c r="K303" s="641" t="str">
        <f>VLOOKUP(J303,'Cost Escalators'!$C$313:$D$330,2,FALSE)</f>
        <v>Below Ground Piping (See 150)</v>
      </c>
      <c r="L303" s="238" t="s">
        <v>911</v>
      </c>
      <c r="M303" s="384" t="s">
        <v>1506</v>
      </c>
      <c r="N303" s="246">
        <v>198603.05</v>
      </c>
      <c r="O303" s="267">
        <v>50</v>
      </c>
      <c r="P303" s="250">
        <f t="shared" si="30"/>
        <v>2052</v>
      </c>
      <c r="Q303" s="268">
        <f>IF(J303=10,1,IFERROR(INDEX('Cost Escalators'!$D$28:$D$92,MATCH($P$4,'Cost Escalators'!$B$28:$B$92,0))/INDEX('Cost Escalators'!$D$28:$D$92,MATCH(I303,'Cost Escalators'!$B$28:$B$92,0)),1))</f>
        <v>1.5352401345977362</v>
      </c>
      <c r="R303" s="269">
        <f t="shared" si="31"/>
        <v>304903.37321352091</v>
      </c>
      <c r="S303" s="269">
        <f t="shared" si="32"/>
        <v>875941.66067125765</v>
      </c>
      <c r="T303" s="269">
        <f t="shared" si="33"/>
        <v>212934.73373943023</v>
      </c>
      <c r="U303" s="242">
        <f t="shared" si="34"/>
        <v>51636.792999999998</v>
      </c>
    </row>
    <row r="304" spans="1:21" s="237" customFormat="1" x14ac:dyDescent="0.3">
      <c r="A304" s="237">
        <v>299</v>
      </c>
      <c r="B304" s="263">
        <v>0.5</v>
      </c>
      <c r="C304" s="263">
        <f t="shared" si="37"/>
        <v>0.5</v>
      </c>
      <c r="D304" s="264">
        <f t="shared" si="36"/>
        <v>0</v>
      </c>
      <c r="E304" s="270" t="s">
        <v>912</v>
      </c>
      <c r="F304" s="384" t="s">
        <v>364</v>
      </c>
      <c r="G304" s="384">
        <v>31</v>
      </c>
      <c r="H304" s="385">
        <v>37301</v>
      </c>
      <c r="I304" s="265">
        <f t="shared" si="29"/>
        <v>2002</v>
      </c>
      <c r="J304" s="383">
        <v>335</v>
      </c>
      <c r="K304" s="641" t="str">
        <f>VLOOKUP(J304,'Cost Escalators'!$C$313:$D$330,2,FALSE)</f>
        <v>Below Ground Piping (See 150)</v>
      </c>
      <c r="L304" s="868" t="s">
        <v>913</v>
      </c>
      <c r="M304" s="384" t="s">
        <v>1506</v>
      </c>
      <c r="N304" s="246">
        <v>71675</v>
      </c>
      <c r="O304" s="267">
        <v>50</v>
      </c>
      <c r="P304" s="250">
        <f t="shared" si="30"/>
        <v>2052</v>
      </c>
      <c r="Q304" s="268">
        <f>IF(J304=10,1,IFERROR(INDEX('Cost Escalators'!$D$28:$D$92,MATCH($P$4,'Cost Escalators'!$B$28:$B$92,0))/INDEX('Cost Escalators'!$D$28:$D$92,MATCH(I304,'Cost Escalators'!$B$28:$B$92,0)),1))</f>
        <v>1.5352401345977362</v>
      </c>
      <c r="R304" s="269">
        <f t="shared" si="31"/>
        <v>110038.33664729274</v>
      </c>
      <c r="S304" s="269">
        <f t="shared" si="32"/>
        <v>316123.63721812126</v>
      </c>
      <c r="T304" s="269">
        <f t="shared" si="33"/>
        <v>76847.243991336814</v>
      </c>
      <c r="U304" s="242">
        <f t="shared" si="34"/>
        <v>18635.5</v>
      </c>
    </row>
    <row r="305" spans="1:21" s="237" customFormat="1" x14ac:dyDescent="0.3">
      <c r="A305" s="237">
        <v>300</v>
      </c>
      <c r="B305" s="263">
        <v>0</v>
      </c>
      <c r="C305" s="263">
        <f t="shared" si="37"/>
        <v>1</v>
      </c>
      <c r="D305" s="264">
        <f t="shared" si="36"/>
        <v>0</v>
      </c>
      <c r="E305" s="270" t="s">
        <v>914</v>
      </c>
      <c r="F305" s="384" t="s">
        <v>364</v>
      </c>
      <c r="G305" s="384">
        <v>31</v>
      </c>
      <c r="H305" s="385">
        <v>37894</v>
      </c>
      <c r="I305" s="265">
        <f t="shared" si="29"/>
        <v>2003</v>
      </c>
      <c r="J305" s="383">
        <v>335</v>
      </c>
      <c r="K305" s="641" t="str">
        <f>VLOOKUP(J305,'Cost Escalators'!$C$313:$D$330,2,FALSE)</f>
        <v>Below Ground Piping (See 150)</v>
      </c>
      <c r="L305" s="238" t="s">
        <v>915</v>
      </c>
      <c r="M305" s="384" t="s">
        <v>1506</v>
      </c>
      <c r="N305" s="246">
        <v>875460</v>
      </c>
      <c r="O305" s="267">
        <v>30</v>
      </c>
      <c r="P305" s="250">
        <f t="shared" si="30"/>
        <v>2033</v>
      </c>
      <c r="Q305" s="268">
        <f>IF(J305=10,1,IFERROR(INDEX('Cost Escalators'!$D$28:$D$92,MATCH($P$4,'Cost Escalators'!$B$28:$B$92,0))/INDEX('Cost Escalators'!$D$28:$D$92,MATCH(I305,'Cost Escalators'!$B$28:$B$92,0)),1))</f>
        <v>1.4994622049596653</v>
      </c>
      <c r="R305" s="269">
        <f t="shared" si="31"/>
        <v>1312719.1819539885</v>
      </c>
      <c r="S305" s="269">
        <f t="shared" si="32"/>
        <v>2193486.1153797111</v>
      </c>
      <c r="T305" s="269">
        <f t="shared" si="33"/>
        <v>739655.68077783042</v>
      </c>
      <c r="U305" s="242">
        <f t="shared" si="34"/>
        <v>350184</v>
      </c>
    </row>
    <row r="306" spans="1:21" s="237" customFormat="1" x14ac:dyDescent="0.3">
      <c r="A306" s="237">
        <v>301</v>
      </c>
      <c r="B306" s="263">
        <v>0</v>
      </c>
      <c r="C306" s="263">
        <v>0</v>
      </c>
      <c r="D306" s="264">
        <f t="shared" si="36"/>
        <v>1</v>
      </c>
      <c r="E306" s="270" t="s">
        <v>916</v>
      </c>
      <c r="F306" s="384" t="s">
        <v>364</v>
      </c>
      <c r="G306" s="384">
        <v>31</v>
      </c>
      <c r="H306" s="385">
        <v>37811</v>
      </c>
      <c r="I306" s="265">
        <f t="shared" si="29"/>
        <v>2003</v>
      </c>
      <c r="J306" s="383">
        <v>335</v>
      </c>
      <c r="K306" s="641" t="str">
        <f>VLOOKUP(J306,'Cost Escalators'!$C$313:$D$330,2,FALSE)</f>
        <v>Below Ground Piping (See 150)</v>
      </c>
      <c r="L306" s="868" t="s">
        <v>917</v>
      </c>
      <c r="M306" s="384" t="s">
        <v>1506</v>
      </c>
      <c r="N306" s="246">
        <v>90786.61</v>
      </c>
      <c r="O306" s="267">
        <v>20</v>
      </c>
      <c r="P306" s="250">
        <f t="shared" si="30"/>
        <v>2023</v>
      </c>
      <c r="Q306" s="268">
        <f>IF(J306=10,1,IFERROR(INDEX('Cost Escalators'!$D$28:$D$92,MATCH($P$4,'Cost Escalators'!$B$28:$B$92,0))/INDEX('Cost Escalators'!$D$28:$D$92,MATCH(I306,'Cost Escalators'!$B$28:$B$92,0)),1))</f>
        <v>1.4994622049596653</v>
      </c>
      <c r="R306" s="269">
        <f t="shared" si="31"/>
        <v>136131.0904114132</v>
      </c>
      <c r="S306" s="269">
        <f t="shared" si="32"/>
        <v>171022.0137368211</v>
      </c>
      <c r="T306" s="269">
        <f t="shared" si="33"/>
        <v>51135.655788622658</v>
      </c>
      <c r="U306" s="242">
        <f t="shared" si="34"/>
        <v>54471.966</v>
      </c>
    </row>
    <row r="307" spans="1:21" s="237" customFormat="1" x14ac:dyDescent="0.3">
      <c r="A307" s="237">
        <v>302</v>
      </c>
      <c r="B307" s="263">
        <v>0</v>
      </c>
      <c r="C307" s="263">
        <f t="shared" si="37"/>
        <v>1</v>
      </c>
      <c r="D307" s="264">
        <f t="shared" si="36"/>
        <v>0</v>
      </c>
      <c r="E307" s="270" t="s">
        <v>918</v>
      </c>
      <c r="F307" s="384" t="s">
        <v>364</v>
      </c>
      <c r="G307" s="384">
        <v>31</v>
      </c>
      <c r="H307" s="385">
        <v>38046</v>
      </c>
      <c r="I307" s="265">
        <f t="shared" si="29"/>
        <v>2004</v>
      </c>
      <c r="J307" s="383">
        <v>335</v>
      </c>
      <c r="K307" s="641" t="str">
        <f>VLOOKUP(J307,'Cost Escalators'!$C$313:$D$330,2,FALSE)</f>
        <v>Below Ground Piping (See 150)</v>
      </c>
      <c r="L307" s="238" t="s">
        <v>915</v>
      </c>
      <c r="M307" s="384" t="s">
        <v>1506</v>
      </c>
      <c r="N307" s="246">
        <v>598370</v>
      </c>
      <c r="O307" s="267">
        <v>30</v>
      </c>
      <c r="P307" s="250">
        <f t="shared" si="30"/>
        <v>2034</v>
      </c>
      <c r="Q307" s="268">
        <f>IF(J307=10,1,IFERROR(INDEX('Cost Escalators'!$D$28:$D$92,MATCH($P$4,'Cost Escalators'!$B$28:$B$92,0))/INDEX('Cost Escalators'!$D$28:$D$92,MATCH(I307,'Cost Escalators'!$B$28:$B$92,0)),1))</f>
        <v>1.4107378777231201</v>
      </c>
      <c r="R307" s="269">
        <f t="shared" si="31"/>
        <v>844143.2238931834</v>
      </c>
      <c r="S307" s="269">
        <f t="shared" si="32"/>
        <v>1451329.5355880132</v>
      </c>
      <c r="T307" s="269">
        <f t="shared" si="33"/>
        <v>518629.67192517722</v>
      </c>
      <c r="U307" s="242">
        <f t="shared" si="34"/>
        <v>219402.33333333334</v>
      </c>
    </row>
    <row r="308" spans="1:21" s="237" customFormat="1" x14ac:dyDescent="0.3">
      <c r="A308" s="237">
        <v>303</v>
      </c>
      <c r="B308" s="263">
        <v>0</v>
      </c>
      <c r="C308" s="263">
        <f t="shared" si="37"/>
        <v>1</v>
      </c>
      <c r="D308" s="264">
        <f t="shared" si="36"/>
        <v>0</v>
      </c>
      <c r="E308" s="270" t="s">
        <v>919</v>
      </c>
      <c r="F308" s="384" t="s">
        <v>364</v>
      </c>
      <c r="G308" s="384">
        <v>31</v>
      </c>
      <c r="H308" s="385">
        <v>38503</v>
      </c>
      <c r="I308" s="265">
        <f t="shared" si="29"/>
        <v>2005</v>
      </c>
      <c r="J308" s="383">
        <v>335</v>
      </c>
      <c r="K308" s="641" t="str">
        <f>VLOOKUP(J308,'Cost Escalators'!$C$313:$D$330,2,FALSE)</f>
        <v>Below Ground Piping (See 150)</v>
      </c>
      <c r="L308" s="238" t="s">
        <v>915</v>
      </c>
      <c r="M308" s="384" t="s">
        <v>1506</v>
      </c>
      <c r="N308" s="246">
        <v>423642.8</v>
      </c>
      <c r="O308" s="267">
        <v>30</v>
      </c>
      <c r="P308" s="250">
        <f t="shared" si="30"/>
        <v>2035</v>
      </c>
      <c r="Q308" s="268">
        <f>IF(J308=10,1,IFERROR(INDEX('Cost Escalators'!$D$28:$D$92,MATCH($P$4,'Cost Escalators'!$B$28:$B$92,0))/INDEX('Cost Escalators'!$D$28:$D$92,MATCH(I308,'Cost Escalators'!$B$28:$B$92,0)),1))</f>
        <v>1.3480106991371303</v>
      </c>
      <c r="R308" s="269">
        <f t="shared" si="31"/>
        <v>571075.0270124115</v>
      </c>
      <c r="S308" s="269">
        <f t="shared" si="32"/>
        <v>1010252.4223479551</v>
      </c>
      <c r="T308" s="269">
        <f t="shared" si="33"/>
        <v>375644.41519940353</v>
      </c>
      <c r="U308" s="242">
        <f t="shared" si="34"/>
        <v>141214.26666666666</v>
      </c>
    </row>
    <row r="309" spans="1:21" s="237" customFormat="1" x14ac:dyDescent="0.3">
      <c r="A309" s="237">
        <v>304</v>
      </c>
      <c r="B309" s="263">
        <v>0</v>
      </c>
      <c r="C309" s="263">
        <f t="shared" si="37"/>
        <v>1</v>
      </c>
      <c r="D309" s="264">
        <f t="shared" si="36"/>
        <v>0</v>
      </c>
      <c r="E309" s="270" t="s">
        <v>920</v>
      </c>
      <c r="F309" s="384" t="s">
        <v>364</v>
      </c>
      <c r="G309" s="384">
        <v>31</v>
      </c>
      <c r="H309" s="385">
        <v>38990</v>
      </c>
      <c r="I309" s="265">
        <f t="shared" si="29"/>
        <v>2006</v>
      </c>
      <c r="J309" s="383">
        <v>335</v>
      </c>
      <c r="K309" s="641" t="str">
        <f>VLOOKUP(J309,'Cost Escalators'!$C$313:$D$330,2,FALSE)</f>
        <v>Below Ground Piping (See 150)</v>
      </c>
      <c r="L309" s="238" t="s">
        <v>909</v>
      </c>
      <c r="M309" s="384" t="s">
        <v>1506</v>
      </c>
      <c r="N309" s="246">
        <v>418344</v>
      </c>
      <c r="O309" s="267">
        <v>30</v>
      </c>
      <c r="P309" s="250">
        <f t="shared" si="30"/>
        <v>2036</v>
      </c>
      <c r="Q309" s="268">
        <f>IF(J309=10,1,IFERROR(INDEX('Cost Escalators'!$D$28:$D$92,MATCH($P$4,'Cost Escalators'!$B$28:$B$92,0))/INDEX('Cost Escalators'!$D$28:$D$92,MATCH(I309,'Cost Escalators'!$B$28:$B$92,0)),1))</f>
        <v>1.2949395258829222</v>
      </c>
      <c r="R309" s="269">
        <f t="shared" si="31"/>
        <v>541730.18101596518</v>
      </c>
      <c r="S309" s="269">
        <f t="shared" si="32"/>
        <v>986067.39738226228</v>
      </c>
      <c r="T309" s="269">
        <f t="shared" si="33"/>
        <v>378541.16447743552</v>
      </c>
      <c r="U309" s="242">
        <f t="shared" si="34"/>
        <v>125503.2</v>
      </c>
    </row>
    <row r="310" spans="1:21" s="237" customFormat="1" x14ac:dyDescent="0.3">
      <c r="A310" s="237">
        <v>305</v>
      </c>
      <c r="B310" s="263">
        <v>0</v>
      </c>
      <c r="C310" s="263">
        <f t="shared" si="37"/>
        <v>1</v>
      </c>
      <c r="D310" s="264">
        <f t="shared" si="36"/>
        <v>0</v>
      </c>
      <c r="E310" s="270" t="s">
        <v>921</v>
      </c>
      <c r="F310" s="384" t="s">
        <v>364</v>
      </c>
      <c r="G310" s="384">
        <v>31</v>
      </c>
      <c r="H310" s="385">
        <v>39721</v>
      </c>
      <c r="I310" s="265">
        <f t="shared" si="29"/>
        <v>2008</v>
      </c>
      <c r="J310" s="383">
        <v>335</v>
      </c>
      <c r="K310" s="641" t="str">
        <f>VLOOKUP(J310,'Cost Escalators'!$C$313:$D$330,2,FALSE)</f>
        <v>Below Ground Piping (See 150)</v>
      </c>
      <c r="L310" s="238" t="s">
        <v>922</v>
      </c>
      <c r="M310" s="384" t="s">
        <v>1506</v>
      </c>
      <c r="N310" s="246">
        <v>697819.5</v>
      </c>
      <c r="O310" s="267">
        <v>30</v>
      </c>
      <c r="P310" s="250">
        <f t="shared" si="30"/>
        <v>2038</v>
      </c>
      <c r="Q310" s="268">
        <f>IF(J310=10,1,IFERROR(INDEX('Cost Escalators'!$D$28:$D$92,MATCH($P$4,'Cost Escalators'!$B$28:$B$92,0))/INDEX('Cost Escalators'!$D$28:$D$92,MATCH(I310,'Cost Escalators'!$B$28:$B$92,0)),1))</f>
        <v>1.2078821488382354</v>
      </c>
      <c r="R310" s="269">
        <f t="shared" si="31"/>
        <v>842883.71716122306</v>
      </c>
      <c r="S310" s="269">
        <f t="shared" si="32"/>
        <v>1624294.9924006306</v>
      </c>
      <c r="T310" s="269">
        <f t="shared" si="33"/>
        <v>653217.09003368672</v>
      </c>
      <c r="U310" s="242">
        <f t="shared" si="34"/>
        <v>162824.55000000002</v>
      </c>
    </row>
    <row r="311" spans="1:21" s="237" customFormat="1" x14ac:dyDescent="0.3">
      <c r="A311" s="237">
        <v>306</v>
      </c>
      <c r="B311" s="263">
        <v>0</v>
      </c>
      <c r="C311" s="263">
        <f t="shared" si="37"/>
        <v>1</v>
      </c>
      <c r="D311" s="264">
        <f t="shared" si="36"/>
        <v>0</v>
      </c>
      <c r="E311" s="270" t="s">
        <v>923</v>
      </c>
      <c r="F311" s="384" t="s">
        <v>764</v>
      </c>
      <c r="G311" s="384">
        <v>31</v>
      </c>
      <c r="H311" s="385">
        <v>33543</v>
      </c>
      <c r="I311" s="265">
        <f t="shared" si="29"/>
        <v>1991</v>
      </c>
      <c r="J311" s="383">
        <v>335</v>
      </c>
      <c r="K311" s="641" t="str">
        <f>VLOOKUP(J311,'Cost Escalators'!$C$313:$D$330,2,FALSE)</f>
        <v>Below Ground Piping (See 150)</v>
      </c>
      <c r="L311" s="238" t="s">
        <v>924</v>
      </c>
      <c r="M311" s="384" t="s">
        <v>1506</v>
      </c>
      <c r="N311" s="246">
        <v>4298</v>
      </c>
      <c r="O311" s="267">
        <v>15</v>
      </c>
      <c r="P311" s="250">
        <f t="shared" si="30"/>
        <v>2006</v>
      </c>
      <c r="Q311" s="268">
        <f>IF(J311=10,1,IFERROR(INDEX('Cost Escalators'!$D$28:$D$92,MATCH($P$4,'Cost Escalators'!$B$28:$B$92,0))/INDEX('Cost Escalators'!$D$28:$D$92,MATCH(I311,'Cost Escalators'!$B$28:$B$92,0)),1))</f>
        <v>2.0759875904860392</v>
      </c>
      <c r="R311" s="269">
        <f t="shared" si="31"/>
        <v>8922.5946639089962</v>
      </c>
      <c r="S311" s="269">
        <f t="shared" si="32"/>
        <v>8922.5946639089962</v>
      </c>
      <c r="T311" s="269">
        <f t="shared" si="33"/>
        <v>0</v>
      </c>
      <c r="U311" s="242">
        <f t="shared" si="34"/>
        <v>4298</v>
      </c>
    </row>
    <row r="312" spans="1:21" s="237" customFormat="1" x14ac:dyDescent="0.3">
      <c r="A312" s="237">
        <v>307</v>
      </c>
      <c r="B312" s="263">
        <v>0</v>
      </c>
      <c r="C312" s="263">
        <f t="shared" si="37"/>
        <v>1</v>
      </c>
      <c r="D312" s="264">
        <f t="shared" si="36"/>
        <v>0</v>
      </c>
      <c r="E312" s="270" t="s">
        <v>925</v>
      </c>
      <c r="F312" s="384" t="s">
        <v>764</v>
      </c>
      <c r="G312" s="384">
        <v>31</v>
      </c>
      <c r="H312" s="385">
        <v>34274</v>
      </c>
      <c r="I312" s="265">
        <f t="shared" si="29"/>
        <v>1993</v>
      </c>
      <c r="J312" s="383">
        <v>335</v>
      </c>
      <c r="K312" s="641" t="str">
        <f>VLOOKUP(J312,'Cost Escalators'!$C$313:$D$330,2,FALSE)</f>
        <v>Below Ground Piping (See 150)</v>
      </c>
      <c r="L312" s="238" t="s">
        <v>924</v>
      </c>
      <c r="M312" s="384" t="s">
        <v>1506</v>
      </c>
      <c r="N312" s="246">
        <v>41121.01</v>
      </c>
      <c r="O312" s="267">
        <v>15</v>
      </c>
      <c r="P312" s="250">
        <f t="shared" si="30"/>
        <v>2008</v>
      </c>
      <c r="Q312" s="268">
        <f>IF(J312=10,1,IFERROR(INDEX('Cost Escalators'!$D$28:$D$92,MATCH($P$4,'Cost Escalators'!$B$28:$B$92,0))/INDEX('Cost Escalators'!$D$28:$D$92,MATCH(I312,'Cost Escalators'!$B$28:$B$92,0)),1))</f>
        <v>1.9265642994241843</v>
      </c>
      <c r="R312" s="269">
        <f t="shared" si="31"/>
        <v>79222.269822264876</v>
      </c>
      <c r="S312" s="269">
        <f t="shared" si="32"/>
        <v>79222.269822264876</v>
      </c>
      <c r="T312" s="269">
        <f t="shared" si="33"/>
        <v>0</v>
      </c>
      <c r="U312" s="242">
        <f t="shared" si="34"/>
        <v>41121.01</v>
      </c>
    </row>
    <row r="313" spans="1:21" s="237" customFormat="1" x14ac:dyDescent="0.3">
      <c r="A313" s="237">
        <v>308</v>
      </c>
      <c r="B313" s="263">
        <v>1</v>
      </c>
      <c r="C313" s="263">
        <f t="shared" si="37"/>
        <v>0</v>
      </c>
      <c r="D313" s="264">
        <f t="shared" si="36"/>
        <v>0</v>
      </c>
      <c r="E313" s="270" t="s">
        <v>926</v>
      </c>
      <c r="F313" s="384" t="s">
        <v>764</v>
      </c>
      <c r="G313" s="384">
        <v>31</v>
      </c>
      <c r="H313" s="385">
        <v>33909</v>
      </c>
      <c r="I313" s="265">
        <f t="shared" si="29"/>
        <v>1992</v>
      </c>
      <c r="J313" s="383">
        <v>335</v>
      </c>
      <c r="K313" s="641" t="str">
        <f>VLOOKUP(J313,'Cost Escalators'!$C$313:$D$330,2,FALSE)</f>
        <v>Below Ground Piping (See 150)</v>
      </c>
      <c r="L313" s="238" t="s">
        <v>927</v>
      </c>
      <c r="M313" s="384" t="s">
        <v>1506</v>
      </c>
      <c r="N313" s="246">
        <v>1138806.55</v>
      </c>
      <c r="O313" s="267">
        <v>15</v>
      </c>
      <c r="P313" s="250">
        <f t="shared" si="30"/>
        <v>2007</v>
      </c>
      <c r="Q313" s="268">
        <f>IF(J313=10,1,IFERROR(INDEX('Cost Escalators'!$D$28:$D$92,MATCH($P$4,'Cost Escalators'!$B$28:$B$92,0))/INDEX('Cost Escalators'!$D$28:$D$92,MATCH(I313,'Cost Escalators'!$B$28:$B$92,0)),1))</f>
        <v>2.0135205616850551</v>
      </c>
      <c r="R313" s="269">
        <f t="shared" si="31"/>
        <v>2293010.4042066201</v>
      </c>
      <c r="S313" s="269">
        <f t="shared" si="32"/>
        <v>2293010.4042066201</v>
      </c>
      <c r="T313" s="269">
        <f t="shared" si="33"/>
        <v>0</v>
      </c>
      <c r="U313" s="242">
        <f t="shared" si="34"/>
        <v>1138806.55</v>
      </c>
    </row>
    <row r="314" spans="1:21" s="237" customFormat="1" x14ac:dyDescent="0.3">
      <c r="A314" s="237">
        <v>309</v>
      </c>
      <c r="B314" s="263">
        <v>0</v>
      </c>
      <c r="C314" s="263">
        <f t="shared" si="37"/>
        <v>1</v>
      </c>
      <c r="D314" s="264">
        <f t="shared" si="36"/>
        <v>0</v>
      </c>
      <c r="E314" s="270" t="s">
        <v>928</v>
      </c>
      <c r="F314" s="384" t="s">
        <v>764</v>
      </c>
      <c r="G314" s="384">
        <v>31</v>
      </c>
      <c r="H314" s="385">
        <v>34819</v>
      </c>
      <c r="I314" s="265">
        <f t="shared" si="29"/>
        <v>1995</v>
      </c>
      <c r="J314" s="383">
        <v>335</v>
      </c>
      <c r="K314" s="641" t="str">
        <f>VLOOKUP(J314,'Cost Escalators'!$C$313:$D$330,2,FALSE)</f>
        <v>Below Ground Piping (See 150)</v>
      </c>
      <c r="L314" s="238" t="s">
        <v>929</v>
      </c>
      <c r="M314" s="384" t="s">
        <v>1506</v>
      </c>
      <c r="N314" s="246">
        <v>47225.7</v>
      </c>
      <c r="O314" s="267">
        <v>15</v>
      </c>
      <c r="P314" s="250">
        <f t="shared" si="30"/>
        <v>2010</v>
      </c>
      <c r="Q314" s="268">
        <f>IF(J314=10,1,IFERROR(INDEX('Cost Escalators'!$D$28:$D$92,MATCH($P$4,'Cost Escalators'!$B$28:$B$92,0))/INDEX('Cost Escalators'!$D$28:$D$92,MATCH(I314,'Cost Escalators'!$B$28:$B$92,0)),1))</f>
        <v>1.8346554560409432</v>
      </c>
      <c r="R314" s="269">
        <f t="shared" si="31"/>
        <v>86642.888170352759</v>
      </c>
      <c r="S314" s="269">
        <f t="shared" si="32"/>
        <v>86642.888170352759</v>
      </c>
      <c r="T314" s="269">
        <f t="shared" si="33"/>
        <v>0</v>
      </c>
      <c r="U314" s="242">
        <f t="shared" si="34"/>
        <v>47225.7</v>
      </c>
    </row>
    <row r="315" spans="1:21" s="237" customFormat="1" x14ac:dyDescent="0.3">
      <c r="A315" s="237">
        <v>310</v>
      </c>
      <c r="B315" s="263">
        <v>0</v>
      </c>
      <c r="C315" s="263">
        <f t="shared" si="37"/>
        <v>1</v>
      </c>
      <c r="D315" s="264">
        <f t="shared" si="36"/>
        <v>0</v>
      </c>
      <c r="E315" s="270" t="s">
        <v>930</v>
      </c>
      <c r="F315" s="384" t="s">
        <v>764</v>
      </c>
      <c r="G315" s="384">
        <v>31</v>
      </c>
      <c r="H315" s="385">
        <v>36038</v>
      </c>
      <c r="I315" s="265">
        <f t="shared" si="29"/>
        <v>1998</v>
      </c>
      <c r="J315" s="383">
        <v>335</v>
      </c>
      <c r="K315" s="641" t="str">
        <f>VLOOKUP(J315,'Cost Escalators'!$C$313:$D$330,2,FALSE)</f>
        <v>Below Ground Piping (See 150)</v>
      </c>
      <c r="L315" s="238" t="s">
        <v>778</v>
      </c>
      <c r="M315" s="384" t="s">
        <v>1506</v>
      </c>
      <c r="N315" s="246">
        <v>121132.8</v>
      </c>
      <c r="O315" s="267">
        <v>15</v>
      </c>
      <c r="P315" s="250">
        <f t="shared" si="30"/>
        <v>2013</v>
      </c>
      <c r="Q315" s="268">
        <f>IF(J315=10,1,IFERROR(INDEX('Cost Escalators'!$D$28:$D$92,MATCH($P$4,'Cost Escalators'!$B$28:$B$92,0))/INDEX('Cost Escalators'!$D$28:$D$92,MATCH(I315,'Cost Escalators'!$B$28:$B$92,0)),1))</f>
        <v>1.6955067567567568</v>
      </c>
      <c r="R315" s="269">
        <f t="shared" si="31"/>
        <v>205381.48086486486</v>
      </c>
      <c r="S315" s="269">
        <f t="shared" si="32"/>
        <v>205381.48086486486</v>
      </c>
      <c r="T315" s="269">
        <f t="shared" si="33"/>
        <v>0</v>
      </c>
      <c r="U315" s="242">
        <f t="shared" si="34"/>
        <v>121132.8</v>
      </c>
    </row>
    <row r="316" spans="1:21" s="237" customFormat="1" x14ac:dyDescent="0.3">
      <c r="A316" s="237">
        <v>311</v>
      </c>
      <c r="B316" s="263">
        <v>0</v>
      </c>
      <c r="C316" s="263">
        <f t="shared" si="37"/>
        <v>1</v>
      </c>
      <c r="D316" s="264">
        <f t="shared" si="36"/>
        <v>0</v>
      </c>
      <c r="E316" s="270" t="s">
        <v>931</v>
      </c>
      <c r="F316" s="384" t="s">
        <v>764</v>
      </c>
      <c r="G316" s="384">
        <v>31</v>
      </c>
      <c r="H316" s="385">
        <v>35758</v>
      </c>
      <c r="I316" s="265">
        <f t="shared" si="29"/>
        <v>1997</v>
      </c>
      <c r="J316" s="383">
        <v>335</v>
      </c>
      <c r="K316" s="641" t="str">
        <f>VLOOKUP(J316,'Cost Escalators'!$C$313:$D$330,2,FALSE)</f>
        <v>Below Ground Piping (See 150)</v>
      </c>
      <c r="L316" s="238" t="s">
        <v>932</v>
      </c>
      <c r="M316" s="384" t="s">
        <v>1506</v>
      </c>
      <c r="N316" s="246">
        <v>33337.800000000003</v>
      </c>
      <c r="O316" s="267">
        <v>15</v>
      </c>
      <c r="P316" s="250">
        <f t="shared" si="30"/>
        <v>2012</v>
      </c>
      <c r="Q316" s="268">
        <f>IF(J316=10,1,IFERROR(INDEX('Cost Escalators'!$D$28:$D$92,MATCH($P$4,'Cost Escalators'!$B$28:$B$92,0))/INDEX('Cost Escalators'!$D$28:$D$92,MATCH(I316,'Cost Escalators'!$B$28:$B$92,0)),1))</f>
        <v>1.722863027806385</v>
      </c>
      <c r="R316" s="269">
        <f t="shared" si="31"/>
        <v>57436.463048403704</v>
      </c>
      <c r="S316" s="269">
        <f t="shared" si="32"/>
        <v>57436.463048403704</v>
      </c>
      <c r="T316" s="269">
        <f t="shared" si="33"/>
        <v>0</v>
      </c>
      <c r="U316" s="242">
        <f t="shared" si="34"/>
        <v>33337.800000000003</v>
      </c>
    </row>
    <row r="317" spans="1:21" s="237" customFormat="1" x14ac:dyDescent="0.3">
      <c r="A317" s="237">
        <v>312</v>
      </c>
      <c r="B317" s="263">
        <v>0</v>
      </c>
      <c r="C317" s="263">
        <f t="shared" si="37"/>
        <v>1</v>
      </c>
      <c r="D317" s="264">
        <f t="shared" si="36"/>
        <v>0</v>
      </c>
      <c r="E317" s="270" t="s">
        <v>933</v>
      </c>
      <c r="F317" s="384" t="s">
        <v>764</v>
      </c>
      <c r="G317" s="384">
        <v>31</v>
      </c>
      <c r="H317" s="385">
        <v>30863</v>
      </c>
      <c r="I317" s="265">
        <f t="shared" si="29"/>
        <v>1984</v>
      </c>
      <c r="J317" s="383">
        <v>335</v>
      </c>
      <c r="K317" s="641" t="str">
        <f>VLOOKUP(J317,'Cost Escalators'!$C$313:$D$330,2,FALSE)</f>
        <v>Below Ground Piping (See 150)</v>
      </c>
      <c r="L317" s="238" t="s">
        <v>934</v>
      </c>
      <c r="M317" s="384" t="s">
        <v>1506</v>
      </c>
      <c r="N317" s="246">
        <v>352502.03</v>
      </c>
      <c r="O317" s="267">
        <v>15</v>
      </c>
      <c r="P317" s="250">
        <f t="shared" si="30"/>
        <v>1999</v>
      </c>
      <c r="Q317" s="268">
        <f>IF(J317=10,1,IFERROR(INDEX('Cost Escalators'!$D$28:$D$92,MATCH($P$4,'Cost Escalators'!$B$28:$B$92,0))/INDEX('Cost Escalators'!$D$28:$D$92,MATCH(I317,'Cost Escalators'!$B$28:$B$92,0)),1))</f>
        <v>2.4209840810419681</v>
      </c>
      <c r="R317" s="269">
        <f t="shared" si="31"/>
        <v>853401.80316497828</v>
      </c>
      <c r="S317" s="269">
        <f t="shared" si="32"/>
        <v>853401.80316497828</v>
      </c>
      <c r="T317" s="269">
        <f t="shared" si="33"/>
        <v>0</v>
      </c>
      <c r="U317" s="242">
        <f t="shared" si="34"/>
        <v>352502.03</v>
      </c>
    </row>
    <row r="318" spans="1:21" s="237" customFormat="1" x14ac:dyDescent="0.3">
      <c r="A318" s="237">
        <v>313</v>
      </c>
      <c r="B318" s="263">
        <v>1</v>
      </c>
      <c r="C318" s="263">
        <f t="shared" si="37"/>
        <v>0</v>
      </c>
      <c r="D318" s="264">
        <f t="shared" si="36"/>
        <v>0</v>
      </c>
      <c r="E318" s="270" t="s">
        <v>935</v>
      </c>
      <c r="F318" s="384" t="s">
        <v>764</v>
      </c>
      <c r="G318" s="384">
        <v>31</v>
      </c>
      <c r="H318" s="385">
        <v>36068</v>
      </c>
      <c r="I318" s="265">
        <f t="shared" si="29"/>
        <v>1998</v>
      </c>
      <c r="J318" s="383">
        <v>335</v>
      </c>
      <c r="K318" s="641" t="str">
        <f>VLOOKUP(J318,'Cost Escalators'!$C$313:$D$330,2,FALSE)</f>
        <v>Below Ground Piping (See 150)</v>
      </c>
      <c r="L318" s="238" t="s">
        <v>936</v>
      </c>
      <c r="M318" s="384" t="s">
        <v>1506</v>
      </c>
      <c r="N318" s="246">
        <v>550792.43999999994</v>
      </c>
      <c r="O318" s="267">
        <v>15</v>
      </c>
      <c r="P318" s="250">
        <f t="shared" si="30"/>
        <v>2013</v>
      </c>
      <c r="Q318" s="268">
        <f>IF(J318=10,1,IFERROR(INDEX('Cost Escalators'!$D$28:$D$92,MATCH($P$4,'Cost Escalators'!$B$28:$B$92,0))/INDEX('Cost Escalators'!$D$28:$D$92,MATCH(I318,'Cost Escalators'!$B$28:$B$92,0)),1))</f>
        <v>1.6955067567567568</v>
      </c>
      <c r="R318" s="269">
        <f t="shared" si="31"/>
        <v>933872.30359054042</v>
      </c>
      <c r="S318" s="269">
        <f t="shared" si="32"/>
        <v>933872.30359054042</v>
      </c>
      <c r="T318" s="269">
        <f t="shared" si="33"/>
        <v>0</v>
      </c>
      <c r="U318" s="242">
        <f t="shared" si="34"/>
        <v>550792.43999999994</v>
      </c>
    </row>
    <row r="319" spans="1:21" s="237" customFormat="1" x14ac:dyDescent="0.3">
      <c r="A319" s="237">
        <v>314</v>
      </c>
      <c r="B319" s="263">
        <v>0</v>
      </c>
      <c r="C319" s="263">
        <f t="shared" si="37"/>
        <v>1</v>
      </c>
      <c r="D319" s="264">
        <f t="shared" si="36"/>
        <v>0</v>
      </c>
      <c r="E319" s="270" t="s">
        <v>937</v>
      </c>
      <c r="F319" s="384" t="s">
        <v>364</v>
      </c>
      <c r="G319" s="384">
        <v>31</v>
      </c>
      <c r="H319" s="385">
        <v>20760</v>
      </c>
      <c r="I319" s="265">
        <f t="shared" si="29"/>
        <v>1956</v>
      </c>
      <c r="J319" s="383">
        <v>340</v>
      </c>
      <c r="K319" s="641" t="str">
        <f>VLOOKUP(J319,'Cost Escalators'!$C$313:$D$330,2,FALSE)</f>
        <v>Sanitation Sewer System</v>
      </c>
      <c r="L319" s="238" t="s">
        <v>938</v>
      </c>
      <c r="M319" s="384" t="s">
        <v>939</v>
      </c>
      <c r="N319" s="246">
        <v>155315.6</v>
      </c>
      <c r="O319" s="267">
        <v>50</v>
      </c>
      <c r="P319" s="250">
        <f t="shared" si="30"/>
        <v>2006</v>
      </c>
      <c r="Q319" s="268">
        <f>IF(J319=10,1,IFERROR(INDEX('Cost Escalators'!$D$28:$D$92,MATCH($P$4,'Cost Escalators'!$B$28:$B$92,0))/INDEX('Cost Escalators'!$D$28:$D$92,MATCH(I319,'Cost Escalators'!$B$28:$B$92,0)),1))</f>
        <v>14.504913294797687</v>
      </c>
      <c r="R319" s="269">
        <f t="shared" si="31"/>
        <v>2252839.3113294798</v>
      </c>
      <c r="S319" s="269">
        <f t="shared" si="32"/>
        <v>2252839.3113294798</v>
      </c>
      <c r="T319" s="269">
        <f t="shared" si="33"/>
        <v>0</v>
      </c>
      <c r="U319" s="242">
        <f t="shared" si="34"/>
        <v>155315.6</v>
      </c>
    </row>
    <row r="320" spans="1:21" s="237" customFormat="1" x14ac:dyDescent="0.3">
      <c r="A320" s="237">
        <v>315</v>
      </c>
      <c r="B320" s="263">
        <v>0</v>
      </c>
      <c r="C320" s="263">
        <f t="shared" si="37"/>
        <v>1</v>
      </c>
      <c r="D320" s="264">
        <f t="shared" si="36"/>
        <v>0</v>
      </c>
      <c r="E320" s="270" t="s">
        <v>940</v>
      </c>
      <c r="F320" s="384" t="s">
        <v>364</v>
      </c>
      <c r="G320" s="384">
        <v>31</v>
      </c>
      <c r="H320" s="385">
        <v>22221</v>
      </c>
      <c r="I320" s="265">
        <f t="shared" si="29"/>
        <v>1960</v>
      </c>
      <c r="J320" s="383">
        <v>340</v>
      </c>
      <c r="K320" s="641" t="str">
        <f>VLOOKUP(J320,'Cost Escalators'!$C$313:$D$330,2,FALSE)</f>
        <v>Sanitation Sewer System</v>
      </c>
      <c r="L320" s="238" t="s">
        <v>941</v>
      </c>
      <c r="M320" s="384" t="s">
        <v>939</v>
      </c>
      <c r="N320" s="246">
        <v>527433.19999999995</v>
      </c>
      <c r="O320" s="267">
        <v>50</v>
      </c>
      <c r="P320" s="250">
        <f t="shared" si="30"/>
        <v>2010</v>
      </c>
      <c r="Q320" s="268">
        <f>IF(J320=10,1,IFERROR(INDEX('Cost Escalators'!$D$28:$D$92,MATCH($P$4,'Cost Escalators'!$B$28:$B$92,0))/INDEX('Cost Escalators'!$D$28:$D$92,MATCH(I320,'Cost Escalators'!$B$28:$B$92,0)),1))</f>
        <v>12.18131067961165</v>
      </c>
      <c r="R320" s="269">
        <f t="shared" si="31"/>
        <v>6424827.671941747</v>
      </c>
      <c r="S320" s="269">
        <f t="shared" si="32"/>
        <v>6424827.671941747</v>
      </c>
      <c r="T320" s="269">
        <f t="shared" si="33"/>
        <v>0</v>
      </c>
      <c r="U320" s="242">
        <f t="shared" si="34"/>
        <v>527433.19999999995</v>
      </c>
    </row>
    <row r="321" spans="1:21" s="237" customFormat="1" x14ac:dyDescent="0.3">
      <c r="A321" s="237">
        <v>316</v>
      </c>
      <c r="B321" s="263">
        <v>0</v>
      </c>
      <c r="C321" s="263">
        <f t="shared" si="37"/>
        <v>1</v>
      </c>
      <c r="D321" s="264">
        <f t="shared" si="36"/>
        <v>0</v>
      </c>
      <c r="E321" s="270" t="s">
        <v>942</v>
      </c>
      <c r="F321" s="384" t="s">
        <v>364</v>
      </c>
      <c r="G321" s="384">
        <v>31</v>
      </c>
      <c r="H321" s="385">
        <v>23682</v>
      </c>
      <c r="I321" s="265">
        <f t="shared" si="29"/>
        <v>1964</v>
      </c>
      <c r="J321" s="383">
        <v>340</v>
      </c>
      <c r="K321" s="641" t="str">
        <f>VLOOKUP(J321,'Cost Escalators'!$C$313:$D$330,2,FALSE)</f>
        <v>Sanitation Sewer System</v>
      </c>
      <c r="L321" s="238" t="s">
        <v>943</v>
      </c>
      <c r="M321" s="384" t="s">
        <v>939</v>
      </c>
      <c r="N321" s="246">
        <v>252414.4</v>
      </c>
      <c r="O321" s="267">
        <v>50</v>
      </c>
      <c r="P321" s="250">
        <f t="shared" si="30"/>
        <v>2014</v>
      </c>
      <c r="Q321" s="268">
        <f>IF(J321=10,1,IFERROR(INDEX('Cost Escalators'!$D$28:$D$92,MATCH($P$4,'Cost Escalators'!$B$28:$B$92,0))/INDEX('Cost Escalators'!$D$28:$D$92,MATCH(I321,'Cost Escalators'!$B$28:$B$92,0)),1))</f>
        <v>10.723717948717947</v>
      </c>
      <c r="R321" s="269">
        <f t="shared" si="31"/>
        <v>2706820.8317948715</v>
      </c>
      <c r="S321" s="269">
        <f t="shared" si="32"/>
        <v>2706820.8317948715</v>
      </c>
      <c r="T321" s="269">
        <f t="shared" si="33"/>
        <v>0</v>
      </c>
      <c r="U321" s="242">
        <f t="shared" si="34"/>
        <v>252414.4</v>
      </c>
    </row>
    <row r="322" spans="1:21" s="237" customFormat="1" x14ac:dyDescent="0.3">
      <c r="A322" s="237">
        <v>317</v>
      </c>
      <c r="B322" s="263">
        <v>0</v>
      </c>
      <c r="C322" s="263">
        <f t="shared" si="37"/>
        <v>1</v>
      </c>
      <c r="D322" s="264">
        <f t="shared" si="36"/>
        <v>0</v>
      </c>
      <c r="E322" s="270" t="s">
        <v>944</v>
      </c>
      <c r="F322" s="384" t="s">
        <v>364</v>
      </c>
      <c r="G322" s="384">
        <v>31</v>
      </c>
      <c r="H322" s="385">
        <v>25143</v>
      </c>
      <c r="I322" s="265">
        <f t="shared" si="29"/>
        <v>1968</v>
      </c>
      <c r="J322" s="383">
        <v>340</v>
      </c>
      <c r="K322" s="641" t="str">
        <f>VLOOKUP(J322,'Cost Escalators'!$C$313:$D$330,2,FALSE)</f>
        <v>Sanitation Sewer System</v>
      </c>
      <c r="L322" s="238" t="s">
        <v>945</v>
      </c>
      <c r="M322" s="384" t="s">
        <v>939</v>
      </c>
      <c r="N322" s="246">
        <v>51500</v>
      </c>
      <c r="O322" s="267">
        <v>50</v>
      </c>
      <c r="P322" s="250">
        <f t="shared" si="30"/>
        <v>2018</v>
      </c>
      <c r="Q322" s="268">
        <f>IF(J322=10,1,IFERROR(INDEX('Cost Escalators'!$D$28:$D$92,MATCH($P$4,'Cost Escalators'!$B$28:$B$92,0))/INDEX('Cost Escalators'!$D$28:$D$92,MATCH(I322,'Cost Escalators'!$B$28:$B$92,0)),1))</f>
        <v>8.6903896103896106</v>
      </c>
      <c r="R322" s="269">
        <f t="shared" si="31"/>
        <v>447555.06493506493</v>
      </c>
      <c r="S322" s="269">
        <f t="shared" si="32"/>
        <v>487536.33257102635</v>
      </c>
      <c r="T322" s="269">
        <f t="shared" si="33"/>
        <v>11807.006393033233</v>
      </c>
      <c r="U322" s="242">
        <f t="shared" si="34"/>
        <v>48410</v>
      </c>
    </row>
    <row r="323" spans="1:21" s="237" customFormat="1" x14ac:dyDescent="0.3">
      <c r="A323" s="237">
        <v>318</v>
      </c>
      <c r="B323" s="263">
        <v>0</v>
      </c>
      <c r="C323" s="263">
        <f t="shared" si="37"/>
        <v>1</v>
      </c>
      <c r="D323" s="264">
        <f t="shared" si="36"/>
        <v>0</v>
      </c>
      <c r="E323" s="270" t="s">
        <v>946</v>
      </c>
      <c r="F323" s="384" t="s">
        <v>364</v>
      </c>
      <c r="G323" s="384">
        <v>31</v>
      </c>
      <c r="H323" s="385">
        <v>25508</v>
      </c>
      <c r="I323" s="265">
        <f t="shared" si="29"/>
        <v>1969</v>
      </c>
      <c r="J323" s="383">
        <v>340</v>
      </c>
      <c r="K323" s="641" t="str">
        <f>VLOOKUP(J323,'Cost Escalators'!$C$313:$D$330,2,FALSE)</f>
        <v>Sanitation Sewer System</v>
      </c>
      <c r="L323" s="238" t="s">
        <v>947</v>
      </c>
      <c r="M323" s="384" t="s">
        <v>939</v>
      </c>
      <c r="N323" s="246">
        <v>739635.6</v>
      </c>
      <c r="O323" s="267">
        <v>50</v>
      </c>
      <c r="P323" s="250">
        <f t="shared" si="30"/>
        <v>2019</v>
      </c>
      <c r="Q323" s="268">
        <f>IF(J323=10,1,IFERROR(INDEX('Cost Escalators'!$D$28:$D$92,MATCH($P$4,'Cost Escalators'!$B$28:$B$92,0))/INDEX('Cost Escalators'!$D$28:$D$92,MATCH(I323,'Cost Escalators'!$B$28:$B$92,0)),1))</f>
        <v>7.909692671394799</v>
      </c>
      <c r="R323" s="269">
        <f t="shared" si="31"/>
        <v>5850290.284822695</v>
      </c>
      <c r="S323" s="269">
        <f t="shared" si="32"/>
        <v>6557295.6030758256</v>
      </c>
      <c r="T323" s="269">
        <f t="shared" si="33"/>
        <v>219736.53695397967</v>
      </c>
      <c r="U323" s="242">
        <f t="shared" si="34"/>
        <v>680464.75199999998</v>
      </c>
    </row>
    <row r="324" spans="1:21" s="237" customFormat="1" x14ac:dyDescent="0.3">
      <c r="A324" s="237">
        <v>319</v>
      </c>
      <c r="B324" s="263">
        <v>0</v>
      </c>
      <c r="C324" s="263">
        <f t="shared" si="37"/>
        <v>1</v>
      </c>
      <c r="D324" s="264">
        <f t="shared" si="36"/>
        <v>0</v>
      </c>
      <c r="E324" s="270" t="s">
        <v>948</v>
      </c>
      <c r="F324" s="384" t="s">
        <v>364</v>
      </c>
      <c r="G324" s="384">
        <v>31</v>
      </c>
      <c r="H324" s="385">
        <v>26969</v>
      </c>
      <c r="I324" s="265">
        <f t="shared" si="29"/>
        <v>1973</v>
      </c>
      <c r="J324" s="383">
        <v>340</v>
      </c>
      <c r="K324" s="641" t="str">
        <f>VLOOKUP(J324,'Cost Escalators'!$C$313:$D$330,2,FALSE)</f>
        <v>Sanitation Sewer System</v>
      </c>
      <c r="L324" s="238" t="s">
        <v>949</v>
      </c>
      <c r="M324" s="384" t="s">
        <v>950</v>
      </c>
      <c r="N324" s="246">
        <v>752616.6</v>
      </c>
      <c r="O324" s="267">
        <v>50</v>
      </c>
      <c r="P324" s="250">
        <f t="shared" si="30"/>
        <v>2023</v>
      </c>
      <c r="Q324" s="268">
        <f>IF(J324=10,1,IFERROR(INDEX('Cost Escalators'!$D$28:$D$92,MATCH($P$4,'Cost Escalators'!$B$28:$B$92,0))/INDEX('Cost Escalators'!$D$28:$D$92,MATCH(I324,'Cost Escalators'!$B$28:$B$92,0)),1))</f>
        <v>5.2967810026385225</v>
      </c>
      <c r="R324" s="269">
        <f t="shared" si="31"/>
        <v>3986445.3091503959</v>
      </c>
      <c r="S324" s="269">
        <f t="shared" si="32"/>
        <v>5008186.6116121672</v>
      </c>
      <c r="T324" s="269">
        <f t="shared" si="33"/>
        <v>398970.61648878461</v>
      </c>
      <c r="U324" s="242">
        <f t="shared" si="34"/>
        <v>632197.94400000002</v>
      </c>
    </row>
    <row r="325" spans="1:21" s="237" customFormat="1" x14ac:dyDescent="0.3">
      <c r="A325" s="237">
        <v>320</v>
      </c>
      <c r="B325" s="263">
        <v>0</v>
      </c>
      <c r="C325" s="263">
        <f t="shared" si="37"/>
        <v>1</v>
      </c>
      <c r="D325" s="264">
        <f t="shared" si="36"/>
        <v>0</v>
      </c>
      <c r="E325" s="270" t="s">
        <v>951</v>
      </c>
      <c r="F325" s="384" t="s">
        <v>364</v>
      </c>
      <c r="G325" s="384">
        <v>31</v>
      </c>
      <c r="H325" s="385">
        <v>27334</v>
      </c>
      <c r="I325" s="265">
        <f t="shared" si="29"/>
        <v>1974</v>
      </c>
      <c r="J325" s="383">
        <v>340</v>
      </c>
      <c r="K325" s="641" t="str">
        <f>VLOOKUP(J325,'Cost Escalators'!$C$313:$D$330,2,FALSE)</f>
        <v>Sanitation Sewer System</v>
      </c>
      <c r="L325" s="238" t="s">
        <v>952</v>
      </c>
      <c r="M325" s="384" t="s">
        <v>950</v>
      </c>
      <c r="N325" s="246">
        <v>203156.4</v>
      </c>
      <c r="O325" s="267">
        <v>50</v>
      </c>
      <c r="P325" s="250">
        <f t="shared" si="30"/>
        <v>2024</v>
      </c>
      <c r="Q325" s="268">
        <f>IF(J325=10,1,IFERROR(INDEX('Cost Escalators'!$D$28:$D$92,MATCH($P$4,'Cost Escalators'!$B$28:$B$92,0))/INDEX('Cost Escalators'!$D$28:$D$92,MATCH(I325,'Cost Escalators'!$B$28:$B$92,0)),1))</f>
        <v>4.9690099009900992</v>
      </c>
      <c r="R325" s="269">
        <f t="shared" si="31"/>
        <v>1009486.163049505</v>
      </c>
      <c r="S325" s="269">
        <f t="shared" si="32"/>
        <v>1304914.0272961212</v>
      </c>
      <c r="T325" s="269">
        <f t="shared" si="33"/>
        <v>117750.64995533865</v>
      </c>
      <c r="U325" s="242">
        <f t="shared" si="34"/>
        <v>166588.24799999999</v>
      </c>
    </row>
    <row r="326" spans="1:21" s="237" customFormat="1" x14ac:dyDescent="0.3">
      <c r="A326" s="237">
        <v>321</v>
      </c>
      <c r="B326" s="263">
        <v>0</v>
      </c>
      <c r="C326" s="263">
        <f t="shared" si="37"/>
        <v>1</v>
      </c>
      <c r="D326" s="264">
        <f t="shared" si="36"/>
        <v>0</v>
      </c>
      <c r="E326" s="270" t="s">
        <v>953</v>
      </c>
      <c r="F326" s="384" t="s">
        <v>364</v>
      </c>
      <c r="G326" s="384">
        <v>31</v>
      </c>
      <c r="H326" s="385">
        <v>27699</v>
      </c>
      <c r="I326" s="265">
        <f t="shared" ref="I326:I389" si="38">YEAR(H326)</f>
        <v>1975</v>
      </c>
      <c r="J326" s="383">
        <v>340</v>
      </c>
      <c r="K326" s="641" t="str">
        <f>VLOOKUP(J326,'Cost Escalators'!$C$313:$D$330,2,FALSE)</f>
        <v>Sanitation Sewer System</v>
      </c>
      <c r="L326" s="238" t="s">
        <v>954</v>
      </c>
      <c r="M326" s="384" t="s">
        <v>950</v>
      </c>
      <c r="N326" s="246">
        <v>290406.59999999998</v>
      </c>
      <c r="O326" s="267">
        <v>50</v>
      </c>
      <c r="P326" s="250">
        <f t="shared" ref="P326:P389" si="39">IF(O326="","",I326+O326)</f>
        <v>2025</v>
      </c>
      <c r="Q326" s="268">
        <f>IF(J326=10,1,IFERROR(INDEX('Cost Escalators'!$D$28:$D$92,MATCH($P$4,'Cost Escalators'!$B$28:$B$92,0))/INDEX('Cost Escalators'!$D$28:$D$92,MATCH(I326,'Cost Escalators'!$B$28:$B$92,0)),1))</f>
        <v>4.5377034358047013</v>
      </c>
      <c r="R326" s="269">
        <f t="shared" ref="R326:R389" si="40">N326*Q326</f>
        <v>1317779.0266003613</v>
      </c>
      <c r="S326" s="269">
        <f t="shared" ref="S326:S389" si="41">IFERROR(IF(P326&gt;$P$4,R326*(1+$Q$4)^(P326-$P$4),R326),"")</f>
        <v>1752713.6014444195</v>
      </c>
      <c r="T326" s="269">
        <f t="shared" ref="T326:T389" si="42">IF(J326=10,N326,(N326-U326)*(1+$Q$4)^($P$4-I326))</f>
        <v>181764.86610121711</v>
      </c>
      <c r="U326" s="242">
        <f t="shared" ref="U326:U389" si="43">IFERROR(IF((N326/O326)*($U$4-I326)&gt;N326,N326,(N326/O326)*($U$4-I326)),0)</f>
        <v>232325.27999999997</v>
      </c>
    </row>
    <row r="327" spans="1:21" s="237" customFormat="1" x14ac:dyDescent="0.3">
      <c r="A327" s="237">
        <v>322</v>
      </c>
      <c r="B327" s="263">
        <v>0</v>
      </c>
      <c r="C327" s="263">
        <f t="shared" ref="C327:C358" si="44">1-B327</f>
        <v>1</v>
      </c>
      <c r="D327" s="264">
        <f t="shared" si="36"/>
        <v>0</v>
      </c>
      <c r="E327" s="270" t="s">
        <v>955</v>
      </c>
      <c r="F327" s="384" t="s">
        <v>364</v>
      </c>
      <c r="G327" s="384">
        <v>31</v>
      </c>
      <c r="H327" s="385">
        <v>28065</v>
      </c>
      <c r="I327" s="265">
        <f t="shared" si="38"/>
        <v>1976</v>
      </c>
      <c r="J327" s="383">
        <v>340</v>
      </c>
      <c r="K327" s="641" t="str">
        <f>VLOOKUP(J327,'Cost Escalators'!$C$313:$D$330,2,FALSE)</f>
        <v>Sanitation Sewer System</v>
      </c>
      <c r="L327" s="238" t="s">
        <v>956</v>
      </c>
      <c r="M327" s="384" t="s">
        <v>950</v>
      </c>
      <c r="N327" s="246">
        <v>1252124.6000000001</v>
      </c>
      <c r="O327" s="267">
        <v>50</v>
      </c>
      <c r="P327" s="250">
        <f t="shared" si="39"/>
        <v>2026</v>
      </c>
      <c r="Q327" s="268">
        <f>IF(J327=10,1,IFERROR(INDEX('Cost Escalators'!$D$28:$D$92,MATCH($P$4,'Cost Escalators'!$B$28:$B$92,0))/INDEX('Cost Escalators'!$D$28:$D$92,MATCH(I327,'Cost Escalators'!$B$28:$B$92,0)),1))</f>
        <v>4.1805081216159934</v>
      </c>
      <c r="R327" s="269">
        <f t="shared" si="40"/>
        <v>5234517.0595751777</v>
      </c>
      <c r="S327" s="269">
        <f t="shared" si="41"/>
        <v>7163608.1494047018</v>
      </c>
      <c r="T327" s="269">
        <f t="shared" si="42"/>
        <v>837831.82934313698</v>
      </c>
      <c r="U327" s="242">
        <f t="shared" si="43"/>
        <v>976657.18800000008</v>
      </c>
    </row>
    <row r="328" spans="1:21" s="237" customFormat="1" x14ac:dyDescent="0.3">
      <c r="A328" s="237">
        <v>323</v>
      </c>
      <c r="B328" s="263">
        <v>0</v>
      </c>
      <c r="C328" s="263">
        <f t="shared" si="44"/>
        <v>1</v>
      </c>
      <c r="D328" s="264">
        <f t="shared" si="36"/>
        <v>0</v>
      </c>
      <c r="E328" s="270" t="s">
        <v>957</v>
      </c>
      <c r="F328" s="384" t="s">
        <v>364</v>
      </c>
      <c r="G328" s="384">
        <v>31</v>
      </c>
      <c r="H328" s="385">
        <v>28430</v>
      </c>
      <c r="I328" s="265">
        <f t="shared" si="38"/>
        <v>1977</v>
      </c>
      <c r="J328" s="383">
        <v>340</v>
      </c>
      <c r="K328" s="641" t="str">
        <f>VLOOKUP(J328,'Cost Escalators'!$C$313:$D$330,2,FALSE)</f>
        <v>Sanitation Sewer System</v>
      </c>
      <c r="L328" s="238" t="s">
        <v>958</v>
      </c>
      <c r="M328" s="384" t="s">
        <v>950</v>
      </c>
      <c r="N328" s="246">
        <v>86140.4</v>
      </c>
      <c r="O328" s="267">
        <v>50</v>
      </c>
      <c r="P328" s="250">
        <f t="shared" si="39"/>
        <v>2027</v>
      </c>
      <c r="Q328" s="268">
        <f>IF(J328=10,1,IFERROR(INDEX('Cost Escalators'!$D$28:$D$92,MATCH($P$4,'Cost Escalators'!$B$28:$B$92,0))/INDEX('Cost Escalators'!$D$28:$D$92,MATCH(I328,'Cost Escalators'!$B$28:$B$92,0)),1))</f>
        <v>3.8965062111801241</v>
      </c>
      <c r="R328" s="269">
        <f t="shared" si="40"/>
        <v>335646.60363354033</v>
      </c>
      <c r="S328" s="269">
        <f t="shared" si="41"/>
        <v>472633.27681320463</v>
      </c>
      <c r="T328" s="269">
        <f t="shared" si="42"/>
        <v>61110.792476591974</v>
      </c>
      <c r="U328" s="242">
        <f t="shared" si="43"/>
        <v>65466.703999999998</v>
      </c>
    </row>
    <row r="329" spans="1:21" s="237" customFormat="1" x14ac:dyDescent="0.3">
      <c r="A329" s="237">
        <v>324</v>
      </c>
      <c r="B329" s="263">
        <v>0</v>
      </c>
      <c r="C329" s="263">
        <f t="shared" si="44"/>
        <v>1</v>
      </c>
      <c r="D329" s="264">
        <f t="shared" si="36"/>
        <v>0</v>
      </c>
      <c r="E329" s="270" t="s">
        <v>959</v>
      </c>
      <c r="F329" s="384" t="s">
        <v>364</v>
      </c>
      <c r="G329" s="384">
        <v>31</v>
      </c>
      <c r="H329" s="385">
        <v>28795</v>
      </c>
      <c r="I329" s="265">
        <f t="shared" si="38"/>
        <v>1978</v>
      </c>
      <c r="J329" s="383">
        <v>340</v>
      </c>
      <c r="K329" s="641" t="str">
        <f>VLOOKUP(J329,'Cost Escalators'!$C$313:$D$330,2,FALSE)</f>
        <v>Sanitation Sewer System</v>
      </c>
      <c r="L329" s="238" t="s">
        <v>960</v>
      </c>
      <c r="M329" s="384" t="s">
        <v>950</v>
      </c>
      <c r="N329" s="246">
        <v>595055.80000000005</v>
      </c>
      <c r="O329" s="267">
        <v>50</v>
      </c>
      <c r="P329" s="250">
        <f t="shared" si="39"/>
        <v>2028</v>
      </c>
      <c r="Q329" s="268">
        <f>IF(J329=10,1,IFERROR(INDEX('Cost Escalators'!$D$28:$D$92,MATCH($P$4,'Cost Escalators'!$B$28:$B$92,0))/INDEX('Cost Escalators'!$D$28:$D$92,MATCH(I329,'Cost Escalators'!$B$28:$B$92,0)),1))</f>
        <v>3.6157780979827088</v>
      </c>
      <c r="R329" s="269">
        <f t="shared" si="40"/>
        <v>2151589.7287175795</v>
      </c>
      <c r="S329" s="269">
        <f t="shared" si="41"/>
        <v>3117369.9007723304</v>
      </c>
      <c r="T329" s="269">
        <f t="shared" si="42"/>
        <v>444471.57681182027</v>
      </c>
      <c r="U329" s="242">
        <f t="shared" si="43"/>
        <v>440341.29200000007</v>
      </c>
    </row>
    <row r="330" spans="1:21" s="237" customFormat="1" x14ac:dyDescent="0.3">
      <c r="A330" s="237">
        <v>325</v>
      </c>
      <c r="B330" s="263">
        <v>0</v>
      </c>
      <c r="C330" s="263">
        <f t="shared" si="44"/>
        <v>1</v>
      </c>
      <c r="D330" s="264">
        <f t="shared" si="36"/>
        <v>0</v>
      </c>
      <c r="E330" s="270" t="s">
        <v>961</v>
      </c>
      <c r="F330" s="384" t="s">
        <v>364</v>
      </c>
      <c r="G330" s="384">
        <v>31</v>
      </c>
      <c r="H330" s="385">
        <v>29160</v>
      </c>
      <c r="I330" s="265">
        <f t="shared" si="38"/>
        <v>1979</v>
      </c>
      <c r="J330" s="383">
        <v>340</v>
      </c>
      <c r="K330" s="641" t="str">
        <f>VLOOKUP(J330,'Cost Escalators'!$C$313:$D$330,2,FALSE)</f>
        <v>Sanitation Sewer System</v>
      </c>
      <c r="L330" s="238" t="s">
        <v>962</v>
      </c>
      <c r="M330" s="384" t="s">
        <v>950</v>
      </c>
      <c r="N330" s="246">
        <v>210554.8</v>
      </c>
      <c r="O330" s="267">
        <v>50</v>
      </c>
      <c r="P330" s="250">
        <f t="shared" si="39"/>
        <v>2029</v>
      </c>
      <c r="Q330" s="268">
        <f>IF(J330=10,1,IFERROR(INDEX('Cost Escalators'!$D$28:$D$92,MATCH($P$4,'Cost Escalators'!$B$28:$B$92,0))/INDEX('Cost Escalators'!$D$28:$D$92,MATCH(I330,'Cost Escalators'!$B$28:$B$92,0)),1))</f>
        <v>3.3424575424575425</v>
      </c>
      <c r="R330" s="269">
        <f t="shared" si="40"/>
        <v>703770.47936063935</v>
      </c>
      <c r="S330" s="269">
        <f t="shared" si="41"/>
        <v>1049172.1596282241</v>
      </c>
      <c r="T330" s="269">
        <f t="shared" si="42"/>
        <v>164607.37696416292</v>
      </c>
      <c r="U330" s="242">
        <f t="shared" si="43"/>
        <v>151599.45599999998</v>
      </c>
    </row>
    <row r="331" spans="1:21" s="237" customFormat="1" x14ac:dyDescent="0.3">
      <c r="A331" s="237">
        <v>326</v>
      </c>
      <c r="B331" s="263">
        <v>0</v>
      </c>
      <c r="C331" s="263">
        <f t="shared" si="44"/>
        <v>1</v>
      </c>
      <c r="D331" s="264">
        <f t="shared" si="36"/>
        <v>0</v>
      </c>
      <c r="E331" s="270" t="s">
        <v>963</v>
      </c>
      <c r="F331" s="384" t="s">
        <v>364</v>
      </c>
      <c r="G331" s="384">
        <v>31</v>
      </c>
      <c r="H331" s="385">
        <v>29526</v>
      </c>
      <c r="I331" s="265">
        <f t="shared" si="38"/>
        <v>1980</v>
      </c>
      <c r="J331" s="383">
        <v>340</v>
      </c>
      <c r="K331" s="641" t="str">
        <f>VLOOKUP(J331,'Cost Escalators'!$C$313:$D$330,2,FALSE)</f>
        <v>Sanitation Sewer System</v>
      </c>
      <c r="L331" s="238" t="s">
        <v>964</v>
      </c>
      <c r="M331" s="384" t="s">
        <v>950</v>
      </c>
      <c r="N331" s="246">
        <v>358325.75</v>
      </c>
      <c r="O331" s="267">
        <v>50</v>
      </c>
      <c r="P331" s="250">
        <f t="shared" si="39"/>
        <v>2030</v>
      </c>
      <c r="Q331" s="268">
        <f>IF(J331=10,1,IFERROR(INDEX('Cost Escalators'!$D$28:$D$92,MATCH($P$4,'Cost Escalators'!$B$28:$B$92,0))/INDEX('Cost Escalators'!$D$28:$D$92,MATCH(I331,'Cost Escalators'!$B$28:$B$92,0)),1))</f>
        <v>3.1008341056533828</v>
      </c>
      <c r="R331" s="269">
        <f t="shared" si="40"/>
        <v>1111108.7065338276</v>
      </c>
      <c r="S331" s="269">
        <f t="shared" si="41"/>
        <v>1704351.2336464149</v>
      </c>
      <c r="T331" s="269">
        <f t="shared" si="42"/>
        <v>291701.42677402502</v>
      </c>
      <c r="U331" s="242">
        <f t="shared" si="43"/>
        <v>250828.02500000002</v>
      </c>
    </row>
    <row r="332" spans="1:21" s="237" customFormat="1" x14ac:dyDescent="0.3">
      <c r="A332" s="237">
        <v>327</v>
      </c>
      <c r="B332" s="263">
        <v>0</v>
      </c>
      <c r="C332" s="263">
        <f t="shared" si="44"/>
        <v>1</v>
      </c>
      <c r="D332" s="264">
        <f t="shared" si="36"/>
        <v>0</v>
      </c>
      <c r="E332" s="270" t="s">
        <v>965</v>
      </c>
      <c r="F332" s="384" t="s">
        <v>364</v>
      </c>
      <c r="G332" s="384">
        <v>31</v>
      </c>
      <c r="H332" s="385">
        <v>29891</v>
      </c>
      <c r="I332" s="265">
        <f t="shared" si="38"/>
        <v>1981</v>
      </c>
      <c r="J332" s="383">
        <v>340</v>
      </c>
      <c r="K332" s="641" t="str">
        <f>VLOOKUP(J332,'Cost Escalators'!$C$313:$D$330,2,FALSE)</f>
        <v>Sanitation Sewer System</v>
      </c>
      <c r="L332" s="238" t="s">
        <v>966</v>
      </c>
      <c r="M332" s="384" t="s">
        <v>950</v>
      </c>
      <c r="N332" s="246">
        <v>194964</v>
      </c>
      <c r="O332" s="267">
        <v>50</v>
      </c>
      <c r="P332" s="250">
        <f t="shared" si="39"/>
        <v>2031</v>
      </c>
      <c r="Q332" s="268">
        <f>IF(J332=10,1,IFERROR(INDEX('Cost Escalators'!$D$28:$D$92,MATCH($P$4,'Cost Escalators'!$B$28:$B$92,0))/INDEX('Cost Escalators'!$D$28:$D$92,MATCH(I332,'Cost Escalators'!$B$28:$B$92,0)),1))</f>
        <v>2.8394342291371992</v>
      </c>
      <c r="R332" s="269">
        <f t="shared" si="40"/>
        <v>553587.45504950488</v>
      </c>
      <c r="S332" s="269">
        <f t="shared" si="41"/>
        <v>873726.73560551112</v>
      </c>
      <c r="T332" s="269">
        <f t="shared" si="42"/>
        <v>164534.4517238863</v>
      </c>
      <c r="U332" s="242">
        <f t="shared" si="43"/>
        <v>132575.52000000002</v>
      </c>
    </row>
    <row r="333" spans="1:21" s="237" customFormat="1" x14ac:dyDescent="0.3">
      <c r="A333" s="237">
        <v>328</v>
      </c>
      <c r="B333" s="263">
        <v>0</v>
      </c>
      <c r="C333" s="263">
        <f t="shared" si="44"/>
        <v>1</v>
      </c>
      <c r="D333" s="264">
        <f t="shared" si="36"/>
        <v>0</v>
      </c>
      <c r="E333" s="270" t="s">
        <v>967</v>
      </c>
      <c r="F333" s="384" t="s">
        <v>364</v>
      </c>
      <c r="G333" s="384">
        <v>31</v>
      </c>
      <c r="H333" s="385">
        <v>30256</v>
      </c>
      <c r="I333" s="265">
        <f t="shared" si="38"/>
        <v>1982</v>
      </c>
      <c r="J333" s="383">
        <v>340</v>
      </c>
      <c r="K333" s="641" t="str">
        <f>VLOOKUP(J333,'Cost Escalators'!$C$313:$D$330,2,FALSE)</f>
        <v>Sanitation Sewer System</v>
      </c>
      <c r="L333" s="238" t="s">
        <v>968</v>
      </c>
      <c r="M333" s="384" t="s">
        <v>950</v>
      </c>
      <c r="N333" s="246">
        <v>281064</v>
      </c>
      <c r="O333" s="267">
        <v>50</v>
      </c>
      <c r="P333" s="250">
        <f t="shared" si="39"/>
        <v>2032</v>
      </c>
      <c r="Q333" s="268">
        <f>IF(J333=10,1,IFERROR(INDEX('Cost Escalators'!$D$28:$D$92,MATCH($P$4,'Cost Escalators'!$B$28:$B$92,0))/INDEX('Cost Escalators'!$D$28:$D$92,MATCH(I333,'Cost Escalators'!$B$28:$B$92,0)),1))</f>
        <v>2.6241568627450977</v>
      </c>
      <c r="R333" s="269">
        <f t="shared" si="40"/>
        <v>737556.02447058819</v>
      </c>
      <c r="S333" s="269">
        <f t="shared" si="41"/>
        <v>1197763.9468024794</v>
      </c>
      <c r="T333" s="269">
        <f t="shared" si="42"/>
        <v>244934.37881416865</v>
      </c>
      <c r="U333" s="242">
        <f t="shared" si="43"/>
        <v>185502.24</v>
      </c>
    </row>
    <row r="334" spans="1:21" s="237" customFormat="1" x14ac:dyDescent="0.3">
      <c r="A334" s="237">
        <v>329</v>
      </c>
      <c r="B334" s="263">
        <v>0</v>
      </c>
      <c r="C334" s="263">
        <f t="shared" si="44"/>
        <v>1</v>
      </c>
      <c r="D334" s="264">
        <f t="shared" si="36"/>
        <v>0</v>
      </c>
      <c r="E334" s="270" t="s">
        <v>969</v>
      </c>
      <c r="F334" s="384" t="s">
        <v>364</v>
      </c>
      <c r="G334" s="384">
        <v>31</v>
      </c>
      <c r="H334" s="385">
        <v>30621</v>
      </c>
      <c r="I334" s="265">
        <f t="shared" si="38"/>
        <v>1983</v>
      </c>
      <c r="J334" s="383">
        <v>340</v>
      </c>
      <c r="K334" s="641" t="str">
        <f>VLOOKUP(J334,'Cost Escalators'!$C$313:$D$330,2,FALSE)</f>
        <v>Sanitation Sewer System</v>
      </c>
      <c r="L334" s="238" t="s">
        <v>970</v>
      </c>
      <c r="M334" s="384" t="s">
        <v>950</v>
      </c>
      <c r="N334" s="246">
        <v>256470.5</v>
      </c>
      <c r="O334" s="267">
        <v>50</v>
      </c>
      <c r="P334" s="250">
        <f t="shared" si="39"/>
        <v>2033</v>
      </c>
      <c r="Q334" s="268">
        <f>IF(J334=10,1,IFERROR(INDEX('Cost Escalators'!$D$28:$D$92,MATCH($P$4,'Cost Escalators'!$B$28:$B$92,0))/INDEX('Cost Escalators'!$D$28:$D$92,MATCH(I334,'Cost Escalators'!$B$28:$B$92,0)),1))</f>
        <v>2.4686178061977371</v>
      </c>
      <c r="R334" s="269">
        <f t="shared" si="40"/>
        <v>633127.64306443674</v>
      </c>
      <c r="S334" s="269">
        <f t="shared" si="41"/>
        <v>1057923.6697507177</v>
      </c>
      <c r="T334" s="269">
        <f t="shared" si="42"/>
        <v>229995.15616100305</v>
      </c>
      <c r="U334" s="242">
        <f t="shared" si="43"/>
        <v>164141.12</v>
      </c>
    </row>
    <row r="335" spans="1:21" s="237" customFormat="1" x14ac:dyDescent="0.3">
      <c r="A335" s="237">
        <v>330</v>
      </c>
      <c r="B335" s="263">
        <v>0</v>
      </c>
      <c r="C335" s="263">
        <f t="shared" si="44"/>
        <v>1</v>
      </c>
      <c r="D335" s="264">
        <f t="shared" si="36"/>
        <v>0</v>
      </c>
      <c r="E335" s="270" t="s">
        <v>971</v>
      </c>
      <c r="F335" s="384" t="s">
        <v>364</v>
      </c>
      <c r="G335" s="384">
        <v>31</v>
      </c>
      <c r="H335" s="385">
        <v>30987</v>
      </c>
      <c r="I335" s="265">
        <f t="shared" si="38"/>
        <v>1984</v>
      </c>
      <c r="J335" s="383">
        <v>340</v>
      </c>
      <c r="K335" s="641" t="str">
        <f>VLOOKUP(J335,'Cost Escalators'!$C$313:$D$330,2,FALSE)</f>
        <v>Sanitation Sewer System</v>
      </c>
      <c r="L335" s="238" t="s">
        <v>972</v>
      </c>
      <c r="M335" s="384" t="s">
        <v>950</v>
      </c>
      <c r="N335" s="246">
        <v>514850</v>
      </c>
      <c r="O335" s="267">
        <v>50</v>
      </c>
      <c r="P335" s="250">
        <f t="shared" si="39"/>
        <v>2034</v>
      </c>
      <c r="Q335" s="268">
        <f>IF(J335=10,1,IFERROR(INDEX('Cost Escalators'!$D$28:$D$92,MATCH($P$4,'Cost Escalators'!$B$28:$B$92,0))/INDEX('Cost Escalators'!$D$28:$D$92,MATCH(I335,'Cost Escalators'!$B$28:$B$92,0)),1))</f>
        <v>2.4209840810419681</v>
      </c>
      <c r="R335" s="269">
        <f t="shared" si="40"/>
        <v>1246443.6541244572</v>
      </c>
      <c r="S335" s="269">
        <f t="shared" si="41"/>
        <v>2143001.8490629774</v>
      </c>
      <c r="T335" s="269">
        <f t="shared" si="42"/>
        <v>473648.58856729569</v>
      </c>
      <c r="U335" s="242">
        <f t="shared" si="43"/>
        <v>319207</v>
      </c>
    </row>
    <row r="336" spans="1:21" s="237" customFormat="1" x14ac:dyDescent="0.3">
      <c r="A336" s="237">
        <v>331</v>
      </c>
      <c r="B336" s="263">
        <v>0</v>
      </c>
      <c r="C336" s="263">
        <f t="shared" si="44"/>
        <v>1</v>
      </c>
      <c r="D336" s="264">
        <f t="shared" si="36"/>
        <v>0</v>
      </c>
      <c r="E336" s="270" t="s">
        <v>973</v>
      </c>
      <c r="F336" s="384" t="s">
        <v>364</v>
      </c>
      <c r="G336" s="384">
        <v>31</v>
      </c>
      <c r="H336" s="385">
        <v>31352</v>
      </c>
      <c r="I336" s="265">
        <f t="shared" si="38"/>
        <v>1985</v>
      </c>
      <c r="J336" s="383">
        <v>340</v>
      </c>
      <c r="K336" s="641" t="str">
        <f>VLOOKUP(J336,'Cost Escalators'!$C$313:$D$330,2,FALSE)</f>
        <v>Sanitation Sewer System</v>
      </c>
      <c r="L336" s="238" t="s">
        <v>974</v>
      </c>
      <c r="M336" s="384" t="s">
        <v>950</v>
      </c>
      <c r="N336" s="246">
        <v>810013.98</v>
      </c>
      <c r="O336" s="267">
        <v>50</v>
      </c>
      <c r="P336" s="250">
        <f t="shared" si="39"/>
        <v>2035</v>
      </c>
      <c r="Q336" s="268">
        <f>IF(J336=10,1,IFERROR(INDEX('Cost Escalators'!$D$28:$D$92,MATCH($P$4,'Cost Escalators'!$B$28:$B$92,0))/INDEX('Cost Escalators'!$D$28:$D$92,MATCH(I336,'Cost Escalators'!$B$28:$B$92,0)),1))</f>
        <v>2.3927056019070321</v>
      </c>
      <c r="R336" s="269">
        <f t="shared" si="40"/>
        <v>1938124.9875690106</v>
      </c>
      <c r="S336" s="269">
        <f t="shared" si="41"/>
        <v>3428613.3535692836</v>
      </c>
      <c r="T336" s="269">
        <f t="shared" si="42"/>
        <v>762355.61427873001</v>
      </c>
      <c r="U336" s="242">
        <f t="shared" si="43"/>
        <v>486008.38799999998</v>
      </c>
    </row>
    <row r="337" spans="1:21" s="237" customFormat="1" x14ac:dyDescent="0.3">
      <c r="A337" s="237">
        <v>332</v>
      </c>
      <c r="B337" s="263">
        <v>0</v>
      </c>
      <c r="C337" s="263">
        <f t="shared" si="44"/>
        <v>1</v>
      </c>
      <c r="D337" s="264">
        <f t="shared" si="36"/>
        <v>0</v>
      </c>
      <c r="E337" s="270" t="s">
        <v>975</v>
      </c>
      <c r="F337" s="384" t="s">
        <v>364</v>
      </c>
      <c r="G337" s="384">
        <v>31</v>
      </c>
      <c r="H337" s="385">
        <v>31717</v>
      </c>
      <c r="I337" s="265">
        <f t="shared" si="38"/>
        <v>1986</v>
      </c>
      <c r="J337" s="383">
        <v>340</v>
      </c>
      <c r="K337" s="641" t="str">
        <f>VLOOKUP(J337,'Cost Escalators'!$C$313:$D$330,2,FALSE)</f>
        <v>Sanitation Sewer System</v>
      </c>
      <c r="L337" s="238" t="s">
        <v>976</v>
      </c>
      <c r="M337" s="384" t="s">
        <v>950</v>
      </c>
      <c r="N337" s="246">
        <v>1317039.1399999999</v>
      </c>
      <c r="O337" s="267">
        <v>50</v>
      </c>
      <c r="P337" s="250">
        <f t="shared" si="39"/>
        <v>2036</v>
      </c>
      <c r="Q337" s="268">
        <f>IF(J337=10,1,IFERROR(INDEX('Cost Escalators'!$D$28:$D$92,MATCH($P$4,'Cost Escalators'!$B$28:$B$92,0))/INDEX('Cost Escalators'!$D$28:$D$92,MATCH(I337,'Cost Escalators'!$B$28:$B$92,0)),1))</f>
        <v>2.3369965075669383</v>
      </c>
      <c r="R337" s="269">
        <f t="shared" si="40"/>
        <v>3077915.8705089637</v>
      </c>
      <c r="S337" s="269">
        <f t="shared" si="41"/>
        <v>5602479.9764753915</v>
      </c>
      <c r="T337" s="269">
        <f t="shared" si="42"/>
        <v>1264929.242401371</v>
      </c>
      <c r="U337" s="242">
        <f t="shared" si="43"/>
        <v>763882.70119999989</v>
      </c>
    </row>
    <row r="338" spans="1:21" s="237" customFormat="1" x14ac:dyDescent="0.3">
      <c r="A338" s="237">
        <v>333</v>
      </c>
      <c r="B338" s="263">
        <v>0</v>
      </c>
      <c r="C338" s="263">
        <f t="shared" si="44"/>
        <v>1</v>
      </c>
      <c r="D338" s="264">
        <f t="shared" si="36"/>
        <v>0</v>
      </c>
      <c r="E338" s="270" t="s">
        <v>977</v>
      </c>
      <c r="F338" s="384" t="s">
        <v>364</v>
      </c>
      <c r="G338" s="384">
        <v>31</v>
      </c>
      <c r="H338" s="385">
        <v>32082</v>
      </c>
      <c r="I338" s="265">
        <f t="shared" si="38"/>
        <v>1987</v>
      </c>
      <c r="J338" s="383">
        <v>340</v>
      </c>
      <c r="K338" s="641" t="str">
        <f>VLOOKUP(J338,'Cost Escalators'!$C$313:$D$330,2,FALSE)</f>
        <v>Sanitation Sewer System</v>
      </c>
      <c r="L338" s="238" t="s">
        <v>978</v>
      </c>
      <c r="M338" s="384" t="s">
        <v>950</v>
      </c>
      <c r="N338" s="246">
        <v>2431706.52</v>
      </c>
      <c r="O338" s="267">
        <v>50</v>
      </c>
      <c r="P338" s="250">
        <f t="shared" si="39"/>
        <v>2037</v>
      </c>
      <c r="Q338" s="268">
        <f>IF(J338=10,1,IFERROR(INDEX('Cost Escalators'!$D$28:$D$92,MATCH($P$4,'Cost Escalators'!$B$28:$B$92,0))/INDEX('Cost Escalators'!$D$28:$D$92,MATCH(I338,'Cost Escalators'!$B$28:$B$92,0)),1))</f>
        <v>2.2781207444394007</v>
      </c>
      <c r="R338" s="269">
        <f t="shared" si="40"/>
        <v>5539721.0676005445</v>
      </c>
      <c r="S338" s="269">
        <f t="shared" si="41"/>
        <v>10375243.607219512</v>
      </c>
      <c r="T338" s="269">
        <f t="shared" si="42"/>
        <v>2377909.1597064342</v>
      </c>
      <c r="U338" s="242">
        <f t="shared" si="43"/>
        <v>1361755.6512</v>
      </c>
    </row>
    <row r="339" spans="1:21" s="237" customFormat="1" x14ac:dyDescent="0.3">
      <c r="A339" s="237">
        <v>334</v>
      </c>
      <c r="B339" s="263">
        <v>0</v>
      </c>
      <c r="C339" s="263">
        <f t="shared" si="44"/>
        <v>1</v>
      </c>
      <c r="D339" s="264">
        <f t="shared" si="36"/>
        <v>0</v>
      </c>
      <c r="E339" s="270" t="s">
        <v>979</v>
      </c>
      <c r="F339" s="384" t="s">
        <v>364</v>
      </c>
      <c r="G339" s="384">
        <v>31</v>
      </c>
      <c r="H339" s="385">
        <v>32448</v>
      </c>
      <c r="I339" s="265">
        <f t="shared" si="38"/>
        <v>1988</v>
      </c>
      <c r="J339" s="383">
        <v>340</v>
      </c>
      <c r="K339" s="641" t="str">
        <f>VLOOKUP(J339,'Cost Escalators'!$C$313:$D$330,2,FALSE)</f>
        <v>Sanitation Sewer System</v>
      </c>
      <c r="L339" s="238" t="s">
        <v>980</v>
      </c>
      <c r="M339" s="384" t="s">
        <v>950</v>
      </c>
      <c r="N339" s="246">
        <v>1265958.23</v>
      </c>
      <c r="O339" s="267">
        <v>50</v>
      </c>
      <c r="P339" s="250">
        <f t="shared" si="39"/>
        <v>2038</v>
      </c>
      <c r="Q339" s="268">
        <f>IF(J339=10,1,IFERROR(INDEX('Cost Escalators'!$D$28:$D$92,MATCH($P$4,'Cost Escalators'!$B$28:$B$92,0))/INDEX('Cost Escalators'!$D$28:$D$92,MATCH(I339,'Cost Escalators'!$B$28:$B$92,0)),1))</f>
        <v>2.2211551228147819</v>
      </c>
      <c r="R339" s="269">
        <f t="shared" si="40"/>
        <v>2811889.6078340337</v>
      </c>
      <c r="S339" s="269">
        <f t="shared" si="41"/>
        <v>5418704.9959520977</v>
      </c>
      <c r="T339" s="269">
        <f t="shared" si="42"/>
        <v>1257829.5567145124</v>
      </c>
      <c r="U339" s="242">
        <f t="shared" si="43"/>
        <v>683617.44420000003</v>
      </c>
    </row>
    <row r="340" spans="1:21" s="237" customFormat="1" x14ac:dyDescent="0.3">
      <c r="A340" s="237">
        <v>335</v>
      </c>
      <c r="B340" s="263">
        <v>0</v>
      </c>
      <c r="C340" s="263">
        <f t="shared" si="44"/>
        <v>1</v>
      </c>
      <c r="D340" s="264">
        <f t="shared" si="36"/>
        <v>0</v>
      </c>
      <c r="E340" s="270" t="s">
        <v>981</v>
      </c>
      <c r="F340" s="384" t="s">
        <v>364</v>
      </c>
      <c r="G340" s="384">
        <v>31</v>
      </c>
      <c r="H340" s="385">
        <v>32813</v>
      </c>
      <c r="I340" s="265">
        <f t="shared" si="38"/>
        <v>1989</v>
      </c>
      <c r="J340" s="383">
        <v>340</v>
      </c>
      <c r="K340" s="641" t="str">
        <f>VLOOKUP(J340,'Cost Escalators'!$C$313:$D$330,2,FALSE)</f>
        <v>Sanitation Sewer System</v>
      </c>
      <c r="L340" s="238" t="s">
        <v>982</v>
      </c>
      <c r="M340" s="384" t="s">
        <v>950</v>
      </c>
      <c r="N340" s="246">
        <v>2135074.71</v>
      </c>
      <c r="O340" s="267">
        <v>50</v>
      </c>
      <c r="P340" s="250">
        <f t="shared" si="39"/>
        <v>2039</v>
      </c>
      <c r="Q340" s="268">
        <f>IF(J340=10,1,IFERROR(INDEX('Cost Escalators'!$D$28:$D$92,MATCH($P$4,'Cost Escalators'!$B$28:$B$92,0))/INDEX('Cost Escalators'!$D$28:$D$92,MATCH(I340,'Cost Escalators'!$B$28:$B$92,0)),1))</f>
        <v>2.1749512459371614</v>
      </c>
      <c r="R340" s="269">
        <f t="shared" si="40"/>
        <v>4643683.4006834235</v>
      </c>
      <c r="S340" s="269">
        <f t="shared" si="41"/>
        <v>9207605.0047164056</v>
      </c>
      <c r="T340" s="269">
        <f t="shared" si="42"/>
        <v>2151354.9228233313</v>
      </c>
      <c r="U340" s="242">
        <f t="shared" si="43"/>
        <v>1110238.8492000001</v>
      </c>
    </row>
    <row r="341" spans="1:21" s="237" customFormat="1" x14ac:dyDescent="0.3">
      <c r="A341" s="237">
        <v>336</v>
      </c>
      <c r="B341" s="263">
        <v>0</v>
      </c>
      <c r="C341" s="263">
        <f t="shared" si="44"/>
        <v>1</v>
      </c>
      <c r="D341" s="264">
        <f t="shared" si="36"/>
        <v>0</v>
      </c>
      <c r="E341" s="270" t="s">
        <v>983</v>
      </c>
      <c r="F341" s="384" t="s">
        <v>364</v>
      </c>
      <c r="G341" s="384">
        <v>31</v>
      </c>
      <c r="H341" s="385">
        <v>33178</v>
      </c>
      <c r="I341" s="265">
        <f t="shared" si="38"/>
        <v>1990</v>
      </c>
      <c r="J341" s="383">
        <v>340</v>
      </c>
      <c r="K341" s="641" t="str">
        <f>VLOOKUP(J341,'Cost Escalators'!$C$313:$D$330,2,FALSE)</f>
        <v>Sanitation Sewer System</v>
      </c>
      <c r="L341" s="238" t="s">
        <v>984</v>
      </c>
      <c r="M341" s="384" t="s">
        <v>950</v>
      </c>
      <c r="N341" s="246">
        <v>1649480</v>
      </c>
      <c r="O341" s="267">
        <v>50</v>
      </c>
      <c r="P341" s="250">
        <f t="shared" si="39"/>
        <v>2040</v>
      </c>
      <c r="Q341" s="268">
        <f>IF(J341=10,1,IFERROR(INDEX('Cost Escalators'!$D$28:$D$92,MATCH($P$4,'Cost Escalators'!$B$28:$B$92,0))/INDEX('Cost Escalators'!$D$28:$D$92,MATCH(I341,'Cost Escalators'!$B$28:$B$92,0)),1))</f>
        <v>2.1211749788672867</v>
      </c>
      <c r="R341" s="269">
        <f t="shared" si="40"/>
        <v>3498835.7041420122</v>
      </c>
      <c r="S341" s="269">
        <f t="shared" si="41"/>
        <v>7138294.5430140104</v>
      </c>
      <c r="T341" s="269">
        <f t="shared" si="42"/>
        <v>1682627.4621686041</v>
      </c>
      <c r="U341" s="242">
        <f t="shared" si="43"/>
        <v>824740</v>
      </c>
    </row>
    <row r="342" spans="1:21" s="237" customFormat="1" x14ac:dyDescent="0.3">
      <c r="A342" s="237">
        <v>337</v>
      </c>
      <c r="B342" s="263">
        <v>0</v>
      </c>
      <c r="C342" s="263">
        <f t="shared" si="44"/>
        <v>1</v>
      </c>
      <c r="D342" s="264">
        <f t="shared" si="36"/>
        <v>0</v>
      </c>
      <c r="E342" s="270" t="s">
        <v>985</v>
      </c>
      <c r="F342" s="384" t="s">
        <v>364</v>
      </c>
      <c r="G342" s="384">
        <v>31</v>
      </c>
      <c r="H342" s="385">
        <v>33543</v>
      </c>
      <c r="I342" s="265">
        <f t="shared" si="38"/>
        <v>1991</v>
      </c>
      <c r="J342" s="383">
        <v>340</v>
      </c>
      <c r="K342" s="641" t="str">
        <f>VLOOKUP(J342,'Cost Escalators'!$C$313:$D$330,2,FALSE)</f>
        <v>Sanitation Sewer System</v>
      </c>
      <c r="L342" s="238" t="s">
        <v>986</v>
      </c>
      <c r="M342" s="384" t="s">
        <v>950</v>
      </c>
      <c r="N342" s="246">
        <v>122512</v>
      </c>
      <c r="O342" s="267">
        <v>50</v>
      </c>
      <c r="P342" s="250">
        <f t="shared" si="39"/>
        <v>2041</v>
      </c>
      <c r="Q342" s="268">
        <f>IF(J342=10,1,IFERROR(INDEX('Cost Escalators'!$D$28:$D$92,MATCH($P$4,'Cost Escalators'!$B$28:$B$92,0))/INDEX('Cost Escalators'!$D$28:$D$92,MATCH(I342,'Cost Escalators'!$B$28:$B$92,0)),1))</f>
        <v>2.0759875904860392</v>
      </c>
      <c r="R342" s="269">
        <f t="shared" si="40"/>
        <v>254333.39168562563</v>
      </c>
      <c r="S342" s="269">
        <f t="shared" si="41"/>
        <v>533901.49112669029</v>
      </c>
      <c r="T342" s="269">
        <f t="shared" si="42"/>
        <v>126318.23568534748</v>
      </c>
      <c r="U342" s="242">
        <f t="shared" si="43"/>
        <v>58805.759999999995</v>
      </c>
    </row>
    <row r="343" spans="1:21" s="237" customFormat="1" x14ac:dyDescent="0.3">
      <c r="A343" s="237">
        <v>338</v>
      </c>
      <c r="B343" s="263">
        <v>0</v>
      </c>
      <c r="C343" s="263">
        <f t="shared" si="44"/>
        <v>1</v>
      </c>
      <c r="D343" s="264">
        <f t="shared" si="36"/>
        <v>0</v>
      </c>
      <c r="E343" s="270" t="s">
        <v>987</v>
      </c>
      <c r="F343" s="384" t="s">
        <v>364</v>
      </c>
      <c r="G343" s="384">
        <v>31</v>
      </c>
      <c r="H343" s="385">
        <v>33909</v>
      </c>
      <c r="I343" s="265">
        <f t="shared" si="38"/>
        <v>1992</v>
      </c>
      <c r="J343" s="383">
        <v>340</v>
      </c>
      <c r="K343" s="641" t="str">
        <f>VLOOKUP(J343,'Cost Escalators'!$C$313:$D$330,2,FALSE)</f>
        <v>Sanitation Sewer System</v>
      </c>
      <c r="L343" s="238" t="s">
        <v>988</v>
      </c>
      <c r="M343" s="384" t="s">
        <v>950</v>
      </c>
      <c r="N343" s="246">
        <v>539586</v>
      </c>
      <c r="O343" s="267">
        <v>50</v>
      </c>
      <c r="P343" s="250">
        <f t="shared" si="39"/>
        <v>2042</v>
      </c>
      <c r="Q343" s="268">
        <f>IF(J343=10,1,IFERROR(INDEX('Cost Escalators'!$D$28:$D$92,MATCH($P$4,'Cost Escalators'!$B$28:$B$92,0))/INDEX('Cost Escalators'!$D$28:$D$92,MATCH(I343,'Cost Escalators'!$B$28:$B$92,0)),1))</f>
        <v>2.0135205616850551</v>
      </c>
      <c r="R343" s="269">
        <f t="shared" si="40"/>
        <v>1086467.5057973922</v>
      </c>
      <c r="S343" s="269">
        <f t="shared" si="41"/>
        <v>2346720.2959594866</v>
      </c>
      <c r="T343" s="269">
        <f t="shared" si="42"/>
        <v>561502.47389936913</v>
      </c>
      <c r="U343" s="242">
        <f t="shared" si="43"/>
        <v>248209.56</v>
      </c>
    </row>
    <row r="344" spans="1:21" s="237" customFormat="1" x14ac:dyDescent="0.3">
      <c r="A344" s="237">
        <v>339</v>
      </c>
      <c r="B344" s="263">
        <v>0</v>
      </c>
      <c r="C344" s="263">
        <f t="shared" si="44"/>
        <v>1</v>
      </c>
      <c r="D344" s="264">
        <f t="shared" si="36"/>
        <v>0</v>
      </c>
      <c r="E344" s="270" t="s">
        <v>989</v>
      </c>
      <c r="F344" s="384" t="s">
        <v>364</v>
      </c>
      <c r="G344" s="384">
        <v>31</v>
      </c>
      <c r="H344" s="385">
        <v>34274</v>
      </c>
      <c r="I344" s="265">
        <f t="shared" si="38"/>
        <v>1993</v>
      </c>
      <c r="J344" s="383">
        <v>340</v>
      </c>
      <c r="K344" s="641" t="str">
        <f>VLOOKUP(J344,'Cost Escalators'!$C$313:$D$330,2,FALSE)</f>
        <v>Sanitation Sewer System</v>
      </c>
      <c r="L344" s="238" t="s">
        <v>990</v>
      </c>
      <c r="M344" s="384" t="s">
        <v>950</v>
      </c>
      <c r="N344" s="246">
        <v>549960</v>
      </c>
      <c r="O344" s="267">
        <v>50</v>
      </c>
      <c r="P344" s="250">
        <f t="shared" si="39"/>
        <v>2043</v>
      </c>
      <c r="Q344" s="268">
        <f>IF(J344=10,1,IFERROR(INDEX('Cost Escalators'!$D$28:$D$92,MATCH($P$4,'Cost Escalators'!$B$28:$B$92,0))/INDEX('Cost Escalators'!$D$28:$D$92,MATCH(I344,'Cost Escalators'!$B$28:$B$92,0)),1))</f>
        <v>1.9265642994241843</v>
      </c>
      <c r="R344" s="269">
        <f t="shared" si="40"/>
        <v>1059533.3021113244</v>
      </c>
      <c r="S344" s="269">
        <f t="shared" si="41"/>
        <v>2354756.6692760675</v>
      </c>
      <c r="T344" s="269">
        <f t="shared" si="42"/>
        <v>576805.68869342504</v>
      </c>
      <c r="U344" s="242">
        <f t="shared" si="43"/>
        <v>241982.40000000002</v>
      </c>
    </row>
    <row r="345" spans="1:21" s="237" customFormat="1" x14ac:dyDescent="0.3">
      <c r="A345" s="237">
        <v>340</v>
      </c>
      <c r="B345" s="263">
        <v>0</v>
      </c>
      <c r="C345" s="263">
        <f t="shared" si="44"/>
        <v>1</v>
      </c>
      <c r="D345" s="264">
        <f t="shared" si="36"/>
        <v>0</v>
      </c>
      <c r="E345" s="270" t="s">
        <v>991</v>
      </c>
      <c r="F345" s="384" t="s">
        <v>364</v>
      </c>
      <c r="G345" s="384">
        <v>31</v>
      </c>
      <c r="H345" s="385">
        <v>34530</v>
      </c>
      <c r="I345" s="265">
        <f t="shared" si="38"/>
        <v>1994</v>
      </c>
      <c r="J345" s="383">
        <v>340</v>
      </c>
      <c r="K345" s="641" t="str">
        <f>VLOOKUP(J345,'Cost Escalators'!$C$313:$D$330,2,FALSE)</f>
        <v>Sanitation Sewer System</v>
      </c>
      <c r="L345" s="238" t="s">
        <v>992</v>
      </c>
      <c r="M345" s="384" t="s">
        <v>950</v>
      </c>
      <c r="N345" s="246">
        <v>1390558.78</v>
      </c>
      <c r="O345" s="267">
        <v>50</v>
      </c>
      <c r="P345" s="250">
        <f t="shared" si="39"/>
        <v>2044</v>
      </c>
      <c r="Q345" s="268">
        <f>IF(J345=10,1,IFERROR(INDEX('Cost Escalators'!$D$28:$D$92,MATCH($P$4,'Cost Escalators'!$B$28:$B$92,0))/INDEX('Cost Escalators'!$D$28:$D$92,MATCH(I345,'Cost Escalators'!$B$28:$B$92,0)),1))</f>
        <v>1.8560281065088757</v>
      </c>
      <c r="R345" s="269">
        <f t="shared" si="40"/>
        <v>2580916.1794326925</v>
      </c>
      <c r="S345" s="269">
        <f t="shared" si="41"/>
        <v>5901904.2689506095</v>
      </c>
      <c r="T345" s="269">
        <f t="shared" si="42"/>
        <v>1468050.222395716</v>
      </c>
      <c r="U345" s="242">
        <f t="shared" si="43"/>
        <v>584034.68760000006</v>
      </c>
    </row>
    <row r="346" spans="1:21" s="237" customFormat="1" x14ac:dyDescent="0.3">
      <c r="A346" s="237">
        <v>341</v>
      </c>
      <c r="B346" s="263">
        <v>0</v>
      </c>
      <c r="C346" s="263">
        <f t="shared" si="44"/>
        <v>1</v>
      </c>
      <c r="D346" s="264">
        <f t="shared" si="36"/>
        <v>0</v>
      </c>
      <c r="E346" s="270" t="s">
        <v>993</v>
      </c>
      <c r="F346" s="384" t="s">
        <v>364</v>
      </c>
      <c r="G346" s="384">
        <v>31</v>
      </c>
      <c r="H346" s="385">
        <v>34790</v>
      </c>
      <c r="I346" s="265">
        <f t="shared" si="38"/>
        <v>1995</v>
      </c>
      <c r="J346" s="383">
        <v>340</v>
      </c>
      <c r="K346" s="641" t="str">
        <f>VLOOKUP(J346,'Cost Escalators'!$C$313:$D$330,2,FALSE)</f>
        <v>Sanitation Sewer System</v>
      </c>
      <c r="L346" s="238" t="s">
        <v>994</v>
      </c>
      <c r="M346" s="384" t="s">
        <v>950</v>
      </c>
      <c r="N346" s="246">
        <v>907310</v>
      </c>
      <c r="O346" s="267">
        <v>50</v>
      </c>
      <c r="P346" s="250">
        <f t="shared" si="39"/>
        <v>2045</v>
      </c>
      <c r="Q346" s="268">
        <f>IF(J346=10,1,IFERROR(INDEX('Cost Escalators'!$D$28:$D$92,MATCH($P$4,'Cost Escalators'!$B$28:$B$92,0))/INDEX('Cost Escalators'!$D$28:$D$92,MATCH(I346,'Cost Escalators'!$B$28:$B$92,0)),1))</f>
        <v>1.8346554560409432</v>
      </c>
      <c r="R346" s="269">
        <f t="shared" si="40"/>
        <v>1664601.2418205081</v>
      </c>
      <c r="S346" s="269">
        <f t="shared" si="41"/>
        <v>3916654.9392061429</v>
      </c>
      <c r="T346" s="269">
        <f t="shared" si="42"/>
        <v>963038.56617488049</v>
      </c>
      <c r="U346" s="242">
        <f t="shared" si="43"/>
        <v>362924</v>
      </c>
    </row>
    <row r="347" spans="1:21" s="237" customFormat="1" x14ac:dyDescent="0.3">
      <c r="A347" s="237">
        <v>342</v>
      </c>
      <c r="B347" s="263">
        <v>0</v>
      </c>
      <c r="C347" s="263">
        <f t="shared" si="44"/>
        <v>1</v>
      </c>
      <c r="D347" s="264">
        <f t="shared" si="36"/>
        <v>0</v>
      </c>
      <c r="E347" s="270" t="s">
        <v>995</v>
      </c>
      <c r="F347" s="384" t="s">
        <v>364</v>
      </c>
      <c r="G347" s="384">
        <v>31</v>
      </c>
      <c r="H347" s="385">
        <v>35156</v>
      </c>
      <c r="I347" s="265">
        <f t="shared" si="38"/>
        <v>1996</v>
      </c>
      <c r="J347" s="383">
        <v>340</v>
      </c>
      <c r="K347" s="641" t="str">
        <f>VLOOKUP(J347,'Cost Escalators'!$C$313:$D$330,2,FALSE)</f>
        <v>Sanitation Sewer System</v>
      </c>
      <c r="L347" s="238" t="s">
        <v>996</v>
      </c>
      <c r="M347" s="384" t="s">
        <v>950</v>
      </c>
      <c r="N347" s="246">
        <v>1343443.57</v>
      </c>
      <c r="O347" s="267">
        <v>50</v>
      </c>
      <c r="P347" s="250">
        <f t="shared" si="39"/>
        <v>2046</v>
      </c>
      <c r="Q347" s="268">
        <f>IF(J347=10,1,IFERROR(INDEX('Cost Escalators'!$D$28:$D$92,MATCH($P$4,'Cost Escalators'!$B$28:$B$92,0))/INDEX('Cost Escalators'!$D$28:$D$92,MATCH(I347,'Cost Escalators'!$B$28:$B$92,0)),1))</f>
        <v>1.7860142348754449</v>
      </c>
      <c r="R347" s="269">
        <f t="shared" si="40"/>
        <v>2399409.3397718864</v>
      </c>
      <c r="S347" s="269">
        <f t="shared" si="41"/>
        <v>5808931.815491179</v>
      </c>
      <c r="T347" s="269">
        <f t="shared" si="42"/>
        <v>1432059.3377478623</v>
      </c>
      <c r="U347" s="242">
        <f t="shared" si="43"/>
        <v>510508.55660000001</v>
      </c>
    </row>
    <row r="348" spans="1:21" s="237" customFormat="1" x14ac:dyDescent="0.3">
      <c r="A348" s="237">
        <v>343</v>
      </c>
      <c r="B348" s="263">
        <v>0</v>
      </c>
      <c r="C348" s="263">
        <f t="shared" si="44"/>
        <v>1</v>
      </c>
      <c r="D348" s="264">
        <f t="shared" si="36"/>
        <v>0</v>
      </c>
      <c r="E348" s="270" t="s">
        <v>997</v>
      </c>
      <c r="F348" s="384" t="s">
        <v>364</v>
      </c>
      <c r="G348" s="384">
        <v>31</v>
      </c>
      <c r="H348" s="385">
        <v>35521</v>
      </c>
      <c r="I348" s="265">
        <f t="shared" si="38"/>
        <v>1997</v>
      </c>
      <c r="J348" s="383">
        <v>340</v>
      </c>
      <c r="K348" s="641" t="str">
        <f>VLOOKUP(J348,'Cost Escalators'!$C$313:$D$330,2,FALSE)</f>
        <v>Sanitation Sewer System</v>
      </c>
      <c r="L348" s="238" t="s">
        <v>998</v>
      </c>
      <c r="M348" s="384" t="s">
        <v>950</v>
      </c>
      <c r="N348" s="246">
        <v>580523.5</v>
      </c>
      <c r="O348" s="267">
        <v>50</v>
      </c>
      <c r="P348" s="250">
        <f t="shared" si="39"/>
        <v>2047</v>
      </c>
      <c r="Q348" s="268">
        <f>IF(J348=10,1,IFERROR(INDEX('Cost Escalators'!$D$28:$D$92,MATCH($P$4,'Cost Escalators'!$B$28:$B$92,0))/INDEX('Cost Escalators'!$D$28:$D$92,MATCH(I348,'Cost Escalators'!$B$28:$B$92,0)),1))</f>
        <v>1.722863027806385</v>
      </c>
      <c r="R348" s="269">
        <f t="shared" si="40"/>
        <v>1000162.4749227599</v>
      </c>
      <c r="S348" s="269">
        <f t="shared" si="41"/>
        <v>2491433.6542304889</v>
      </c>
      <c r="T348" s="269">
        <f t="shared" si="42"/>
        <v>620815.9085509656</v>
      </c>
      <c r="U348" s="242">
        <f t="shared" si="43"/>
        <v>208988.46</v>
      </c>
    </row>
    <row r="349" spans="1:21" s="237" customFormat="1" x14ac:dyDescent="0.3">
      <c r="A349" s="237">
        <v>344</v>
      </c>
      <c r="B349" s="263">
        <v>0</v>
      </c>
      <c r="C349" s="263">
        <f t="shared" si="44"/>
        <v>1</v>
      </c>
      <c r="D349" s="264">
        <f t="shared" si="36"/>
        <v>0</v>
      </c>
      <c r="E349" s="270" t="s">
        <v>999</v>
      </c>
      <c r="F349" s="384" t="s">
        <v>364</v>
      </c>
      <c r="G349" s="384">
        <v>31</v>
      </c>
      <c r="H349" s="385">
        <v>36068</v>
      </c>
      <c r="I349" s="265">
        <f t="shared" si="38"/>
        <v>1998</v>
      </c>
      <c r="J349" s="383">
        <v>340</v>
      </c>
      <c r="K349" s="641" t="str">
        <f>VLOOKUP(J349,'Cost Escalators'!$C$313:$D$330,2,FALSE)</f>
        <v>Sanitation Sewer System</v>
      </c>
      <c r="L349" s="238" t="s">
        <v>1000</v>
      </c>
      <c r="M349" s="384" t="s">
        <v>950</v>
      </c>
      <c r="N349" s="246">
        <v>238896</v>
      </c>
      <c r="O349" s="267">
        <v>50</v>
      </c>
      <c r="P349" s="250">
        <f t="shared" si="39"/>
        <v>2048</v>
      </c>
      <c r="Q349" s="268">
        <f>IF(J349=10,1,IFERROR(INDEX('Cost Escalators'!$D$28:$D$92,MATCH($P$4,'Cost Escalators'!$B$28:$B$92,0))/INDEX('Cost Escalators'!$D$28:$D$92,MATCH(I349,'Cost Escalators'!$B$28:$B$92,0)),1))</f>
        <v>1.6955067567567568</v>
      </c>
      <c r="R349" s="269">
        <f t="shared" si="40"/>
        <v>405049.78216216218</v>
      </c>
      <c r="S349" s="269">
        <f t="shared" si="41"/>
        <v>1038183.2312705785</v>
      </c>
      <c r="T349" s="269">
        <f t="shared" si="42"/>
        <v>256052.50880686901</v>
      </c>
      <c r="U349" s="242">
        <f t="shared" si="43"/>
        <v>81224.639999999999</v>
      </c>
    </row>
    <row r="350" spans="1:21" s="237" customFormat="1" x14ac:dyDescent="0.3">
      <c r="A350" s="237">
        <v>345</v>
      </c>
      <c r="B350" s="263">
        <v>0</v>
      </c>
      <c r="C350" s="263">
        <f t="shared" si="44"/>
        <v>1</v>
      </c>
      <c r="D350" s="264">
        <f t="shared" si="36"/>
        <v>0</v>
      </c>
      <c r="E350" s="270" t="s">
        <v>1001</v>
      </c>
      <c r="F350" s="384" t="s">
        <v>364</v>
      </c>
      <c r="G350" s="384">
        <v>31</v>
      </c>
      <c r="H350" s="385">
        <v>36433</v>
      </c>
      <c r="I350" s="265">
        <f t="shared" si="38"/>
        <v>1999</v>
      </c>
      <c r="J350" s="383">
        <v>340</v>
      </c>
      <c r="K350" s="641" t="str">
        <f>VLOOKUP(J350,'Cost Escalators'!$C$313:$D$330,2,FALSE)</f>
        <v>Sanitation Sewer System</v>
      </c>
      <c r="L350" s="238" t="s">
        <v>1002</v>
      </c>
      <c r="M350" s="384" t="s">
        <v>950</v>
      </c>
      <c r="N350" s="246">
        <v>445416.72</v>
      </c>
      <c r="O350" s="267">
        <v>50</v>
      </c>
      <c r="P350" s="250">
        <f t="shared" si="39"/>
        <v>2049</v>
      </c>
      <c r="Q350" s="268">
        <f>IF(J350=10,1,IFERROR(INDEX('Cost Escalators'!$D$28:$D$92,MATCH($P$4,'Cost Escalators'!$B$28:$B$92,0))/INDEX('Cost Escalators'!$D$28:$D$92,MATCH(I350,'Cost Escalators'!$B$28:$B$92,0)),1))</f>
        <v>1.6566100016504373</v>
      </c>
      <c r="R350" s="269">
        <f t="shared" si="40"/>
        <v>737881.79325433227</v>
      </c>
      <c r="S350" s="269">
        <f t="shared" si="41"/>
        <v>1945983.8785964912</v>
      </c>
      <c r="T350" s="269">
        <f t="shared" si="42"/>
        <v>478040.63364503114</v>
      </c>
      <c r="U350" s="242">
        <f t="shared" si="43"/>
        <v>142533.3504</v>
      </c>
    </row>
    <row r="351" spans="1:21" s="237" customFormat="1" x14ac:dyDescent="0.3">
      <c r="A351" s="237">
        <v>346</v>
      </c>
      <c r="B351" s="263">
        <v>0</v>
      </c>
      <c r="C351" s="263">
        <f t="shared" si="44"/>
        <v>1</v>
      </c>
      <c r="D351" s="264">
        <f t="shared" si="36"/>
        <v>0</v>
      </c>
      <c r="E351" s="270" t="s">
        <v>1003</v>
      </c>
      <c r="F351" s="384" t="s">
        <v>364</v>
      </c>
      <c r="G351" s="384">
        <v>31</v>
      </c>
      <c r="H351" s="385">
        <v>36799</v>
      </c>
      <c r="I351" s="265">
        <f t="shared" si="38"/>
        <v>2000</v>
      </c>
      <c r="J351" s="383">
        <v>340</v>
      </c>
      <c r="K351" s="641" t="str">
        <f>VLOOKUP(J351,'Cost Escalators'!$C$313:$D$330,2,FALSE)</f>
        <v>Sanitation Sewer System</v>
      </c>
      <c r="L351" s="238" t="s">
        <v>1004</v>
      </c>
      <c r="M351" s="384" t="s">
        <v>950</v>
      </c>
      <c r="N351" s="246">
        <v>351626</v>
      </c>
      <c r="O351" s="267">
        <v>50</v>
      </c>
      <c r="P351" s="250">
        <f t="shared" si="39"/>
        <v>2050</v>
      </c>
      <c r="Q351" s="268">
        <f>IF(J351=10,1,IFERROR(INDEX('Cost Escalators'!$D$28:$D$92,MATCH($P$4,'Cost Escalators'!$B$28:$B$92,0))/INDEX('Cost Escalators'!$D$28:$D$92,MATCH(I351,'Cost Escalators'!$B$28:$B$92,0)),1))</f>
        <v>1.6134705031345442</v>
      </c>
      <c r="R351" s="269">
        <f t="shared" si="40"/>
        <v>567338.1791351873</v>
      </c>
      <c r="S351" s="269">
        <f t="shared" si="41"/>
        <v>1539505.6622557507</v>
      </c>
      <c r="T351" s="269">
        <f t="shared" si="42"/>
        <v>377556.16741244233</v>
      </c>
      <c r="U351" s="242">
        <f t="shared" si="43"/>
        <v>105487.8</v>
      </c>
    </row>
    <row r="352" spans="1:21" s="237" customFormat="1" x14ac:dyDescent="0.3">
      <c r="A352" s="237">
        <v>347</v>
      </c>
      <c r="B352" s="263">
        <v>0</v>
      </c>
      <c r="C352" s="263">
        <f t="shared" si="44"/>
        <v>1</v>
      </c>
      <c r="D352" s="264">
        <f t="shared" si="36"/>
        <v>0</v>
      </c>
      <c r="E352" s="270" t="s">
        <v>1005</v>
      </c>
      <c r="F352" s="384" t="s">
        <v>364</v>
      </c>
      <c r="G352" s="384">
        <v>31</v>
      </c>
      <c r="H352" s="385">
        <v>37164</v>
      </c>
      <c r="I352" s="265">
        <f t="shared" si="38"/>
        <v>2001</v>
      </c>
      <c r="J352" s="383">
        <v>340</v>
      </c>
      <c r="K352" s="641" t="str">
        <f>VLOOKUP(J352,'Cost Escalators'!$C$313:$D$330,2,FALSE)</f>
        <v>Sanitation Sewer System</v>
      </c>
      <c r="L352" s="238" t="s">
        <v>1006</v>
      </c>
      <c r="M352" s="384" t="s">
        <v>950</v>
      </c>
      <c r="N352" s="246">
        <v>564922</v>
      </c>
      <c r="O352" s="267">
        <v>50</v>
      </c>
      <c r="P352" s="250">
        <f t="shared" si="39"/>
        <v>2051</v>
      </c>
      <c r="Q352" s="268">
        <f>IF(J352=10,1,IFERROR(INDEX('Cost Escalators'!$D$28:$D$92,MATCH($P$4,'Cost Escalators'!$B$28:$B$92,0))/INDEX('Cost Escalators'!$D$28:$D$92,MATCH(I352,'Cost Escalators'!$B$28:$B$92,0)),1))</f>
        <v>1.5824373324925114</v>
      </c>
      <c r="R352" s="269">
        <f t="shared" si="40"/>
        <v>893953.66274633456</v>
      </c>
      <c r="S352" s="269">
        <f t="shared" si="41"/>
        <v>2495980.136290614</v>
      </c>
      <c r="T352" s="269">
        <f t="shared" si="42"/>
        <v>606368.58967992663</v>
      </c>
      <c r="U352" s="242">
        <f t="shared" si="43"/>
        <v>158178.16</v>
      </c>
    </row>
    <row r="353" spans="1:21" s="237" customFormat="1" x14ac:dyDescent="0.3">
      <c r="A353" s="237">
        <v>348</v>
      </c>
      <c r="B353" s="263">
        <v>0</v>
      </c>
      <c r="C353" s="263">
        <f t="shared" si="44"/>
        <v>1</v>
      </c>
      <c r="D353" s="264">
        <f t="shared" si="36"/>
        <v>0</v>
      </c>
      <c r="E353" s="270" t="s">
        <v>1007</v>
      </c>
      <c r="F353" s="384" t="s">
        <v>364</v>
      </c>
      <c r="G353" s="384">
        <v>31</v>
      </c>
      <c r="H353" s="385">
        <v>37529</v>
      </c>
      <c r="I353" s="265">
        <f t="shared" si="38"/>
        <v>2002</v>
      </c>
      <c r="J353" s="383">
        <v>340</v>
      </c>
      <c r="K353" s="641" t="str">
        <f>VLOOKUP(J353,'Cost Escalators'!$C$313:$D$330,2,FALSE)</f>
        <v>Sanitation Sewer System</v>
      </c>
      <c r="L353" s="238" t="s">
        <v>1008</v>
      </c>
      <c r="M353" s="384" t="s">
        <v>950</v>
      </c>
      <c r="N353" s="246">
        <v>568136</v>
      </c>
      <c r="O353" s="267">
        <v>50</v>
      </c>
      <c r="P353" s="250">
        <f t="shared" si="39"/>
        <v>2052</v>
      </c>
      <c r="Q353" s="268">
        <f>IF(J353=10,1,IFERROR(INDEX('Cost Escalators'!$D$28:$D$92,MATCH($P$4,'Cost Escalators'!$B$28:$B$92,0))/INDEX('Cost Escalators'!$D$28:$D$92,MATCH(I353,'Cost Escalators'!$B$28:$B$92,0)),1))</f>
        <v>1.5352401345977362</v>
      </c>
      <c r="R353" s="269">
        <f t="shared" si="40"/>
        <v>872225.18910981948</v>
      </c>
      <c r="S353" s="269">
        <f t="shared" si="41"/>
        <v>2505772.1486509182</v>
      </c>
      <c r="T353" s="269">
        <f t="shared" si="42"/>
        <v>609134.0887654291</v>
      </c>
      <c r="U353" s="242">
        <f t="shared" si="43"/>
        <v>147715.35999999999</v>
      </c>
    </row>
    <row r="354" spans="1:21" s="237" customFormat="1" x14ac:dyDescent="0.3">
      <c r="A354" s="237">
        <v>349</v>
      </c>
      <c r="B354" s="263">
        <v>0</v>
      </c>
      <c r="C354" s="263">
        <f t="shared" si="44"/>
        <v>1</v>
      </c>
      <c r="D354" s="264">
        <f t="shared" si="36"/>
        <v>0</v>
      </c>
      <c r="E354" s="270" t="s">
        <v>1009</v>
      </c>
      <c r="F354" s="384" t="s">
        <v>364</v>
      </c>
      <c r="G354" s="384">
        <v>31</v>
      </c>
      <c r="H354" s="385">
        <v>37529</v>
      </c>
      <c r="I354" s="265">
        <f t="shared" si="38"/>
        <v>2002</v>
      </c>
      <c r="J354" s="383">
        <v>340</v>
      </c>
      <c r="K354" s="641" t="str">
        <f>VLOOKUP(J354,'Cost Escalators'!$C$313:$D$330,2,FALSE)</f>
        <v>Sanitation Sewer System</v>
      </c>
      <c r="L354" s="238" t="s">
        <v>1010</v>
      </c>
      <c r="M354" s="384" t="s">
        <v>950</v>
      </c>
      <c r="N354" s="246">
        <v>246370</v>
      </c>
      <c r="O354" s="267">
        <v>50</v>
      </c>
      <c r="P354" s="250">
        <f t="shared" si="39"/>
        <v>2052</v>
      </c>
      <c r="Q354" s="268">
        <f>IF(J354=10,1,IFERROR(INDEX('Cost Escalators'!$D$28:$D$92,MATCH($P$4,'Cost Escalators'!$B$28:$B$92,0))/INDEX('Cost Escalators'!$D$28:$D$92,MATCH(I354,'Cost Escalators'!$B$28:$B$92,0)),1))</f>
        <v>1.5352401345977362</v>
      </c>
      <c r="R354" s="269">
        <f t="shared" si="40"/>
        <v>378237.11196084425</v>
      </c>
      <c r="S354" s="269">
        <f t="shared" si="41"/>
        <v>1086618.4932183959</v>
      </c>
      <c r="T354" s="269">
        <f t="shared" si="42"/>
        <v>264148.66413876036</v>
      </c>
      <c r="U354" s="242">
        <f t="shared" si="43"/>
        <v>64056.2</v>
      </c>
    </row>
    <row r="355" spans="1:21" s="237" customFormat="1" x14ac:dyDescent="0.3">
      <c r="A355" s="237">
        <v>350</v>
      </c>
      <c r="B355" s="263">
        <v>0</v>
      </c>
      <c r="C355" s="263">
        <f t="shared" si="44"/>
        <v>1</v>
      </c>
      <c r="D355" s="264">
        <f t="shared" ref="D355:D418" si="45">1-B355-C355</f>
        <v>0</v>
      </c>
      <c r="E355" s="270" t="s">
        <v>1011</v>
      </c>
      <c r="F355" s="384" t="s">
        <v>364</v>
      </c>
      <c r="G355" s="384">
        <v>31</v>
      </c>
      <c r="H355" s="385">
        <v>37634</v>
      </c>
      <c r="I355" s="265">
        <f t="shared" si="38"/>
        <v>2003</v>
      </c>
      <c r="J355" s="383">
        <v>340</v>
      </c>
      <c r="K355" s="641" t="str">
        <f>VLOOKUP(J355,'Cost Escalators'!$C$313:$D$330,2,FALSE)</f>
        <v>Sanitation Sewer System</v>
      </c>
      <c r="L355" s="238" t="s">
        <v>1012</v>
      </c>
      <c r="M355" s="384" t="s">
        <v>950</v>
      </c>
      <c r="N355" s="246">
        <v>9600</v>
      </c>
      <c r="O355" s="267">
        <v>50</v>
      </c>
      <c r="P355" s="250">
        <f t="shared" si="39"/>
        <v>2053</v>
      </c>
      <c r="Q355" s="268">
        <f>IF(J355=10,1,IFERROR(INDEX('Cost Escalators'!$D$28:$D$92,MATCH($P$4,'Cost Escalators'!$B$28:$B$92,0))/INDEX('Cost Escalators'!$D$28:$D$92,MATCH(I355,'Cost Escalators'!$B$28:$B$92,0)),1))</f>
        <v>1.4994622049596653</v>
      </c>
      <c r="R355" s="269">
        <f t="shared" si="40"/>
        <v>14394.837167612786</v>
      </c>
      <c r="S355" s="269">
        <f t="shared" si="41"/>
        <v>42550.684061733235</v>
      </c>
      <c r="T355" s="269">
        <f t="shared" si="42"/>
        <v>10273.699630204026</v>
      </c>
      <c r="U355" s="242">
        <f t="shared" si="43"/>
        <v>2304</v>
      </c>
    </row>
    <row r="356" spans="1:21" s="237" customFormat="1" x14ac:dyDescent="0.3">
      <c r="A356" s="237">
        <v>351</v>
      </c>
      <c r="B356" s="263">
        <v>0</v>
      </c>
      <c r="C356" s="263">
        <f t="shared" si="44"/>
        <v>1</v>
      </c>
      <c r="D356" s="264">
        <f t="shared" si="45"/>
        <v>0</v>
      </c>
      <c r="E356" s="270" t="s">
        <v>1013</v>
      </c>
      <c r="F356" s="384" t="s">
        <v>364</v>
      </c>
      <c r="G356" s="384">
        <v>31</v>
      </c>
      <c r="H356" s="385">
        <v>37894</v>
      </c>
      <c r="I356" s="265">
        <f t="shared" si="38"/>
        <v>2003</v>
      </c>
      <c r="J356" s="383">
        <v>340</v>
      </c>
      <c r="K356" s="641" t="str">
        <f>VLOOKUP(J356,'Cost Escalators'!$C$313:$D$330,2,FALSE)</f>
        <v>Sanitation Sewer System</v>
      </c>
      <c r="L356" s="238" t="s">
        <v>1014</v>
      </c>
      <c r="M356" s="384" t="s">
        <v>950</v>
      </c>
      <c r="N356" s="246">
        <v>667612</v>
      </c>
      <c r="O356" s="267">
        <v>50</v>
      </c>
      <c r="P356" s="250">
        <f t="shared" si="39"/>
        <v>2053</v>
      </c>
      <c r="Q356" s="268">
        <f>IF(J356=10,1,IFERROR(INDEX('Cost Escalators'!$D$28:$D$92,MATCH($P$4,'Cost Escalators'!$B$28:$B$92,0))/INDEX('Cost Escalators'!$D$28:$D$92,MATCH(I356,'Cost Escalators'!$B$28:$B$92,0)),1))</f>
        <v>1.4994622049596653</v>
      </c>
      <c r="R356" s="269">
        <f t="shared" si="40"/>
        <v>1001058.9615775321</v>
      </c>
      <c r="S356" s="269">
        <f t="shared" si="41"/>
        <v>2959098.6758147762</v>
      </c>
      <c r="T356" s="269">
        <f t="shared" si="42"/>
        <v>714463.03724164283</v>
      </c>
      <c r="U356" s="242">
        <f t="shared" si="43"/>
        <v>160226.88</v>
      </c>
    </row>
    <row r="357" spans="1:21" s="237" customFormat="1" x14ac:dyDescent="0.3">
      <c r="A357" s="237">
        <v>352</v>
      </c>
      <c r="B357" s="263">
        <v>0</v>
      </c>
      <c r="C357" s="263">
        <f t="shared" si="44"/>
        <v>1</v>
      </c>
      <c r="D357" s="264">
        <f t="shared" si="45"/>
        <v>0</v>
      </c>
      <c r="E357" s="270" t="s">
        <v>1015</v>
      </c>
      <c r="F357" s="384" t="s">
        <v>364</v>
      </c>
      <c r="G357" s="384">
        <v>31</v>
      </c>
      <c r="H357" s="385">
        <v>38260</v>
      </c>
      <c r="I357" s="265">
        <f t="shared" si="38"/>
        <v>2004</v>
      </c>
      <c r="J357" s="383">
        <v>340</v>
      </c>
      <c r="K357" s="641" t="str">
        <f>VLOOKUP(J357,'Cost Escalators'!$C$313:$D$330,2,FALSE)</f>
        <v>Sanitation Sewer System</v>
      </c>
      <c r="L357" s="238" t="s">
        <v>1016</v>
      </c>
      <c r="M357" s="384" t="s">
        <v>950</v>
      </c>
      <c r="N357" s="246">
        <v>675984</v>
      </c>
      <c r="O357" s="267">
        <v>50</v>
      </c>
      <c r="P357" s="250">
        <f t="shared" si="39"/>
        <v>2054</v>
      </c>
      <c r="Q357" s="268">
        <f>IF(J357=10,1,IFERROR(INDEX('Cost Escalators'!$D$28:$D$92,MATCH($P$4,'Cost Escalators'!$B$28:$B$92,0))/INDEX('Cost Escalators'!$D$28:$D$92,MATCH(I357,'Cost Escalators'!$B$28:$B$92,0)),1))</f>
        <v>1.4107378777231201</v>
      </c>
      <c r="R357" s="269">
        <f t="shared" si="40"/>
        <v>953636.23353478557</v>
      </c>
      <c r="S357" s="269">
        <f t="shared" si="41"/>
        <v>2900476.627232946</v>
      </c>
      <c r="T357" s="269">
        <f t="shared" si="42"/>
        <v>721582.88151513855</v>
      </c>
      <c r="U357" s="242">
        <f t="shared" si="43"/>
        <v>148716.48000000001</v>
      </c>
    </row>
    <row r="358" spans="1:21" s="237" customFormat="1" x14ac:dyDescent="0.3">
      <c r="A358" s="237">
        <v>353</v>
      </c>
      <c r="B358" s="263">
        <v>0</v>
      </c>
      <c r="C358" s="263">
        <f t="shared" si="44"/>
        <v>1</v>
      </c>
      <c r="D358" s="264">
        <f t="shared" si="45"/>
        <v>0</v>
      </c>
      <c r="E358" s="270" t="s">
        <v>1017</v>
      </c>
      <c r="F358" s="384" t="s">
        <v>364</v>
      </c>
      <c r="G358" s="384">
        <v>31</v>
      </c>
      <c r="H358" s="385">
        <v>38625</v>
      </c>
      <c r="I358" s="265">
        <f t="shared" si="38"/>
        <v>2005</v>
      </c>
      <c r="J358" s="383">
        <v>340</v>
      </c>
      <c r="K358" s="641" t="str">
        <f>VLOOKUP(J358,'Cost Escalators'!$C$313:$D$330,2,FALSE)</f>
        <v>Sanitation Sewer System</v>
      </c>
      <c r="L358" s="238" t="s">
        <v>1018</v>
      </c>
      <c r="M358" s="384" t="s">
        <v>950</v>
      </c>
      <c r="N358" s="246">
        <v>148265.22</v>
      </c>
      <c r="O358" s="267">
        <v>50</v>
      </c>
      <c r="P358" s="250">
        <f t="shared" si="39"/>
        <v>2055</v>
      </c>
      <c r="Q358" s="268">
        <f>IF(J358=10,1,IFERROR(INDEX('Cost Escalators'!$D$28:$D$92,MATCH($P$4,'Cost Escalators'!$B$28:$B$92,0))/INDEX('Cost Escalators'!$D$28:$D$92,MATCH(I358,'Cost Escalators'!$B$28:$B$92,0)),1))</f>
        <v>1.3480106991371303</v>
      </c>
      <c r="R358" s="269">
        <f t="shared" si="40"/>
        <v>199863.10286992043</v>
      </c>
      <c r="S358" s="269">
        <f t="shared" si="41"/>
        <v>625469.43030435371</v>
      </c>
      <c r="T358" s="269">
        <f t="shared" si="42"/>
        <v>157760.26934382715</v>
      </c>
      <c r="U358" s="242">
        <f t="shared" si="43"/>
        <v>29653.044000000002</v>
      </c>
    </row>
    <row r="359" spans="1:21" s="237" customFormat="1" x14ac:dyDescent="0.3">
      <c r="A359" s="237">
        <v>354</v>
      </c>
      <c r="B359" s="263">
        <v>0</v>
      </c>
      <c r="C359" s="263">
        <f t="shared" ref="C359:C371" si="46">1-B359</f>
        <v>1</v>
      </c>
      <c r="D359" s="264">
        <f t="shared" si="45"/>
        <v>0</v>
      </c>
      <c r="E359" s="270" t="s">
        <v>1019</v>
      </c>
      <c r="F359" s="384" t="s">
        <v>364</v>
      </c>
      <c r="G359" s="384">
        <v>31</v>
      </c>
      <c r="H359" s="385">
        <v>38625</v>
      </c>
      <c r="I359" s="265">
        <f t="shared" si="38"/>
        <v>2005</v>
      </c>
      <c r="J359" s="383">
        <v>340</v>
      </c>
      <c r="K359" s="641" t="str">
        <f>VLOOKUP(J359,'Cost Escalators'!$C$313:$D$330,2,FALSE)</f>
        <v>Sanitation Sewer System</v>
      </c>
      <c r="L359" s="238" t="s">
        <v>1020</v>
      </c>
      <c r="M359" s="384" t="s">
        <v>950</v>
      </c>
      <c r="N359" s="246">
        <v>401899</v>
      </c>
      <c r="O359" s="267">
        <v>50</v>
      </c>
      <c r="P359" s="250">
        <f t="shared" si="39"/>
        <v>2055</v>
      </c>
      <c r="Q359" s="268">
        <f>IF(J359=10,1,IFERROR(INDEX('Cost Escalators'!$D$28:$D$92,MATCH($P$4,'Cost Escalators'!$B$28:$B$92,0))/INDEX('Cost Escalators'!$D$28:$D$92,MATCH(I359,'Cost Escalators'!$B$28:$B$92,0)),1))</f>
        <v>1.3480106991371303</v>
      </c>
      <c r="R359" s="269">
        <f t="shared" si="40"/>
        <v>541764.15197251353</v>
      </c>
      <c r="S359" s="269">
        <f t="shared" si="41"/>
        <v>1695445.085299772</v>
      </c>
      <c r="T359" s="269">
        <f t="shared" si="42"/>
        <v>427637.00407293619</v>
      </c>
      <c r="U359" s="242">
        <f t="shared" si="43"/>
        <v>80379.799999999988</v>
      </c>
    </row>
    <row r="360" spans="1:21" s="237" customFormat="1" x14ac:dyDescent="0.3">
      <c r="A360" s="237">
        <v>355</v>
      </c>
      <c r="B360" s="263">
        <v>0</v>
      </c>
      <c r="C360" s="263">
        <f t="shared" si="46"/>
        <v>1</v>
      </c>
      <c r="D360" s="264">
        <f t="shared" si="45"/>
        <v>0</v>
      </c>
      <c r="E360" s="270" t="s">
        <v>1021</v>
      </c>
      <c r="F360" s="384" t="s">
        <v>364</v>
      </c>
      <c r="G360" s="384">
        <v>31</v>
      </c>
      <c r="H360" s="385">
        <v>38990</v>
      </c>
      <c r="I360" s="265">
        <f t="shared" si="38"/>
        <v>2006</v>
      </c>
      <c r="J360" s="383">
        <v>340</v>
      </c>
      <c r="K360" s="641" t="str">
        <f>VLOOKUP(J360,'Cost Escalators'!$C$313:$D$330,2,FALSE)</f>
        <v>Sanitation Sewer System</v>
      </c>
      <c r="L360" s="238" t="s">
        <v>1022</v>
      </c>
      <c r="M360" s="384" t="s">
        <v>950</v>
      </c>
      <c r="N360" s="246">
        <v>886485</v>
      </c>
      <c r="O360" s="267">
        <v>50</v>
      </c>
      <c r="P360" s="250">
        <f t="shared" si="39"/>
        <v>2056</v>
      </c>
      <c r="Q360" s="268">
        <f>IF(J360=10,1,IFERROR(INDEX('Cost Escalators'!$D$28:$D$92,MATCH($P$4,'Cost Escalators'!$B$28:$B$92,0))/INDEX('Cost Escalators'!$D$28:$D$92,MATCH(I360,'Cost Escalators'!$B$28:$B$92,0)),1))</f>
        <v>1.2949395258829222</v>
      </c>
      <c r="R360" s="269">
        <f t="shared" si="40"/>
        <v>1147944.4656023222</v>
      </c>
      <c r="S360" s="269">
        <f t="shared" si="41"/>
        <v>3696418.8657197482</v>
      </c>
      <c r="T360" s="269">
        <f t="shared" si="42"/>
        <v>939651.41686970915</v>
      </c>
      <c r="U360" s="242">
        <f t="shared" si="43"/>
        <v>159567.30000000002</v>
      </c>
    </row>
    <row r="361" spans="1:21" s="237" customFormat="1" x14ac:dyDescent="0.3">
      <c r="A361" s="237">
        <v>356</v>
      </c>
      <c r="B361" s="263">
        <v>0</v>
      </c>
      <c r="C361" s="263">
        <f t="shared" si="46"/>
        <v>1</v>
      </c>
      <c r="D361" s="264">
        <f t="shared" si="45"/>
        <v>0</v>
      </c>
      <c r="E361" s="270" t="s">
        <v>1023</v>
      </c>
      <c r="F361" s="384" t="s">
        <v>364</v>
      </c>
      <c r="G361" s="384">
        <v>31</v>
      </c>
      <c r="H361" s="385">
        <v>39355</v>
      </c>
      <c r="I361" s="265">
        <f t="shared" si="38"/>
        <v>2007</v>
      </c>
      <c r="J361" s="383">
        <v>340</v>
      </c>
      <c r="K361" s="641" t="str">
        <f>VLOOKUP(J361,'Cost Escalators'!$C$313:$D$330,2,FALSE)</f>
        <v>Sanitation Sewer System</v>
      </c>
      <c r="L361" s="238" t="s">
        <v>1024</v>
      </c>
      <c r="M361" s="384" t="s">
        <v>950</v>
      </c>
      <c r="N361" s="246">
        <v>496737.5</v>
      </c>
      <c r="O361" s="267">
        <v>50</v>
      </c>
      <c r="P361" s="250">
        <f t="shared" si="39"/>
        <v>2057</v>
      </c>
      <c r="Q361" s="268">
        <f>IF(J361=10,1,IFERROR(INDEX('Cost Escalators'!$D$28:$D$92,MATCH($P$4,'Cost Escalators'!$B$28:$B$92,0))/INDEX('Cost Escalators'!$D$28:$D$92,MATCH(I361,'Cost Escalators'!$B$28:$B$92,0)),1))</f>
        <v>1.2598719718840214</v>
      </c>
      <c r="R361" s="269">
        <f t="shared" si="40"/>
        <v>625825.6536337391</v>
      </c>
      <c r="S361" s="269">
        <f t="shared" si="41"/>
        <v>2073483.0892378464</v>
      </c>
      <c r="T361" s="269">
        <f t="shared" si="42"/>
        <v>524204.7185926034</v>
      </c>
      <c r="U361" s="242">
        <f t="shared" si="43"/>
        <v>79478</v>
      </c>
    </row>
    <row r="362" spans="1:21" s="237" customFormat="1" x14ac:dyDescent="0.3">
      <c r="A362" s="237">
        <v>357</v>
      </c>
      <c r="B362" s="263">
        <v>0</v>
      </c>
      <c r="C362" s="263">
        <f t="shared" si="46"/>
        <v>1</v>
      </c>
      <c r="D362" s="264">
        <f t="shared" si="45"/>
        <v>0</v>
      </c>
      <c r="E362" s="270" t="s">
        <v>1025</v>
      </c>
      <c r="F362" s="384" t="s">
        <v>364</v>
      </c>
      <c r="G362" s="384">
        <v>31</v>
      </c>
      <c r="H362" s="385">
        <v>39355</v>
      </c>
      <c r="I362" s="265">
        <f t="shared" si="38"/>
        <v>2007</v>
      </c>
      <c r="J362" s="383">
        <v>340</v>
      </c>
      <c r="K362" s="641" t="str">
        <f>VLOOKUP(J362,'Cost Escalators'!$C$313:$D$330,2,FALSE)</f>
        <v>Sanitation Sewer System</v>
      </c>
      <c r="L362" s="238" t="s">
        <v>1026</v>
      </c>
      <c r="M362" s="384" t="s">
        <v>950</v>
      </c>
      <c r="N362" s="246">
        <v>573000</v>
      </c>
      <c r="O362" s="267">
        <v>50</v>
      </c>
      <c r="P362" s="250">
        <f t="shared" si="39"/>
        <v>2057</v>
      </c>
      <c r="Q362" s="268">
        <f>IF(J362=10,1,IFERROR(INDEX('Cost Escalators'!$D$28:$D$92,MATCH($P$4,'Cost Escalators'!$B$28:$B$92,0))/INDEX('Cost Escalators'!$D$28:$D$92,MATCH(I362,'Cost Escalators'!$B$28:$B$92,0)),1))</f>
        <v>1.2598719718840214</v>
      </c>
      <c r="R362" s="269">
        <f t="shared" si="40"/>
        <v>721906.63988954434</v>
      </c>
      <c r="S362" s="269">
        <f t="shared" si="41"/>
        <v>2391818.2342450209</v>
      </c>
      <c r="T362" s="269">
        <f t="shared" si="42"/>
        <v>604684.17172764638</v>
      </c>
      <c r="U362" s="242">
        <f t="shared" si="43"/>
        <v>91680</v>
      </c>
    </row>
    <row r="363" spans="1:21" s="237" customFormat="1" x14ac:dyDescent="0.3">
      <c r="A363" s="237">
        <v>358</v>
      </c>
      <c r="B363" s="263">
        <v>0</v>
      </c>
      <c r="C363" s="263">
        <f t="shared" si="46"/>
        <v>1</v>
      </c>
      <c r="D363" s="264">
        <f t="shared" si="45"/>
        <v>0</v>
      </c>
      <c r="E363" s="270" t="s">
        <v>1027</v>
      </c>
      <c r="F363" s="384" t="s">
        <v>364</v>
      </c>
      <c r="G363" s="384">
        <v>31</v>
      </c>
      <c r="H363" s="385">
        <v>39721</v>
      </c>
      <c r="I363" s="265">
        <f t="shared" si="38"/>
        <v>2008</v>
      </c>
      <c r="J363" s="383">
        <v>340</v>
      </c>
      <c r="K363" s="641" t="str">
        <f>VLOOKUP(J363,'Cost Escalators'!$C$313:$D$330,2,FALSE)</f>
        <v>Sanitation Sewer System</v>
      </c>
      <c r="L363" s="238" t="s">
        <v>1028</v>
      </c>
      <c r="M363" s="384" t="s">
        <v>950</v>
      </c>
      <c r="N363" s="246">
        <v>554350</v>
      </c>
      <c r="O363" s="267">
        <v>50</v>
      </c>
      <c r="P363" s="250">
        <f t="shared" si="39"/>
        <v>2058</v>
      </c>
      <c r="Q363" s="268">
        <f>IF(J363=10,1,IFERROR(INDEX('Cost Escalators'!$D$28:$D$92,MATCH($P$4,'Cost Escalators'!$B$28:$B$92,0))/INDEX('Cost Escalators'!$D$28:$D$92,MATCH(I363,'Cost Escalators'!$B$28:$B$92,0)),1))</f>
        <v>1.2078821488382354</v>
      </c>
      <c r="R363" s="269">
        <f t="shared" si="40"/>
        <v>669589.46920847578</v>
      </c>
      <c r="S363" s="269">
        <f t="shared" si="41"/>
        <v>2282667.1423957129</v>
      </c>
      <c r="T363" s="269">
        <f t="shared" si="42"/>
        <v>582090.29584251193</v>
      </c>
      <c r="U363" s="242">
        <f t="shared" si="43"/>
        <v>77609</v>
      </c>
    </row>
    <row r="364" spans="1:21" s="237" customFormat="1" x14ac:dyDescent="0.3">
      <c r="A364" s="237">
        <v>359</v>
      </c>
      <c r="B364" s="263">
        <v>0</v>
      </c>
      <c r="C364" s="263">
        <f t="shared" si="46"/>
        <v>1</v>
      </c>
      <c r="D364" s="264">
        <f t="shared" si="45"/>
        <v>0</v>
      </c>
      <c r="E364" s="270" t="s">
        <v>1029</v>
      </c>
      <c r="F364" s="384" t="s">
        <v>364</v>
      </c>
      <c r="G364" s="384">
        <v>31</v>
      </c>
      <c r="H364" s="385">
        <v>39721</v>
      </c>
      <c r="I364" s="265">
        <f t="shared" si="38"/>
        <v>2008</v>
      </c>
      <c r="J364" s="383">
        <v>340</v>
      </c>
      <c r="K364" s="641" t="str">
        <f>VLOOKUP(J364,'Cost Escalators'!$C$313:$D$330,2,FALSE)</f>
        <v>Sanitation Sewer System</v>
      </c>
      <c r="L364" s="238" t="s">
        <v>1030</v>
      </c>
      <c r="M364" s="384" t="s">
        <v>950</v>
      </c>
      <c r="N364" s="246">
        <v>143250</v>
      </c>
      <c r="O364" s="267">
        <v>50</v>
      </c>
      <c r="P364" s="250">
        <f t="shared" si="39"/>
        <v>2058</v>
      </c>
      <c r="Q364" s="268">
        <f>IF(J364=10,1,IFERROR(INDEX('Cost Escalators'!$D$28:$D$92,MATCH($P$4,'Cost Escalators'!$B$28:$B$92,0))/INDEX('Cost Escalators'!$D$28:$D$92,MATCH(I364,'Cost Escalators'!$B$28:$B$92,0)),1))</f>
        <v>1.2078821488382354</v>
      </c>
      <c r="R364" s="269">
        <f t="shared" si="40"/>
        <v>173029.11782107723</v>
      </c>
      <c r="S364" s="269">
        <f t="shared" si="41"/>
        <v>589865.73130366358</v>
      </c>
      <c r="T364" s="269">
        <f t="shared" si="42"/>
        <v>150418.39069079069</v>
      </c>
      <c r="U364" s="242">
        <f t="shared" si="43"/>
        <v>20055</v>
      </c>
    </row>
    <row r="365" spans="1:21" s="237" customFormat="1" x14ac:dyDescent="0.3">
      <c r="A365" s="237">
        <v>360</v>
      </c>
      <c r="B365" s="263">
        <v>0</v>
      </c>
      <c r="C365" s="263">
        <f t="shared" si="46"/>
        <v>1</v>
      </c>
      <c r="D365" s="264">
        <f t="shared" si="45"/>
        <v>0</v>
      </c>
      <c r="E365" s="270" t="s">
        <v>1031</v>
      </c>
      <c r="F365" s="384" t="s">
        <v>364</v>
      </c>
      <c r="G365" s="384">
        <v>31</v>
      </c>
      <c r="H365" s="385">
        <v>40178</v>
      </c>
      <c r="I365" s="265">
        <f t="shared" si="38"/>
        <v>2009</v>
      </c>
      <c r="J365" s="383">
        <v>340</v>
      </c>
      <c r="K365" s="641" t="str">
        <f>VLOOKUP(J365,'Cost Escalators'!$C$313:$D$330,2,FALSE)</f>
        <v>Sanitation Sewer System</v>
      </c>
      <c r="L365" s="238" t="s">
        <v>1032</v>
      </c>
      <c r="M365" s="384" t="s">
        <v>950</v>
      </c>
      <c r="N365" s="246">
        <v>107450</v>
      </c>
      <c r="O365" s="267">
        <v>50</v>
      </c>
      <c r="P365" s="250">
        <f t="shared" si="39"/>
        <v>2059</v>
      </c>
      <c r="Q365" s="268">
        <f>IF(J365=10,1,IFERROR(INDEX('Cost Escalators'!$D$28:$D$92,MATCH($P$4,'Cost Escalators'!$B$28:$B$92,0))/INDEX('Cost Escalators'!$D$28:$D$92,MATCH(I365,'Cost Escalators'!$B$28:$B$92,0)),1))</f>
        <v>1.1712138155015994</v>
      </c>
      <c r="R365" s="269">
        <f t="shared" si="40"/>
        <v>125846.92447564685</v>
      </c>
      <c r="S365" s="269">
        <f t="shared" si="41"/>
        <v>441431.59662566852</v>
      </c>
      <c r="T365" s="269">
        <f t="shared" si="42"/>
        <v>112204.45778951739</v>
      </c>
      <c r="U365" s="242">
        <f t="shared" si="43"/>
        <v>12894</v>
      </c>
    </row>
    <row r="366" spans="1:21" s="237" customFormat="1" x14ac:dyDescent="0.3">
      <c r="A366" s="237">
        <v>361</v>
      </c>
      <c r="B366" s="263">
        <v>0</v>
      </c>
      <c r="C366" s="263">
        <f t="shared" si="46"/>
        <v>1</v>
      </c>
      <c r="D366" s="264">
        <f t="shared" si="45"/>
        <v>0</v>
      </c>
      <c r="E366" s="270" t="s">
        <v>1033</v>
      </c>
      <c r="F366" s="384" t="s">
        <v>364</v>
      </c>
      <c r="G366" s="384">
        <v>31</v>
      </c>
      <c r="H366" s="385">
        <v>40543</v>
      </c>
      <c r="I366" s="265">
        <f t="shared" si="38"/>
        <v>2010</v>
      </c>
      <c r="J366" s="383">
        <v>340</v>
      </c>
      <c r="K366" s="641" t="str">
        <f>VLOOKUP(J366,'Cost Escalators'!$C$313:$D$330,2,FALSE)</f>
        <v>Sanitation Sewer System</v>
      </c>
      <c r="L366" s="238" t="s">
        <v>1034</v>
      </c>
      <c r="M366" s="384" t="s">
        <v>1035</v>
      </c>
      <c r="N366" s="246">
        <v>30000</v>
      </c>
      <c r="O366" s="267">
        <v>50</v>
      </c>
      <c r="P366" s="250">
        <f t="shared" si="39"/>
        <v>2060</v>
      </c>
      <c r="Q366" s="268">
        <f>IF(J366=10,1,IFERROR(INDEX('Cost Escalators'!$D$28:$D$92,MATCH($P$4,'Cost Escalators'!$B$28:$B$92,0))/INDEX('Cost Escalators'!$D$28:$D$92,MATCH(I366,'Cost Escalators'!$B$28:$B$92,0)),1))</f>
        <v>1.1407540701033272</v>
      </c>
      <c r="R366" s="269">
        <f t="shared" si="40"/>
        <v>34222.622103099813</v>
      </c>
      <c r="S366" s="269">
        <f t="shared" si="41"/>
        <v>123515.3483381691</v>
      </c>
      <c r="T366" s="269">
        <f t="shared" si="42"/>
        <v>31138.518575254406</v>
      </c>
      <c r="U366" s="242">
        <f t="shared" si="43"/>
        <v>3000</v>
      </c>
    </row>
    <row r="367" spans="1:21" s="237" customFormat="1" x14ac:dyDescent="0.3">
      <c r="A367" s="237">
        <v>362</v>
      </c>
      <c r="B367" s="263">
        <v>0</v>
      </c>
      <c r="C367" s="263">
        <f t="shared" si="46"/>
        <v>1</v>
      </c>
      <c r="D367" s="264">
        <f t="shared" si="45"/>
        <v>0</v>
      </c>
      <c r="E367" s="270" t="s">
        <v>1036</v>
      </c>
      <c r="F367" s="384" t="s">
        <v>364</v>
      </c>
      <c r="G367" s="384">
        <v>31</v>
      </c>
      <c r="H367" s="385">
        <v>40908</v>
      </c>
      <c r="I367" s="265">
        <f t="shared" si="38"/>
        <v>2011</v>
      </c>
      <c r="J367" s="383">
        <v>340</v>
      </c>
      <c r="K367" s="641" t="str">
        <f>VLOOKUP(J367,'Cost Escalators'!$C$313:$D$330,2,FALSE)</f>
        <v>Sanitation Sewer System</v>
      </c>
      <c r="L367" s="238" t="s">
        <v>1037</v>
      </c>
      <c r="M367" s="384" t="s">
        <v>1038</v>
      </c>
      <c r="N367" s="246">
        <v>330775</v>
      </c>
      <c r="O367" s="267">
        <v>50</v>
      </c>
      <c r="P367" s="250">
        <f t="shared" si="39"/>
        <v>2061</v>
      </c>
      <c r="Q367" s="268">
        <f>IF(J367=10,1,IFERROR(INDEX('Cost Escalators'!$D$28:$D$92,MATCH($P$4,'Cost Escalators'!$B$28:$B$92,0))/INDEX('Cost Escalators'!$D$28:$D$92,MATCH(I367,'Cost Escalators'!$B$28:$B$92,0)),1))</f>
        <v>1.1066796523273121</v>
      </c>
      <c r="R367" s="269">
        <f t="shared" si="40"/>
        <v>366061.96199856669</v>
      </c>
      <c r="S367" s="269">
        <f t="shared" si="41"/>
        <v>1359405.696537328</v>
      </c>
      <c r="T367" s="269">
        <f t="shared" si="42"/>
        <v>341089.10835341405</v>
      </c>
      <c r="U367" s="242">
        <f t="shared" si="43"/>
        <v>26462</v>
      </c>
    </row>
    <row r="368" spans="1:21" s="237" customFormat="1" x14ac:dyDescent="0.3">
      <c r="A368" s="237">
        <v>363</v>
      </c>
      <c r="B368" s="263">
        <v>0</v>
      </c>
      <c r="C368" s="263">
        <f t="shared" si="46"/>
        <v>1</v>
      </c>
      <c r="D368" s="264">
        <f t="shared" si="45"/>
        <v>0</v>
      </c>
      <c r="E368" s="270" t="s">
        <v>1039</v>
      </c>
      <c r="F368" s="384" t="s">
        <v>364</v>
      </c>
      <c r="G368" s="384">
        <v>31</v>
      </c>
      <c r="H368" s="385">
        <v>40908</v>
      </c>
      <c r="I368" s="265">
        <f t="shared" si="38"/>
        <v>2011</v>
      </c>
      <c r="J368" s="383">
        <v>340</v>
      </c>
      <c r="K368" s="641" t="str">
        <f>VLOOKUP(J368,'Cost Escalators'!$C$313:$D$330,2,FALSE)</f>
        <v>Sanitation Sewer System</v>
      </c>
      <c r="L368" s="238" t="s">
        <v>1040</v>
      </c>
      <c r="M368" s="384" t="s">
        <v>1041</v>
      </c>
      <c r="N368" s="246">
        <v>7750</v>
      </c>
      <c r="O368" s="267">
        <v>50</v>
      </c>
      <c r="P368" s="250">
        <f t="shared" si="39"/>
        <v>2061</v>
      </c>
      <c r="Q368" s="268">
        <f>IF(J368=10,1,IFERROR(INDEX('Cost Escalators'!$D$28:$D$92,MATCH($P$4,'Cost Escalators'!$B$28:$B$92,0))/INDEX('Cost Escalators'!$D$28:$D$92,MATCH(I368,'Cost Escalators'!$B$28:$B$92,0)),1))</f>
        <v>1.1066796523273121</v>
      </c>
      <c r="R368" s="269">
        <f t="shared" si="40"/>
        <v>8576.7673055366686</v>
      </c>
      <c r="S368" s="269">
        <f t="shared" si="41"/>
        <v>31850.636076379076</v>
      </c>
      <c r="T368" s="269">
        <f t="shared" si="42"/>
        <v>7991.6577423897179</v>
      </c>
      <c r="U368" s="242">
        <f t="shared" si="43"/>
        <v>620</v>
      </c>
    </row>
    <row r="369" spans="1:21" s="237" customFormat="1" x14ac:dyDescent="0.3">
      <c r="A369" s="237">
        <v>364</v>
      </c>
      <c r="B369" s="263">
        <v>0</v>
      </c>
      <c r="C369" s="263">
        <f t="shared" si="46"/>
        <v>1</v>
      </c>
      <c r="D369" s="264">
        <f t="shared" si="45"/>
        <v>0</v>
      </c>
      <c r="E369" s="270" t="s">
        <v>1042</v>
      </c>
      <c r="F369" s="384" t="s">
        <v>364</v>
      </c>
      <c r="G369" s="384">
        <v>31</v>
      </c>
      <c r="H369" s="385">
        <v>41274</v>
      </c>
      <c r="I369" s="265">
        <f t="shared" si="38"/>
        <v>2012</v>
      </c>
      <c r="J369" s="383">
        <v>340</v>
      </c>
      <c r="K369" s="641" t="str">
        <f>VLOOKUP(J369,'Cost Escalators'!$C$313:$D$330,2,FALSE)</f>
        <v>Sanitation Sewer System</v>
      </c>
      <c r="L369" s="238" t="s">
        <v>1043</v>
      </c>
      <c r="M369" s="384" t="s">
        <v>1044</v>
      </c>
      <c r="N369" s="246">
        <v>386300</v>
      </c>
      <c r="O369" s="267">
        <v>50</v>
      </c>
      <c r="P369" s="250">
        <f t="shared" si="39"/>
        <v>2062</v>
      </c>
      <c r="Q369" s="268">
        <f>IF(J369=10,1,IFERROR(INDEX('Cost Escalators'!$D$28:$D$92,MATCH($P$4,'Cost Escalators'!$B$28:$B$92,0))/INDEX('Cost Escalators'!$D$28:$D$92,MATCH(I369,'Cost Escalators'!$B$28:$B$92,0)),1))</f>
        <v>1.0783433902128956</v>
      </c>
      <c r="R369" s="269">
        <f t="shared" si="40"/>
        <v>416564.05163924157</v>
      </c>
      <c r="S369" s="269">
        <f t="shared" si="41"/>
        <v>1591706.9323017318</v>
      </c>
      <c r="T369" s="269">
        <f t="shared" si="42"/>
        <v>395560.6405248525</v>
      </c>
      <c r="U369" s="242">
        <f t="shared" si="43"/>
        <v>23178</v>
      </c>
    </row>
    <row r="370" spans="1:21" s="237" customFormat="1" x14ac:dyDescent="0.3">
      <c r="A370" s="237">
        <v>365</v>
      </c>
      <c r="B370" s="263">
        <v>0</v>
      </c>
      <c r="C370" s="263">
        <f t="shared" si="46"/>
        <v>1</v>
      </c>
      <c r="D370" s="264">
        <f t="shared" si="45"/>
        <v>0</v>
      </c>
      <c r="E370" s="270" t="s">
        <v>1045</v>
      </c>
      <c r="F370" s="384" t="s">
        <v>764</v>
      </c>
      <c r="G370" s="384">
        <v>31</v>
      </c>
      <c r="H370" s="385">
        <v>41639</v>
      </c>
      <c r="I370" s="265">
        <f t="shared" si="38"/>
        <v>2013</v>
      </c>
      <c r="J370" s="383">
        <v>340</v>
      </c>
      <c r="K370" s="641" t="str">
        <f>VLOOKUP(J370,'Cost Escalators'!$C$313:$D$330,2,FALSE)</f>
        <v>Sanitation Sewer System</v>
      </c>
      <c r="L370" s="238" t="s">
        <v>1046</v>
      </c>
      <c r="M370" s="384" t="s">
        <v>1047</v>
      </c>
      <c r="N370" s="246">
        <v>63250</v>
      </c>
      <c r="O370" s="267">
        <v>50</v>
      </c>
      <c r="P370" s="250">
        <f t="shared" si="39"/>
        <v>2063</v>
      </c>
      <c r="Q370" s="268">
        <f>IF(J370=10,1,IFERROR(INDEX('Cost Escalators'!$D$28:$D$92,MATCH($P$4,'Cost Escalators'!$B$28:$B$92,0))/INDEX('Cost Escalators'!$D$28:$D$92,MATCH(I370,'Cost Escalators'!$B$28:$B$92,0)),1))</f>
        <v>1.0514036312849162</v>
      </c>
      <c r="R370" s="269">
        <f t="shared" si="40"/>
        <v>66501.279678770952</v>
      </c>
      <c r="S370" s="269">
        <f t="shared" si="41"/>
        <v>261455.72630215687</v>
      </c>
      <c r="T370" s="269">
        <f t="shared" si="42"/>
        <v>64284.376505349283</v>
      </c>
      <c r="U370" s="242">
        <f t="shared" si="43"/>
        <v>2530</v>
      </c>
    </row>
    <row r="371" spans="1:21" s="237" customFormat="1" x14ac:dyDescent="0.3">
      <c r="A371" s="237">
        <v>366</v>
      </c>
      <c r="B371" s="263">
        <v>0</v>
      </c>
      <c r="C371" s="263">
        <f t="shared" si="46"/>
        <v>1</v>
      </c>
      <c r="D371" s="264">
        <f t="shared" si="45"/>
        <v>0</v>
      </c>
      <c r="E371" s="270" t="s">
        <v>1048</v>
      </c>
      <c r="F371" s="384" t="s">
        <v>764</v>
      </c>
      <c r="G371" s="384">
        <v>31</v>
      </c>
      <c r="H371" s="385">
        <v>42004</v>
      </c>
      <c r="I371" s="265">
        <f t="shared" si="38"/>
        <v>2014</v>
      </c>
      <c r="J371" s="383">
        <v>340</v>
      </c>
      <c r="K371" s="641" t="str">
        <f>VLOOKUP(J371,'Cost Escalators'!$C$313:$D$330,2,FALSE)</f>
        <v>Sanitation Sewer System</v>
      </c>
      <c r="L371" s="238" t="s">
        <v>1049</v>
      </c>
      <c r="M371" s="384" t="s">
        <v>1050</v>
      </c>
      <c r="N371" s="246">
        <v>93100</v>
      </c>
      <c r="O371" s="267">
        <v>50</v>
      </c>
      <c r="P371" s="250">
        <f t="shared" si="39"/>
        <v>2064</v>
      </c>
      <c r="Q371" s="268">
        <f>IF(J371=10,1,IFERROR(INDEX('Cost Escalators'!$D$28:$D$92,MATCH($P$4,'Cost Escalators'!$B$28:$B$92,0))/INDEX('Cost Escalators'!$D$28:$D$92,MATCH(I371,'Cost Escalators'!$B$28:$B$92,0)),1))</f>
        <v>1.028501165560878</v>
      </c>
      <c r="R371" s="269">
        <f t="shared" si="40"/>
        <v>95753.458513717749</v>
      </c>
      <c r="S371" s="269">
        <f t="shared" si="41"/>
        <v>387355.26317054982</v>
      </c>
      <c r="T371" s="269">
        <f t="shared" si="42"/>
        <v>93877.732940550981</v>
      </c>
      <c r="U371" s="242">
        <f t="shared" si="43"/>
        <v>1862</v>
      </c>
    </row>
    <row r="372" spans="1:21" s="237" customFormat="1" x14ac:dyDescent="0.3">
      <c r="A372" s="237">
        <v>367</v>
      </c>
      <c r="B372" s="263">
        <v>0</v>
      </c>
      <c r="C372" s="263">
        <v>0</v>
      </c>
      <c r="D372" s="264">
        <f t="shared" si="45"/>
        <v>1</v>
      </c>
      <c r="E372" s="270" t="s">
        <v>1051</v>
      </c>
      <c r="F372" s="384" t="s">
        <v>364</v>
      </c>
      <c r="G372" s="384">
        <v>31</v>
      </c>
      <c r="H372" s="385">
        <v>33543</v>
      </c>
      <c r="I372" s="265">
        <f t="shared" si="38"/>
        <v>1991</v>
      </c>
      <c r="J372" s="383">
        <v>350</v>
      </c>
      <c r="K372" s="641" t="str">
        <f>VLOOKUP(J372,'Cost Escalators'!$C$313:$D$330,2,FALSE)</f>
        <v>Storm Water System</v>
      </c>
      <c r="L372" s="238" t="s">
        <v>1052</v>
      </c>
      <c r="M372" s="384" t="s">
        <v>1506</v>
      </c>
      <c r="N372" s="246">
        <v>191146</v>
      </c>
      <c r="O372" s="267">
        <v>50</v>
      </c>
      <c r="P372" s="250">
        <f t="shared" si="39"/>
        <v>2041</v>
      </c>
      <c r="Q372" s="268">
        <f>IF(J372=10,1,IFERROR(INDEX('Cost Escalators'!$D$28:$D$92,MATCH($P$4,'Cost Escalators'!$B$28:$B$92,0))/INDEX('Cost Escalators'!$D$28:$D$92,MATCH(I372,'Cost Escalators'!$B$28:$B$92,0)),1))</f>
        <v>2.0759875904860392</v>
      </c>
      <c r="R372" s="269">
        <f t="shared" si="40"/>
        <v>396816.72397104447</v>
      </c>
      <c r="S372" s="269">
        <f t="shared" si="41"/>
        <v>833005.2111050539</v>
      </c>
      <c r="T372" s="269">
        <f t="shared" si="42"/>
        <v>197084.57521150113</v>
      </c>
      <c r="U372" s="242">
        <f t="shared" si="43"/>
        <v>91750.080000000002</v>
      </c>
    </row>
    <row r="373" spans="1:21" s="237" customFormat="1" x14ac:dyDescent="0.3">
      <c r="A373" s="237">
        <v>368</v>
      </c>
      <c r="B373" s="263">
        <v>0</v>
      </c>
      <c r="C373" s="263">
        <v>0</v>
      </c>
      <c r="D373" s="264">
        <f t="shared" si="45"/>
        <v>1</v>
      </c>
      <c r="E373" s="270" t="s">
        <v>1053</v>
      </c>
      <c r="F373" s="384" t="s">
        <v>364</v>
      </c>
      <c r="G373" s="384">
        <v>31</v>
      </c>
      <c r="H373" s="385">
        <v>33909</v>
      </c>
      <c r="I373" s="265">
        <f t="shared" si="38"/>
        <v>1992</v>
      </c>
      <c r="J373" s="383">
        <v>350</v>
      </c>
      <c r="K373" s="641" t="str">
        <f>VLOOKUP(J373,'Cost Escalators'!$C$313:$D$330,2,FALSE)</f>
        <v>Storm Water System</v>
      </c>
      <c r="L373" s="238" t="s">
        <v>1054</v>
      </c>
      <c r="M373" s="384" t="s">
        <v>1506</v>
      </c>
      <c r="N373" s="246">
        <v>827524.5</v>
      </c>
      <c r="O373" s="267">
        <v>50</v>
      </c>
      <c r="P373" s="250">
        <f t="shared" si="39"/>
        <v>2042</v>
      </c>
      <c r="Q373" s="268">
        <f>IF(J373=10,1,IFERROR(INDEX('Cost Escalators'!$D$28:$D$92,MATCH($P$4,'Cost Escalators'!$B$28:$B$92,0))/INDEX('Cost Escalators'!$D$28:$D$92,MATCH(I373,'Cost Escalators'!$B$28:$B$92,0)),1))</f>
        <v>2.0135205616850551</v>
      </c>
      <c r="R373" s="269">
        <f t="shared" si="40"/>
        <v>1666237.5960481444</v>
      </c>
      <c r="S373" s="269">
        <f t="shared" si="41"/>
        <v>3598997.2674489813</v>
      </c>
      <c r="T373" s="269">
        <f t="shared" si="42"/>
        <v>861136.23029941181</v>
      </c>
      <c r="U373" s="242">
        <f t="shared" si="43"/>
        <v>380661.27</v>
      </c>
    </row>
    <row r="374" spans="1:21" s="237" customFormat="1" x14ac:dyDescent="0.3">
      <c r="A374" s="237">
        <v>369</v>
      </c>
      <c r="B374" s="263">
        <v>0</v>
      </c>
      <c r="C374" s="263">
        <v>0</v>
      </c>
      <c r="D374" s="264">
        <f t="shared" si="45"/>
        <v>1</v>
      </c>
      <c r="E374" s="270" t="s">
        <v>1055</v>
      </c>
      <c r="F374" s="384" t="s">
        <v>364</v>
      </c>
      <c r="G374" s="384">
        <v>31</v>
      </c>
      <c r="H374" s="385">
        <v>34274</v>
      </c>
      <c r="I374" s="265">
        <f t="shared" si="38"/>
        <v>1993</v>
      </c>
      <c r="J374" s="383">
        <v>350</v>
      </c>
      <c r="K374" s="641" t="str">
        <f>VLOOKUP(J374,'Cost Escalators'!$C$313:$D$330,2,FALSE)</f>
        <v>Storm Water System</v>
      </c>
      <c r="L374" s="238" t="s">
        <v>1056</v>
      </c>
      <c r="M374" s="384" t="s">
        <v>1506</v>
      </c>
      <c r="N374" s="246">
        <v>935355.5</v>
      </c>
      <c r="O374" s="267">
        <v>50</v>
      </c>
      <c r="P374" s="250">
        <f t="shared" si="39"/>
        <v>2043</v>
      </c>
      <c r="Q374" s="268">
        <f>IF(J374=10,1,IFERROR(INDEX('Cost Escalators'!$D$28:$D$92,MATCH($P$4,'Cost Escalators'!$B$28:$B$92,0))/INDEX('Cost Escalators'!$D$28:$D$92,MATCH(I374,'Cost Escalators'!$B$28:$B$92,0)),1))</f>
        <v>1.9265642994241843</v>
      </c>
      <c r="R374" s="269">
        <f t="shared" si="40"/>
        <v>1802022.5135700577</v>
      </c>
      <c r="S374" s="269">
        <f t="shared" si="41"/>
        <v>4004899.6322806221</v>
      </c>
      <c r="T374" s="269">
        <f t="shared" si="42"/>
        <v>981013.84346258431</v>
      </c>
      <c r="U374" s="242">
        <f t="shared" si="43"/>
        <v>411556.42000000004</v>
      </c>
    </row>
    <row r="375" spans="1:21" s="237" customFormat="1" x14ac:dyDescent="0.3">
      <c r="A375" s="237">
        <v>370</v>
      </c>
      <c r="B375" s="263">
        <v>0</v>
      </c>
      <c r="C375" s="263">
        <v>0</v>
      </c>
      <c r="D375" s="264">
        <f t="shared" si="45"/>
        <v>1</v>
      </c>
      <c r="E375" s="270" t="s">
        <v>1057</v>
      </c>
      <c r="F375" s="384" t="s">
        <v>364</v>
      </c>
      <c r="G375" s="384">
        <v>31</v>
      </c>
      <c r="H375" s="385">
        <v>34530</v>
      </c>
      <c r="I375" s="265">
        <f t="shared" si="38"/>
        <v>1994</v>
      </c>
      <c r="J375" s="383">
        <v>350</v>
      </c>
      <c r="K375" s="641" t="str">
        <f>VLOOKUP(J375,'Cost Escalators'!$C$313:$D$330,2,FALSE)</f>
        <v>Storm Water System</v>
      </c>
      <c r="L375" s="238" t="s">
        <v>1058</v>
      </c>
      <c r="M375" s="384" t="s">
        <v>1506</v>
      </c>
      <c r="N375" s="246">
        <v>1533851.5</v>
      </c>
      <c r="O375" s="267">
        <v>50</v>
      </c>
      <c r="P375" s="250">
        <f t="shared" si="39"/>
        <v>2044</v>
      </c>
      <c r="Q375" s="268">
        <f>IF(J375=10,1,IFERROR(INDEX('Cost Escalators'!$D$28:$D$92,MATCH($P$4,'Cost Escalators'!$B$28:$B$92,0))/INDEX('Cost Escalators'!$D$28:$D$92,MATCH(I375,'Cost Escalators'!$B$28:$B$92,0)),1))</f>
        <v>1.8560281065088757</v>
      </c>
      <c r="R375" s="269">
        <f t="shared" si="40"/>
        <v>2846871.4952107989</v>
      </c>
      <c r="S375" s="269">
        <f t="shared" si="41"/>
        <v>6510076.9891843731</v>
      </c>
      <c r="T375" s="269">
        <f t="shared" si="42"/>
        <v>1619328.1924385841</v>
      </c>
      <c r="U375" s="242">
        <f t="shared" si="43"/>
        <v>644217.63</v>
      </c>
    </row>
    <row r="376" spans="1:21" s="237" customFormat="1" x14ac:dyDescent="0.3">
      <c r="A376" s="237">
        <v>371</v>
      </c>
      <c r="B376" s="263">
        <v>0</v>
      </c>
      <c r="C376" s="263">
        <v>0</v>
      </c>
      <c r="D376" s="264">
        <f t="shared" si="45"/>
        <v>1</v>
      </c>
      <c r="E376" s="270" t="s">
        <v>1059</v>
      </c>
      <c r="F376" s="384" t="s">
        <v>364</v>
      </c>
      <c r="G376" s="384">
        <v>31</v>
      </c>
      <c r="H376" s="385">
        <v>34790</v>
      </c>
      <c r="I376" s="265">
        <f t="shared" si="38"/>
        <v>1995</v>
      </c>
      <c r="J376" s="383">
        <v>350</v>
      </c>
      <c r="K376" s="641" t="str">
        <f>VLOOKUP(J376,'Cost Escalators'!$C$313:$D$330,2,FALSE)</f>
        <v>Storm Water System</v>
      </c>
      <c r="L376" s="238" t="s">
        <v>1060</v>
      </c>
      <c r="M376" s="384" t="s">
        <v>1506</v>
      </c>
      <c r="N376" s="246">
        <v>1356743.35</v>
      </c>
      <c r="O376" s="267">
        <v>50</v>
      </c>
      <c r="P376" s="250">
        <f t="shared" si="39"/>
        <v>2045</v>
      </c>
      <c r="Q376" s="268">
        <f>IF(J376=10,1,IFERROR(INDEX('Cost Escalators'!$D$28:$D$92,MATCH($P$4,'Cost Escalators'!$B$28:$B$92,0))/INDEX('Cost Escalators'!$D$28:$D$92,MATCH(I376,'Cost Escalators'!$B$28:$B$92,0)),1))</f>
        <v>1.8346554560409432</v>
      </c>
      <c r="R376" s="269">
        <f t="shared" si="40"/>
        <v>2489156.5895247669</v>
      </c>
      <c r="S376" s="269">
        <f t="shared" si="41"/>
        <v>5856758.4871902531</v>
      </c>
      <c r="T376" s="269">
        <f t="shared" si="42"/>
        <v>1440076.8981398905</v>
      </c>
      <c r="U376" s="242">
        <f t="shared" si="43"/>
        <v>542697.34000000008</v>
      </c>
    </row>
    <row r="377" spans="1:21" s="237" customFormat="1" x14ac:dyDescent="0.3">
      <c r="A377" s="237">
        <v>372</v>
      </c>
      <c r="B377" s="263">
        <v>0</v>
      </c>
      <c r="C377" s="263">
        <v>0</v>
      </c>
      <c r="D377" s="264">
        <f t="shared" si="45"/>
        <v>1</v>
      </c>
      <c r="E377" s="270" t="s">
        <v>1061</v>
      </c>
      <c r="F377" s="384" t="s">
        <v>364</v>
      </c>
      <c r="G377" s="384">
        <v>31</v>
      </c>
      <c r="H377" s="385">
        <v>35156</v>
      </c>
      <c r="I377" s="265">
        <f t="shared" si="38"/>
        <v>1996</v>
      </c>
      <c r="J377" s="383">
        <v>350</v>
      </c>
      <c r="K377" s="641" t="str">
        <f>VLOOKUP(J377,'Cost Escalators'!$C$313:$D$330,2,FALSE)</f>
        <v>Storm Water System</v>
      </c>
      <c r="L377" s="238" t="s">
        <v>1062</v>
      </c>
      <c r="M377" s="384" t="s">
        <v>1506</v>
      </c>
      <c r="N377" s="246">
        <v>369599</v>
      </c>
      <c r="O377" s="267">
        <v>50</v>
      </c>
      <c r="P377" s="250">
        <f t="shared" si="39"/>
        <v>2046</v>
      </c>
      <c r="Q377" s="268">
        <f>IF(J377=10,1,IFERROR(INDEX('Cost Escalators'!$D$28:$D$92,MATCH($P$4,'Cost Escalators'!$B$28:$B$92,0))/INDEX('Cost Escalators'!$D$28:$D$92,MATCH(I377,'Cost Escalators'!$B$28:$B$92,0)),1))</f>
        <v>1.7860142348754449</v>
      </c>
      <c r="R377" s="269">
        <f t="shared" si="40"/>
        <v>660109.0751957295</v>
      </c>
      <c r="S377" s="269">
        <f t="shared" si="41"/>
        <v>1598113.562800203</v>
      </c>
      <c r="T377" s="269">
        <f t="shared" si="42"/>
        <v>393978.36350675463</v>
      </c>
      <c r="U377" s="242">
        <f t="shared" si="43"/>
        <v>140447.62</v>
      </c>
    </row>
    <row r="378" spans="1:21" s="237" customFormat="1" x14ac:dyDescent="0.3">
      <c r="A378" s="237">
        <v>373</v>
      </c>
      <c r="B378" s="263">
        <v>0</v>
      </c>
      <c r="C378" s="263">
        <v>0</v>
      </c>
      <c r="D378" s="264">
        <f t="shared" si="45"/>
        <v>1</v>
      </c>
      <c r="E378" s="270" t="s">
        <v>1063</v>
      </c>
      <c r="F378" s="384" t="s">
        <v>364</v>
      </c>
      <c r="G378" s="384">
        <v>31</v>
      </c>
      <c r="H378" s="385">
        <v>35521</v>
      </c>
      <c r="I378" s="265">
        <f t="shared" si="38"/>
        <v>1997</v>
      </c>
      <c r="J378" s="383">
        <v>350</v>
      </c>
      <c r="K378" s="641" t="str">
        <f>VLOOKUP(J378,'Cost Escalators'!$C$313:$D$330,2,FALSE)</f>
        <v>Storm Water System</v>
      </c>
      <c r="L378" s="238" t="s">
        <v>1064</v>
      </c>
      <c r="M378" s="384" t="s">
        <v>1506</v>
      </c>
      <c r="N378" s="246">
        <v>1027674</v>
      </c>
      <c r="O378" s="267">
        <v>50</v>
      </c>
      <c r="P378" s="250">
        <f t="shared" si="39"/>
        <v>2047</v>
      </c>
      <c r="Q378" s="268">
        <f>IF(J378=10,1,IFERROR(INDEX('Cost Escalators'!$D$28:$D$92,MATCH($P$4,'Cost Escalators'!$B$28:$B$92,0))/INDEX('Cost Escalators'!$D$28:$D$92,MATCH(I378,'Cost Escalators'!$B$28:$B$92,0)),1))</f>
        <v>1.722863027806385</v>
      </c>
      <c r="R378" s="269">
        <f t="shared" si="40"/>
        <v>1770541.539237899</v>
      </c>
      <c r="S378" s="269">
        <f t="shared" si="41"/>
        <v>4410470.1862675054</v>
      </c>
      <c r="T378" s="269">
        <f t="shared" si="42"/>
        <v>1099001.7940775952</v>
      </c>
      <c r="U378" s="242">
        <f t="shared" si="43"/>
        <v>369962.64</v>
      </c>
    </row>
    <row r="379" spans="1:21" s="237" customFormat="1" x14ac:dyDescent="0.3">
      <c r="A379" s="237">
        <v>374</v>
      </c>
      <c r="B379" s="263">
        <v>0</v>
      </c>
      <c r="C379" s="263">
        <v>0</v>
      </c>
      <c r="D379" s="264">
        <f t="shared" si="45"/>
        <v>1</v>
      </c>
      <c r="E379" s="270" t="s">
        <v>1065</v>
      </c>
      <c r="F379" s="384" t="s">
        <v>364</v>
      </c>
      <c r="G379" s="384">
        <v>31</v>
      </c>
      <c r="H379" s="385">
        <v>36068</v>
      </c>
      <c r="I379" s="265">
        <f t="shared" si="38"/>
        <v>1998</v>
      </c>
      <c r="J379" s="383">
        <v>350</v>
      </c>
      <c r="K379" s="641" t="str">
        <f>VLOOKUP(J379,'Cost Escalators'!$C$313:$D$330,2,FALSE)</f>
        <v>Storm Water System</v>
      </c>
      <c r="L379" s="238" t="s">
        <v>1066</v>
      </c>
      <c r="M379" s="384" t="s">
        <v>1506</v>
      </c>
      <c r="N379" s="246">
        <v>275419.5</v>
      </c>
      <c r="O379" s="267">
        <v>50</v>
      </c>
      <c r="P379" s="250">
        <f t="shared" si="39"/>
        <v>2048</v>
      </c>
      <c r="Q379" s="268">
        <f>IF(J379=10,1,IFERROR(INDEX('Cost Escalators'!$D$28:$D$92,MATCH($P$4,'Cost Escalators'!$B$28:$B$92,0))/INDEX('Cost Escalators'!$D$28:$D$92,MATCH(I379,'Cost Escalators'!$B$28:$B$92,0)),1))</f>
        <v>1.6955067567567568</v>
      </c>
      <c r="R379" s="269">
        <f t="shared" si="40"/>
        <v>466975.62319256755</v>
      </c>
      <c r="S379" s="269">
        <f t="shared" si="41"/>
        <v>1196905.3749955087</v>
      </c>
      <c r="T379" s="269">
        <f t="shared" si="42"/>
        <v>295198.97339986212</v>
      </c>
      <c r="U379" s="242">
        <f t="shared" si="43"/>
        <v>93642.63</v>
      </c>
    </row>
    <row r="380" spans="1:21" s="237" customFormat="1" x14ac:dyDescent="0.3">
      <c r="A380" s="237">
        <v>375</v>
      </c>
      <c r="B380" s="263">
        <v>0</v>
      </c>
      <c r="C380" s="263">
        <v>0</v>
      </c>
      <c r="D380" s="264">
        <f t="shared" si="45"/>
        <v>1</v>
      </c>
      <c r="E380" s="270" t="s">
        <v>1067</v>
      </c>
      <c r="F380" s="384" t="s">
        <v>364</v>
      </c>
      <c r="G380" s="384">
        <v>31</v>
      </c>
      <c r="H380" s="385">
        <v>36433</v>
      </c>
      <c r="I380" s="265">
        <f t="shared" si="38"/>
        <v>1999</v>
      </c>
      <c r="J380" s="383">
        <v>350</v>
      </c>
      <c r="K380" s="641" t="str">
        <f>VLOOKUP(J380,'Cost Escalators'!$C$313:$D$330,2,FALSE)</f>
        <v>Storm Water System</v>
      </c>
      <c r="L380" s="238" t="s">
        <v>1068</v>
      </c>
      <c r="M380" s="384" t="s">
        <v>1506</v>
      </c>
      <c r="N380" s="246">
        <v>592370</v>
      </c>
      <c r="O380" s="267">
        <v>50</v>
      </c>
      <c r="P380" s="250">
        <f t="shared" si="39"/>
        <v>2049</v>
      </c>
      <c r="Q380" s="268">
        <f>IF(J380=10,1,IFERROR(INDEX('Cost Escalators'!$D$28:$D$92,MATCH($P$4,'Cost Escalators'!$B$28:$B$92,0))/INDEX('Cost Escalators'!$D$28:$D$92,MATCH(I380,'Cost Escalators'!$B$28:$B$92,0)),1))</f>
        <v>1.6566100016504373</v>
      </c>
      <c r="R380" s="269">
        <f t="shared" si="40"/>
        <v>981326.06667766953</v>
      </c>
      <c r="S380" s="269">
        <f t="shared" si="41"/>
        <v>2588008.9776697285</v>
      </c>
      <c r="T380" s="269">
        <f t="shared" si="42"/>
        <v>635757.29746361356</v>
      </c>
      <c r="U380" s="242">
        <f t="shared" si="43"/>
        <v>189558.39999999999</v>
      </c>
    </row>
    <row r="381" spans="1:21" s="237" customFormat="1" x14ac:dyDescent="0.3">
      <c r="A381" s="237">
        <v>376</v>
      </c>
      <c r="B381" s="263">
        <v>0</v>
      </c>
      <c r="C381" s="263">
        <v>0</v>
      </c>
      <c r="D381" s="264">
        <f t="shared" si="45"/>
        <v>1</v>
      </c>
      <c r="E381" s="270" t="s">
        <v>1069</v>
      </c>
      <c r="F381" s="384" t="s">
        <v>364</v>
      </c>
      <c r="G381" s="384">
        <v>31</v>
      </c>
      <c r="H381" s="385">
        <v>36799</v>
      </c>
      <c r="I381" s="265">
        <f t="shared" si="38"/>
        <v>2000</v>
      </c>
      <c r="J381" s="383">
        <v>350</v>
      </c>
      <c r="K381" s="641" t="str">
        <f>VLOOKUP(J381,'Cost Escalators'!$C$313:$D$330,2,FALSE)</f>
        <v>Storm Water System</v>
      </c>
      <c r="L381" s="238" t="s">
        <v>1070</v>
      </c>
      <c r="M381" s="384" t="s">
        <v>1506</v>
      </c>
      <c r="N381" s="246">
        <v>641216</v>
      </c>
      <c r="O381" s="267">
        <v>50</v>
      </c>
      <c r="P381" s="250">
        <f t="shared" si="39"/>
        <v>2050</v>
      </c>
      <c r="Q381" s="268">
        <f>IF(J381=10,1,IFERROR(INDEX('Cost Escalators'!$D$28:$D$92,MATCH($P$4,'Cost Escalators'!$B$28:$B$92,0))/INDEX('Cost Escalators'!$D$28:$D$92,MATCH(I381,'Cost Escalators'!$B$28:$B$92,0)),1))</f>
        <v>1.6134705031345442</v>
      </c>
      <c r="R381" s="269">
        <f t="shared" si="40"/>
        <v>1034583.1021379199</v>
      </c>
      <c r="S381" s="269">
        <f t="shared" si="41"/>
        <v>2807402.3613981428</v>
      </c>
      <c r="T381" s="269">
        <f t="shared" si="42"/>
        <v>688501.57679903251</v>
      </c>
      <c r="U381" s="242">
        <f t="shared" si="43"/>
        <v>192364.79999999999</v>
      </c>
    </row>
    <row r="382" spans="1:21" s="237" customFormat="1" x14ac:dyDescent="0.3">
      <c r="A382" s="237">
        <v>377</v>
      </c>
      <c r="B382" s="263">
        <v>0</v>
      </c>
      <c r="C382" s="263">
        <v>0</v>
      </c>
      <c r="D382" s="264">
        <f t="shared" si="45"/>
        <v>1</v>
      </c>
      <c r="E382" s="270" t="s">
        <v>1071</v>
      </c>
      <c r="F382" s="384" t="s">
        <v>364</v>
      </c>
      <c r="G382" s="384">
        <v>31</v>
      </c>
      <c r="H382" s="385">
        <v>37164</v>
      </c>
      <c r="I382" s="265">
        <f t="shared" si="38"/>
        <v>2001</v>
      </c>
      <c r="J382" s="383">
        <v>350</v>
      </c>
      <c r="K382" s="641" t="str">
        <f>VLOOKUP(J382,'Cost Escalators'!$C$313:$D$330,2,FALSE)</f>
        <v>Storm Water System</v>
      </c>
      <c r="L382" s="238" t="s">
        <v>1072</v>
      </c>
      <c r="M382" s="384" t="s">
        <v>1506</v>
      </c>
      <c r="N382" s="246">
        <v>1020992.5</v>
      </c>
      <c r="O382" s="267">
        <v>50</v>
      </c>
      <c r="P382" s="250">
        <f t="shared" si="39"/>
        <v>2051</v>
      </c>
      <c r="Q382" s="268">
        <f>IF(J382=10,1,IFERROR(INDEX('Cost Escalators'!$D$28:$D$92,MATCH($P$4,'Cost Escalators'!$B$28:$B$92,0))/INDEX('Cost Escalators'!$D$28:$D$92,MATCH(I382,'Cost Escalators'!$B$28:$B$92,0)),1))</f>
        <v>1.5824373324925114</v>
      </c>
      <c r="R382" s="269">
        <f t="shared" si="40"/>
        <v>1615656.6481948604</v>
      </c>
      <c r="S382" s="269">
        <f t="shared" si="41"/>
        <v>4511024.5295840744</v>
      </c>
      <c r="T382" s="269">
        <f t="shared" si="42"/>
        <v>1095899.5795858237</v>
      </c>
      <c r="U382" s="242">
        <f t="shared" si="43"/>
        <v>285877.89999999997</v>
      </c>
    </row>
    <row r="383" spans="1:21" s="237" customFormat="1" x14ac:dyDescent="0.3">
      <c r="A383" s="237">
        <v>378</v>
      </c>
      <c r="B383" s="263">
        <v>0</v>
      </c>
      <c r="C383" s="263">
        <v>0</v>
      </c>
      <c r="D383" s="264">
        <f t="shared" si="45"/>
        <v>1</v>
      </c>
      <c r="E383" s="270" t="s">
        <v>1073</v>
      </c>
      <c r="F383" s="384" t="s">
        <v>364</v>
      </c>
      <c r="G383" s="384">
        <v>31</v>
      </c>
      <c r="H383" s="385">
        <v>25143</v>
      </c>
      <c r="I383" s="265">
        <f t="shared" si="38"/>
        <v>1968</v>
      </c>
      <c r="J383" s="383">
        <v>350</v>
      </c>
      <c r="K383" s="641" t="str">
        <f>VLOOKUP(J383,'Cost Escalators'!$C$313:$D$330,2,FALSE)</f>
        <v>Storm Water System</v>
      </c>
      <c r="L383" s="238" t="s">
        <v>1074</v>
      </c>
      <c r="M383" s="384" t="s">
        <v>1506</v>
      </c>
      <c r="N383" s="246">
        <v>1740</v>
      </c>
      <c r="O383" s="267">
        <v>50</v>
      </c>
      <c r="P383" s="250">
        <f t="shared" si="39"/>
        <v>2018</v>
      </c>
      <c r="Q383" s="268">
        <f>IF(J383=10,1,IFERROR(INDEX('Cost Escalators'!$D$28:$D$92,MATCH($P$4,'Cost Escalators'!$B$28:$B$92,0))/INDEX('Cost Escalators'!$D$28:$D$92,MATCH(I383,'Cost Escalators'!$B$28:$B$92,0)),1))</f>
        <v>8.6903896103896106</v>
      </c>
      <c r="R383" s="269">
        <f t="shared" si="40"/>
        <v>15121.277922077923</v>
      </c>
      <c r="S383" s="269">
        <f t="shared" si="41"/>
        <v>16472.101333467686</v>
      </c>
      <c r="T383" s="269">
        <f t="shared" si="42"/>
        <v>398.91633250248236</v>
      </c>
      <c r="U383" s="242">
        <f t="shared" si="43"/>
        <v>1635.6</v>
      </c>
    </row>
    <row r="384" spans="1:21" s="237" customFormat="1" x14ac:dyDescent="0.3">
      <c r="A384" s="237">
        <v>379</v>
      </c>
      <c r="B384" s="263">
        <v>0</v>
      </c>
      <c r="C384" s="263">
        <v>0</v>
      </c>
      <c r="D384" s="264">
        <f t="shared" si="45"/>
        <v>1</v>
      </c>
      <c r="E384" s="270" t="s">
        <v>1075</v>
      </c>
      <c r="F384" s="384" t="s">
        <v>364</v>
      </c>
      <c r="G384" s="384">
        <v>31</v>
      </c>
      <c r="H384" s="385">
        <v>25508</v>
      </c>
      <c r="I384" s="265">
        <f t="shared" si="38"/>
        <v>1969</v>
      </c>
      <c r="J384" s="383">
        <v>350</v>
      </c>
      <c r="K384" s="641" t="str">
        <f>VLOOKUP(J384,'Cost Escalators'!$C$313:$D$330,2,FALSE)</f>
        <v>Storm Water System</v>
      </c>
      <c r="L384" s="238" t="s">
        <v>1076</v>
      </c>
      <c r="M384" s="384" t="s">
        <v>1506</v>
      </c>
      <c r="N384" s="246">
        <v>174795</v>
      </c>
      <c r="O384" s="267">
        <v>50</v>
      </c>
      <c r="P384" s="250">
        <f t="shared" si="39"/>
        <v>2019</v>
      </c>
      <c r="Q384" s="268">
        <f>IF(J384=10,1,IFERROR(INDEX('Cost Escalators'!$D$28:$D$92,MATCH($P$4,'Cost Escalators'!$B$28:$B$92,0))/INDEX('Cost Escalators'!$D$28:$D$92,MATCH(I384,'Cost Escalators'!$B$28:$B$92,0)),1))</f>
        <v>7.909692671394799</v>
      </c>
      <c r="R384" s="269">
        <f t="shared" si="40"/>
        <v>1382574.7304964538</v>
      </c>
      <c r="S384" s="269">
        <f t="shared" si="41"/>
        <v>1549658.3519501211</v>
      </c>
      <c r="T384" s="269">
        <f t="shared" si="42"/>
        <v>51929.420348169951</v>
      </c>
      <c r="U384" s="242">
        <f t="shared" si="43"/>
        <v>160811.4</v>
      </c>
    </row>
    <row r="385" spans="1:21" s="237" customFormat="1" x14ac:dyDescent="0.3">
      <c r="A385" s="237">
        <v>380</v>
      </c>
      <c r="B385" s="263">
        <v>0</v>
      </c>
      <c r="C385" s="263">
        <v>0</v>
      </c>
      <c r="D385" s="264">
        <f t="shared" si="45"/>
        <v>1</v>
      </c>
      <c r="E385" s="270" t="s">
        <v>1077</v>
      </c>
      <c r="F385" s="384" t="s">
        <v>364</v>
      </c>
      <c r="G385" s="384">
        <v>31</v>
      </c>
      <c r="H385" s="385">
        <v>25873</v>
      </c>
      <c r="I385" s="265">
        <f t="shared" si="38"/>
        <v>1970</v>
      </c>
      <c r="J385" s="383">
        <v>350</v>
      </c>
      <c r="K385" s="641" t="str">
        <f>VLOOKUP(J385,'Cost Escalators'!$C$313:$D$330,2,FALSE)</f>
        <v>Storm Water System</v>
      </c>
      <c r="L385" s="238" t="s">
        <v>1078</v>
      </c>
      <c r="M385" s="384" t="s">
        <v>1506</v>
      </c>
      <c r="N385" s="246">
        <v>62050</v>
      </c>
      <c r="O385" s="267">
        <v>50</v>
      </c>
      <c r="P385" s="250">
        <f t="shared" si="39"/>
        <v>2020</v>
      </c>
      <c r="Q385" s="268">
        <f>IF(J385=10,1,IFERROR(INDEX('Cost Escalators'!$D$28:$D$92,MATCH($P$4,'Cost Escalators'!$B$28:$B$92,0))/INDEX('Cost Escalators'!$D$28:$D$92,MATCH(I385,'Cost Escalators'!$B$28:$B$92,0)),1))</f>
        <v>7.2682114409847935</v>
      </c>
      <c r="R385" s="269">
        <f t="shared" si="40"/>
        <v>450992.51991310646</v>
      </c>
      <c r="S385" s="269">
        <f t="shared" si="41"/>
        <v>520119.96143018734</v>
      </c>
      <c r="T385" s="269">
        <f t="shared" si="42"/>
        <v>22394.915682656567</v>
      </c>
      <c r="U385" s="242">
        <f t="shared" si="43"/>
        <v>55845</v>
      </c>
    </row>
    <row r="386" spans="1:21" s="237" customFormat="1" x14ac:dyDescent="0.3">
      <c r="A386" s="237">
        <v>381</v>
      </c>
      <c r="B386" s="263">
        <v>0</v>
      </c>
      <c r="C386" s="263">
        <v>0</v>
      </c>
      <c r="D386" s="264">
        <f t="shared" si="45"/>
        <v>1</v>
      </c>
      <c r="E386" s="270" t="s">
        <v>1079</v>
      </c>
      <c r="F386" s="384" t="s">
        <v>364</v>
      </c>
      <c r="G386" s="384">
        <v>31</v>
      </c>
      <c r="H386" s="385">
        <v>26238</v>
      </c>
      <c r="I386" s="265">
        <f t="shared" si="38"/>
        <v>1971</v>
      </c>
      <c r="J386" s="383">
        <v>350</v>
      </c>
      <c r="K386" s="641" t="str">
        <f>VLOOKUP(J386,'Cost Escalators'!$C$313:$D$330,2,FALSE)</f>
        <v>Storm Water System</v>
      </c>
      <c r="L386" s="238" t="s">
        <v>1080</v>
      </c>
      <c r="M386" s="384" t="s">
        <v>1506</v>
      </c>
      <c r="N386" s="246">
        <v>85965</v>
      </c>
      <c r="O386" s="267">
        <v>50</v>
      </c>
      <c r="P386" s="250">
        <f t="shared" si="39"/>
        <v>2021</v>
      </c>
      <c r="Q386" s="268">
        <f>IF(J386=10,1,IFERROR(INDEX('Cost Escalators'!$D$28:$D$92,MATCH($P$4,'Cost Escalators'!$B$28:$B$92,0))/INDEX('Cost Escalators'!$D$28:$D$92,MATCH(I386,'Cost Escalators'!$B$28:$B$92,0)),1))</f>
        <v>6.3487666034155597</v>
      </c>
      <c r="R386" s="269">
        <f t="shared" si="40"/>
        <v>545771.72106261854</v>
      </c>
      <c r="S386" s="269">
        <f t="shared" si="41"/>
        <v>647637.59083170653</v>
      </c>
      <c r="T386" s="269">
        <f t="shared" si="42"/>
        <v>36184.595558807487</v>
      </c>
      <c r="U386" s="242">
        <f t="shared" si="43"/>
        <v>75649.2</v>
      </c>
    </row>
    <row r="387" spans="1:21" s="237" customFormat="1" x14ac:dyDescent="0.3">
      <c r="A387" s="237">
        <v>382</v>
      </c>
      <c r="B387" s="263">
        <v>0</v>
      </c>
      <c r="C387" s="263">
        <v>0</v>
      </c>
      <c r="D387" s="264">
        <f t="shared" si="45"/>
        <v>1</v>
      </c>
      <c r="E387" s="270" t="s">
        <v>1081</v>
      </c>
      <c r="F387" s="384" t="s">
        <v>364</v>
      </c>
      <c r="G387" s="384">
        <v>31</v>
      </c>
      <c r="H387" s="385">
        <v>26604</v>
      </c>
      <c r="I387" s="265">
        <f t="shared" si="38"/>
        <v>1972</v>
      </c>
      <c r="J387" s="383">
        <v>350</v>
      </c>
      <c r="K387" s="641" t="str">
        <f>VLOOKUP(J387,'Cost Escalators'!$C$313:$D$330,2,FALSE)</f>
        <v>Storm Water System</v>
      </c>
      <c r="L387" s="238" t="s">
        <v>1082</v>
      </c>
      <c r="M387" s="384" t="s">
        <v>1506</v>
      </c>
      <c r="N387" s="246">
        <v>415800</v>
      </c>
      <c r="O387" s="267">
        <v>50</v>
      </c>
      <c r="P387" s="250">
        <f t="shared" si="39"/>
        <v>2022</v>
      </c>
      <c r="Q387" s="268">
        <f>IF(J387=10,1,IFERROR(INDEX('Cost Escalators'!$D$28:$D$92,MATCH($P$4,'Cost Escalators'!$B$28:$B$92,0))/INDEX('Cost Escalators'!$D$28:$D$92,MATCH(I387,'Cost Escalators'!$B$28:$B$92,0)),1))</f>
        <v>5.7258414147176264</v>
      </c>
      <c r="R387" s="269">
        <f t="shared" si="40"/>
        <v>2380804.8602395891</v>
      </c>
      <c r="S387" s="269">
        <f t="shared" si="41"/>
        <v>2906910.4722273783</v>
      </c>
      <c r="T387" s="269">
        <f t="shared" si="42"/>
        <v>198447.89352827717</v>
      </c>
      <c r="U387" s="242">
        <f t="shared" si="43"/>
        <v>357588</v>
      </c>
    </row>
    <row r="388" spans="1:21" s="237" customFormat="1" x14ac:dyDescent="0.3">
      <c r="A388" s="237">
        <v>383</v>
      </c>
      <c r="B388" s="263">
        <v>0</v>
      </c>
      <c r="C388" s="263">
        <v>0</v>
      </c>
      <c r="D388" s="264">
        <f t="shared" si="45"/>
        <v>1</v>
      </c>
      <c r="E388" s="270" t="s">
        <v>1083</v>
      </c>
      <c r="F388" s="384" t="s">
        <v>364</v>
      </c>
      <c r="G388" s="384">
        <v>31</v>
      </c>
      <c r="H388" s="385">
        <v>26969</v>
      </c>
      <c r="I388" s="265">
        <f t="shared" si="38"/>
        <v>1973</v>
      </c>
      <c r="J388" s="383">
        <v>350</v>
      </c>
      <c r="K388" s="641" t="str">
        <f>VLOOKUP(J388,'Cost Escalators'!$C$313:$D$330,2,FALSE)</f>
        <v>Storm Water System</v>
      </c>
      <c r="L388" s="238" t="s">
        <v>1084</v>
      </c>
      <c r="M388" s="384" t="s">
        <v>1506</v>
      </c>
      <c r="N388" s="246">
        <v>248540</v>
      </c>
      <c r="O388" s="267">
        <v>50</v>
      </c>
      <c r="P388" s="250">
        <f t="shared" si="39"/>
        <v>2023</v>
      </c>
      <c r="Q388" s="268">
        <f>IF(J388=10,1,IFERROR(INDEX('Cost Escalators'!$D$28:$D$92,MATCH($P$4,'Cost Escalators'!$B$28:$B$92,0))/INDEX('Cost Escalators'!$D$28:$D$92,MATCH(I388,'Cost Escalators'!$B$28:$B$92,0)),1))</f>
        <v>5.2967810026385225</v>
      </c>
      <c r="R388" s="269">
        <f t="shared" si="40"/>
        <v>1316461.9503957783</v>
      </c>
      <c r="S388" s="269">
        <f t="shared" si="41"/>
        <v>1653876.2238968525</v>
      </c>
      <c r="T388" s="269">
        <f t="shared" si="42"/>
        <v>131753.87976045511</v>
      </c>
      <c r="U388" s="242">
        <f t="shared" si="43"/>
        <v>208773.6</v>
      </c>
    </row>
    <row r="389" spans="1:21" s="237" customFormat="1" x14ac:dyDescent="0.3">
      <c r="A389" s="237">
        <v>384</v>
      </c>
      <c r="B389" s="263">
        <v>0</v>
      </c>
      <c r="C389" s="263">
        <v>0</v>
      </c>
      <c r="D389" s="264">
        <f t="shared" si="45"/>
        <v>1</v>
      </c>
      <c r="E389" s="270" t="s">
        <v>1085</v>
      </c>
      <c r="F389" s="384" t="s">
        <v>364</v>
      </c>
      <c r="G389" s="384">
        <v>31</v>
      </c>
      <c r="H389" s="385">
        <v>27334</v>
      </c>
      <c r="I389" s="265">
        <f t="shared" si="38"/>
        <v>1974</v>
      </c>
      <c r="J389" s="383">
        <v>350</v>
      </c>
      <c r="K389" s="641" t="str">
        <f>VLOOKUP(J389,'Cost Escalators'!$C$313:$D$330,2,FALSE)</f>
        <v>Storm Water System</v>
      </c>
      <c r="L389" s="238" t="s">
        <v>1086</v>
      </c>
      <c r="M389" s="384" t="s">
        <v>1506</v>
      </c>
      <c r="N389" s="246">
        <v>54320</v>
      </c>
      <c r="O389" s="267">
        <v>50</v>
      </c>
      <c r="P389" s="250">
        <f t="shared" si="39"/>
        <v>2024</v>
      </c>
      <c r="Q389" s="268">
        <f>IF(J389=10,1,IFERROR(INDEX('Cost Escalators'!$D$28:$D$92,MATCH($P$4,'Cost Escalators'!$B$28:$B$92,0))/INDEX('Cost Escalators'!$D$28:$D$92,MATCH(I389,'Cost Escalators'!$B$28:$B$92,0)),1))</f>
        <v>4.9690099009900992</v>
      </c>
      <c r="R389" s="269">
        <f t="shared" si="40"/>
        <v>269916.61782178219</v>
      </c>
      <c r="S389" s="269">
        <f t="shared" si="41"/>
        <v>348908.18090262136</v>
      </c>
      <c r="T389" s="269">
        <f t="shared" si="42"/>
        <v>31484.192994038065</v>
      </c>
      <c r="U389" s="242">
        <f t="shared" si="43"/>
        <v>44542.400000000001</v>
      </c>
    </row>
    <row r="390" spans="1:21" s="237" customFormat="1" x14ac:dyDescent="0.3">
      <c r="A390" s="237">
        <v>385</v>
      </c>
      <c r="B390" s="263">
        <v>0</v>
      </c>
      <c r="C390" s="263">
        <v>0</v>
      </c>
      <c r="D390" s="264">
        <f t="shared" si="45"/>
        <v>1</v>
      </c>
      <c r="E390" s="270" t="s">
        <v>1087</v>
      </c>
      <c r="F390" s="384" t="s">
        <v>364</v>
      </c>
      <c r="G390" s="384">
        <v>31</v>
      </c>
      <c r="H390" s="385">
        <v>27699</v>
      </c>
      <c r="I390" s="265">
        <f t="shared" ref="I390:I453" si="47">YEAR(H390)</f>
        <v>1975</v>
      </c>
      <c r="J390" s="383">
        <v>350</v>
      </c>
      <c r="K390" s="641" t="str">
        <f>VLOOKUP(J390,'Cost Escalators'!$C$313:$D$330,2,FALSE)</f>
        <v>Storm Water System</v>
      </c>
      <c r="L390" s="238" t="s">
        <v>1088</v>
      </c>
      <c r="M390" s="384" t="s">
        <v>1506</v>
      </c>
      <c r="N390" s="246">
        <v>793115</v>
      </c>
      <c r="O390" s="267">
        <v>50</v>
      </c>
      <c r="P390" s="250">
        <f t="shared" ref="P390:P453" si="48">IF(O390="","",I390+O390)</f>
        <v>2025</v>
      </c>
      <c r="Q390" s="268">
        <f>IF(J390=10,1,IFERROR(INDEX('Cost Escalators'!$D$28:$D$92,MATCH($P$4,'Cost Escalators'!$B$28:$B$92,0))/INDEX('Cost Escalators'!$D$28:$D$92,MATCH(I390,'Cost Escalators'!$B$28:$B$92,0)),1))</f>
        <v>4.5377034358047013</v>
      </c>
      <c r="R390" s="269">
        <f t="shared" ref="R390:R453" si="49">N390*Q390</f>
        <v>3598920.6604882455</v>
      </c>
      <c r="S390" s="269">
        <f t="shared" ref="S390:S453" si="50">IFERROR(IF(P390&gt;$P$4,R390*(1+$Q$4)^(P390-$P$4),R390),"")</f>
        <v>4786748.8135930486</v>
      </c>
      <c r="T390" s="269">
        <f t="shared" ref="T390:T453" si="51">IF(J390=10,N390,(N390-U390)*(1+$Q$4)^($P$4-I390))</f>
        <v>496408.97203392343</v>
      </c>
      <c r="U390" s="242">
        <f t="shared" ref="U390:U453" si="52">IFERROR(IF((N390/O390)*($U$4-I390)&gt;N390,N390,(N390/O390)*($U$4-I390)),0)</f>
        <v>634492</v>
      </c>
    </row>
    <row r="391" spans="1:21" s="237" customFormat="1" x14ac:dyDescent="0.3">
      <c r="A391" s="237">
        <v>386</v>
      </c>
      <c r="B391" s="263">
        <v>0</v>
      </c>
      <c r="C391" s="263">
        <v>0</v>
      </c>
      <c r="D391" s="264">
        <f t="shared" si="45"/>
        <v>1</v>
      </c>
      <c r="E391" s="270" t="s">
        <v>1089</v>
      </c>
      <c r="F391" s="384" t="s">
        <v>364</v>
      </c>
      <c r="G391" s="384">
        <v>31</v>
      </c>
      <c r="H391" s="385">
        <v>28065</v>
      </c>
      <c r="I391" s="265">
        <f t="shared" si="47"/>
        <v>1976</v>
      </c>
      <c r="J391" s="383">
        <v>350</v>
      </c>
      <c r="K391" s="641" t="str">
        <f>VLOOKUP(J391,'Cost Escalators'!$C$313:$D$330,2,FALSE)</f>
        <v>Storm Water System</v>
      </c>
      <c r="L391" s="238" t="s">
        <v>1090</v>
      </c>
      <c r="M391" s="384" t="s">
        <v>1506</v>
      </c>
      <c r="N391" s="246">
        <v>832753</v>
      </c>
      <c r="O391" s="267">
        <v>50</v>
      </c>
      <c r="P391" s="250">
        <f t="shared" si="48"/>
        <v>2026</v>
      </c>
      <c r="Q391" s="268">
        <f>IF(J391=10,1,IFERROR(INDEX('Cost Escalators'!$D$28:$D$92,MATCH($P$4,'Cost Escalators'!$B$28:$B$92,0))/INDEX('Cost Escalators'!$D$28:$D$92,MATCH(I391,'Cost Escalators'!$B$28:$B$92,0)),1))</f>
        <v>4.1805081216159934</v>
      </c>
      <c r="R391" s="269">
        <f t="shared" si="49"/>
        <v>3481330.6798000834</v>
      </c>
      <c r="S391" s="269">
        <f t="shared" si="50"/>
        <v>4764315.130651705</v>
      </c>
      <c r="T391" s="269">
        <f t="shared" si="51"/>
        <v>557218.48239463149</v>
      </c>
      <c r="U391" s="242">
        <f t="shared" si="52"/>
        <v>649547.34000000008</v>
      </c>
    </row>
    <row r="392" spans="1:21" s="237" customFormat="1" x14ac:dyDescent="0.3">
      <c r="A392" s="237">
        <v>387</v>
      </c>
      <c r="B392" s="263">
        <v>0</v>
      </c>
      <c r="C392" s="263">
        <v>0</v>
      </c>
      <c r="D392" s="264">
        <f t="shared" si="45"/>
        <v>1</v>
      </c>
      <c r="E392" s="270" t="s">
        <v>1091</v>
      </c>
      <c r="F392" s="384" t="s">
        <v>364</v>
      </c>
      <c r="G392" s="384">
        <v>31</v>
      </c>
      <c r="H392" s="385">
        <v>28430</v>
      </c>
      <c r="I392" s="265">
        <f t="shared" si="47"/>
        <v>1977</v>
      </c>
      <c r="J392" s="383">
        <v>350</v>
      </c>
      <c r="K392" s="641" t="str">
        <f>VLOOKUP(J392,'Cost Escalators'!$C$313:$D$330,2,FALSE)</f>
        <v>Storm Water System</v>
      </c>
      <c r="L392" s="238" t="s">
        <v>1092</v>
      </c>
      <c r="M392" s="384" t="s">
        <v>1506</v>
      </c>
      <c r="N392" s="246">
        <v>1100615</v>
      </c>
      <c r="O392" s="267">
        <v>50</v>
      </c>
      <c r="P392" s="250">
        <f t="shared" si="48"/>
        <v>2027</v>
      </c>
      <c r="Q392" s="268">
        <f>IF(J392=10,1,IFERROR(INDEX('Cost Escalators'!$D$28:$D$92,MATCH($P$4,'Cost Escalators'!$B$28:$B$92,0))/INDEX('Cost Escalators'!$D$28:$D$92,MATCH(I392,'Cost Escalators'!$B$28:$B$92,0)),1))</f>
        <v>3.8965062111801241</v>
      </c>
      <c r="R392" s="269">
        <f t="shared" si="49"/>
        <v>4288553.1836180119</v>
      </c>
      <c r="S392" s="269">
        <f t="shared" si="50"/>
        <v>6038830.4902202124</v>
      </c>
      <c r="T392" s="269">
        <f t="shared" si="51"/>
        <v>780811.96351101552</v>
      </c>
      <c r="U392" s="242">
        <f t="shared" si="52"/>
        <v>836467.4</v>
      </c>
    </row>
    <row r="393" spans="1:21" s="237" customFormat="1" x14ac:dyDescent="0.3">
      <c r="A393" s="237">
        <v>388</v>
      </c>
      <c r="B393" s="263">
        <v>0</v>
      </c>
      <c r="C393" s="263">
        <v>0</v>
      </c>
      <c r="D393" s="264">
        <f t="shared" si="45"/>
        <v>1</v>
      </c>
      <c r="E393" s="270" t="s">
        <v>1093</v>
      </c>
      <c r="F393" s="384" t="s">
        <v>364</v>
      </c>
      <c r="G393" s="384">
        <v>31</v>
      </c>
      <c r="H393" s="385">
        <v>28795</v>
      </c>
      <c r="I393" s="265">
        <f t="shared" si="47"/>
        <v>1978</v>
      </c>
      <c r="J393" s="383">
        <v>350</v>
      </c>
      <c r="K393" s="641" t="str">
        <f>VLOOKUP(J393,'Cost Escalators'!$C$313:$D$330,2,FALSE)</f>
        <v>Storm Water System</v>
      </c>
      <c r="L393" s="238" t="s">
        <v>1094</v>
      </c>
      <c r="M393" s="384" t="s">
        <v>1506</v>
      </c>
      <c r="N393" s="246">
        <v>1151202</v>
      </c>
      <c r="O393" s="267">
        <v>50</v>
      </c>
      <c r="P393" s="250">
        <f t="shared" si="48"/>
        <v>2028</v>
      </c>
      <c r="Q393" s="268">
        <f>IF(J393=10,1,IFERROR(INDEX('Cost Escalators'!$D$28:$D$92,MATCH($P$4,'Cost Escalators'!$B$28:$B$92,0))/INDEX('Cost Escalators'!$D$28:$D$92,MATCH(I393,'Cost Escalators'!$B$28:$B$92,0)),1))</f>
        <v>3.6157780979827088</v>
      </c>
      <c r="R393" s="269">
        <f t="shared" si="49"/>
        <v>4162490.9779538903</v>
      </c>
      <c r="S393" s="269">
        <f t="shared" si="50"/>
        <v>6030900.739911967</v>
      </c>
      <c r="T393" s="269">
        <f t="shared" si="51"/>
        <v>859879.97792630747</v>
      </c>
      <c r="U393" s="242">
        <f t="shared" si="52"/>
        <v>851889.48</v>
      </c>
    </row>
    <row r="394" spans="1:21" s="237" customFormat="1" x14ac:dyDescent="0.3">
      <c r="A394" s="237">
        <v>389</v>
      </c>
      <c r="B394" s="263">
        <v>0</v>
      </c>
      <c r="C394" s="263">
        <v>0</v>
      </c>
      <c r="D394" s="264">
        <f t="shared" si="45"/>
        <v>1</v>
      </c>
      <c r="E394" s="270" t="s">
        <v>1095</v>
      </c>
      <c r="F394" s="384" t="s">
        <v>364</v>
      </c>
      <c r="G394" s="384">
        <v>31</v>
      </c>
      <c r="H394" s="385">
        <v>29891</v>
      </c>
      <c r="I394" s="265">
        <f t="shared" si="47"/>
        <v>1981</v>
      </c>
      <c r="J394" s="383">
        <v>350</v>
      </c>
      <c r="K394" s="641" t="str">
        <f>VLOOKUP(J394,'Cost Escalators'!$C$313:$D$330,2,FALSE)</f>
        <v>Storm Water System</v>
      </c>
      <c r="L394" s="238" t="s">
        <v>1096</v>
      </c>
      <c r="M394" s="384" t="s">
        <v>1506</v>
      </c>
      <c r="N394" s="246">
        <v>128601</v>
      </c>
      <c r="O394" s="267">
        <v>50</v>
      </c>
      <c r="P394" s="250">
        <f t="shared" si="48"/>
        <v>2031</v>
      </c>
      <c r="Q394" s="268">
        <f>IF(J394=10,1,IFERROR(INDEX('Cost Escalators'!$D$28:$D$92,MATCH($P$4,'Cost Escalators'!$B$28:$B$92,0))/INDEX('Cost Escalators'!$D$28:$D$92,MATCH(I394,'Cost Escalators'!$B$28:$B$92,0)),1))</f>
        <v>2.8394342291371992</v>
      </c>
      <c r="R394" s="269">
        <f t="shared" si="49"/>
        <v>365154.08130127296</v>
      </c>
      <c r="S394" s="269">
        <f t="shared" si="50"/>
        <v>576322.45914940373</v>
      </c>
      <c r="T394" s="269">
        <f t="shared" si="51"/>
        <v>108529.24142992301</v>
      </c>
      <c r="U394" s="242">
        <f t="shared" si="52"/>
        <v>87448.68</v>
      </c>
    </row>
    <row r="395" spans="1:21" s="237" customFormat="1" x14ac:dyDescent="0.3">
      <c r="A395" s="237">
        <v>390</v>
      </c>
      <c r="B395" s="263">
        <v>0</v>
      </c>
      <c r="C395" s="263">
        <v>0</v>
      </c>
      <c r="D395" s="264">
        <f t="shared" si="45"/>
        <v>1</v>
      </c>
      <c r="E395" s="270" t="s">
        <v>1097</v>
      </c>
      <c r="F395" s="384" t="s">
        <v>364</v>
      </c>
      <c r="G395" s="384">
        <v>31</v>
      </c>
      <c r="H395" s="385">
        <v>30256</v>
      </c>
      <c r="I395" s="265">
        <f t="shared" si="47"/>
        <v>1982</v>
      </c>
      <c r="J395" s="383">
        <v>350</v>
      </c>
      <c r="K395" s="641" t="str">
        <f>VLOOKUP(J395,'Cost Escalators'!$C$313:$D$330,2,FALSE)</f>
        <v>Storm Water System</v>
      </c>
      <c r="L395" s="238" t="s">
        <v>1098</v>
      </c>
      <c r="M395" s="384" t="s">
        <v>1506</v>
      </c>
      <c r="N395" s="246">
        <v>191274</v>
      </c>
      <c r="O395" s="267">
        <v>50</v>
      </c>
      <c r="P395" s="250">
        <f t="shared" si="48"/>
        <v>2032</v>
      </c>
      <c r="Q395" s="268">
        <f>IF(J395=10,1,IFERROR(INDEX('Cost Escalators'!$D$28:$D$92,MATCH($P$4,'Cost Escalators'!$B$28:$B$92,0))/INDEX('Cost Escalators'!$D$28:$D$92,MATCH(I395,'Cost Escalators'!$B$28:$B$92,0)),1))</f>
        <v>2.6241568627450977</v>
      </c>
      <c r="R395" s="269">
        <f t="shared" si="49"/>
        <v>501932.97976470581</v>
      </c>
      <c r="S395" s="269">
        <f t="shared" si="50"/>
        <v>815120.75954479212</v>
      </c>
      <c r="T395" s="269">
        <f t="shared" si="51"/>
        <v>166686.5140085578</v>
      </c>
      <c r="U395" s="242">
        <f t="shared" si="52"/>
        <v>126240.84</v>
      </c>
    </row>
    <row r="396" spans="1:21" s="237" customFormat="1" x14ac:dyDescent="0.3">
      <c r="A396" s="237">
        <v>391</v>
      </c>
      <c r="B396" s="263">
        <v>0</v>
      </c>
      <c r="C396" s="263">
        <v>0</v>
      </c>
      <c r="D396" s="264">
        <f t="shared" si="45"/>
        <v>1</v>
      </c>
      <c r="E396" s="270" t="s">
        <v>1099</v>
      </c>
      <c r="F396" s="384" t="s">
        <v>364</v>
      </c>
      <c r="G396" s="384">
        <v>31</v>
      </c>
      <c r="H396" s="385">
        <v>30621</v>
      </c>
      <c r="I396" s="265">
        <f t="shared" si="47"/>
        <v>1983</v>
      </c>
      <c r="J396" s="383">
        <v>350</v>
      </c>
      <c r="K396" s="641" t="str">
        <f>VLOOKUP(J396,'Cost Escalators'!$C$313:$D$330,2,FALSE)</f>
        <v>Storm Water System</v>
      </c>
      <c r="L396" s="238" t="s">
        <v>1100</v>
      </c>
      <c r="M396" s="384" t="s">
        <v>1506</v>
      </c>
      <c r="N396" s="246">
        <v>503844.25</v>
      </c>
      <c r="O396" s="267">
        <v>50</v>
      </c>
      <c r="P396" s="250">
        <f t="shared" si="48"/>
        <v>2033</v>
      </c>
      <c r="Q396" s="268">
        <f>IF(J396=10,1,IFERROR(INDEX('Cost Escalators'!$D$28:$D$92,MATCH($P$4,'Cost Escalators'!$B$28:$B$92,0))/INDEX('Cost Escalators'!$D$28:$D$92,MATCH(I396,'Cost Escalators'!$B$28:$B$92,0)),1))</f>
        <v>2.4686178061977371</v>
      </c>
      <c r="R396" s="269">
        <f t="shared" si="49"/>
        <v>1243798.8871003443</v>
      </c>
      <c r="S396" s="269">
        <f t="shared" si="50"/>
        <v>2078323.853787465</v>
      </c>
      <c r="T396" s="269">
        <f t="shared" si="51"/>
        <v>451832.61606919096</v>
      </c>
      <c r="U396" s="242">
        <f t="shared" si="52"/>
        <v>322460.32</v>
      </c>
    </row>
    <row r="397" spans="1:21" s="237" customFormat="1" x14ac:dyDescent="0.3">
      <c r="A397" s="237">
        <v>392</v>
      </c>
      <c r="B397" s="263">
        <v>0</v>
      </c>
      <c r="C397" s="263">
        <v>0</v>
      </c>
      <c r="D397" s="264">
        <f t="shared" si="45"/>
        <v>1</v>
      </c>
      <c r="E397" s="270" t="s">
        <v>1101</v>
      </c>
      <c r="F397" s="384" t="s">
        <v>364</v>
      </c>
      <c r="G397" s="384">
        <v>31</v>
      </c>
      <c r="H397" s="385">
        <v>30987</v>
      </c>
      <c r="I397" s="265">
        <f t="shared" si="47"/>
        <v>1984</v>
      </c>
      <c r="J397" s="383">
        <v>350</v>
      </c>
      <c r="K397" s="641" t="str">
        <f>VLOOKUP(J397,'Cost Escalators'!$C$313:$D$330,2,FALSE)</f>
        <v>Storm Water System</v>
      </c>
      <c r="L397" s="238" t="s">
        <v>1102</v>
      </c>
      <c r="M397" s="384" t="s">
        <v>1506</v>
      </c>
      <c r="N397" s="246">
        <v>524220</v>
      </c>
      <c r="O397" s="267">
        <v>50</v>
      </c>
      <c r="P397" s="250">
        <f t="shared" si="48"/>
        <v>2034</v>
      </c>
      <c r="Q397" s="268">
        <f>IF(J397=10,1,IFERROR(INDEX('Cost Escalators'!$D$28:$D$92,MATCH($P$4,'Cost Escalators'!$B$28:$B$92,0))/INDEX('Cost Escalators'!$D$28:$D$92,MATCH(I397,'Cost Escalators'!$B$28:$B$92,0)),1))</f>
        <v>2.4209840810419681</v>
      </c>
      <c r="R397" s="269">
        <f t="shared" si="49"/>
        <v>1269128.2749638206</v>
      </c>
      <c r="S397" s="269">
        <f t="shared" si="50"/>
        <v>2182003.3588730581</v>
      </c>
      <c r="T397" s="269">
        <f t="shared" si="51"/>
        <v>482268.74448625383</v>
      </c>
      <c r="U397" s="242">
        <f t="shared" si="52"/>
        <v>325016.39999999997</v>
      </c>
    </row>
    <row r="398" spans="1:21" s="237" customFormat="1" x14ac:dyDescent="0.3">
      <c r="A398" s="237">
        <v>393</v>
      </c>
      <c r="B398" s="263">
        <v>0</v>
      </c>
      <c r="C398" s="263">
        <v>0</v>
      </c>
      <c r="D398" s="264">
        <f t="shared" si="45"/>
        <v>1</v>
      </c>
      <c r="E398" s="270" t="s">
        <v>1103</v>
      </c>
      <c r="F398" s="384" t="s">
        <v>364</v>
      </c>
      <c r="G398" s="384">
        <v>31</v>
      </c>
      <c r="H398" s="385">
        <v>31352</v>
      </c>
      <c r="I398" s="265">
        <f t="shared" si="47"/>
        <v>1985</v>
      </c>
      <c r="J398" s="383">
        <v>350</v>
      </c>
      <c r="K398" s="641" t="str">
        <f>VLOOKUP(J398,'Cost Escalators'!$C$313:$D$330,2,FALSE)</f>
        <v>Storm Water System</v>
      </c>
      <c r="L398" s="238" t="s">
        <v>1104</v>
      </c>
      <c r="M398" s="384" t="s">
        <v>1506</v>
      </c>
      <c r="N398" s="246">
        <v>600076</v>
      </c>
      <c r="O398" s="267">
        <v>50</v>
      </c>
      <c r="P398" s="250">
        <f t="shared" si="48"/>
        <v>2035</v>
      </c>
      <c r="Q398" s="268">
        <f>IF(J398=10,1,IFERROR(INDEX('Cost Escalators'!$D$28:$D$92,MATCH($P$4,'Cost Escalators'!$B$28:$B$92,0))/INDEX('Cost Escalators'!$D$28:$D$92,MATCH(I398,'Cost Escalators'!$B$28:$B$92,0)),1))</f>
        <v>2.3927056019070321</v>
      </c>
      <c r="R398" s="269">
        <f t="shared" si="49"/>
        <v>1435805.2067699642</v>
      </c>
      <c r="S398" s="269">
        <f t="shared" si="50"/>
        <v>2539991.4539208836</v>
      </c>
      <c r="T398" s="269">
        <f t="shared" si="51"/>
        <v>564769.64458554552</v>
      </c>
      <c r="U398" s="242">
        <f t="shared" si="52"/>
        <v>360045.60000000003</v>
      </c>
    </row>
    <row r="399" spans="1:21" s="237" customFormat="1" x14ac:dyDescent="0.3">
      <c r="A399" s="237">
        <v>394</v>
      </c>
      <c r="B399" s="263">
        <v>0</v>
      </c>
      <c r="C399" s="263">
        <v>0</v>
      </c>
      <c r="D399" s="264">
        <f t="shared" si="45"/>
        <v>1</v>
      </c>
      <c r="E399" s="270" t="s">
        <v>1105</v>
      </c>
      <c r="F399" s="384" t="s">
        <v>364</v>
      </c>
      <c r="G399" s="384">
        <v>31</v>
      </c>
      <c r="H399" s="385">
        <v>31717</v>
      </c>
      <c r="I399" s="265">
        <f t="shared" si="47"/>
        <v>1986</v>
      </c>
      <c r="J399" s="383">
        <v>350</v>
      </c>
      <c r="K399" s="641" t="str">
        <f>VLOOKUP(J399,'Cost Escalators'!$C$313:$D$330,2,FALSE)</f>
        <v>Storm Water System</v>
      </c>
      <c r="L399" s="238" t="s">
        <v>1106</v>
      </c>
      <c r="M399" s="384" t="s">
        <v>1506</v>
      </c>
      <c r="N399" s="246">
        <v>920349.5</v>
      </c>
      <c r="O399" s="267">
        <v>50</v>
      </c>
      <c r="P399" s="250">
        <f t="shared" si="48"/>
        <v>2036</v>
      </c>
      <c r="Q399" s="268">
        <f>IF(J399=10,1,IFERROR(INDEX('Cost Escalators'!$D$28:$D$92,MATCH($P$4,'Cost Escalators'!$B$28:$B$92,0))/INDEX('Cost Escalators'!$D$28:$D$92,MATCH(I399,'Cost Escalators'!$B$28:$B$92,0)),1))</f>
        <v>2.3369965075669383</v>
      </c>
      <c r="R399" s="269">
        <f t="shared" si="49"/>
        <v>2150853.5672409781</v>
      </c>
      <c r="S399" s="269">
        <f t="shared" si="50"/>
        <v>3915023.8504750431</v>
      </c>
      <c r="T399" s="269">
        <f t="shared" si="51"/>
        <v>883935.00270575122</v>
      </c>
      <c r="U399" s="242">
        <f t="shared" si="52"/>
        <v>533802.71000000008</v>
      </c>
    </row>
    <row r="400" spans="1:21" s="237" customFormat="1" x14ac:dyDescent="0.3">
      <c r="A400" s="237">
        <v>395</v>
      </c>
      <c r="B400" s="263">
        <v>0</v>
      </c>
      <c r="C400" s="263">
        <v>0</v>
      </c>
      <c r="D400" s="264">
        <f t="shared" si="45"/>
        <v>1</v>
      </c>
      <c r="E400" s="270" t="s">
        <v>1107</v>
      </c>
      <c r="F400" s="384" t="s">
        <v>364</v>
      </c>
      <c r="G400" s="384">
        <v>31</v>
      </c>
      <c r="H400" s="385">
        <v>32082</v>
      </c>
      <c r="I400" s="265">
        <f t="shared" si="47"/>
        <v>1987</v>
      </c>
      <c r="J400" s="383">
        <v>350</v>
      </c>
      <c r="K400" s="641" t="str">
        <f>VLOOKUP(J400,'Cost Escalators'!$C$313:$D$330,2,FALSE)</f>
        <v>Storm Water System</v>
      </c>
      <c r="L400" s="238" t="s">
        <v>1108</v>
      </c>
      <c r="M400" s="384" t="s">
        <v>1506</v>
      </c>
      <c r="N400" s="246">
        <v>1180363</v>
      </c>
      <c r="O400" s="267">
        <v>50</v>
      </c>
      <c r="P400" s="250">
        <f t="shared" si="48"/>
        <v>2037</v>
      </c>
      <c r="Q400" s="268">
        <f>IF(J400=10,1,IFERROR(INDEX('Cost Escalators'!$D$28:$D$92,MATCH($P$4,'Cost Escalators'!$B$28:$B$92,0))/INDEX('Cost Escalators'!$D$28:$D$92,MATCH(I400,'Cost Escalators'!$B$28:$B$92,0)),1))</f>
        <v>2.2781207444394007</v>
      </c>
      <c r="R400" s="269">
        <f t="shared" si="49"/>
        <v>2689009.4362687245</v>
      </c>
      <c r="S400" s="269">
        <f t="shared" si="50"/>
        <v>5036197.2422348261</v>
      </c>
      <c r="T400" s="269">
        <f t="shared" si="51"/>
        <v>1154249.4813389597</v>
      </c>
      <c r="U400" s="242">
        <f t="shared" si="52"/>
        <v>661003.27999999991</v>
      </c>
    </row>
    <row r="401" spans="1:21" s="237" customFormat="1" x14ac:dyDescent="0.3">
      <c r="A401" s="237">
        <v>396</v>
      </c>
      <c r="B401" s="263">
        <v>0</v>
      </c>
      <c r="C401" s="263">
        <v>0</v>
      </c>
      <c r="D401" s="264">
        <f t="shared" si="45"/>
        <v>1</v>
      </c>
      <c r="E401" s="270" t="s">
        <v>1109</v>
      </c>
      <c r="F401" s="384" t="s">
        <v>364</v>
      </c>
      <c r="G401" s="384">
        <v>31</v>
      </c>
      <c r="H401" s="385">
        <v>32448</v>
      </c>
      <c r="I401" s="265">
        <f t="shared" si="47"/>
        <v>1988</v>
      </c>
      <c r="J401" s="383">
        <v>350</v>
      </c>
      <c r="K401" s="641" t="str">
        <f>VLOOKUP(J401,'Cost Escalators'!$C$313:$D$330,2,FALSE)</f>
        <v>Storm Water System</v>
      </c>
      <c r="L401" s="238" t="s">
        <v>1110</v>
      </c>
      <c r="M401" s="384" t="s">
        <v>1506</v>
      </c>
      <c r="N401" s="246">
        <v>605890</v>
      </c>
      <c r="O401" s="267">
        <v>50</v>
      </c>
      <c r="P401" s="250">
        <f t="shared" si="48"/>
        <v>2038</v>
      </c>
      <c r="Q401" s="268">
        <f>IF(J401=10,1,IFERROR(INDEX('Cost Escalators'!$D$28:$D$92,MATCH($P$4,'Cost Escalators'!$B$28:$B$92,0))/INDEX('Cost Escalators'!$D$28:$D$92,MATCH(I401,'Cost Escalators'!$B$28:$B$92,0)),1))</f>
        <v>2.2211551228147819</v>
      </c>
      <c r="R401" s="269">
        <f t="shared" si="49"/>
        <v>1345775.6773622483</v>
      </c>
      <c r="S401" s="269">
        <f t="shared" si="50"/>
        <v>2593402.4458274716</v>
      </c>
      <c r="T401" s="269">
        <f t="shared" si="51"/>
        <v>601999.60161225544</v>
      </c>
      <c r="U401" s="242">
        <f t="shared" si="52"/>
        <v>327180.59999999998</v>
      </c>
    </row>
    <row r="402" spans="1:21" s="237" customFormat="1" x14ac:dyDescent="0.3">
      <c r="A402" s="237">
        <v>397</v>
      </c>
      <c r="B402" s="263">
        <v>0</v>
      </c>
      <c r="C402" s="263">
        <v>0</v>
      </c>
      <c r="D402" s="264">
        <f t="shared" si="45"/>
        <v>1</v>
      </c>
      <c r="E402" s="270" t="s">
        <v>1111</v>
      </c>
      <c r="F402" s="384" t="s">
        <v>364</v>
      </c>
      <c r="G402" s="384">
        <v>31</v>
      </c>
      <c r="H402" s="385">
        <v>32813</v>
      </c>
      <c r="I402" s="265">
        <f t="shared" si="47"/>
        <v>1989</v>
      </c>
      <c r="J402" s="383">
        <v>350</v>
      </c>
      <c r="K402" s="641" t="str">
        <f>VLOOKUP(J402,'Cost Escalators'!$C$313:$D$330,2,FALSE)</f>
        <v>Storm Water System</v>
      </c>
      <c r="L402" s="238" t="s">
        <v>1112</v>
      </c>
      <c r="M402" s="384" t="s">
        <v>1506</v>
      </c>
      <c r="N402" s="246">
        <v>1392666</v>
      </c>
      <c r="O402" s="267">
        <v>50</v>
      </c>
      <c r="P402" s="250">
        <f t="shared" si="48"/>
        <v>2039</v>
      </c>
      <c r="Q402" s="268">
        <f>IF(J402=10,1,IFERROR(INDEX('Cost Escalators'!$D$28:$D$92,MATCH($P$4,'Cost Escalators'!$B$28:$B$92,0))/INDEX('Cost Escalators'!$D$28:$D$92,MATCH(I402,'Cost Escalators'!$B$28:$B$92,0)),1))</f>
        <v>2.1749512459371614</v>
      </c>
      <c r="R402" s="269">
        <f t="shared" si="49"/>
        <v>3028980.6518743229</v>
      </c>
      <c r="S402" s="269">
        <f t="shared" si="50"/>
        <v>6005934.2988978494</v>
      </c>
      <c r="T402" s="269">
        <f t="shared" si="51"/>
        <v>1403285.2531650651</v>
      </c>
      <c r="U402" s="242">
        <f t="shared" si="52"/>
        <v>724186.32</v>
      </c>
    </row>
    <row r="403" spans="1:21" s="237" customFormat="1" x14ac:dyDescent="0.3">
      <c r="A403" s="237">
        <v>398</v>
      </c>
      <c r="B403" s="263">
        <v>0</v>
      </c>
      <c r="C403" s="263">
        <v>0</v>
      </c>
      <c r="D403" s="264">
        <f t="shared" si="45"/>
        <v>1</v>
      </c>
      <c r="E403" s="270" t="s">
        <v>1113</v>
      </c>
      <c r="F403" s="384" t="s">
        <v>364</v>
      </c>
      <c r="G403" s="384">
        <v>31</v>
      </c>
      <c r="H403" s="385">
        <v>33178</v>
      </c>
      <c r="I403" s="265">
        <f t="shared" si="47"/>
        <v>1990</v>
      </c>
      <c r="J403" s="383">
        <v>350</v>
      </c>
      <c r="K403" s="641" t="str">
        <f>VLOOKUP(J403,'Cost Escalators'!$C$313:$D$330,2,FALSE)</f>
        <v>Storm Water System</v>
      </c>
      <c r="L403" s="238" t="s">
        <v>1114</v>
      </c>
      <c r="M403" s="384" t="s">
        <v>1506</v>
      </c>
      <c r="N403" s="246">
        <v>1903730.5</v>
      </c>
      <c r="O403" s="267">
        <v>50</v>
      </c>
      <c r="P403" s="250">
        <f t="shared" si="48"/>
        <v>2040</v>
      </c>
      <c r="Q403" s="268">
        <f>IF(J403=10,1,IFERROR(INDEX('Cost Escalators'!$D$28:$D$92,MATCH($P$4,'Cost Escalators'!$B$28:$B$92,0))/INDEX('Cost Escalators'!$D$28:$D$92,MATCH(I403,'Cost Escalators'!$B$28:$B$92,0)),1))</f>
        <v>2.1211749788672867</v>
      </c>
      <c r="R403" s="269">
        <f t="shared" si="49"/>
        <v>4038145.5031065089</v>
      </c>
      <c r="S403" s="269">
        <f t="shared" si="50"/>
        <v>8238589.7613304388</v>
      </c>
      <c r="T403" s="269">
        <f t="shared" si="51"/>
        <v>1941987.3050100442</v>
      </c>
      <c r="U403" s="242">
        <f t="shared" si="52"/>
        <v>951865.25</v>
      </c>
    </row>
    <row r="404" spans="1:21" s="237" customFormat="1" x14ac:dyDescent="0.3">
      <c r="A404" s="237">
        <v>399</v>
      </c>
      <c r="B404" s="263">
        <v>0</v>
      </c>
      <c r="C404" s="263">
        <v>0</v>
      </c>
      <c r="D404" s="264">
        <f t="shared" si="45"/>
        <v>1</v>
      </c>
      <c r="E404" s="270" t="s">
        <v>1115</v>
      </c>
      <c r="F404" s="384" t="s">
        <v>364</v>
      </c>
      <c r="G404" s="384">
        <v>31</v>
      </c>
      <c r="H404" s="385">
        <v>29160</v>
      </c>
      <c r="I404" s="265">
        <f t="shared" si="47"/>
        <v>1979</v>
      </c>
      <c r="J404" s="383">
        <v>350</v>
      </c>
      <c r="K404" s="641" t="str">
        <f>VLOOKUP(J404,'Cost Escalators'!$C$313:$D$330,2,FALSE)</f>
        <v>Storm Water System</v>
      </c>
      <c r="L404" s="238" t="s">
        <v>1116</v>
      </c>
      <c r="M404" s="384" t="s">
        <v>1506</v>
      </c>
      <c r="N404" s="246">
        <v>1056600</v>
      </c>
      <c r="O404" s="267">
        <v>50</v>
      </c>
      <c r="P404" s="250">
        <f t="shared" si="48"/>
        <v>2029</v>
      </c>
      <c r="Q404" s="268">
        <f>IF(J404=10,1,IFERROR(INDEX('Cost Escalators'!$D$28:$D$92,MATCH($P$4,'Cost Escalators'!$B$28:$B$92,0))/INDEX('Cost Escalators'!$D$28:$D$92,MATCH(I404,'Cost Escalators'!$B$28:$B$92,0)),1))</f>
        <v>3.3424575424575425</v>
      </c>
      <c r="R404" s="269">
        <f t="shared" si="49"/>
        <v>3531640.6393606393</v>
      </c>
      <c r="S404" s="269">
        <f t="shared" si="50"/>
        <v>5264925.3489503991</v>
      </c>
      <c r="T404" s="269">
        <f t="shared" si="51"/>
        <v>826027.9722919378</v>
      </c>
      <c r="U404" s="242">
        <f t="shared" si="52"/>
        <v>760752</v>
      </c>
    </row>
    <row r="405" spans="1:21" s="237" customFormat="1" x14ac:dyDescent="0.3">
      <c r="A405" s="237">
        <v>400</v>
      </c>
      <c r="B405" s="263">
        <v>0</v>
      </c>
      <c r="C405" s="263">
        <v>0</v>
      </c>
      <c r="D405" s="264">
        <f t="shared" si="45"/>
        <v>1</v>
      </c>
      <c r="E405" s="270" t="s">
        <v>1117</v>
      </c>
      <c r="F405" s="384" t="s">
        <v>364</v>
      </c>
      <c r="G405" s="384">
        <v>31</v>
      </c>
      <c r="H405" s="385">
        <v>29526</v>
      </c>
      <c r="I405" s="265">
        <f t="shared" si="47"/>
        <v>1980</v>
      </c>
      <c r="J405" s="383">
        <v>350</v>
      </c>
      <c r="K405" s="641" t="str">
        <f>VLOOKUP(J405,'Cost Escalators'!$C$313:$D$330,2,FALSE)</f>
        <v>Storm Water System</v>
      </c>
      <c r="L405" s="238" t="s">
        <v>1118</v>
      </c>
      <c r="M405" s="384" t="s">
        <v>1506</v>
      </c>
      <c r="N405" s="246">
        <v>544751</v>
      </c>
      <c r="O405" s="267">
        <v>50</v>
      </c>
      <c r="P405" s="250">
        <f t="shared" si="48"/>
        <v>2030</v>
      </c>
      <c r="Q405" s="268">
        <f>IF(J405=10,1,IFERROR(INDEX('Cost Escalators'!$D$28:$D$92,MATCH($P$4,'Cost Escalators'!$B$28:$B$92,0))/INDEX('Cost Escalators'!$D$28:$D$92,MATCH(I405,'Cost Escalators'!$B$28:$B$92,0)),1))</f>
        <v>3.1008341056533828</v>
      </c>
      <c r="R405" s="269">
        <f t="shared" si="49"/>
        <v>1689182.4798887859</v>
      </c>
      <c r="S405" s="269">
        <f t="shared" si="50"/>
        <v>2591069.8264920069</v>
      </c>
      <c r="T405" s="269">
        <f t="shared" si="51"/>
        <v>443464.20522827882</v>
      </c>
      <c r="U405" s="242">
        <f t="shared" si="52"/>
        <v>381325.7</v>
      </c>
    </row>
    <row r="406" spans="1:21" s="237" customFormat="1" x14ac:dyDescent="0.3">
      <c r="A406" s="237">
        <v>401</v>
      </c>
      <c r="B406" s="263">
        <v>0</v>
      </c>
      <c r="C406" s="263">
        <v>0</v>
      </c>
      <c r="D406" s="264">
        <f t="shared" si="45"/>
        <v>1</v>
      </c>
      <c r="E406" s="270" t="s">
        <v>1119</v>
      </c>
      <c r="F406" s="384" t="s">
        <v>364</v>
      </c>
      <c r="G406" s="384">
        <v>31</v>
      </c>
      <c r="H406" s="385">
        <v>34454</v>
      </c>
      <c r="I406" s="265">
        <f t="shared" si="47"/>
        <v>1994</v>
      </c>
      <c r="J406" s="383">
        <v>350</v>
      </c>
      <c r="K406" s="641" t="str">
        <f>VLOOKUP(J406,'Cost Escalators'!$C$313:$D$330,2,FALSE)</f>
        <v>Storm Water System</v>
      </c>
      <c r="L406" s="238" t="s">
        <v>1120</v>
      </c>
      <c r="M406" s="384" t="s">
        <v>1506</v>
      </c>
      <c r="N406" s="246">
        <v>180270</v>
      </c>
      <c r="O406" s="267">
        <v>50</v>
      </c>
      <c r="P406" s="250">
        <f t="shared" si="48"/>
        <v>2044</v>
      </c>
      <c r="Q406" s="268">
        <f>IF(J406=10,1,IFERROR(INDEX('Cost Escalators'!$D$28:$D$92,MATCH($P$4,'Cost Escalators'!$B$28:$B$92,0))/INDEX('Cost Escalators'!$D$28:$D$92,MATCH(I406,'Cost Escalators'!$B$28:$B$92,0)),1))</f>
        <v>1.8560281065088757</v>
      </c>
      <c r="R406" s="269">
        <f t="shared" si="49"/>
        <v>334586.18676035502</v>
      </c>
      <c r="S406" s="269">
        <f t="shared" si="50"/>
        <v>765114.21010460716</v>
      </c>
      <c r="T406" s="269">
        <f t="shared" si="51"/>
        <v>190315.87689610341</v>
      </c>
      <c r="U406" s="242">
        <f t="shared" si="52"/>
        <v>75713.400000000009</v>
      </c>
    </row>
    <row r="407" spans="1:21" s="237" customFormat="1" x14ac:dyDescent="0.3">
      <c r="A407" s="237">
        <v>402</v>
      </c>
      <c r="B407" s="263">
        <v>0</v>
      </c>
      <c r="C407" s="263">
        <v>0</v>
      </c>
      <c r="D407" s="264">
        <f t="shared" si="45"/>
        <v>1</v>
      </c>
      <c r="E407" s="270" t="s">
        <v>1121</v>
      </c>
      <c r="F407" s="384" t="s">
        <v>364</v>
      </c>
      <c r="G407" s="384">
        <v>31</v>
      </c>
      <c r="H407" s="385">
        <v>34454</v>
      </c>
      <c r="I407" s="265">
        <f t="shared" si="47"/>
        <v>1994</v>
      </c>
      <c r="J407" s="383">
        <v>350</v>
      </c>
      <c r="K407" s="641" t="str">
        <f>VLOOKUP(J407,'Cost Escalators'!$C$313:$D$330,2,FALSE)</f>
        <v>Storm Water System</v>
      </c>
      <c r="L407" s="238" t="s">
        <v>1122</v>
      </c>
      <c r="M407" s="384" t="s">
        <v>1506</v>
      </c>
      <c r="N407" s="246">
        <v>156364.5</v>
      </c>
      <c r="O407" s="267">
        <v>50</v>
      </c>
      <c r="P407" s="250">
        <f t="shared" si="48"/>
        <v>2044</v>
      </c>
      <c r="Q407" s="268">
        <f>IF(J407=10,1,IFERROR(INDEX('Cost Escalators'!$D$28:$D$92,MATCH($P$4,'Cost Escalators'!$B$28:$B$92,0))/INDEX('Cost Escalators'!$D$28:$D$92,MATCH(I407,'Cost Escalators'!$B$28:$B$92,0)),1))</f>
        <v>1.8560281065088757</v>
      </c>
      <c r="R407" s="269">
        <f t="shared" si="49"/>
        <v>290216.90686020709</v>
      </c>
      <c r="S407" s="269">
        <f t="shared" si="50"/>
        <v>663652.85907750507</v>
      </c>
      <c r="T407" s="269">
        <f t="shared" si="51"/>
        <v>165078.19899551096</v>
      </c>
      <c r="U407" s="242">
        <f t="shared" si="52"/>
        <v>65673.09</v>
      </c>
    </row>
    <row r="408" spans="1:21" s="237" customFormat="1" x14ac:dyDescent="0.3">
      <c r="A408" s="237">
        <v>403</v>
      </c>
      <c r="B408" s="263">
        <v>0</v>
      </c>
      <c r="C408" s="263">
        <v>0</v>
      </c>
      <c r="D408" s="264">
        <f t="shared" si="45"/>
        <v>1</v>
      </c>
      <c r="E408" s="270" t="s">
        <v>1123</v>
      </c>
      <c r="F408" s="384" t="s">
        <v>364</v>
      </c>
      <c r="G408" s="384">
        <v>31</v>
      </c>
      <c r="H408" s="385">
        <v>35703</v>
      </c>
      <c r="I408" s="265">
        <f t="shared" si="47"/>
        <v>1997</v>
      </c>
      <c r="J408" s="383">
        <v>350</v>
      </c>
      <c r="K408" s="641" t="str">
        <f>VLOOKUP(J408,'Cost Escalators'!$C$313:$D$330,2,FALSE)</f>
        <v>Storm Water System</v>
      </c>
      <c r="L408" s="238" t="s">
        <v>1124</v>
      </c>
      <c r="M408" s="384" t="s">
        <v>1506</v>
      </c>
      <c r="N408" s="246">
        <v>153439</v>
      </c>
      <c r="O408" s="267">
        <v>50</v>
      </c>
      <c r="P408" s="250">
        <f t="shared" si="48"/>
        <v>2047</v>
      </c>
      <c r="Q408" s="268">
        <f>IF(J408=10,1,IFERROR(INDEX('Cost Escalators'!$D$28:$D$92,MATCH($P$4,'Cost Escalators'!$B$28:$B$92,0))/INDEX('Cost Escalators'!$D$28:$D$92,MATCH(I408,'Cost Escalators'!$B$28:$B$92,0)),1))</f>
        <v>1.722863027806385</v>
      </c>
      <c r="R408" s="269">
        <f t="shared" si="49"/>
        <v>264354.38012358389</v>
      </c>
      <c r="S408" s="269">
        <f t="shared" si="50"/>
        <v>658514.40720568935</v>
      </c>
      <c r="T408" s="269">
        <f t="shared" si="51"/>
        <v>164088.74436978277</v>
      </c>
      <c r="U408" s="242">
        <f t="shared" si="52"/>
        <v>55238.04</v>
      </c>
    </row>
    <row r="409" spans="1:21" s="237" customFormat="1" x14ac:dyDescent="0.3">
      <c r="A409" s="237">
        <v>404</v>
      </c>
      <c r="B409" s="263">
        <v>0</v>
      </c>
      <c r="C409" s="263">
        <v>0</v>
      </c>
      <c r="D409" s="264">
        <f t="shared" si="45"/>
        <v>1</v>
      </c>
      <c r="E409" s="270" t="s">
        <v>1125</v>
      </c>
      <c r="F409" s="384" t="s">
        <v>364</v>
      </c>
      <c r="G409" s="384">
        <v>31</v>
      </c>
      <c r="H409" s="385">
        <v>36068</v>
      </c>
      <c r="I409" s="265">
        <f t="shared" si="47"/>
        <v>1998</v>
      </c>
      <c r="J409" s="383">
        <v>350</v>
      </c>
      <c r="K409" s="641" t="str">
        <f>VLOOKUP(J409,'Cost Escalators'!$C$313:$D$330,2,FALSE)</f>
        <v>Storm Water System</v>
      </c>
      <c r="L409" s="238" t="s">
        <v>1126</v>
      </c>
      <c r="M409" s="384" t="s">
        <v>1506</v>
      </c>
      <c r="N409" s="246">
        <v>152581.5</v>
      </c>
      <c r="O409" s="267">
        <v>50</v>
      </c>
      <c r="P409" s="250">
        <f t="shared" si="48"/>
        <v>2048</v>
      </c>
      <c r="Q409" s="268">
        <f>IF(J409=10,1,IFERROR(INDEX('Cost Escalators'!$D$28:$D$92,MATCH($P$4,'Cost Escalators'!$B$28:$B$92,0))/INDEX('Cost Escalators'!$D$28:$D$92,MATCH(I409,'Cost Escalators'!$B$28:$B$92,0)),1))</f>
        <v>1.6955067567567568</v>
      </c>
      <c r="R409" s="269">
        <f t="shared" si="49"/>
        <v>258702.96420608109</v>
      </c>
      <c r="S409" s="269">
        <f t="shared" si="50"/>
        <v>663081.65353171155</v>
      </c>
      <c r="T409" s="269">
        <f t="shared" si="51"/>
        <v>163539.26341385077</v>
      </c>
      <c r="U409" s="242">
        <f t="shared" si="52"/>
        <v>51877.71</v>
      </c>
    </row>
    <row r="410" spans="1:21" s="237" customFormat="1" x14ac:dyDescent="0.3">
      <c r="A410" s="237">
        <v>405</v>
      </c>
      <c r="B410" s="263">
        <v>0</v>
      </c>
      <c r="C410" s="263">
        <v>0</v>
      </c>
      <c r="D410" s="264">
        <f t="shared" si="45"/>
        <v>1</v>
      </c>
      <c r="E410" s="270" t="s">
        <v>1127</v>
      </c>
      <c r="F410" s="384" t="s">
        <v>364</v>
      </c>
      <c r="G410" s="384">
        <v>31</v>
      </c>
      <c r="H410" s="385">
        <v>36508</v>
      </c>
      <c r="I410" s="265">
        <f t="shared" si="47"/>
        <v>1999</v>
      </c>
      <c r="J410" s="383">
        <v>350</v>
      </c>
      <c r="K410" s="641" t="str">
        <f>VLOOKUP(J410,'Cost Escalators'!$C$313:$D$330,2,FALSE)</f>
        <v>Storm Water System</v>
      </c>
      <c r="L410" s="238" t="s">
        <v>1126</v>
      </c>
      <c r="M410" s="384" t="s">
        <v>1506</v>
      </c>
      <c r="N410" s="246">
        <v>48201.82</v>
      </c>
      <c r="O410" s="267">
        <v>50</v>
      </c>
      <c r="P410" s="250">
        <f t="shared" si="48"/>
        <v>2049</v>
      </c>
      <c r="Q410" s="268">
        <f>IF(J410=10,1,IFERROR(INDEX('Cost Escalators'!$D$28:$D$92,MATCH($P$4,'Cost Escalators'!$B$28:$B$92,0))/INDEX('Cost Escalators'!$D$28:$D$92,MATCH(I410,'Cost Escalators'!$B$28:$B$92,0)),1))</f>
        <v>1.6566100016504373</v>
      </c>
      <c r="R410" s="269">
        <f t="shared" si="49"/>
        <v>79851.617109754079</v>
      </c>
      <c r="S410" s="269">
        <f t="shared" si="50"/>
        <v>210589.23122376262</v>
      </c>
      <c r="T410" s="269">
        <f t="shared" si="51"/>
        <v>51732.293694865642</v>
      </c>
      <c r="U410" s="242">
        <f t="shared" si="52"/>
        <v>15424.582399999999</v>
      </c>
    </row>
    <row r="411" spans="1:21" s="237" customFormat="1" x14ac:dyDescent="0.3">
      <c r="A411" s="237">
        <v>406</v>
      </c>
      <c r="B411" s="263">
        <v>0</v>
      </c>
      <c r="C411" s="263">
        <v>0</v>
      </c>
      <c r="D411" s="264">
        <f t="shared" si="45"/>
        <v>1</v>
      </c>
      <c r="E411" s="270" t="s">
        <v>1128</v>
      </c>
      <c r="F411" s="384" t="s">
        <v>364</v>
      </c>
      <c r="G411" s="384">
        <v>31</v>
      </c>
      <c r="H411" s="385">
        <v>37164</v>
      </c>
      <c r="I411" s="265">
        <f t="shared" si="47"/>
        <v>2001</v>
      </c>
      <c r="J411" s="383">
        <v>350</v>
      </c>
      <c r="K411" s="641" t="str">
        <f>VLOOKUP(J411,'Cost Escalators'!$C$313:$D$330,2,FALSE)</f>
        <v>Storm Water System</v>
      </c>
      <c r="L411" s="238" t="s">
        <v>1126</v>
      </c>
      <c r="M411" s="384" t="s">
        <v>1506</v>
      </c>
      <c r="N411" s="246">
        <v>49350</v>
      </c>
      <c r="O411" s="267">
        <v>50</v>
      </c>
      <c r="P411" s="250">
        <f t="shared" si="48"/>
        <v>2051</v>
      </c>
      <c r="Q411" s="268">
        <f>IF(J411=10,1,IFERROR(INDEX('Cost Escalators'!$D$28:$D$92,MATCH($P$4,'Cost Escalators'!$B$28:$B$92,0))/INDEX('Cost Escalators'!$D$28:$D$92,MATCH(I411,'Cost Escalators'!$B$28:$B$92,0)),1))</f>
        <v>1.5824373324925114</v>
      </c>
      <c r="R411" s="269">
        <f t="shared" si="49"/>
        <v>78093.282358505443</v>
      </c>
      <c r="S411" s="269">
        <f t="shared" si="50"/>
        <v>218041.81767738168</v>
      </c>
      <c r="T411" s="269">
        <f t="shared" si="51"/>
        <v>52970.657720365612</v>
      </c>
      <c r="U411" s="242">
        <f t="shared" si="52"/>
        <v>13818</v>
      </c>
    </row>
    <row r="412" spans="1:21" s="237" customFormat="1" x14ac:dyDescent="0.3">
      <c r="A412" s="237">
        <v>407</v>
      </c>
      <c r="B412" s="263">
        <v>0</v>
      </c>
      <c r="C412" s="263">
        <v>0</v>
      </c>
      <c r="D412" s="264">
        <f t="shared" si="45"/>
        <v>1</v>
      </c>
      <c r="E412" s="270" t="s">
        <v>1129</v>
      </c>
      <c r="F412" s="384" t="s">
        <v>364</v>
      </c>
      <c r="G412" s="384">
        <v>31</v>
      </c>
      <c r="H412" s="385">
        <v>37529</v>
      </c>
      <c r="I412" s="265">
        <f t="shared" si="47"/>
        <v>2002</v>
      </c>
      <c r="J412" s="383">
        <v>350</v>
      </c>
      <c r="K412" s="641" t="str">
        <f>VLOOKUP(J412,'Cost Escalators'!$C$313:$D$330,2,FALSE)</f>
        <v>Storm Water System</v>
      </c>
      <c r="L412" s="238" t="s">
        <v>1130</v>
      </c>
      <c r="M412" s="384" t="s">
        <v>1506</v>
      </c>
      <c r="N412" s="246">
        <v>1240415.5</v>
      </c>
      <c r="O412" s="267">
        <v>50</v>
      </c>
      <c r="P412" s="250">
        <f t="shared" si="48"/>
        <v>2052</v>
      </c>
      <c r="Q412" s="268">
        <f>IF(J412=10,1,IFERROR(INDEX('Cost Escalators'!$D$28:$D$92,MATCH($P$4,'Cost Escalators'!$B$28:$B$92,0))/INDEX('Cost Escalators'!$D$28:$D$92,MATCH(I412,'Cost Escalators'!$B$28:$B$92,0)),1))</f>
        <v>1.5352401345977362</v>
      </c>
      <c r="R412" s="269">
        <f t="shared" si="49"/>
        <v>1904335.6591771182</v>
      </c>
      <c r="S412" s="269">
        <f t="shared" si="50"/>
        <v>5470870.7292882381</v>
      </c>
      <c r="T412" s="269">
        <f t="shared" si="51"/>
        <v>1329926.9282055954</v>
      </c>
      <c r="U412" s="242">
        <f t="shared" si="52"/>
        <v>322508.03000000003</v>
      </c>
    </row>
    <row r="413" spans="1:21" s="237" customFormat="1" x14ac:dyDescent="0.3">
      <c r="A413" s="237">
        <v>408</v>
      </c>
      <c r="B413" s="263">
        <v>0</v>
      </c>
      <c r="C413" s="263">
        <v>0</v>
      </c>
      <c r="D413" s="264">
        <f t="shared" si="45"/>
        <v>1</v>
      </c>
      <c r="E413" s="270" t="s">
        <v>1131</v>
      </c>
      <c r="F413" s="384" t="s">
        <v>364</v>
      </c>
      <c r="G413" s="384">
        <v>31</v>
      </c>
      <c r="H413" s="385">
        <v>37529</v>
      </c>
      <c r="I413" s="265">
        <f t="shared" si="47"/>
        <v>2002</v>
      </c>
      <c r="J413" s="383">
        <v>350</v>
      </c>
      <c r="K413" s="641" t="str">
        <f>VLOOKUP(J413,'Cost Escalators'!$C$313:$D$330,2,FALSE)</f>
        <v>Storm Water System</v>
      </c>
      <c r="L413" s="238" t="s">
        <v>1132</v>
      </c>
      <c r="M413" s="384" t="s">
        <v>1506</v>
      </c>
      <c r="N413" s="246">
        <v>12882.15</v>
      </c>
      <c r="O413" s="267">
        <v>50</v>
      </c>
      <c r="P413" s="250">
        <f t="shared" si="48"/>
        <v>2052</v>
      </c>
      <c r="Q413" s="268">
        <f>IF(J413=10,1,IFERROR(INDEX('Cost Escalators'!$D$28:$D$92,MATCH($P$4,'Cost Escalators'!$B$28:$B$92,0))/INDEX('Cost Escalators'!$D$28:$D$92,MATCH(I413,'Cost Escalators'!$B$28:$B$92,0)),1))</f>
        <v>1.5352401345977362</v>
      </c>
      <c r="R413" s="269">
        <f t="shared" si="49"/>
        <v>19777.193699908228</v>
      </c>
      <c r="S413" s="269">
        <f t="shared" si="50"/>
        <v>56816.91124087089</v>
      </c>
      <c r="T413" s="269">
        <f t="shared" si="51"/>
        <v>13811.757574928492</v>
      </c>
      <c r="U413" s="242">
        <f t="shared" si="52"/>
        <v>3349.3589999999995</v>
      </c>
    </row>
    <row r="414" spans="1:21" s="237" customFormat="1" x14ac:dyDescent="0.3">
      <c r="A414" s="237">
        <v>409</v>
      </c>
      <c r="B414" s="263">
        <v>0</v>
      </c>
      <c r="C414" s="263">
        <v>0</v>
      </c>
      <c r="D414" s="264">
        <f t="shared" si="45"/>
        <v>1</v>
      </c>
      <c r="E414" s="270" t="s">
        <v>1133</v>
      </c>
      <c r="F414" s="384" t="s">
        <v>364</v>
      </c>
      <c r="G414" s="384">
        <v>31</v>
      </c>
      <c r="H414" s="385">
        <v>37894</v>
      </c>
      <c r="I414" s="265">
        <f t="shared" si="47"/>
        <v>2003</v>
      </c>
      <c r="J414" s="383">
        <v>350</v>
      </c>
      <c r="K414" s="641" t="str">
        <f>VLOOKUP(J414,'Cost Escalators'!$C$313:$D$330,2,FALSE)</f>
        <v>Storm Water System</v>
      </c>
      <c r="L414" s="238" t="s">
        <v>1134</v>
      </c>
      <c r="M414" s="384" t="s">
        <v>1506</v>
      </c>
      <c r="N414" s="246">
        <v>855746</v>
      </c>
      <c r="O414" s="267">
        <v>50</v>
      </c>
      <c r="P414" s="250">
        <f t="shared" si="48"/>
        <v>2053</v>
      </c>
      <c r="Q414" s="268">
        <f>IF(J414=10,1,IFERROR(INDEX('Cost Escalators'!$D$28:$D$92,MATCH($P$4,'Cost Escalators'!$B$28:$B$92,0))/INDEX('Cost Escalators'!$D$28:$D$92,MATCH(I414,'Cost Escalators'!$B$28:$B$92,0)),1))</f>
        <v>1.4994622049596653</v>
      </c>
      <c r="R414" s="269">
        <f t="shared" si="49"/>
        <v>1283158.7840454138</v>
      </c>
      <c r="S414" s="269">
        <f t="shared" si="50"/>
        <v>3792976.841988747</v>
      </c>
      <c r="T414" s="269">
        <f t="shared" si="51"/>
        <v>915799.72539047652</v>
      </c>
      <c r="U414" s="242">
        <f t="shared" si="52"/>
        <v>205379.03999999998</v>
      </c>
    </row>
    <row r="415" spans="1:21" s="237" customFormat="1" x14ac:dyDescent="0.3">
      <c r="A415" s="237">
        <v>410</v>
      </c>
      <c r="B415" s="263">
        <v>0</v>
      </c>
      <c r="C415" s="263">
        <v>0</v>
      </c>
      <c r="D415" s="264">
        <f t="shared" si="45"/>
        <v>1</v>
      </c>
      <c r="E415" s="270" t="s">
        <v>1135</v>
      </c>
      <c r="F415" s="384" t="s">
        <v>364</v>
      </c>
      <c r="G415" s="384">
        <v>31</v>
      </c>
      <c r="H415" s="385">
        <v>37894</v>
      </c>
      <c r="I415" s="265">
        <f t="shared" si="47"/>
        <v>2003</v>
      </c>
      <c r="J415" s="383">
        <v>350</v>
      </c>
      <c r="K415" s="641" t="str">
        <f>VLOOKUP(J415,'Cost Escalators'!$C$313:$D$330,2,FALSE)</f>
        <v>Storm Water System</v>
      </c>
      <c r="L415" s="238" t="s">
        <v>1136</v>
      </c>
      <c r="M415" s="384" t="s">
        <v>1506</v>
      </c>
      <c r="N415" s="246">
        <v>920124.5</v>
      </c>
      <c r="O415" s="267">
        <v>50</v>
      </c>
      <c r="P415" s="250">
        <f t="shared" si="48"/>
        <v>2053</v>
      </c>
      <c r="Q415" s="268">
        <f>IF(J415=10,1,IFERROR(INDEX('Cost Escalators'!$D$28:$D$92,MATCH($P$4,'Cost Escalators'!$B$28:$B$92,0))/INDEX('Cost Escalators'!$D$28:$D$92,MATCH(I415,'Cost Escalators'!$B$28:$B$92,0)),1))</f>
        <v>1.4994622049596653</v>
      </c>
      <c r="R415" s="269">
        <f t="shared" si="49"/>
        <v>1379691.9116074096</v>
      </c>
      <c r="S415" s="269">
        <f t="shared" si="50"/>
        <v>4078325.718433361</v>
      </c>
      <c r="T415" s="269">
        <f t="shared" si="51"/>
        <v>984696.11826996517</v>
      </c>
      <c r="U415" s="242">
        <f t="shared" si="52"/>
        <v>220829.88</v>
      </c>
    </row>
    <row r="416" spans="1:21" s="237" customFormat="1" x14ac:dyDescent="0.3">
      <c r="A416" s="237">
        <v>411</v>
      </c>
      <c r="B416" s="263">
        <v>0</v>
      </c>
      <c r="C416" s="263">
        <v>0</v>
      </c>
      <c r="D416" s="264">
        <f t="shared" si="45"/>
        <v>1</v>
      </c>
      <c r="E416" s="270" t="s">
        <v>1137</v>
      </c>
      <c r="F416" s="384" t="s">
        <v>364</v>
      </c>
      <c r="G416" s="384">
        <v>31</v>
      </c>
      <c r="H416" s="385">
        <v>38260</v>
      </c>
      <c r="I416" s="265">
        <f t="shared" si="47"/>
        <v>2004</v>
      </c>
      <c r="J416" s="383">
        <v>350</v>
      </c>
      <c r="K416" s="641" t="str">
        <f>VLOOKUP(J416,'Cost Escalators'!$C$313:$D$330,2,FALSE)</f>
        <v>Storm Water System</v>
      </c>
      <c r="L416" s="238" t="s">
        <v>1138</v>
      </c>
      <c r="M416" s="384" t="s">
        <v>1506</v>
      </c>
      <c r="N416" s="246">
        <v>839682.5</v>
      </c>
      <c r="O416" s="267">
        <v>50</v>
      </c>
      <c r="P416" s="250">
        <f t="shared" si="48"/>
        <v>2054</v>
      </c>
      <c r="Q416" s="268">
        <f>IF(J416=10,1,IFERROR(INDEX('Cost Escalators'!$D$28:$D$92,MATCH($P$4,'Cost Escalators'!$B$28:$B$92,0))/INDEX('Cost Escalators'!$D$28:$D$92,MATCH(I416,'Cost Escalators'!$B$28:$B$92,0)),1))</f>
        <v>1.4107378777231201</v>
      </c>
      <c r="R416" s="269">
        <f t="shared" si="49"/>
        <v>1184571.9080112437</v>
      </c>
      <c r="S416" s="269">
        <f t="shared" si="50"/>
        <v>3602865.5494013587</v>
      </c>
      <c r="T416" s="269">
        <f t="shared" si="51"/>
        <v>896323.75604723673</v>
      </c>
      <c r="U416" s="242">
        <f t="shared" si="52"/>
        <v>184730.15000000002</v>
      </c>
    </row>
    <row r="417" spans="1:21" s="237" customFormat="1" x14ac:dyDescent="0.3">
      <c r="A417" s="237">
        <v>412</v>
      </c>
      <c r="B417" s="263">
        <v>0</v>
      </c>
      <c r="C417" s="263">
        <v>0</v>
      </c>
      <c r="D417" s="264">
        <f t="shared" si="45"/>
        <v>1</v>
      </c>
      <c r="E417" s="270" t="s">
        <v>1139</v>
      </c>
      <c r="F417" s="384" t="s">
        <v>364</v>
      </c>
      <c r="G417" s="384">
        <v>31</v>
      </c>
      <c r="H417" s="385">
        <v>38625</v>
      </c>
      <c r="I417" s="265">
        <f t="shared" si="47"/>
        <v>2005</v>
      </c>
      <c r="J417" s="383">
        <v>350</v>
      </c>
      <c r="K417" s="641" t="str">
        <f>VLOOKUP(J417,'Cost Escalators'!$C$313:$D$330,2,FALSE)</f>
        <v>Storm Water System</v>
      </c>
      <c r="L417" s="238" t="s">
        <v>1140</v>
      </c>
      <c r="M417" s="384" t="s">
        <v>1506</v>
      </c>
      <c r="N417" s="246">
        <v>2492696.4700000002</v>
      </c>
      <c r="O417" s="267">
        <v>50</v>
      </c>
      <c r="P417" s="250">
        <f t="shared" si="48"/>
        <v>2055</v>
      </c>
      <c r="Q417" s="268">
        <f>IF(J417=10,1,IFERROR(INDEX('Cost Escalators'!$D$28:$D$92,MATCH($P$4,'Cost Escalators'!$B$28:$B$92,0))/INDEX('Cost Escalators'!$D$28:$D$92,MATCH(I417,'Cost Escalators'!$B$28:$B$92,0)),1))</f>
        <v>1.3480106991371303</v>
      </c>
      <c r="R417" s="269">
        <f t="shared" si="49"/>
        <v>3360181.511261357</v>
      </c>
      <c r="S417" s="269">
        <f t="shared" si="50"/>
        <v>10515651.890663054</v>
      </c>
      <c r="T417" s="269">
        <f t="shared" si="51"/>
        <v>2652331.1839392083</v>
      </c>
      <c r="U417" s="242">
        <f t="shared" si="52"/>
        <v>498539.29399999999</v>
      </c>
    </row>
    <row r="418" spans="1:21" s="237" customFormat="1" x14ac:dyDescent="0.3">
      <c r="A418" s="237">
        <v>413</v>
      </c>
      <c r="B418" s="263">
        <v>0</v>
      </c>
      <c r="C418" s="263">
        <v>0</v>
      </c>
      <c r="D418" s="264">
        <f t="shared" si="45"/>
        <v>1</v>
      </c>
      <c r="E418" s="270" t="s">
        <v>1139</v>
      </c>
      <c r="F418" s="384" t="s">
        <v>364</v>
      </c>
      <c r="G418" s="384">
        <v>31</v>
      </c>
      <c r="H418" s="385">
        <v>38990</v>
      </c>
      <c r="I418" s="265">
        <f t="shared" si="47"/>
        <v>2006</v>
      </c>
      <c r="J418" s="383">
        <v>350</v>
      </c>
      <c r="K418" s="641" t="str">
        <f>VLOOKUP(J418,'Cost Escalators'!$C$313:$D$330,2,FALSE)</f>
        <v>Storm Water System</v>
      </c>
      <c r="L418" s="238" t="s">
        <v>1141</v>
      </c>
      <c r="M418" s="384" t="s">
        <v>1506</v>
      </c>
      <c r="N418" s="246">
        <v>154123.15</v>
      </c>
      <c r="O418" s="267">
        <v>50</v>
      </c>
      <c r="P418" s="250">
        <f t="shared" si="48"/>
        <v>2056</v>
      </c>
      <c r="Q418" s="268">
        <f>IF(J418=10,1,IFERROR(INDEX('Cost Escalators'!$D$28:$D$92,MATCH($P$4,'Cost Escalators'!$B$28:$B$92,0))/INDEX('Cost Escalators'!$D$28:$D$92,MATCH(I418,'Cost Escalators'!$B$28:$B$92,0)),1))</f>
        <v>1.2949395258829222</v>
      </c>
      <c r="R418" s="269">
        <f t="shared" si="49"/>
        <v>199580.15878858248</v>
      </c>
      <c r="S418" s="269">
        <f t="shared" si="50"/>
        <v>642654.6634225673</v>
      </c>
      <c r="T418" s="269">
        <f t="shared" si="51"/>
        <v>163366.59533993548</v>
      </c>
      <c r="U418" s="242">
        <f t="shared" si="52"/>
        <v>27742.166999999998</v>
      </c>
    </row>
    <row r="419" spans="1:21" s="237" customFormat="1" x14ac:dyDescent="0.3">
      <c r="A419" s="237">
        <v>414</v>
      </c>
      <c r="B419" s="263">
        <v>0</v>
      </c>
      <c r="C419" s="263">
        <v>0</v>
      </c>
      <c r="D419" s="264">
        <f t="shared" ref="D419:D482" si="53">1-B419-C419</f>
        <v>1</v>
      </c>
      <c r="E419" s="270" t="s">
        <v>1142</v>
      </c>
      <c r="F419" s="384" t="s">
        <v>364</v>
      </c>
      <c r="G419" s="384">
        <v>31</v>
      </c>
      <c r="H419" s="385">
        <v>38625</v>
      </c>
      <c r="I419" s="265">
        <f t="shared" si="47"/>
        <v>2005</v>
      </c>
      <c r="J419" s="383">
        <v>350</v>
      </c>
      <c r="K419" s="641" t="str">
        <f>VLOOKUP(J419,'Cost Escalators'!$C$313:$D$330,2,FALSE)</f>
        <v>Storm Water System</v>
      </c>
      <c r="L419" s="238" t="s">
        <v>1143</v>
      </c>
      <c r="M419" s="384" t="s">
        <v>1506</v>
      </c>
      <c r="N419" s="246">
        <v>356014.98</v>
      </c>
      <c r="O419" s="267">
        <v>50</v>
      </c>
      <c r="P419" s="250">
        <f t="shared" si="48"/>
        <v>2055</v>
      </c>
      <c r="Q419" s="268">
        <f>IF(J419=10,1,IFERROR(INDEX('Cost Escalators'!$D$28:$D$92,MATCH($P$4,'Cost Escalators'!$B$28:$B$92,0))/INDEX('Cost Escalators'!$D$28:$D$92,MATCH(I419,'Cost Escalators'!$B$28:$B$92,0)),1))</f>
        <v>1.3480106991371303</v>
      </c>
      <c r="R419" s="269">
        <f t="shared" si="49"/>
        <v>479912.00209309143</v>
      </c>
      <c r="S419" s="269">
        <f t="shared" si="50"/>
        <v>1501879.4476574874</v>
      </c>
      <c r="T419" s="269">
        <f t="shared" si="51"/>
        <v>378814.5266653719</v>
      </c>
      <c r="U419" s="242">
        <f t="shared" si="52"/>
        <v>71202.995999999999</v>
      </c>
    </row>
    <row r="420" spans="1:21" s="237" customFormat="1" x14ac:dyDescent="0.3">
      <c r="A420" s="237">
        <v>415</v>
      </c>
      <c r="B420" s="263">
        <v>0</v>
      </c>
      <c r="C420" s="263">
        <v>0</v>
      </c>
      <c r="D420" s="264">
        <f t="shared" si="53"/>
        <v>1</v>
      </c>
      <c r="E420" s="270" t="s">
        <v>1142</v>
      </c>
      <c r="F420" s="384" t="s">
        <v>364</v>
      </c>
      <c r="G420" s="384">
        <v>31</v>
      </c>
      <c r="H420" s="385">
        <v>38990</v>
      </c>
      <c r="I420" s="265">
        <f t="shared" si="47"/>
        <v>2006</v>
      </c>
      <c r="J420" s="383">
        <v>350</v>
      </c>
      <c r="K420" s="641" t="str">
        <f>VLOOKUP(J420,'Cost Escalators'!$C$313:$D$330,2,FALSE)</f>
        <v>Storm Water System</v>
      </c>
      <c r="L420" s="238" t="s">
        <v>1144</v>
      </c>
      <c r="M420" s="384" t="s">
        <v>1506</v>
      </c>
      <c r="N420" s="246">
        <v>1230458.08</v>
      </c>
      <c r="O420" s="267">
        <v>50</v>
      </c>
      <c r="P420" s="250">
        <f t="shared" si="48"/>
        <v>2056</v>
      </c>
      <c r="Q420" s="268">
        <f>IF(J420=10,1,IFERROR(INDEX('Cost Escalators'!$D$28:$D$92,MATCH($P$4,'Cost Escalators'!$B$28:$B$92,0))/INDEX('Cost Escalators'!$D$28:$D$92,MATCH(I420,'Cost Escalators'!$B$28:$B$92,0)),1))</f>
        <v>1.2949395258829222</v>
      </c>
      <c r="R420" s="269">
        <f t="shared" si="49"/>
        <v>1593368.8027340109</v>
      </c>
      <c r="S420" s="269">
        <f t="shared" si="50"/>
        <v>5130699.8543565879</v>
      </c>
      <c r="T420" s="269">
        <f t="shared" si="51"/>
        <v>1304254.0801827239</v>
      </c>
      <c r="U420" s="242">
        <f t="shared" si="52"/>
        <v>221482.45440000002</v>
      </c>
    </row>
    <row r="421" spans="1:21" s="237" customFormat="1" x14ac:dyDescent="0.3">
      <c r="A421" s="237">
        <v>416</v>
      </c>
      <c r="B421" s="263">
        <v>0</v>
      </c>
      <c r="C421" s="263">
        <v>0</v>
      </c>
      <c r="D421" s="264">
        <f t="shared" si="53"/>
        <v>1</v>
      </c>
      <c r="E421" s="270" t="s">
        <v>1145</v>
      </c>
      <c r="F421" s="384" t="s">
        <v>364</v>
      </c>
      <c r="G421" s="384">
        <v>31</v>
      </c>
      <c r="H421" s="385">
        <v>38625</v>
      </c>
      <c r="I421" s="265">
        <f t="shared" si="47"/>
        <v>2005</v>
      </c>
      <c r="J421" s="383">
        <v>350</v>
      </c>
      <c r="K421" s="641" t="str">
        <f>VLOOKUP(J421,'Cost Escalators'!$C$313:$D$330,2,FALSE)</f>
        <v>Storm Water System</v>
      </c>
      <c r="L421" s="238" t="s">
        <v>1146</v>
      </c>
      <c r="M421" s="384" t="s">
        <v>1506</v>
      </c>
      <c r="N421" s="246">
        <v>1691044.46</v>
      </c>
      <c r="O421" s="267">
        <v>50</v>
      </c>
      <c r="P421" s="250">
        <f t="shared" si="48"/>
        <v>2055</v>
      </c>
      <c r="Q421" s="268">
        <f>IF(J421=10,1,IFERROR(INDEX('Cost Escalators'!$D$28:$D$92,MATCH($P$4,'Cost Escalators'!$B$28:$B$92,0))/INDEX('Cost Escalators'!$D$28:$D$92,MATCH(I421,'Cost Escalators'!$B$28:$B$92,0)),1))</f>
        <v>1.3480106991371303</v>
      </c>
      <c r="R421" s="269">
        <f t="shared" si="49"/>
        <v>2279546.0247965711</v>
      </c>
      <c r="S421" s="269">
        <f t="shared" si="50"/>
        <v>7133814.7612469969</v>
      </c>
      <c r="T421" s="269">
        <f t="shared" si="51"/>
        <v>1799340.5970866715</v>
      </c>
      <c r="U421" s="242">
        <f t="shared" si="52"/>
        <v>338208.89199999999</v>
      </c>
    </row>
    <row r="422" spans="1:21" s="237" customFormat="1" x14ac:dyDescent="0.3">
      <c r="A422" s="237">
        <v>417</v>
      </c>
      <c r="B422" s="263">
        <v>0</v>
      </c>
      <c r="C422" s="263">
        <v>0</v>
      </c>
      <c r="D422" s="264">
        <f t="shared" si="53"/>
        <v>1</v>
      </c>
      <c r="E422" s="270" t="s">
        <v>1145</v>
      </c>
      <c r="F422" s="384" t="s">
        <v>364</v>
      </c>
      <c r="G422" s="384">
        <v>31</v>
      </c>
      <c r="H422" s="385">
        <v>38990</v>
      </c>
      <c r="I422" s="265">
        <f t="shared" si="47"/>
        <v>2006</v>
      </c>
      <c r="J422" s="383">
        <v>350</v>
      </c>
      <c r="K422" s="641" t="str">
        <f>VLOOKUP(J422,'Cost Escalators'!$C$313:$D$330,2,FALSE)</f>
        <v>Storm Water System</v>
      </c>
      <c r="L422" s="238" t="s">
        <v>1147</v>
      </c>
      <c r="M422" s="384" t="s">
        <v>1506</v>
      </c>
      <c r="N422" s="246">
        <v>434888.3</v>
      </c>
      <c r="O422" s="267">
        <v>50</v>
      </c>
      <c r="P422" s="250">
        <f t="shared" si="48"/>
        <v>2056</v>
      </c>
      <c r="Q422" s="268">
        <f>IF(J422=10,1,IFERROR(INDEX('Cost Escalators'!$D$28:$D$92,MATCH($P$4,'Cost Escalators'!$B$28:$B$92,0))/INDEX('Cost Escalators'!$D$28:$D$92,MATCH(I422,'Cost Escalators'!$B$28:$B$92,0)),1))</f>
        <v>1.2949395258829222</v>
      </c>
      <c r="R422" s="269">
        <f t="shared" si="49"/>
        <v>563154.04901403002</v>
      </c>
      <c r="S422" s="269">
        <f t="shared" si="50"/>
        <v>1813374.5259093945</v>
      </c>
      <c r="T422" s="269">
        <f t="shared" si="51"/>
        <v>460970.47019978805</v>
      </c>
      <c r="U422" s="242">
        <f t="shared" si="52"/>
        <v>78279.894</v>
      </c>
    </row>
    <row r="423" spans="1:21" s="237" customFormat="1" x14ac:dyDescent="0.3">
      <c r="A423" s="237">
        <v>418</v>
      </c>
      <c r="B423" s="263">
        <v>0</v>
      </c>
      <c r="C423" s="263">
        <v>0</v>
      </c>
      <c r="D423" s="264">
        <f t="shared" si="53"/>
        <v>1</v>
      </c>
      <c r="E423" s="270" t="s">
        <v>1145</v>
      </c>
      <c r="F423" s="384" t="s">
        <v>364</v>
      </c>
      <c r="G423" s="384">
        <v>31</v>
      </c>
      <c r="H423" s="385">
        <v>39721</v>
      </c>
      <c r="I423" s="265">
        <f t="shared" si="47"/>
        <v>2008</v>
      </c>
      <c r="J423" s="383">
        <v>350</v>
      </c>
      <c r="K423" s="641" t="str">
        <f>VLOOKUP(J423,'Cost Escalators'!$C$313:$D$330,2,FALSE)</f>
        <v>Storm Water System</v>
      </c>
      <c r="L423" s="238" t="s">
        <v>1148</v>
      </c>
      <c r="M423" s="384" t="s">
        <v>1506</v>
      </c>
      <c r="N423" s="246">
        <v>700</v>
      </c>
      <c r="O423" s="267">
        <v>50</v>
      </c>
      <c r="P423" s="250">
        <f t="shared" si="48"/>
        <v>2058</v>
      </c>
      <c r="Q423" s="268">
        <f>IF(J423=10,1,IFERROR(INDEX('Cost Escalators'!$D$28:$D$92,MATCH($P$4,'Cost Escalators'!$B$28:$B$92,0))/INDEX('Cost Escalators'!$D$28:$D$92,MATCH(I423,'Cost Escalators'!$B$28:$B$92,0)),1))</f>
        <v>1.2078821488382354</v>
      </c>
      <c r="R423" s="269">
        <f t="shared" si="49"/>
        <v>845.51750418676477</v>
      </c>
      <c r="S423" s="269">
        <f t="shared" si="50"/>
        <v>2882.4154409254061</v>
      </c>
      <c r="T423" s="269">
        <f t="shared" si="51"/>
        <v>735.02878522550429</v>
      </c>
      <c r="U423" s="242">
        <f t="shared" si="52"/>
        <v>98</v>
      </c>
    </row>
    <row r="424" spans="1:21" s="237" customFormat="1" x14ac:dyDescent="0.3">
      <c r="A424" s="237">
        <v>419</v>
      </c>
      <c r="B424" s="263">
        <v>0</v>
      </c>
      <c r="C424" s="263">
        <v>0</v>
      </c>
      <c r="D424" s="264">
        <f t="shared" si="53"/>
        <v>1</v>
      </c>
      <c r="E424" s="270" t="s">
        <v>1149</v>
      </c>
      <c r="F424" s="384" t="s">
        <v>364</v>
      </c>
      <c r="G424" s="384">
        <v>31</v>
      </c>
      <c r="H424" s="385">
        <v>38625</v>
      </c>
      <c r="I424" s="265">
        <f t="shared" si="47"/>
        <v>2005</v>
      </c>
      <c r="J424" s="383">
        <v>350</v>
      </c>
      <c r="K424" s="641" t="str">
        <f>VLOOKUP(J424,'Cost Escalators'!$C$313:$D$330,2,FALSE)</f>
        <v>Storm Water System</v>
      </c>
      <c r="L424" s="238" t="s">
        <v>1150</v>
      </c>
      <c r="M424" s="384" t="s">
        <v>1506</v>
      </c>
      <c r="N424" s="246">
        <v>355079</v>
      </c>
      <c r="O424" s="267">
        <v>50</v>
      </c>
      <c r="P424" s="250">
        <f t="shared" si="48"/>
        <v>2055</v>
      </c>
      <c r="Q424" s="268">
        <f>IF(J424=10,1,IFERROR(INDEX('Cost Escalators'!$D$28:$D$92,MATCH($P$4,'Cost Escalators'!$B$28:$B$92,0))/INDEX('Cost Escalators'!$D$28:$D$92,MATCH(I424,'Cost Escalators'!$B$28:$B$92,0)),1))</f>
        <v>1.3480106991371303</v>
      </c>
      <c r="R424" s="269">
        <f t="shared" si="49"/>
        <v>478650.29103891313</v>
      </c>
      <c r="S424" s="269">
        <f t="shared" si="50"/>
        <v>1497930.9364869227</v>
      </c>
      <c r="T424" s="269">
        <f t="shared" si="51"/>
        <v>377818.60559298261</v>
      </c>
      <c r="U424" s="242">
        <f t="shared" si="52"/>
        <v>71015.8</v>
      </c>
    </row>
    <row r="425" spans="1:21" s="237" customFormat="1" x14ac:dyDescent="0.3">
      <c r="A425" s="237">
        <v>420</v>
      </c>
      <c r="B425" s="263">
        <v>0</v>
      </c>
      <c r="C425" s="263">
        <v>0</v>
      </c>
      <c r="D425" s="264">
        <f t="shared" si="53"/>
        <v>1</v>
      </c>
      <c r="E425" s="270" t="s">
        <v>1151</v>
      </c>
      <c r="F425" s="384" t="s">
        <v>364</v>
      </c>
      <c r="G425" s="384">
        <v>31</v>
      </c>
      <c r="H425" s="385">
        <v>38990</v>
      </c>
      <c r="I425" s="265">
        <f t="shared" si="47"/>
        <v>2006</v>
      </c>
      <c r="J425" s="383">
        <v>350</v>
      </c>
      <c r="K425" s="641" t="str">
        <f>VLOOKUP(J425,'Cost Escalators'!$C$313:$D$330,2,FALSE)</f>
        <v>Storm Water System</v>
      </c>
      <c r="L425" s="238" t="s">
        <v>1152</v>
      </c>
      <c r="M425" s="384" t="s">
        <v>1506</v>
      </c>
      <c r="N425" s="246">
        <v>1252181</v>
      </c>
      <c r="O425" s="267">
        <v>50</v>
      </c>
      <c r="P425" s="250">
        <f t="shared" si="48"/>
        <v>2056</v>
      </c>
      <c r="Q425" s="268">
        <f>IF(J425=10,1,IFERROR(INDEX('Cost Escalators'!$D$28:$D$92,MATCH($P$4,'Cost Escalators'!$B$28:$B$92,0))/INDEX('Cost Escalators'!$D$28:$D$92,MATCH(I425,'Cost Escalators'!$B$28:$B$92,0)),1))</f>
        <v>1.2949395258829222</v>
      </c>
      <c r="R425" s="269">
        <f t="shared" si="49"/>
        <v>1621498.6704596034</v>
      </c>
      <c r="S425" s="269">
        <f t="shared" si="50"/>
        <v>5221278.9519234058</v>
      </c>
      <c r="T425" s="269">
        <f t="shared" si="51"/>
        <v>1327279.8195427214</v>
      </c>
      <c r="U425" s="242">
        <f t="shared" si="52"/>
        <v>225392.58</v>
      </c>
    </row>
    <row r="426" spans="1:21" s="237" customFormat="1" x14ac:dyDescent="0.3">
      <c r="A426" s="237">
        <v>421</v>
      </c>
      <c r="B426" s="263">
        <v>0</v>
      </c>
      <c r="C426" s="263">
        <v>0</v>
      </c>
      <c r="D426" s="264">
        <f t="shared" si="53"/>
        <v>1</v>
      </c>
      <c r="E426" s="270" t="s">
        <v>1153</v>
      </c>
      <c r="F426" s="384" t="s">
        <v>364</v>
      </c>
      <c r="G426" s="384">
        <v>31</v>
      </c>
      <c r="H426" s="385">
        <v>38990</v>
      </c>
      <c r="I426" s="265">
        <f t="shared" si="47"/>
        <v>2006</v>
      </c>
      <c r="J426" s="383">
        <v>350</v>
      </c>
      <c r="K426" s="641" t="str">
        <f>VLOOKUP(J426,'Cost Escalators'!$C$313:$D$330,2,FALSE)</f>
        <v>Storm Water System</v>
      </c>
      <c r="L426" s="238" t="s">
        <v>1154</v>
      </c>
      <c r="M426" s="384" t="s">
        <v>1506</v>
      </c>
      <c r="N426" s="246">
        <v>42542.85</v>
      </c>
      <c r="O426" s="267">
        <v>50</v>
      </c>
      <c r="P426" s="250">
        <f t="shared" si="48"/>
        <v>2056</v>
      </c>
      <c r="Q426" s="268">
        <f>IF(J426=10,1,IFERROR(INDEX('Cost Escalators'!$D$28:$D$92,MATCH($P$4,'Cost Escalators'!$B$28:$B$92,0))/INDEX('Cost Escalators'!$D$28:$D$92,MATCH(I426,'Cost Escalators'!$B$28:$B$92,0)),1))</f>
        <v>1.2949395258829222</v>
      </c>
      <c r="R426" s="269">
        <f t="shared" si="49"/>
        <v>55090.418008708271</v>
      </c>
      <c r="S426" s="269">
        <f t="shared" si="50"/>
        <v>177392.95458071528</v>
      </c>
      <c r="T426" s="269">
        <f t="shared" si="51"/>
        <v>45094.332425450528</v>
      </c>
      <c r="U426" s="242">
        <f t="shared" si="52"/>
        <v>7657.7129999999997</v>
      </c>
    </row>
    <row r="427" spans="1:21" s="237" customFormat="1" x14ac:dyDescent="0.3">
      <c r="A427" s="237">
        <v>422</v>
      </c>
      <c r="B427" s="263">
        <v>0</v>
      </c>
      <c r="C427" s="263">
        <v>0</v>
      </c>
      <c r="D427" s="264">
        <f t="shared" si="53"/>
        <v>1</v>
      </c>
      <c r="E427" s="270" t="s">
        <v>1155</v>
      </c>
      <c r="F427" s="384" t="s">
        <v>364</v>
      </c>
      <c r="G427" s="384">
        <v>31</v>
      </c>
      <c r="H427" s="385">
        <v>38990</v>
      </c>
      <c r="I427" s="265">
        <f t="shared" si="47"/>
        <v>2006</v>
      </c>
      <c r="J427" s="383">
        <v>350</v>
      </c>
      <c r="K427" s="641" t="str">
        <f>VLOOKUP(J427,'Cost Escalators'!$C$313:$D$330,2,FALSE)</f>
        <v>Storm Water System</v>
      </c>
      <c r="L427" s="238" t="s">
        <v>1156</v>
      </c>
      <c r="M427" s="384" t="s">
        <v>1506</v>
      </c>
      <c r="N427" s="246">
        <v>60510</v>
      </c>
      <c r="O427" s="267">
        <v>50</v>
      </c>
      <c r="P427" s="250">
        <f t="shared" si="48"/>
        <v>2056</v>
      </c>
      <c r="Q427" s="268">
        <f>IF(J427=10,1,IFERROR(INDEX('Cost Escalators'!$D$28:$D$92,MATCH($P$4,'Cost Escalators'!$B$28:$B$92,0))/INDEX('Cost Escalators'!$D$28:$D$92,MATCH(I427,'Cost Escalators'!$B$28:$B$92,0)),1))</f>
        <v>1.2949395258829222</v>
      </c>
      <c r="R427" s="269">
        <f t="shared" si="49"/>
        <v>78356.790711175621</v>
      </c>
      <c r="S427" s="269">
        <f t="shared" si="50"/>
        <v>252311.43850680153</v>
      </c>
      <c r="T427" s="269">
        <f t="shared" si="51"/>
        <v>64139.051687040497</v>
      </c>
      <c r="U427" s="242">
        <f t="shared" si="52"/>
        <v>10891.800000000001</v>
      </c>
    </row>
    <row r="428" spans="1:21" s="237" customFormat="1" x14ac:dyDescent="0.3">
      <c r="A428" s="237">
        <v>423</v>
      </c>
      <c r="B428" s="263">
        <v>0</v>
      </c>
      <c r="C428" s="263">
        <v>0</v>
      </c>
      <c r="D428" s="264">
        <f t="shared" si="53"/>
        <v>1</v>
      </c>
      <c r="E428" s="270" t="s">
        <v>1157</v>
      </c>
      <c r="F428" s="384" t="s">
        <v>364</v>
      </c>
      <c r="G428" s="384">
        <v>31</v>
      </c>
      <c r="H428" s="385">
        <v>39355</v>
      </c>
      <c r="I428" s="265">
        <f t="shared" si="47"/>
        <v>2007</v>
      </c>
      <c r="J428" s="383">
        <v>350</v>
      </c>
      <c r="K428" s="641" t="str">
        <f>VLOOKUP(J428,'Cost Escalators'!$C$313:$D$330,2,FALSE)</f>
        <v>Storm Water System</v>
      </c>
      <c r="L428" s="238" t="s">
        <v>1158</v>
      </c>
      <c r="M428" s="384" t="s">
        <v>1506</v>
      </c>
      <c r="N428" s="246">
        <v>42514</v>
      </c>
      <c r="O428" s="267">
        <v>50</v>
      </c>
      <c r="P428" s="250">
        <f t="shared" si="48"/>
        <v>2057</v>
      </c>
      <c r="Q428" s="268">
        <f>IF(J428=10,1,IFERROR(INDEX('Cost Escalators'!$D$28:$D$92,MATCH($P$4,'Cost Escalators'!$B$28:$B$92,0))/INDEX('Cost Escalators'!$D$28:$D$92,MATCH(I428,'Cost Escalators'!$B$28:$B$92,0)),1))</f>
        <v>1.2598719718840214</v>
      </c>
      <c r="R428" s="269">
        <f t="shared" si="49"/>
        <v>53562.197012677287</v>
      </c>
      <c r="S428" s="269">
        <f t="shared" si="50"/>
        <v>177462.06005356513</v>
      </c>
      <c r="T428" s="269">
        <f t="shared" si="51"/>
        <v>44864.821774570955</v>
      </c>
      <c r="U428" s="242">
        <f t="shared" si="52"/>
        <v>6802.24</v>
      </c>
    </row>
    <row r="429" spans="1:21" s="237" customFormat="1" x14ac:dyDescent="0.3">
      <c r="A429" s="237">
        <v>424</v>
      </c>
      <c r="B429" s="263">
        <v>0</v>
      </c>
      <c r="C429" s="263">
        <v>0</v>
      </c>
      <c r="D429" s="264">
        <f t="shared" si="53"/>
        <v>1</v>
      </c>
      <c r="E429" s="270" t="s">
        <v>1157</v>
      </c>
      <c r="F429" s="384" t="s">
        <v>364</v>
      </c>
      <c r="G429" s="384">
        <v>31</v>
      </c>
      <c r="H429" s="385">
        <v>39355</v>
      </c>
      <c r="I429" s="265">
        <f t="shared" si="47"/>
        <v>2007</v>
      </c>
      <c r="J429" s="383">
        <v>350</v>
      </c>
      <c r="K429" s="641" t="str">
        <f>VLOOKUP(J429,'Cost Escalators'!$C$313:$D$330,2,FALSE)</f>
        <v>Storm Water System</v>
      </c>
      <c r="L429" s="238" t="s">
        <v>1159</v>
      </c>
      <c r="M429" s="384" t="s">
        <v>1506</v>
      </c>
      <c r="N429" s="246">
        <v>236122.94</v>
      </c>
      <c r="O429" s="267">
        <v>50</v>
      </c>
      <c r="P429" s="250">
        <f t="shared" si="48"/>
        <v>2057</v>
      </c>
      <c r="Q429" s="268">
        <f>IF(J429=10,1,IFERROR(INDEX('Cost Escalators'!$D$28:$D$92,MATCH($P$4,'Cost Escalators'!$B$28:$B$92,0))/INDEX('Cost Escalators'!$D$28:$D$92,MATCH(I429,'Cost Escalators'!$B$28:$B$92,0)),1))</f>
        <v>1.2598719718840214</v>
      </c>
      <c r="R429" s="269">
        <f t="shared" si="49"/>
        <v>297484.67402485246</v>
      </c>
      <c r="S429" s="269">
        <f t="shared" si="50"/>
        <v>985625.04959082545</v>
      </c>
      <c r="T429" s="269">
        <f t="shared" si="51"/>
        <v>249179.414310291</v>
      </c>
      <c r="U429" s="242">
        <f t="shared" si="52"/>
        <v>37779.670400000003</v>
      </c>
    </row>
    <row r="430" spans="1:21" s="237" customFormat="1" x14ac:dyDescent="0.3">
      <c r="A430" s="237">
        <v>425</v>
      </c>
      <c r="B430" s="263">
        <v>0</v>
      </c>
      <c r="C430" s="263">
        <v>0</v>
      </c>
      <c r="D430" s="264">
        <f t="shared" si="53"/>
        <v>1</v>
      </c>
      <c r="E430" s="270" t="s">
        <v>1160</v>
      </c>
      <c r="F430" s="384" t="s">
        <v>364</v>
      </c>
      <c r="G430" s="384">
        <v>31</v>
      </c>
      <c r="H430" s="385">
        <v>41639</v>
      </c>
      <c r="I430" s="265">
        <f t="shared" si="47"/>
        <v>2013</v>
      </c>
      <c r="J430" s="383">
        <v>350</v>
      </c>
      <c r="K430" s="641" t="str">
        <f>VLOOKUP(J430,'Cost Escalators'!$C$313:$D$330,2,FALSE)</f>
        <v>Storm Water System</v>
      </c>
      <c r="L430" s="238" t="s">
        <v>1161</v>
      </c>
      <c r="M430" s="384" t="s">
        <v>1506</v>
      </c>
      <c r="N430" s="246">
        <v>112506.98</v>
      </c>
      <c r="O430" s="267">
        <v>50</v>
      </c>
      <c r="P430" s="250">
        <f t="shared" si="48"/>
        <v>2063</v>
      </c>
      <c r="Q430" s="268">
        <f>IF(J430=10,1,IFERROR(INDEX('Cost Escalators'!$D$28:$D$92,MATCH($P$4,'Cost Escalators'!$B$28:$B$92,0))/INDEX('Cost Escalators'!$D$28:$D$92,MATCH(I430,'Cost Escalators'!$B$28:$B$92,0)),1))</f>
        <v>1.0514036312849162</v>
      </c>
      <c r="R430" s="269">
        <f t="shared" si="49"/>
        <v>118290.24731689943</v>
      </c>
      <c r="S430" s="269">
        <f t="shared" si="50"/>
        <v>465068.68252904713</v>
      </c>
      <c r="T430" s="269">
        <f t="shared" si="51"/>
        <v>114346.89425770436</v>
      </c>
      <c r="U430" s="242">
        <f t="shared" si="52"/>
        <v>4500.2791999999999</v>
      </c>
    </row>
    <row r="431" spans="1:21" s="237" customFormat="1" x14ac:dyDescent="0.3">
      <c r="A431" s="237">
        <v>426</v>
      </c>
      <c r="B431" s="263">
        <v>0</v>
      </c>
      <c r="C431" s="263">
        <v>0</v>
      </c>
      <c r="D431" s="264">
        <f t="shared" si="53"/>
        <v>1</v>
      </c>
      <c r="E431" s="270" t="s">
        <v>1162</v>
      </c>
      <c r="F431" s="384" t="s">
        <v>364</v>
      </c>
      <c r="G431" s="384">
        <v>31</v>
      </c>
      <c r="H431" s="385">
        <v>39355</v>
      </c>
      <c r="I431" s="265">
        <f t="shared" si="47"/>
        <v>2007</v>
      </c>
      <c r="J431" s="383">
        <v>350</v>
      </c>
      <c r="K431" s="641" t="str">
        <f>VLOOKUP(J431,'Cost Escalators'!$C$313:$D$330,2,FALSE)</f>
        <v>Storm Water System</v>
      </c>
      <c r="L431" s="238" t="s">
        <v>1163</v>
      </c>
      <c r="M431" s="384" t="s">
        <v>1506</v>
      </c>
      <c r="N431" s="246">
        <v>744190</v>
      </c>
      <c r="O431" s="267">
        <v>50</v>
      </c>
      <c r="P431" s="250">
        <f t="shared" si="48"/>
        <v>2057</v>
      </c>
      <c r="Q431" s="268">
        <f>IF(J431=10,1,IFERROR(INDEX('Cost Escalators'!$D$28:$D$92,MATCH($P$4,'Cost Escalators'!$B$28:$B$92,0))/INDEX('Cost Escalators'!$D$28:$D$92,MATCH(I431,'Cost Escalators'!$B$28:$B$92,0)),1))</f>
        <v>1.2598719718840214</v>
      </c>
      <c r="R431" s="269">
        <f t="shared" si="49"/>
        <v>937584.12275636988</v>
      </c>
      <c r="S431" s="269">
        <f t="shared" si="50"/>
        <v>3106400.0204935465</v>
      </c>
      <c r="T431" s="269">
        <f t="shared" si="51"/>
        <v>785340.16362652206</v>
      </c>
      <c r="U431" s="242">
        <f t="shared" si="52"/>
        <v>119070.39999999999</v>
      </c>
    </row>
    <row r="432" spans="1:21" s="237" customFormat="1" x14ac:dyDescent="0.3">
      <c r="A432" s="237">
        <v>427</v>
      </c>
      <c r="B432" s="263">
        <v>0</v>
      </c>
      <c r="C432" s="263">
        <v>0</v>
      </c>
      <c r="D432" s="264">
        <f t="shared" si="53"/>
        <v>1</v>
      </c>
      <c r="E432" s="270" t="s">
        <v>1164</v>
      </c>
      <c r="F432" s="384" t="s">
        <v>364</v>
      </c>
      <c r="G432" s="384">
        <v>31</v>
      </c>
      <c r="H432" s="385">
        <v>39721</v>
      </c>
      <c r="I432" s="265">
        <f t="shared" si="47"/>
        <v>2008</v>
      </c>
      <c r="J432" s="383">
        <v>350</v>
      </c>
      <c r="K432" s="641" t="str">
        <f>VLOOKUP(J432,'Cost Escalators'!$C$313:$D$330,2,FALSE)</f>
        <v>Storm Water System</v>
      </c>
      <c r="L432" s="238" t="s">
        <v>1165</v>
      </c>
      <c r="M432" s="384" t="s">
        <v>1506</v>
      </c>
      <c r="N432" s="246">
        <v>43775</v>
      </c>
      <c r="O432" s="267">
        <v>50</v>
      </c>
      <c r="P432" s="250">
        <f t="shared" si="48"/>
        <v>2058</v>
      </c>
      <c r="Q432" s="268">
        <f>IF(J432=10,1,IFERROR(INDEX('Cost Escalators'!$D$28:$D$92,MATCH($P$4,'Cost Escalators'!$B$28:$B$92,0))/INDEX('Cost Escalators'!$D$28:$D$92,MATCH(I432,'Cost Escalators'!$B$28:$B$92,0)),1))</f>
        <v>1.2078821488382354</v>
      </c>
      <c r="R432" s="269">
        <f t="shared" si="49"/>
        <v>52875.041065393758</v>
      </c>
      <c r="S432" s="269">
        <f t="shared" si="50"/>
        <v>180253.90846644237</v>
      </c>
      <c r="T432" s="269">
        <f t="shared" si="51"/>
        <v>45965.55010463779</v>
      </c>
      <c r="U432" s="242">
        <f t="shared" si="52"/>
        <v>6128.5</v>
      </c>
    </row>
    <row r="433" spans="1:21" s="237" customFormat="1" x14ac:dyDescent="0.3">
      <c r="A433" s="237">
        <v>428</v>
      </c>
      <c r="B433" s="263">
        <v>0</v>
      </c>
      <c r="C433" s="263">
        <v>0</v>
      </c>
      <c r="D433" s="264">
        <f t="shared" si="53"/>
        <v>1</v>
      </c>
      <c r="E433" s="270" t="s">
        <v>1166</v>
      </c>
      <c r="F433" s="384" t="s">
        <v>364</v>
      </c>
      <c r="G433" s="384">
        <v>31</v>
      </c>
      <c r="H433" s="385">
        <v>39721</v>
      </c>
      <c r="I433" s="265">
        <f t="shared" si="47"/>
        <v>2008</v>
      </c>
      <c r="J433" s="383">
        <v>350</v>
      </c>
      <c r="K433" s="641" t="str">
        <f>VLOOKUP(J433,'Cost Escalators'!$C$313:$D$330,2,FALSE)</f>
        <v>Storm Water System</v>
      </c>
      <c r="L433" s="238" t="s">
        <v>1167</v>
      </c>
      <c r="M433" s="384" t="s">
        <v>1506</v>
      </c>
      <c r="N433" s="246">
        <v>434956</v>
      </c>
      <c r="O433" s="267">
        <v>50</v>
      </c>
      <c r="P433" s="250">
        <f t="shared" si="48"/>
        <v>2058</v>
      </c>
      <c r="Q433" s="268">
        <f>IF(J433=10,1,IFERROR(INDEX('Cost Escalators'!$D$28:$D$92,MATCH($P$4,'Cost Escalators'!$B$28:$B$92,0))/INDEX('Cost Escalators'!$D$28:$D$92,MATCH(I433,'Cost Escalators'!$B$28:$B$92,0)),1))</f>
        <v>1.2078821488382354</v>
      </c>
      <c r="R433" s="269">
        <f t="shared" si="49"/>
        <v>525375.58793008351</v>
      </c>
      <c r="S433" s="269">
        <f t="shared" si="50"/>
        <v>1791034.129318787</v>
      </c>
      <c r="T433" s="269">
        <f t="shared" si="51"/>
        <v>456721.68615220633</v>
      </c>
      <c r="U433" s="242">
        <f t="shared" si="52"/>
        <v>60893.840000000004</v>
      </c>
    </row>
    <row r="434" spans="1:21" s="237" customFormat="1" x14ac:dyDescent="0.3">
      <c r="A434" s="237">
        <v>429</v>
      </c>
      <c r="B434" s="263">
        <v>0</v>
      </c>
      <c r="C434" s="263">
        <v>0</v>
      </c>
      <c r="D434" s="264">
        <f t="shared" si="53"/>
        <v>1</v>
      </c>
      <c r="E434" s="270" t="s">
        <v>1168</v>
      </c>
      <c r="F434" s="384" t="s">
        <v>364</v>
      </c>
      <c r="G434" s="384">
        <v>31</v>
      </c>
      <c r="H434" s="385">
        <v>39721</v>
      </c>
      <c r="I434" s="265">
        <f t="shared" si="47"/>
        <v>2008</v>
      </c>
      <c r="J434" s="383">
        <v>350</v>
      </c>
      <c r="K434" s="641" t="str">
        <f>VLOOKUP(J434,'Cost Escalators'!$C$313:$D$330,2,FALSE)</f>
        <v>Storm Water System</v>
      </c>
      <c r="L434" s="238" t="s">
        <v>1169</v>
      </c>
      <c r="M434" s="384" t="s">
        <v>1506</v>
      </c>
      <c r="N434" s="246">
        <v>430405</v>
      </c>
      <c r="O434" s="267">
        <v>50</v>
      </c>
      <c r="P434" s="250">
        <f t="shared" si="48"/>
        <v>2058</v>
      </c>
      <c r="Q434" s="268">
        <f>IF(J434=10,1,IFERROR(INDEX('Cost Escalators'!$D$28:$D$92,MATCH($P$4,'Cost Escalators'!$B$28:$B$92,0))/INDEX('Cost Escalators'!$D$28:$D$92,MATCH(I434,'Cost Escalators'!$B$28:$B$92,0)),1))</f>
        <v>1.2078821488382354</v>
      </c>
      <c r="R434" s="269">
        <f t="shared" si="49"/>
        <v>519878.51627072069</v>
      </c>
      <c r="S434" s="269">
        <f t="shared" si="50"/>
        <v>1772294.3112164277</v>
      </c>
      <c r="T434" s="269">
        <f t="shared" si="51"/>
        <v>451942.94900711882</v>
      </c>
      <c r="U434" s="242">
        <f t="shared" si="52"/>
        <v>60256.700000000004</v>
      </c>
    </row>
    <row r="435" spans="1:21" s="237" customFormat="1" x14ac:dyDescent="0.3">
      <c r="A435" s="237">
        <v>430</v>
      </c>
      <c r="B435" s="263">
        <v>0</v>
      </c>
      <c r="C435" s="263">
        <v>0</v>
      </c>
      <c r="D435" s="264">
        <f t="shared" si="53"/>
        <v>1</v>
      </c>
      <c r="E435" s="270" t="s">
        <v>1170</v>
      </c>
      <c r="F435" s="384" t="s">
        <v>364</v>
      </c>
      <c r="G435" s="384">
        <v>31</v>
      </c>
      <c r="H435" s="385">
        <v>40178</v>
      </c>
      <c r="I435" s="265">
        <f t="shared" si="47"/>
        <v>2009</v>
      </c>
      <c r="J435" s="383">
        <v>350</v>
      </c>
      <c r="K435" s="641" t="str">
        <f>VLOOKUP(J435,'Cost Escalators'!$C$313:$D$330,2,FALSE)</f>
        <v>Storm Water System</v>
      </c>
      <c r="L435" s="238" t="s">
        <v>1171</v>
      </c>
      <c r="M435" s="384" t="s">
        <v>1506</v>
      </c>
      <c r="N435" s="246">
        <v>548325</v>
      </c>
      <c r="O435" s="267">
        <v>50</v>
      </c>
      <c r="P435" s="250">
        <f t="shared" si="48"/>
        <v>2059</v>
      </c>
      <c r="Q435" s="268">
        <f>IF(J435=10,1,IFERROR(INDEX('Cost Escalators'!$D$28:$D$92,MATCH($P$4,'Cost Escalators'!$B$28:$B$92,0))/INDEX('Cost Escalators'!$D$28:$D$92,MATCH(I435,'Cost Escalators'!$B$28:$B$92,0)),1))</f>
        <v>1.1712138155015994</v>
      </c>
      <c r="R435" s="269">
        <f t="shared" si="49"/>
        <v>642205.81538491452</v>
      </c>
      <c r="S435" s="269">
        <f t="shared" si="50"/>
        <v>2252656.8657028358</v>
      </c>
      <c r="T435" s="269">
        <f t="shared" si="51"/>
        <v>572587.33659783262</v>
      </c>
      <c r="U435" s="242">
        <f t="shared" si="52"/>
        <v>65799</v>
      </c>
    </row>
    <row r="436" spans="1:21" s="237" customFormat="1" x14ac:dyDescent="0.3">
      <c r="A436" s="237">
        <v>431</v>
      </c>
      <c r="B436" s="263">
        <v>0</v>
      </c>
      <c r="C436" s="263">
        <v>0</v>
      </c>
      <c r="D436" s="264">
        <f t="shared" si="53"/>
        <v>1</v>
      </c>
      <c r="E436" s="270" t="s">
        <v>1172</v>
      </c>
      <c r="F436" s="384" t="s">
        <v>364</v>
      </c>
      <c r="G436" s="384">
        <v>31</v>
      </c>
      <c r="H436" s="385">
        <v>40908</v>
      </c>
      <c r="I436" s="265">
        <f t="shared" si="47"/>
        <v>2011</v>
      </c>
      <c r="J436" s="383">
        <v>350</v>
      </c>
      <c r="K436" s="641" t="str">
        <f>VLOOKUP(J436,'Cost Escalators'!$C$313:$D$330,2,FALSE)</f>
        <v>Storm Water System</v>
      </c>
      <c r="L436" s="238" t="s">
        <v>1173</v>
      </c>
      <c r="M436" s="384" t="s">
        <v>1506</v>
      </c>
      <c r="N436" s="246">
        <v>441258</v>
      </c>
      <c r="O436" s="267">
        <v>50</v>
      </c>
      <c r="P436" s="250">
        <f t="shared" si="48"/>
        <v>2061</v>
      </c>
      <c r="Q436" s="268">
        <f>IF(J436=10,1,IFERROR(INDEX('Cost Escalators'!$D$28:$D$92,MATCH($P$4,'Cost Escalators'!$B$28:$B$92,0))/INDEX('Cost Escalators'!$D$28:$D$92,MATCH(I436,'Cost Escalators'!$B$28:$B$92,0)),1))</f>
        <v>1.1066796523273121</v>
      </c>
      <c r="R436" s="269">
        <f t="shared" si="49"/>
        <v>488331.25002664508</v>
      </c>
      <c r="S436" s="269">
        <f t="shared" si="50"/>
        <v>1813464.2546826941</v>
      </c>
      <c r="T436" s="269">
        <f t="shared" si="51"/>
        <v>455017.14994727768</v>
      </c>
      <c r="U436" s="242">
        <f t="shared" si="52"/>
        <v>35300.639999999999</v>
      </c>
    </row>
    <row r="437" spans="1:21" s="237" customFormat="1" x14ac:dyDescent="0.3">
      <c r="A437" s="237">
        <v>432</v>
      </c>
      <c r="B437" s="263">
        <v>0</v>
      </c>
      <c r="C437" s="263">
        <v>0</v>
      </c>
      <c r="D437" s="264">
        <f t="shared" si="53"/>
        <v>1</v>
      </c>
      <c r="E437" s="270" t="s">
        <v>1174</v>
      </c>
      <c r="F437" s="384" t="s">
        <v>364</v>
      </c>
      <c r="G437" s="384">
        <v>31</v>
      </c>
      <c r="H437" s="385">
        <v>41274</v>
      </c>
      <c r="I437" s="265">
        <f t="shared" si="47"/>
        <v>2012</v>
      </c>
      <c r="J437" s="383">
        <v>350</v>
      </c>
      <c r="K437" s="641" t="str">
        <f>VLOOKUP(J437,'Cost Escalators'!$C$313:$D$330,2,FALSE)</f>
        <v>Storm Water System</v>
      </c>
      <c r="L437" s="238" t="s">
        <v>1175</v>
      </c>
      <c r="M437" s="384" t="s">
        <v>1506</v>
      </c>
      <c r="N437" s="246">
        <v>764790</v>
      </c>
      <c r="O437" s="267">
        <v>50</v>
      </c>
      <c r="P437" s="250">
        <f t="shared" si="48"/>
        <v>2062</v>
      </c>
      <c r="Q437" s="268">
        <f>IF(J437=10,1,IFERROR(INDEX('Cost Escalators'!$D$28:$D$92,MATCH($P$4,'Cost Escalators'!$B$28:$B$92,0))/INDEX('Cost Escalators'!$D$28:$D$92,MATCH(I437,'Cost Escalators'!$B$28:$B$92,0)),1))</f>
        <v>1.0783433902128956</v>
      </c>
      <c r="R437" s="269">
        <f t="shared" si="49"/>
        <v>824706.24140092044</v>
      </c>
      <c r="S437" s="269">
        <f t="shared" si="50"/>
        <v>3151233.6131375651</v>
      </c>
      <c r="T437" s="269">
        <f t="shared" si="51"/>
        <v>783124.05453534028</v>
      </c>
      <c r="U437" s="242">
        <f t="shared" si="52"/>
        <v>45887.399999999994</v>
      </c>
    </row>
    <row r="438" spans="1:21" s="237" customFormat="1" x14ac:dyDescent="0.3">
      <c r="A438" s="237">
        <v>433</v>
      </c>
      <c r="B438" s="263">
        <v>0</v>
      </c>
      <c r="C438" s="263">
        <v>0</v>
      </c>
      <c r="D438" s="264">
        <f t="shared" si="53"/>
        <v>1</v>
      </c>
      <c r="E438" s="270" t="s">
        <v>1176</v>
      </c>
      <c r="F438" s="384" t="s">
        <v>364</v>
      </c>
      <c r="G438" s="384">
        <v>31</v>
      </c>
      <c r="H438" s="385">
        <v>41274</v>
      </c>
      <c r="I438" s="265">
        <f t="shared" si="47"/>
        <v>2012</v>
      </c>
      <c r="J438" s="383">
        <v>350</v>
      </c>
      <c r="K438" s="641" t="str">
        <f>VLOOKUP(J438,'Cost Escalators'!$C$313:$D$330,2,FALSE)</f>
        <v>Storm Water System</v>
      </c>
      <c r="L438" s="238" t="s">
        <v>1177</v>
      </c>
      <c r="M438" s="384" t="s">
        <v>1506</v>
      </c>
      <c r="N438" s="246">
        <v>215135</v>
      </c>
      <c r="O438" s="267">
        <v>50</v>
      </c>
      <c r="P438" s="250">
        <f t="shared" si="48"/>
        <v>2062</v>
      </c>
      <c r="Q438" s="268">
        <f>IF(J438=10,1,IFERROR(INDEX('Cost Escalators'!$D$28:$D$92,MATCH($P$4,'Cost Escalators'!$B$28:$B$92,0))/INDEX('Cost Escalators'!$D$28:$D$92,MATCH(I438,'Cost Escalators'!$B$28:$B$92,0)),1))</f>
        <v>1.0783433902128956</v>
      </c>
      <c r="R438" s="269">
        <f t="shared" si="49"/>
        <v>231989.40525345129</v>
      </c>
      <c r="S438" s="269">
        <f t="shared" si="50"/>
        <v>886440.25596876268</v>
      </c>
      <c r="T438" s="269">
        <f t="shared" si="51"/>
        <v>220292.35930446323</v>
      </c>
      <c r="U438" s="242">
        <f t="shared" si="52"/>
        <v>12908.099999999999</v>
      </c>
    </row>
    <row r="439" spans="1:21" s="237" customFormat="1" x14ac:dyDescent="0.3">
      <c r="A439" s="237">
        <v>434</v>
      </c>
      <c r="B439" s="263">
        <v>0</v>
      </c>
      <c r="C439" s="263">
        <v>0</v>
      </c>
      <c r="D439" s="264">
        <f t="shared" si="53"/>
        <v>1</v>
      </c>
      <c r="E439" s="270" t="s">
        <v>1178</v>
      </c>
      <c r="F439" s="384" t="s">
        <v>364</v>
      </c>
      <c r="G439" s="384">
        <v>31</v>
      </c>
      <c r="H439" s="385">
        <v>41639</v>
      </c>
      <c r="I439" s="265">
        <f t="shared" si="47"/>
        <v>2013</v>
      </c>
      <c r="J439" s="383">
        <v>350</v>
      </c>
      <c r="K439" s="641" t="str">
        <f>VLOOKUP(J439,'Cost Escalators'!$C$313:$D$330,2,FALSE)</f>
        <v>Storm Water System</v>
      </c>
      <c r="L439" s="238" t="s">
        <v>1179</v>
      </c>
      <c r="M439" s="384" t="s">
        <v>1506</v>
      </c>
      <c r="N439" s="246">
        <v>215100</v>
      </c>
      <c r="O439" s="267">
        <v>50</v>
      </c>
      <c r="P439" s="250">
        <f t="shared" si="48"/>
        <v>2063</v>
      </c>
      <c r="Q439" s="268">
        <f>IF(J439=10,1,IFERROR(INDEX('Cost Escalators'!$D$28:$D$92,MATCH($P$4,'Cost Escalators'!$B$28:$B$92,0))/INDEX('Cost Escalators'!$D$28:$D$92,MATCH(I439,'Cost Escalators'!$B$28:$B$92,0)),1))</f>
        <v>1.0514036312849162</v>
      </c>
      <c r="R439" s="269">
        <f t="shared" si="49"/>
        <v>226156.92108938549</v>
      </c>
      <c r="S439" s="269">
        <f t="shared" si="50"/>
        <v>889156.15379595163</v>
      </c>
      <c r="T439" s="269">
        <f t="shared" si="51"/>
        <v>218617.69780712458</v>
      </c>
      <c r="U439" s="242">
        <f t="shared" si="52"/>
        <v>8604</v>
      </c>
    </row>
    <row r="440" spans="1:21" s="237" customFormat="1" x14ac:dyDescent="0.3">
      <c r="A440" s="237">
        <v>435</v>
      </c>
      <c r="B440" s="263">
        <v>0</v>
      </c>
      <c r="C440" s="263">
        <v>0</v>
      </c>
      <c r="D440" s="264">
        <f t="shared" si="53"/>
        <v>1</v>
      </c>
      <c r="E440" s="270" t="s">
        <v>1180</v>
      </c>
      <c r="F440" s="384" t="s">
        <v>364</v>
      </c>
      <c r="G440" s="384">
        <v>31</v>
      </c>
      <c r="H440" s="385">
        <v>42004</v>
      </c>
      <c r="I440" s="265">
        <f t="shared" si="47"/>
        <v>2014</v>
      </c>
      <c r="J440" s="383">
        <v>350</v>
      </c>
      <c r="K440" s="641" t="str">
        <f>VLOOKUP(J440,'Cost Escalators'!$C$313:$D$330,2,FALSE)</f>
        <v>Storm Water System</v>
      </c>
      <c r="L440" s="238" t="s">
        <v>1181</v>
      </c>
      <c r="M440" s="384" t="s">
        <v>1506</v>
      </c>
      <c r="N440" s="246">
        <v>368848</v>
      </c>
      <c r="O440" s="267">
        <v>50</v>
      </c>
      <c r="P440" s="250">
        <f t="shared" si="48"/>
        <v>2064</v>
      </c>
      <c r="Q440" s="268">
        <f>IF(J440=10,1,IFERROR(INDEX('Cost Escalators'!$D$28:$D$92,MATCH($P$4,'Cost Escalators'!$B$28:$B$92,0))/INDEX('Cost Escalators'!$D$28:$D$92,MATCH(I440,'Cost Escalators'!$B$28:$B$92,0)),1))</f>
        <v>1.028501165560878</v>
      </c>
      <c r="R440" s="269">
        <f t="shared" si="49"/>
        <v>379360.59791479871</v>
      </c>
      <c r="S440" s="269">
        <f t="shared" si="50"/>
        <v>1534642.4716426523</v>
      </c>
      <c r="T440" s="269">
        <f t="shared" si="51"/>
        <v>371929.25928739359</v>
      </c>
      <c r="U440" s="242">
        <f t="shared" si="52"/>
        <v>7376.96</v>
      </c>
    </row>
    <row r="441" spans="1:21" s="237" customFormat="1" x14ac:dyDescent="0.3">
      <c r="A441" s="237">
        <v>436</v>
      </c>
      <c r="B441" s="263">
        <v>0</v>
      </c>
      <c r="C441" s="263">
        <v>0</v>
      </c>
      <c r="D441" s="264">
        <f t="shared" si="53"/>
        <v>1</v>
      </c>
      <c r="E441" s="270" t="s">
        <v>1182</v>
      </c>
      <c r="F441" s="384" t="s">
        <v>764</v>
      </c>
      <c r="G441" s="384">
        <v>31</v>
      </c>
      <c r="H441" s="385">
        <v>21855</v>
      </c>
      <c r="I441" s="265">
        <f t="shared" si="47"/>
        <v>1959</v>
      </c>
      <c r="J441" s="383">
        <v>350</v>
      </c>
      <c r="K441" s="641" t="str">
        <f>VLOOKUP(J441,'Cost Escalators'!$C$313:$D$330,2,FALSE)</f>
        <v>Storm Water System</v>
      </c>
      <c r="L441" s="238" t="s">
        <v>1183</v>
      </c>
      <c r="M441" s="384" t="s">
        <v>1506</v>
      </c>
      <c r="N441" s="246">
        <v>28340</v>
      </c>
      <c r="O441" s="267">
        <v>50</v>
      </c>
      <c r="P441" s="250">
        <f t="shared" si="48"/>
        <v>2009</v>
      </c>
      <c r="Q441" s="268">
        <f>IF(J441=10,1,IFERROR(INDEX('Cost Escalators'!$D$28:$D$92,MATCH($P$4,'Cost Escalators'!$B$28:$B$92,0))/INDEX('Cost Escalators'!$D$28:$D$92,MATCH(I441,'Cost Escalators'!$B$28:$B$92,0)),1))</f>
        <v>12.593977415307402</v>
      </c>
      <c r="R441" s="269">
        <f t="shared" si="49"/>
        <v>356913.31994981173</v>
      </c>
      <c r="S441" s="269">
        <f t="shared" si="50"/>
        <v>356913.31994981173</v>
      </c>
      <c r="T441" s="269">
        <f t="shared" si="51"/>
        <v>0</v>
      </c>
      <c r="U441" s="242">
        <f t="shared" si="52"/>
        <v>28340</v>
      </c>
    </row>
    <row r="442" spans="1:21" s="237" customFormat="1" x14ac:dyDescent="0.3">
      <c r="A442" s="237">
        <v>437</v>
      </c>
      <c r="B442" s="263">
        <v>0</v>
      </c>
      <c r="C442" s="263">
        <v>0</v>
      </c>
      <c r="D442" s="264">
        <f t="shared" si="53"/>
        <v>1</v>
      </c>
      <c r="E442" s="270" t="s">
        <v>1184</v>
      </c>
      <c r="F442" s="384" t="s">
        <v>764</v>
      </c>
      <c r="G442" s="384">
        <v>31</v>
      </c>
      <c r="H442" s="385">
        <v>22221</v>
      </c>
      <c r="I442" s="265">
        <f t="shared" si="47"/>
        <v>1960</v>
      </c>
      <c r="J442" s="383">
        <v>350</v>
      </c>
      <c r="K442" s="641" t="str">
        <f>VLOOKUP(J442,'Cost Escalators'!$C$313:$D$330,2,FALSE)</f>
        <v>Storm Water System</v>
      </c>
      <c r="L442" s="238" t="s">
        <v>1185</v>
      </c>
      <c r="M442" s="384" t="s">
        <v>1506</v>
      </c>
      <c r="N442" s="246">
        <v>134890</v>
      </c>
      <c r="O442" s="267">
        <v>50</v>
      </c>
      <c r="P442" s="250">
        <f t="shared" si="48"/>
        <v>2010</v>
      </c>
      <c r="Q442" s="268">
        <f>IF(J442=10,1,IFERROR(INDEX('Cost Escalators'!$D$28:$D$92,MATCH($P$4,'Cost Escalators'!$B$28:$B$92,0))/INDEX('Cost Escalators'!$D$28:$D$92,MATCH(I442,'Cost Escalators'!$B$28:$B$92,0)),1))</f>
        <v>12.18131067961165</v>
      </c>
      <c r="R442" s="269">
        <f t="shared" si="49"/>
        <v>1643136.9975728155</v>
      </c>
      <c r="S442" s="269">
        <f t="shared" si="50"/>
        <v>1643136.9975728155</v>
      </c>
      <c r="T442" s="269">
        <f t="shared" si="51"/>
        <v>0</v>
      </c>
      <c r="U442" s="242">
        <f t="shared" si="52"/>
        <v>134890</v>
      </c>
    </row>
    <row r="443" spans="1:21" s="237" customFormat="1" x14ac:dyDescent="0.3">
      <c r="A443" s="237">
        <v>438</v>
      </c>
      <c r="B443" s="263">
        <v>0</v>
      </c>
      <c r="C443" s="263">
        <v>0</v>
      </c>
      <c r="D443" s="264">
        <f t="shared" si="53"/>
        <v>1</v>
      </c>
      <c r="E443" s="270" t="s">
        <v>1186</v>
      </c>
      <c r="F443" s="384" t="s">
        <v>764</v>
      </c>
      <c r="G443" s="384">
        <v>31</v>
      </c>
      <c r="H443" s="385">
        <v>22586</v>
      </c>
      <c r="I443" s="265">
        <f t="shared" si="47"/>
        <v>1961</v>
      </c>
      <c r="J443" s="383">
        <v>350</v>
      </c>
      <c r="K443" s="641" t="str">
        <f>VLOOKUP(J443,'Cost Escalators'!$C$313:$D$330,2,FALSE)</f>
        <v>Storm Water System</v>
      </c>
      <c r="L443" s="238" t="s">
        <v>1187</v>
      </c>
      <c r="M443" s="384" t="s">
        <v>1506</v>
      </c>
      <c r="N443" s="246">
        <v>9798</v>
      </c>
      <c r="O443" s="267">
        <v>50</v>
      </c>
      <c r="P443" s="250">
        <f t="shared" si="48"/>
        <v>2011</v>
      </c>
      <c r="Q443" s="268">
        <f>IF(J443=10,1,IFERROR(INDEX('Cost Escalators'!$D$28:$D$92,MATCH($P$4,'Cost Escalators'!$B$28:$B$92,0))/INDEX('Cost Escalators'!$D$28:$D$92,MATCH(I443,'Cost Escalators'!$B$28:$B$92,0)),1))</f>
        <v>11.850531286894922</v>
      </c>
      <c r="R443" s="269">
        <f t="shared" si="49"/>
        <v>116111.50554899644</v>
      </c>
      <c r="S443" s="269">
        <f t="shared" si="50"/>
        <v>116111.50554899644</v>
      </c>
      <c r="T443" s="269">
        <f t="shared" si="51"/>
        <v>0</v>
      </c>
      <c r="U443" s="242">
        <f t="shared" si="52"/>
        <v>9798</v>
      </c>
    </row>
    <row r="444" spans="1:21" s="237" customFormat="1" x14ac:dyDescent="0.3">
      <c r="A444" s="237">
        <v>439</v>
      </c>
      <c r="B444" s="263">
        <v>1</v>
      </c>
      <c r="C444" s="263">
        <f t="shared" ref="C444:C475" si="54">1-B444</f>
        <v>0</v>
      </c>
      <c r="D444" s="264">
        <f t="shared" si="53"/>
        <v>0</v>
      </c>
      <c r="E444" s="270" t="s">
        <v>1188</v>
      </c>
      <c r="F444" s="384" t="s">
        <v>364</v>
      </c>
      <c r="G444" s="384">
        <v>31</v>
      </c>
      <c r="H444" s="385">
        <v>22221</v>
      </c>
      <c r="I444" s="265">
        <f t="shared" si="47"/>
        <v>1960</v>
      </c>
      <c r="J444" s="383">
        <v>360</v>
      </c>
      <c r="K444" s="641" t="str">
        <f>VLOOKUP(J444,'Cost Escalators'!$C$313:$D$330,2,FALSE)</f>
        <v>Water Distribution System</v>
      </c>
      <c r="L444" s="238" t="s">
        <v>1189</v>
      </c>
      <c r="M444" s="384" t="s">
        <v>1190</v>
      </c>
      <c r="N444" s="246">
        <v>383334</v>
      </c>
      <c r="O444" s="267">
        <v>50</v>
      </c>
      <c r="P444" s="250">
        <f t="shared" si="48"/>
        <v>2010</v>
      </c>
      <c r="Q444" s="268">
        <f>IF(J444=10,1,IFERROR(INDEX('Cost Escalators'!$D$28:$D$92,MATCH($P$4,'Cost Escalators'!$B$28:$B$92,0))/INDEX('Cost Escalators'!$D$28:$D$92,MATCH(I444,'Cost Escalators'!$B$28:$B$92,0)),1))</f>
        <v>12.18131067961165</v>
      </c>
      <c r="R444" s="269">
        <f t="shared" si="49"/>
        <v>4669510.5480582528</v>
      </c>
      <c r="S444" s="269">
        <f t="shared" si="50"/>
        <v>4669510.5480582528</v>
      </c>
      <c r="T444" s="269">
        <f t="shared" si="51"/>
        <v>0</v>
      </c>
      <c r="U444" s="242">
        <f t="shared" si="52"/>
        <v>383334</v>
      </c>
    </row>
    <row r="445" spans="1:21" s="237" customFormat="1" x14ac:dyDescent="0.3">
      <c r="A445" s="237">
        <v>440</v>
      </c>
      <c r="B445" s="263">
        <v>1</v>
      </c>
      <c r="C445" s="263">
        <f t="shared" si="54"/>
        <v>0</v>
      </c>
      <c r="D445" s="264">
        <f t="shared" si="53"/>
        <v>0</v>
      </c>
      <c r="E445" s="270" t="s">
        <v>1191</v>
      </c>
      <c r="F445" s="384" t="s">
        <v>364</v>
      </c>
      <c r="G445" s="384">
        <v>31</v>
      </c>
      <c r="H445" s="385">
        <v>23682</v>
      </c>
      <c r="I445" s="265">
        <f t="shared" si="47"/>
        <v>1964</v>
      </c>
      <c r="J445" s="383">
        <v>360</v>
      </c>
      <c r="K445" s="641" t="str">
        <f>VLOOKUP(J445,'Cost Escalators'!$C$313:$D$330,2,FALSE)</f>
        <v>Water Distribution System</v>
      </c>
      <c r="L445" s="238" t="s">
        <v>1192</v>
      </c>
      <c r="M445" s="384" t="s">
        <v>1190</v>
      </c>
      <c r="N445" s="246">
        <v>227829</v>
      </c>
      <c r="O445" s="267">
        <v>50</v>
      </c>
      <c r="P445" s="250">
        <f t="shared" si="48"/>
        <v>2014</v>
      </c>
      <c r="Q445" s="268">
        <f>IF(J445=10,1,IFERROR(INDEX('Cost Escalators'!$D$28:$D$92,MATCH($P$4,'Cost Escalators'!$B$28:$B$92,0))/INDEX('Cost Escalators'!$D$28:$D$92,MATCH(I445,'Cost Escalators'!$B$28:$B$92,0)),1))</f>
        <v>10.723717948717947</v>
      </c>
      <c r="R445" s="269">
        <f t="shared" si="49"/>
        <v>2443173.9365384611</v>
      </c>
      <c r="S445" s="269">
        <f t="shared" si="50"/>
        <v>2443173.9365384611</v>
      </c>
      <c r="T445" s="269">
        <f t="shared" si="51"/>
        <v>0</v>
      </c>
      <c r="U445" s="242">
        <f t="shared" si="52"/>
        <v>227829</v>
      </c>
    </row>
    <row r="446" spans="1:21" s="237" customFormat="1" x14ac:dyDescent="0.3">
      <c r="A446" s="237">
        <v>441</v>
      </c>
      <c r="B446" s="263">
        <v>1</v>
      </c>
      <c r="C446" s="263">
        <f t="shared" si="54"/>
        <v>0</v>
      </c>
      <c r="D446" s="264">
        <f t="shared" si="53"/>
        <v>0</v>
      </c>
      <c r="E446" s="270" t="s">
        <v>1193</v>
      </c>
      <c r="F446" s="384" t="s">
        <v>364</v>
      </c>
      <c r="G446" s="384">
        <v>31</v>
      </c>
      <c r="H446" s="385">
        <v>25143</v>
      </c>
      <c r="I446" s="265">
        <f t="shared" si="47"/>
        <v>1968</v>
      </c>
      <c r="J446" s="383">
        <v>360</v>
      </c>
      <c r="K446" s="641" t="str">
        <f>VLOOKUP(J446,'Cost Escalators'!$C$313:$D$330,2,FALSE)</f>
        <v>Water Distribution System</v>
      </c>
      <c r="L446" s="238" t="s">
        <v>1194</v>
      </c>
      <c r="M446" s="384" t="s">
        <v>1190</v>
      </c>
      <c r="N446" s="246">
        <v>89428</v>
      </c>
      <c r="O446" s="267">
        <v>50</v>
      </c>
      <c r="P446" s="250">
        <f t="shared" si="48"/>
        <v>2018</v>
      </c>
      <c r="Q446" s="268">
        <f>IF(J446=10,1,IFERROR(INDEX('Cost Escalators'!$D$28:$D$92,MATCH($P$4,'Cost Escalators'!$B$28:$B$92,0))/INDEX('Cost Escalators'!$D$28:$D$92,MATCH(I446,'Cost Escalators'!$B$28:$B$92,0)),1))</f>
        <v>8.6903896103896106</v>
      </c>
      <c r="R446" s="269">
        <f t="shared" si="49"/>
        <v>777164.16207792214</v>
      </c>
      <c r="S446" s="269">
        <f t="shared" si="50"/>
        <v>846590.2747410048</v>
      </c>
      <c r="T446" s="269">
        <f t="shared" si="51"/>
        <v>20502.465392547136</v>
      </c>
      <c r="U446" s="242">
        <f t="shared" si="52"/>
        <v>84062.319999999992</v>
      </c>
    </row>
    <row r="447" spans="1:21" s="237" customFormat="1" x14ac:dyDescent="0.3">
      <c r="A447" s="237">
        <v>442</v>
      </c>
      <c r="B447" s="263">
        <v>1</v>
      </c>
      <c r="C447" s="263">
        <f t="shared" si="54"/>
        <v>0</v>
      </c>
      <c r="D447" s="264">
        <f t="shared" si="53"/>
        <v>0</v>
      </c>
      <c r="E447" s="270" t="s">
        <v>1195</v>
      </c>
      <c r="F447" s="384" t="s">
        <v>364</v>
      </c>
      <c r="G447" s="384">
        <v>31</v>
      </c>
      <c r="H447" s="385">
        <v>25508</v>
      </c>
      <c r="I447" s="265">
        <f t="shared" si="47"/>
        <v>1969</v>
      </c>
      <c r="J447" s="383">
        <v>360</v>
      </c>
      <c r="K447" s="641" t="str">
        <f>VLOOKUP(J447,'Cost Escalators'!$C$313:$D$330,2,FALSE)</f>
        <v>Water Distribution System</v>
      </c>
      <c r="L447" s="238" t="s">
        <v>1196</v>
      </c>
      <c r="M447" s="384" t="s">
        <v>1190</v>
      </c>
      <c r="N447" s="246">
        <v>1208566</v>
      </c>
      <c r="O447" s="267">
        <v>50</v>
      </c>
      <c r="P447" s="250">
        <f t="shared" si="48"/>
        <v>2019</v>
      </c>
      <c r="Q447" s="268">
        <f>IF(J447=10,1,IFERROR(INDEX('Cost Escalators'!$D$28:$D$92,MATCH($P$4,'Cost Escalators'!$B$28:$B$92,0))/INDEX('Cost Escalators'!$D$28:$D$92,MATCH(I447,'Cost Escalators'!$B$28:$B$92,0)),1))</f>
        <v>7.909692671394799</v>
      </c>
      <c r="R447" s="269">
        <f t="shared" si="49"/>
        <v>9559385.6330969259</v>
      </c>
      <c r="S447" s="269">
        <f t="shared" si="50"/>
        <v>10714633.689653307</v>
      </c>
      <c r="T447" s="269">
        <f t="shared" si="51"/>
        <v>359049.92609918112</v>
      </c>
      <c r="U447" s="242">
        <f t="shared" si="52"/>
        <v>1111880.72</v>
      </c>
    </row>
    <row r="448" spans="1:21" s="237" customFormat="1" x14ac:dyDescent="0.3">
      <c r="A448" s="237">
        <v>443</v>
      </c>
      <c r="B448" s="263">
        <v>1</v>
      </c>
      <c r="C448" s="263">
        <f t="shared" si="54"/>
        <v>0</v>
      </c>
      <c r="D448" s="264">
        <f t="shared" si="53"/>
        <v>0</v>
      </c>
      <c r="E448" s="270" t="s">
        <v>1197</v>
      </c>
      <c r="F448" s="384" t="s">
        <v>364</v>
      </c>
      <c r="G448" s="384">
        <v>31</v>
      </c>
      <c r="H448" s="385">
        <v>26969</v>
      </c>
      <c r="I448" s="265">
        <f t="shared" si="47"/>
        <v>1973</v>
      </c>
      <c r="J448" s="383">
        <v>360</v>
      </c>
      <c r="K448" s="641" t="str">
        <f>VLOOKUP(J448,'Cost Escalators'!$C$313:$D$330,2,FALSE)</f>
        <v>Water Distribution System</v>
      </c>
      <c r="L448" s="238" t="s">
        <v>1198</v>
      </c>
      <c r="M448" s="384" t="s">
        <v>1199</v>
      </c>
      <c r="N448" s="246">
        <v>1122875</v>
      </c>
      <c r="O448" s="267">
        <v>50</v>
      </c>
      <c r="P448" s="250">
        <f t="shared" si="48"/>
        <v>2023</v>
      </c>
      <c r="Q448" s="268">
        <f>IF(J448=10,1,IFERROR(INDEX('Cost Escalators'!$D$28:$D$92,MATCH($P$4,'Cost Escalators'!$B$28:$B$92,0))/INDEX('Cost Escalators'!$D$28:$D$92,MATCH(I448,'Cost Escalators'!$B$28:$B$92,0)),1))</f>
        <v>5.2967810026385225</v>
      </c>
      <c r="R448" s="269">
        <f t="shared" si="49"/>
        <v>5947622.9683377305</v>
      </c>
      <c r="S448" s="269">
        <f t="shared" si="50"/>
        <v>7472021.6661631055</v>
      </c>
      <c r="T448" s="269">
        <f t="shared" si="51"/>
        <v>595248.80395920598</v>
      </c>
      <c r="U448" s="242">
        <f t="shared" si="52"/>
        <v>943215</v>
      </c>
    </row>
    <row r="449" spans="1:21" s="237" customFormat="1" x14ac:dyDescent="0.3">
      <c r="A449" s="237">
        <v>444</v>
      </c>
      <c r="B449" s="263">
        <v>1</v>
      </c>
      <c r="C449" s="263">
        <f t="shared" si="54"/>
        <v>0</v>
      </c>
      <c r="D449" s="264">
        <f t="shared" si="53"/>
        <v>0</v>
      </c>
      <c r="E449" s="270" t="s">
        <v>1200</v>
      </c>
      <c r="F449" s="384" t="s">
        <v>364</v>
      </c>
      <c r="G449" s="384">
        <v>31</v>
      </c>
      <c r="H449" s="385">
        <v>27334</v>
      </c>
      <c r="I449" s="265">
        <f t="shared" si="47"/>
        <v>1974</v>
      </c>
      <c r="J449" s="383">
        <v>360</v>
      </c>
      <c r="K449" s="641" t="str">
        <f>VLOOKUP(J449,'Cost Escalators'!$C$313:$D$330,2,FALSE)</f>
        <v>Water Distribution System</v>
      </c>
      <c r="L449" s="238" t="s">
        <v>1201</v>
      </c>
      <c r="M449" s="384" t="s">
        <v>1199</v>
      </c>
      <c r="N449" s="246">
        <v>327716</v>
      </c>
      <c r="O449" s="267">
        <v>50</v>
      </c>
      <c r="P449" s="250">
        <f t="shared" si="48"/>
        <v>2024</v>
      </c>
      <c r="Q449" s="268">
        <f>IF(J449=10,1,IFERROR(INDEX('Cost Escalators'!$D$28:$D$92,MATCH($P$4,'Cost Escalators'!$B$28:$B$92,0))/INDEX('Cost Escalators'!$D$28:$D$92,MATCH(I449,'Cost Escalators'!$B$28:$B$92,0)),1))</f>
        <v>4.9690099009900992</v>
      </c>
      <c r="R449" s="269">
        <f t="shared" si="49"/>
        <v>1628424.0487128713</v>
      </c>
      <c r="S449" s="269">
        <f t="shared" si="50"/>
        <v>2104985.1511907852</v>
      </c>
      <c r="T449" s="269">
        <f t="shared" si="51"/>
        <v>189946.13017735974</v>
      </c>
      <c r="U449" s="242">
        <f t="shared" si="52"/>
        <v>268727.12</v>
      </c>
    </row>
    <row r="450" spans="1:21" s="237" customFormat="1" x14ac:dyDescent="0.3">
      <c r="A450" s="237">
        <v>445</v>
      </c>
      <c r="B450" s="263">
        <v>1</v>
      </c>
      <c r="C450" s="263">
        <f t="shared" si="54"/>
        <v>0</v>
      </c>
      <c r="D450" s="264">
        <f t="shared" si="53"/>
        <v>0</v>
      </c>
      <c r="E450" s="270" t="s">
        <v>1202</v>
      </c>
      <c r="F450" s="384" t="s">
        <v>364</v>
      </c>
      <c r="G450" s="384">
        <v>31</v>
      </c>
      <c r="H450" s="385">
        <v>27699</v>
      </c>
      <c r="I450" s="265">
        <f t="shared" si="47"/>
        <v>1975</v>
      </c>
      <c r="J450" s="383">
        <v>360</v>
      </c>
      <c r="K450" s="641" t="str">
        <f>VLOOKUP(J450,'Cost Escalators'!$C$313:$D$330,2,FALSE)</f>
        <v>Water Distribution System</v>
      </c>
      <c r="L450" s="238" t="s">
        <v>1203</v>
      </c>
      <c r="M450" s="384" t="s">
        <v>1199</v>
      </c>
      <c r="N450" s="246">
        <v>953170</v>
      </c>
      <c r="O450" s="267">
        <v>50</v>
      </c>
      <c r="P450" s="250">
        <f t="shared" si="48"/>
        <v>2025</v>
      </c>
      <c r="Q450" s="268">
        <f>IF(J450=10,1,IFERROR(INDEX('Cost Escalators'!$D$28:$D$92,MATCH($P$4,'Cost Escalators'!$B$28:$B$92,0))/INDEX('Cost Escalators'!$D$28:$D$92,MATCH(I450,'Cost Escalators'!$B$28:$B$92,0)),1))</f>
        <v>4.5377034358047013</v>
      </c>
      <c r="R450" s="269">
        <f t="shared" si="49"/>
        <v>4325202.7839059671</v>
      </c>
      <c r="S450" s="269">
        <f t="shared" si="50"/>
        <v>5752741.2375916308</v>
      </c>
      <c r="T450" s="269">
        <f t="shared" si="51"/>
        <v>596587.05215961719</v>
      </c>
      <c r="U450" s="242">
        <f t="shared" si="52"/>
        <v>762536</v>
      </c>
    </row>
    <row r="451" spans="1:21" s="237" customFormat="1" x14ac:dyDescent="0.3">
      <c r="A451" s="237">
        <v>446</v>
      </c>
      <c r="B451" s="263">
        <v>1</v>
      </c>
      <c r="C451" s="263">
        <f t="shared" si="54"/>
        <v>0</v>
      </c>
      <c r="D451" s="264">
        <f t="shared" si="53"/>
        <v>0</v>
      </c>
      <c r="E451" s="270" t="s">
        <v>1204</v>
      </c>
      <c r="F451" s="384" t="s">
        <v>364</v>
      </c>
      <c r="G451" s="384">
        <v>31</v>
      </c>
      <c r="H451" s="385">
        <v>28065</v>
      </c>
      <c r="I451" s="265">
        <f t="shared" si="47"/>
        <v>1976</v>
      </c>
      <c r="J451" s="383">
        <v>360</v>
      </c>
      <c r="K451" s="641" t="str">
        <f>VLOOKUP(J451,'Cost Escalators'!$C$313:$D$330,2,FALSE)</f>
        <v>Water Distribution System</v>
      </c>
      <c r="L451" s="238" t="s">
        <v>1205</v>
      </c>
      <c r="M451" s="384" t="s">
        <v>1199</v>
      </c>
      <c r="N451" s="246">
        <v>588291</v>
      </c>
      <c r="O451" s="267">
        <v>50</v>
      </c>
      <c r="P451" s="250">
        <f t="shared" si="48"/>
        <v>2026</v>
      </c>
      <c r="Q451" s="268">
        <f>IF(J451=10,1,IFERROR(INDEX('Cost Escalators'!$D$28:$D$92,MATCH($P$4,'Cost Escalators'!$B$28:$B$92,0))/INDEX('Cost Escalators'!$D$28:$D$92,MATCH(I451,'Cost Escalators'!$B$28:$B$92,0)),1))</f>
        <v>4.1805081216159934</v>
      </c>
      <c r="R451" s="269">
        <f t="shared" si="49"/>
        <v>2459355.3033735943</v>
      </c>
      <c r="S451" s="269">
        <f t="shared" si="50"/>
        <v>3365708.3343154835</v>
      </c>
      <c r="T451" s="269">
        <f t="shared" si="51"/>
        <v>393642.07421218581</v>
      </c>
      <c r="U451" s="242">
        <f t="shared" si="52"/>
        <v>458866.98</v>
      </c>
    </row>
    <row r="452" spans="1:21" s="237" customFormat="1" x14ac:dyDescent="0.3">
      <c r="A452" s="237">
        <v>447</v>
      </c>
      <c r="B452" s="263">
        <v>1</v>
      </c>
      <c r="C452" s="263">
        <f t="shared" si="54"/>
        <v>0</v>
      </c>
      <c r="D452" s="264">
        <f t="shared" si="53"/>
        <v>0</v>
      </c>
      <c r="E452" s="270" t="s">
        <v>1206</v>
      </c>
      <c r="F452" s="384" t="s">
        <v>364</v>
      </c>
      <c r="G452" s="384">
        <v>31</v>
      </c>
      <c r="H452" s="385">
        <v>28430</v>
      </c>
      <c r="I452" s="265">
        <f t="shared" si="47"/>
        <v>1977</v>
      </c>
      <c r="J452" s="383">
        <v>360</v>
      </c>
      <c r="K452" s="641" t="str">
        <f>VLOOKUP(J452,'Cost Escalators'!$C$313:$D$330,2,FALSE)</f>
        <v>Water Distribution System</v>
      </c>
      <c r="L452" s="238" t="s">
        <v>1207</v>
      </c>
      <c r="M452" s="384" t="s">
        <v>1199</v>
      </c>
      <c r="N452" s="246">
        <v>109828</v>
      </c>
      <c r="O452" s="267">
        <v>50</v>
      </c>
      <c r="P452" s="250">
        <f t="shared" si="48"/>
        <v>2027</v>
      </c>
      <c r="Q452" s="268">
        <f>IF(J452=10,1,IFERROR(INDEX('Cost Escalators'!$D$28:$D$92,MATCH($P$4,'Cost Escalators'!$B$28:$B$92,0))/INDEX('Cost Escalators'!$D$28:$D$92,MATCH(I452,'Cost Escalators'!$B$28:$B$92,0)),1))</f>
        <v>3.8965062111801241</v>
      </c>
      <c r="R452" s="269">
        <f t="shared" si="49"/>
        <v>427945.48416149069</v>
      </c>
      <c r="S452" s="269">
        <f t="shared" si="50"/>
        <v>602601.88629076071</v>
      </c>
      <c r="T452" s="269">
        <f t="shared" si="51"/>
        <v>77915.54388091006</v>
      </c>
      <c r="U452" s="242">
        <f t="shared" si="52"/>
        <v>83469.279999999999</v>
      </c>
    </row>
    <row r="453" spans="1:21" s="237" customFormat="1" x14ac:dyDescent="0.3">
      <c r="A453" s="237">
        <v>448</v>
      </c>
      <c r="B453" s="263">
        <v>1</v>
      </c>
      <c r="C453" s="263">
        <f t="shared" si="54"/>
        <v>0</v>
      </c>
      <c r="D453" s="264">
        <f t="shared" si="53"/>
        <v>0</v>
      </c>
      <c r="E453" s="270" t="s">
        <v>1208</v>
      </c>
      <c r="F453" s="384" t="s">
        <v>364</v>
      </c>
      <c r="G453" s="384">
        <v>31</v>
      </c>
      <c r="H453" s="385">
        <v>28795</v>
      </c>
      <c r="I453" s="265">
        <f t="shared" si="47"/>
        <v>1978</v>
      </c>
      <c r="J453" s="383">
        <v>360</v>
      </c>
      <c r="K453" s="641" t="str">
        <f>VLOOKUP(J453,'Cost Escalators'!$C$313:$D$330,2,FALSE)</f>
        <v>Water Distribution System</v>
      </c>
      <c r="L453" s="238" t="s">
        <v>1209</v>
      </c>
      <c r="M453" s="384" t="s">
        <v>1199</v>
      </c>
      <c r="N453" s="246">
        <v>1083058</v>
      </c>
      <c r="O453" s="267">
        <v>50</v>
      </c>
      <c r="P453" s="250">
        <f t="shared" si="48"/>
        <v>2028</v>
      </c>
      <c r="Q453" s="268">
        <f>IF(J453=10,1,IFERROR(INDEX('Cost Escalators'!$D$28:$D$92,MATCH($P$4,'Cost Escalators'!$B$28:$B$92,0))/INDEX('Cost Escalators'!$D$28:$D$92,MATCH(I453,'Cost Escalators'!$B$28:$B$92,0)),1))</f>
        <v>3.6157780979827088</v>
      </c>
      <c r="R453" s="269">
        <f t="shared" si="49"/>
        <v>3916097.3952449565</v>
      </c>
      <c r="S453" s="269">
        <f t="shared" si="50"/>
        <v>5673908.9174337564</v>
      </c>
      <c r="T453" s="269">
        <f t="shared" si="51"/>
        <v>808980.4301355544</v>
      </c>
      <c r="U453" s="242">
        <f t="shared" si="52"/>
        <v>801462.92</v>
      </c>
    </row>
    <row r="454" spans="1:21" s="237" customFormat="1" x14ac:dyDescent="0.3">
      <c r="A454" s="237">
        <v>449</v>
      </c>
      <c r="B454" s="263">
        <v>1</v>
      </c>
      <c r="C454" s="263">
        <f t="shared" si="54"/>
        <v>0</v>
      </c>
      <c r="D454" s="264">
        <f t="shared" si="53"/>
        <v>0</v>
      </c>
      <c r="E454" s="270" t="s">
        <v>1210</v>
      </c>
      <c r="F454" s="384" t="s">
        <v>364</v>
      </c>
      <c r="G454" s="384">
        <v>31</v>
      </c>
      <c r="H454" s="385">
        <v>29160</v>
      </c>
      <c r="I454" s="265">
        <f t="shared" ref="I454:I517" si="55">YEAR(H454)</f>
        <v>1979</v>
      </c>
      <c r="J454" s="383">
        <v>360</v>
      </c>
      <c r="K454" s="641" t="str">
        <f>VLOOKUP(J454,'Cost Escalators'!$C$313:$D$330,2,FALSE)</f>
        <v>Water Distribution System</v>
      </c>
      <c r="L454" s="238" t="s">
        <v>1211</v>
      </c>
      <c r="M454" s="384" t="s">
        <v>1199</v>
      </c>
      <c r="N454" s="246">
        <v>464497</v>
      </c>
      <c r="O454" s="267">
        <v>50</v>
      </c>
      <c r="P454" s="250">
        <f t="shared" ref="P454:P517" si="56">IF(O454="","",I454+O454)</f>
        <v>2029</v>
      </c>
      <c r="Q454" s="268">
        <f>IF(J454=10,1,IFERROR(INDEX('Cost Escalators'!$D$28:$D$92,MATCH($P$4,'Cost Escalators'!$B$28:$B$92,0))/INDEX('Cost Escalators'!$D$28:$D$92,MATCH(I454,'Cost Escalators'!$B$28:$B$92,0)),1))</f>
        <v>3.3424575424575425</v>
      </c>
      <c r="R454" s="269">
        <f t="shared" ref="R454:R517" si="57">N454*Q454</f>
        <v>1552561.501098901</v>
      </c>
      <c r="S454" s="269">
        <f t="shared" ref="S454:S517" si="58">IFERROR(IF(P454&gt;$P$4,R454*(1+$Q$4)^(P454-$P$4),R454),"")</f>
        <v>2314539.1158540733</v>
      </c>
      <c r="T454" s="269">
        <f t="shared" ref="T454:T517" si="59">IF(J454=10,N454,(N454-U454)*(1+$Q$4)^($P$4-I454))</f>
        <v>363134.12364725361</v>
      </c>
      <c r="U454" s="242">
        <f t="shared" ref="U454:U517" si="60">IFERROR(IF((N454/O454)*($U$4-I454)&gt;N454,N454,(N454/O454)*($U$4-I454)),0)</f>
        <v>334437.84000000003</v>
      </c>
    </row>
    <row r="455" spans="1:21" s="237" customFormat="1" x14ac:dyDescent="0.3">
      <c r="A455" s="237">
        <v>450</v>
      </c>
      <c r="B455" s="263">
        <v>1</v>
      </c>
      <c r="C455" s="263">
        <f t="shared" si="54"/>
        <v>0</v>
      </c>
      <c r="D455" s="264">
        <f t="shared" si="53"/>
        <v>0</v>
      </c>
      <c r="E455" s="270" t="s">
        <v>1212</v>
      </c>
      <c r="F455" s="384" t="s">
        <v>364</v>
      </c>
      <c r="G455" s="384">
        <v>31</v>
      </c>
      <c r="H455" s="385">
        <v>29526</v>
      </c>
      <c r="I455" s="265">
        <f t="shared" si="55"/>
        <v>1980</v>
      </c>
      <c r="J455" s="383">
        <v>360</v>
      </c>
      <c r="K455" s="641" t="str">
        <f>VLOOKUP(J455,'Cost Escalators'!$C$313:$D$330,2,FALSE)</f>
        <v>Water Distribution System</v>
      </c>
      <c r="L455" s="238" t="s">
        <v>1213</v>
      </c>
      <c r="M455" s="384" t="s">
        <v>1199</v>
      </c>
      <c r="N455" s="246">
        <v>450562</v>
      </c>
      <c r="O455" s="267">
        <v>50</v>
      </c>
      <c r="P455" s="250">
        <f t="shared" si="56"/>
        <v>2030</v>
      </c>
      <c r="Q455" s="268">
        <f>IF(J455=10,1,IFERROR(INDEX('Cost Escalators'!$D$28:$D$92,MATCH($P$4,'Cost Escalators'!$B$28:$B$92,0))/INDEX('Cost Escalators'!$D$28:$D$92,MATCH(I455,'Cost Escalators'!$B$28:$B$92,0)),1))</f>
        <v>3.1008341056533828</v>
      </c>
      <c r="R455" s="269">
        <f t="shared" si="57"/>
        <v>1397118.0163113994</v>
      </c>
      <c r="S455" s="269">
        <f t="shared" si="58"/>
        <v>2143066.471037027</v>
      </c>
      <c r="T455" s="269">
        <f t="shared" si="59"/>
        <v>366787.98062979936</v>
      </c>
      <c r="U455" s="242">
        <f t="shared" si="60"/>
        <v>315393.39999999997</v>
      </c>
    </row>
    <row r="456" spans="1:21" s="237" customFormat="1" x14ac:dyDescent="0.3">
      <c r="A456" s="237">
        <v>451</v>
      </c>
      <c r="B456" s="263">
        <v>1</v>
      </c>
      <c r="C456" s="263">
        <f t="shared" si="54"/>
        <v>0</v>
      </c>
      <c r="D456" s="264">
        <f t="shared" si="53"/>
        <v>0</v>
      </c>
      <c r="E456" s="270" t="s">
        <v>1214</v>
      </c>
      <c r="F456" s="384" t="s">
        <v>364</v>
      </c>
      <c r="G456" s="384">
        <v>31</v>
      </c>
      <c r="H456" s="385">
        <v>29891</v>
      </c>
      <c r="I456" s="265">
        <f t="shared" si="55"/>
        <v>1981</v>
      </c>
      <c r="J456" s="383">
        <v>360</v>
      </c>
      <c r="K456" s="641" t="str">
        <f>VLOOKUP(J456,'Cost Escalators'!$C$313:$D$330,2,FALSE)</f>
        <v>Water Distribution System</v>
      </c>
      <c r="L456" s="238" t="s">
        <v>1215</v>
      </c>
      <c r="M456" s="384" t="s">
        <v>1199</v>
      </c>
      <c r="N456" s="246">
        <v>218477.7</v>
      </c>
      <c r="O456" s="267">
        <v>50</v>
      </c>
      <c r="P456" s="250">
        <f t="shared" si="56"/>
        <v>2031</v>
      </c>
      <c r="Q456" s="268">
        <f>IF(J456=10,1,IFERROR(INDEX('Cost Escalators'!$D$28:$D$92,MATCH($P$4,'Cost Escalators'!$B$28:$B$92,0))/INDEX('Cost Escalators'!$D$28:$D$92,MATCH(I456,'Cost Escalators'!$B$28:$B$92,0)),1))</f>
        <v>2.8394342291371992</v>
      </c>
      <c r="R456" s="269">
        <f t="shared" si="57"/>
        <v>620353.05968316831</v>
      </c>
      <c r="S456" s="269">
        <f t="shared" si="58"/>
        <v>979102.84782626643</v>
      </c>
      <c r="T456" s="269">
        <f t="shared" si="59"/>
        <v>184378.18563117154</v>
      </c>
      <c r="U456" s="242">
        <f t="shared" si="60"/>
        <v>148564.83600000001</v>
      </c>
    </row>
    <row r="457" spans="1:21" s="237" customFormat="1" x14ac:dyDescent="0.3">
      <c r="A457" s="237">
        <v>452</v>
      </c>
      <c r="B457" s="263">
        <v>1</v>
      </c>
      <c r="C457" s="263">
        <f t="shared" si="54"/>
        <v>0</v>
      </c>
      <c r="D457" s="264">
        <f t="shared" si="53"/>
        <v>0</v>
      </c>
      <c r="E457" s="270" t="s">
        <v>1216</v>
      </c>
      <c r="F457" s="384" t="s">
        <v>364</v>
      </c>
      <c r="G457" s="384">
        <v>31</v>
      </c>
      <c r="H457" s="385">
        <v>30256</v>
      </c>
      <c r="I457" s="265">
        <f t="shared" si="55"/>
        <v>1982</v>
      </c>
      <c r="J457" s="383">
        <v>360</v>
      </c>
      <c r="K457" s="641" t="str">
        <f>VLOOKUP(J457,'Cost Escalators'!$C$313:$D$330,2,FALSE)</f>
        <v>Water Distribution System</v>
      </c>
      <c r="L457" s="238" t="s">
        <v>1217</v>
      </c>
      <c r="M457" s="384" t="s">
        <v>1199</v>
      </c>
      <c r="N457" s="246">
        <v>298507</v>
      </c>
      <c r="O457" s="267">
        <v>50</v>
      </c>
      <c r="P457" s="250">
        <f t="shared" si="56"/>
        <v>2032</v>
      </c>
      <c r="Q457" s="268">
        <f>IF(J457=10,1,IFERROR(INDEX('Cost Escalators'!$D$28:$D$92,MATCH($P$4,'Cost Escalators'!$B$28:$B$92,0))/INDEX('Cost Escalators'!$D$28:$D$92,MATCH(I457,'Cost Escalators'!$B$28:$B$92,0)),1))</f>
        <v>2.6241568627450977</v>
      </c>
      <c r="R457" s="269">
        <f t="shared" si="57"/>
        <v>783329.19262745092</v>
      </c>
      <c r="S457" s="269">
        <f t="shared" si="58"/>
        <v>1272097.8939606913</v>
      </c>
      <c r="T457" s="269">
        <f t="shared" si="59"/>
        <v>260135.15290709949</v>
      </c>
      <c r="U457" s="242">
        <f t="shared" si="60"/>
        <v>197014.62000000002</v>
      </c>
    </row>
    <row r="458" spans="1:21" s="237" customFormat="1" x14ac:dyDescent="0.3">
      <c r="A458" s="237">
        <v>453</v>
      </c>
      <c r="B458" s="263">
        <v>1</v>
      </c>
      <c r="C458" s="263">
        <f t="shared" si="54"/>
        <v>0</v>
      </c>
      <c r="D458" s="264">
        <f t="shared" si="53"/>
        <v>0</v>
      </c>
      <c r="E458" s="270" t="s">
        <v>1218</v>
      </c>
      <c r="F458" s="384" t="s">
        <v>364</v>
      </c>
      <c r="G458" s="384">
        <v>31</v>
      </c>
      <c r="H458" s="385">
        <v>30621</v>
      </c>
      <c r="I458" s="265">
        <f t="shared" si="55"/>
        <v>1983</v>
      </c>
      <c r="J458" s="383">
        <v>360</v>
      </c>
      <c r="K458" s="641" t="str">
        <f>VLOOKUP(J458,'Cost Escalators'!$C$313:$D$330,2,FALSE)</f>
        <v>Water Distribution System</v>
      </c>
      <c r="L458" s="238" t="s">
        <v>1219</v>
      </c>
      <c r="M458" s="384" t="s">
        <v>1199</v>
      </c>
      <c r="N458" s="246">
        <v>571052</v>
      </c>
      <c r="O458" s="267">
        <v>50</v>
      </c>
      <c r="P458" s="250">
        <f t="shared" si="56"/>
        <v>2033</v>
      </c>
      <c r="Q458" s="268">
        <f>IF(J458=10,1,IFERROR(INDEX('Cost Escalators'!$D$28:$D$92,MATCH($P$4,'Cost Escalators'!$B$28:$B$92,0))/INDEX('Cost Escalators'!$D$28:$D$92,MATCH(I458,'Cost Escalators'!$B$28:$B$92,0)),1))</f>
        <v>2.4686178061977371</v>
      </c>
      <c r="R458" s="269">
        <f t="shared" si="57"/>
        <v>1409709.1354648301</v>
      </c>
      <c r="S458" s="269">
        <f t="shared" si="58"/>
        <v>2355551.3303030436</v>
      </c>
      <c r="T458" s="269">
        <f t="shared" si="59"/>
        <v>512102.53778135526</v>
      </c>
      <c r="U458" s="242">
        <f t="shared" si="60"/>
        <v>365473.28000000003</v>
      </c>
    </row>
    <row r="459" spans="1:21" s="237" customFormat="1" x14ac:dyDescent="0.3">
      <c r="A459" s="237">
        <v>454</v>
      </c>
      <c r="B459" s="263">
        <v>1</v>
      </c>
      <c r="C459" s="263">
        <f t="shared" si="54"/>
        <v>0</v>
      </c>
      <c r="D459" s="264">
        <f t="shared" si="53"/>
        <v>0</v>
      </c>
      <c r="E459" s="270" t="s">
        <v>1220</v>
      </c>
      <c r="F459" s="384" t="s">
        <v>364</v>
      </c>
      <c r="G459" s="384">
        <v>31</v>
      </c>
      <c r="H459" s="385">
        <v>30987</v>
      </c>
      <c r="I459" s="265">
        <f t="shared" si="55"/>
        <v>1984</v>
      </c>
      <c r="J459" s="383">
        <v>360</v>
      </c>
      <c r="K459" s="641" t="str">
        <f>VLOOKUP(J459,'Cost Escalators'!$C$313:$D$330,2,FALSE)</f>
        <v>Water Distribution System</v>
      </c>
      <c r="L459" s="238" t="s">
        <v>1221</v>
      </c>
      <c r="M459" s="384" t="s">
        <v>1199</v>
      </c>
      <c r="N459" s="246">
        <v>764494.79</v>
      </c>
      <c r="O459" s="267">
        <v>50</v>
      </c>
      <c r="P459" s="250">
        <f t="shared" si="56"/>
        <v>2034</v>
      </c>
      <c r="Q459" s="268">
        <f>IF(J459=10,1,IFERROR(INDEX('Cost Escalators'!$D$28:$D$92,MATCH($P$4,'Cost Escalators'!$B$28:$B$92,0))/INDEX('Cost Escalators'!$D$28:$D$92,MATCH(I459,'Cost Escalators'!$B$28:$B$92,0)),1))</f>
        <v>2.4209840810419681</v>
      </c>
      <c r="R459" s="269">
        <f t="shared" si="57"/>
        <v>1850829.7166295224</v>
      </c>
      <c r="S459" s="269">
        <f t="shared" si="58"/>
        <v>3182118.5754472422</v>
      </c>
      <c r="T459" s="269">
        <f t="shared" si="59"/>
        <v>703315.29231922142</v>
      </c>
      <c r="U459" s="242">
        <f t="shared" si="60"/>
        <v>473986.76980000001</v>
      </c>
    </row>
    <row r="460" spans="1:21" s="237" customFormat="1" x14ac:dyDescent="0.3">
      <c r="A460" s="237">
        <v>455</v>
      </c>
      <c r="B460" s="263">
        <v>1</v>
      </c>
      <c r="C460" s="263">
        <f t="shared" si="54"/>
        <v>0</v>
      </c>
      <c r="D460" s="264">
        <f t="shared" si="53"/>
        <v>0</v>
      </c>
      <c r="E460" s="270" t="s">
        <v>1222</v>
      </c>
      <c r="F460" s="384" t="s">
        <v>364</v>
      </c>
      <c r="G460" s="384">
        <v>31</v>
      </c>
      <c r="H460" s="385">
        <v>31352</v>
      </c>
      <c r="I460" s="265">
        <f t="shared" si="55"/>
        <v>1985</v>
      </c>
      <c r="J460" s="383">
        <v>360</v>
      </c>
      <c r="K460" s="641" t="str">
        <f>VLOOKUP(J460,'Cost Escalators'!$C$313:$D$330,2,FALSE)</f>
        <v>Water Distribution System</v>
      </c>
      <c r="L460" s="238" t="s">
        <v>1223</v>
      </c>
      <c r="M460" s="384" t="s">
        <v>1199</v>
      </c>
      <c r="N460" s="246">
        <v>277445.96999999997</v>
      </c>
      <c r="O460" s="267">
        <v>50</v>
      </c>
      <c r="P460" s="250">
        <f t="shared" si="56"/>
        <v>2035</v>
      </c>
      <c r="Q460" s="268">
        <f>IF(J460=10,1,IFERROR(INDEX('Cost Escalators'!$D$28:$D$92,MATCH($P$4,'Cost Escalators'!$B$28:$B$92,0))/INDEX('Cost Escalators'!$D$28:$D$92,MATCH(I460,'Cost Escalators'!$B$28:$B$92,0)),1))</f>
        <v>2.3927056019070321</v>
      </c>
      <c r="R460" s="269">
        <f t="shared" si="57"/>
        <v>663846.52664553025</v>
      </c>
      <c r="S460" s="269">
        <f t="shared" si="58"/>
        <v>1174368.5678560543</v>
      </c>
      <c r="T460" s="269">
        <f t="shared" si="59"/>
        <v>261122.02765748321</v>
      </c>
      <c r="U460" s="242">
        <f t="shared" si="60"/>
        <v>166467.58199999999</v>
      </c>
    </row>
    <row r="461" spans="1:21" s="237" customFormat="1" x14ac:dyDescent="0.3">
      <c r="A461" s="237">
        <v>456</v>
      </c>
      <c r="B461" s="263">
        <v>1</v>
      </c>
      <c r="C461" s="263">
        <f t="shared" si="54"/>
        <v>0</v>
      </c>
      <c r="D461" s="264">
        <f t="shared" si="53"/>
        <v>0</v>
      </c>
      <c r="E461" s="270" t="s">
        <v>1224</v>
      </c>
      <c r="F461" s="384" t="s">
        <v>364</v>
      </c>
      <c r="G461" s="384">
        <v>31</v>
      </c>
      <c r="H461" s="385">
        <v>31717</v>
      </c>
      <c r="I461" s="265">
        <f t="shared" si="55"/>
        <v>1986</v>
      </c>
      <c r="J461" s="383">
        <v>360</v>
      </c>
      <c r="K461" s="641" t="str">
        <f>VLOOKUP(J461,'Cost Escalators'!$C$313:$D$330,2,FALSE)</f>
        <v>Water Distribution System</v>
      </c>
      <c r="L461" s="238" t="s">
        <v>1225</v>
      </c>
      <c r="M461" s="384" t="s">
        <v>1199</v>
      </c>
      <c r="N461" s="246">
        <v>2815091.5</v>
      </c>
      <c r="O461" s="267">
        <v>50</v>
      </c>
      <c r="P461" s="250">
        <f t="shared" si="56"/>
        <v>2036</v>
      </c>
      <c r="Q461" s="268">
        <f>IF(J461=10,1,IFERROR(INDEX('Cost Escalators'!$D$28:$D$92,MATCH($P$4,'Cost Escalators'!$B$28:$B$92,0))/INDEX('Cost Escalators'!$D$28:$D$92,MATCH(I461,'Cost Escalators'!$B$28:$B$92,0)),1))</f>
        <v>2.3369965075669383</v>
      </c>
      <c r="R461" s="269">
        <f t="shared" si="57"/>
        <v>6578859.0039813742</v>
      </c>
      <c r="S461" s="269">
        <f t="shared" si="58"/>
        <v>11974962.08100245</v>
      </c>
      <c r="T461" s="269">
        <f t="shared" si="59"/>
        <v>2703709.7457753145</v>
      </c>
      <c r="U461" s="242">
        <f t="shared" si="60"/>
        <v>1632753.07</v>
      </c>
    </row>
    <row r="462" spans="1:21" s="237" customFormat="1" x14ac:dyDescent="0.3">
      <c r="A462" s="237">
        <v>457</v>
      </c>
      <c r="B462" s="263">
        <v>1</v>
      </c>
      <c r="C462" s="263">
        <f t="shared" si="54"/>
        <v>0</v>
      </c>
      <c r="D462" s="264">
        <f t="shared" si="53"/>
        <v>0</v>
      </c>
      <c r="E462" s="270" t="s">
        <v>1226</v>
      </c>
      <c r="F462" s="384" t="s">
        <v>364</v>
      </c>
      <c r="G462" s="384">
        <v>31</v>
      </c>
      <c r="H462" s="385">
        <v>32082</v>
      </c>
      <c r="I462" s="265">
        <f t="shared" si="55"/>
        <v>1987</v>
      </c>
      <c r="J462" s="383">
        <v>360</v>
      </c>
      <c r="K462" s="641" t="str">
        <f>VLOOKUP(J462,'Cost Escalators'!$C$313:$D$330,2,FALSE)</f>
        <v>Water Distribution System</v>
      </c>
      <c r="L462" s="238" t="s">
        <v>1227</v>
      </c>
      <c r="M462" s="384" t="s">
        <v>1199</v>
      </c>
      <c r="N462" s="246">
        <v>4024715.81</v>
      </c>
      <c r="O462" s="267">
        <v>50</v>
      </c>
      <c r="P462" s="250">
        <f t="shared" si="56"/>
        <v>2037</v>
      </c>
      <c r="Q462" s="268">
        <f>IF(J462=10,1,IFERROR(INDEX('Cost Escalators'!$D$28:$D$92,MATCH($P$4,'Cost Escalators'!$B$28:$B$92,0))/INDEX('Cost Escalators'!$D$28:$D$92,MATCH(I462,'Cost Escalators'!$B$28:$B$92,0)),1))</f>
        <v>2.2781207444394007</v>
      </c>
      <c r="R462" s="269">
        <f t="shared" si="57"/>
        <v>9168788.5772342253</v>
      </c>
      <c r="S462" s="269">
        <f t="shared" si="58"/>
        <v>17172058.648992643</v>
      </c>
      <c r="T462" s="269">
        <f t="shared" si="59"/>
        <v>3935675.8355092541</v>
      </c>
      <c r="U462" s="242">
        <f t="shared" si="60"/>
        <v>2253840.8536</v>
      </c>
    </row>
    <row r="463" spans="1:21" s="237" customFormat="1" x14ac:dyDescent="0.3">
      <c r="A463" s="237">
        <v>458</v>
      </c>
      <c r="B463" s="263">
        <v>1</v>
      </c>
      <c r="C463" s="263">
        <f t="shared" si="54"/>
        <v>0</v>
      </c>
      <c r="D463" s="264">
        <f t="shared" si="53"/>
        <v>0</v>
      </c>
      <c r="E463" s="270" t="s">
        <v>1228</v>
      </c>
      <c r="F463" s="384" t="s">
        <v>364</v>
      </c>
      <c r="G463" s="384">
        <v>31</v>
      </c>
      <c r="H463" s="385">
        <v>32448</v>
      </c>
      <c r="I463" s="265">
        <f t="shared" si="55"/>
        <v>1988</v>
      </c>
      <c r="J463" s="383">
        <v>360</v>
      </c>
      <c r="K463" s="641" t="str">
        <f>VLOOKUP(J463,'Cost Escalators'!$C$313:$D$330,2,FALSE)</f>
        <v>Water Distribution System</v>
      </c>
      <c r="L463" s="238" t="s">
        <v>1229</v>
      </c>
      <c r="M463" s="384" t="s">
        <v>1199</v>
      </c>
      <c r="N463" s="246">
        <v>1168682</v>
      </c>
      <c r="O463" s="267">
        <v>50</v>
      </c>
      <c r="P463" s="250">
        <f t="shared" si="56"/>
        <v>2038</v>
      </c>
      <c r="Q463" s="268">
        <f>IF(J463=10,1,IFERROR(INDEX('Cost Escalators'!$D$28:$D$92,MATCH($P$4,'Cost Escalators'!$B$28:$B$92,0))/INDEX('Cost Escalators'!$D$28:$D$92,MATCH(I463,'Cost Escalators'!$B$28:$B$92,0)),1))</f>
        <v>2.2211551228147819</v>
      </c>
      <c r="R463" s="269">
        <f t="shared" si="57"/>
        <v>2595824.0112414248</v>
      </c>
      <c r="S463" s="269">
        <f t="shared" si="58"/>
        <v>5002331.7057461599</v>
      </c>
      <c r="T463" s="269">
        <f t="shared" si="59"/>
        <v>1161177.9339672446</v>
      </c>
      <c r="U463" s="242">
        <f t="shared" si="60"/>
        <v>631088.28</v>
      </c>
    </row>
    <row r="464" spans="1:21" s="237" customFormat="1" x14ac:dyDescent="0.3">
      <c r="A464" s="237">
        <v>459</v>
      </c>
      <c r="B464" s="263">
        <v>1</v>
      </c>
      <c r="C464" s="263">
        <f t="shared" si="54"/>
        <v>0</v>
      </c>
      <c r="D464" s="264">
        <f t="shared" si="53"/>
        <v>0</v>
      </c>
      <c r="E464" s="270" t="s">
        <v>1230</v>
      </c>
      <c r="F464" s="384" t="s">
        <v>364</v>
      </c>
      <c r="G464" s="384">
        <v>31</v>
      </c>
      <c r="H464" s="385">
        <v>32813</v>
      </c>
      <c r="I464" s="265">
        <f t="shared" si="55"/>
        <v>1989</v>
      </c>
      <c r="J464" s="383">
        <v>360</v>
      </c>
      <c r="K464" s="641" t="str">
        <f>VLOOKUP(J464,'Cost Escalators'!$C$313:$D$330,2,FALSE)</f>
        <v>Water Distribution System</v>
      </c>
      <c r="L464" s="238" t="s">
        <v>1231</v>
      </c>
      <c r="M464" s="384" t="s">
        <v>1232</v>
      </c>
      <c r="N464" s="246">
        <v>1515976</v>
      </c>
      <c r="O464" s="267">
        <v>50</v>
      </c>
      <c r="P464" s="250">
        <f t="shared" si="56"/>
        <v>2039</v>
      </c>
      <c r="Q464" s="268">
        <f>IF(J464=10,1,IFERROR(INDEX('Cost Escalators'!$D$28:$D$92,MATCH($P$4,'Cost Escalators'!$B$28:$B$92,0))/INDEX('Cost Escalators'!$D$28:$D$92,MATCH(I464,'Cost Escalators'!$B$28:$B$92,0)),1))</f>
        <v>2.1749512459371614</v>
      </c>
      <c r="R464" s="269">
        <f t="shared" si="57"/>
        <v>3297173.8900108342</v>
      </c>
      <c r="S464" s="269">
        <f t="shared" si="58"/>
        <v>6537714.1789244264</v>
      </c>
      <c r="T464" s="269">
        <f t="shared" si="59"/>
        <v>1527535.5074024659</v>
      </c>
      <c r="U464" s="242">
        <f t="shared" si="60"/>
        <v>788307.52</v>
      </c>
    </row>
    <row r="465" spans="1:21" s="237" customFormat="1" x14ac:dyDescent="0.3">
      <c r="A465" s="237">
        <v>460</v>
      </c>
      <c r="B465" s="263">
        <v>1</v>
      </c>
      <c r="C465" s="263">
        <f t="shared" si="54"/>
        <v>0</v>
      </c>
      <c r="D465" s="264">
        <f t="shared" si="53"/>
        <v>0</v>
      </c>
      <c r="E465" s="270" t="s">
        <v>1233</v>
      </c>
      <c r="F465" s="384" t="s">
        <v>364</v>
      </c>
      <c r="G465" s="384">
        <v>31</v>
      </c>
      <c r="H465" s="385">
        <v>33178</v>
      </c>
      <c r="I465" s="265">
        <f t="shared" si="55"/>
        <v>1990</v>
      </c>
      <c r="J465" s="383">
        <v>360</v>
      </c>
      <c r="K465" s="641" t="str">
        <f>VLOOKUP(J465,'Cost Escalators'!$C$313:$D$330,2,FALSE)</f>
        <v>Water Distribution System</v>
      </c>
      <c r="L465" s="238" t="s">
        <v>1234</v>
      </c>
      <c r="M465" s="384" t="s">
        <v>1232</v>
      </c>
      <c r="N465" s="246">
        <v>1832450</v>
      </c>
      <c r="O465" s="267">
        <v>50</v>
      </c>
      <c r="P465" s="250">
        <f t="shared" si="56"/>
        <v>2040</v>
      </c>
      <c r="Q465" s="268">
        <f>IF(J465=10,1,IFERROR(INDEX('Cost Escalators'!$D$28:$D$92,MATCH($P$4,'Cost Escalators'!$B$28:$B$92,0))/INDEX('Cost Escalators'!$D$28:$D$92,MATCH(I465,'Cost Escalators'!$B$28:$B$92,0)),1))</f>
        <v>2.1211749788672867</v>
      </c>
      <c r="R465" s="269">
        <f t="shared" si="57"/>
        <v>3886947.0900253593</v>
      </c>
      <c r="S465" s="269">
        <f t="shared" si="58"/>
        <v>7930116.0579976859</v>
      </c>
      <c r="T465" s="269">
        <f t="shared" si="59"/>
        <v>1869274.3731666093</v>
      </c>
      <c r="U465" s="242">
        <f t="shared" si="60"/>
        <v>916225</v>
      </c>
    </row>
    <row r="466" spans="1:21" s="237" customFormat="1" x14ac:dyDescent="0.3">
      <c r="A466" s="237">
        <v>461</v>
      </c>
      <c r="B466" s="263">
        <v>1</v>
      </c>
      <c r="C466" s="263">
        <f t="shared" si="54"/>
        <v>0</v>
      </c>
      <c r="D466" s="264">
        <f t="shared" si="53"/>
        <v>0</v>
      </c>
      <c r="E466" s="270" t="s">
        <v>1235</v>
      </c>
      <c r="F466" s="384" t="s">
        <v>364</v>
      </c>
      <c r="G466" s="384">
        <v>31</v>
      </c>
      <c r="H466" s="385">
        <v>33543</v>
      </c>
      <c r="I466" s="265">
        <f t="shared" si="55"/>
        <v>1991</v>
      </c>
      <c r="J466" s="383">
        <v>360</v>
      </c>
      <c r="K466" s="641" t="str">
        <f>VLOOKUP(J466,'Cost Escalators'!$C$313:$D$330,2,FALSE)</f>
        <v>Water Distribution System</v>
      </c>
      <c r="L466" s="238" t="s">
        <v>1236</v>
      </c>
      <c r="M466" s="384" t="s">
        <v>1232</v>
      </c>
      <c r="N466" s="246">
        <v>860973</v>
      </c>
      <c r="O466" s="267">
        <v>50</v>
      </c>
      <c r="P466" s="250">
        <f t="shared" si="56"/>
        <v>2041</v>
      </c>
      <c r="Q466" s="268">
        <f>IF(J466=10,1,IFERROR(INDEX('Cost Escalators'!$D$28:$D$92,MATCH($P$4,'Cost Escalators'!$B$28:$B$92,0))/INDEX('Cost Escalators'!$D$28:$D$92,MATCH(I466,'Cost Escalators'!$B$28:$B$92,0)),1))</f>
        <v>2.0759875904860392</v>
      </c>
      <c r="R466" s="269">
        <f t="shared" si="57"/>
        <v>1787369.2637435365</v>
      </c>
      <c r="S466" s="269">
        <f t="shared" si="58"/>
        <v>3752079.5393089652</v>
      </c>
      <c r="T466" s="269">
        <f t="shared" si="59"/>
        <v>887721.94015868381</v>
      </c>
      <c r="U466" s="242">
        <f t="shared" si="60"/>
        <v>413267.04</v>
      </c>
    </row>
    <row r="467" spans="1:21" s="237" customFormat="1" x14ac:dyDescent="0.3">
      <c r="A467" s="237">
        <v>462</v>
      </c>
      <c r="B467" s="263">
        <v>1</v>
      </c>
      <c r="C467" s="263">
        <f t="shared" si="54"/>
        <v>0</v>
      </c>
      <c r="D467" s="264">
        <f t="shared" si="53"/>
        <v>0</v>
      </c>
      <c r="E467" s="270" t="s">
        <v>1237</v>
      </c>
      <c r="F467" s="384" t="s">
        <v>364</v>
      </c>
      <c r="G467" s="384">
        <v>31</v>
      </c>
      <c r="H467" s="385">
        <v>33909</v>
      </c>
      <c r="I467" s="265">
        <f t="shared" si="55"/>
        <v>1992</v>
      </c>
      <c r="J467" s="383">
        <v>360</v>
      </c>
      <c r="K467" s="641" t="str">
        <f>VLOOKUP(J467,'Cost Escalators'!$C$313:$D$330,2,FALSE)</f>
        <v>Water Distribution System</v>
      </c>
      <c r="L467" s="238" t="s">
        <v>1238</v>
      </c>
      <c r="M467" s="384" t="s">
        <v>1232</v>
      </c>
      <c r="N467" s="246">
        <v>735952</v>
      </c>
      <c r="O467" s="267">
        <v>50</v>
      </c>
      <c r="P467" s="250">
        <f t="shared" si="56"/>
        <v>2042</v>
      </c>
      <c r="Q467" s="268">
        <f>IF(J467=10,1,IFERROR(INDEX('Cost Escalators'!$D$28:$D$92,MATCH($P$4,'Cost Escalators'!$B$28:$B$92,0))/INDEX('Cost Escalators'!$D$28:$D$92,MATCH(I467,'Cost Escalators'!$B$28:$B$92,0)),1))</f>
        <v>2.0135205616850551</v>
      </c>
      <c r="R467" s="269">
        <f t="shared" si="57"/>
        <v>1481854.4844132396</v>
      </c>
      <c r="S467" s="269">
        <f t="shared" si="58"/>
        <v>3200738.1497147367</v>
      </c>
      <c r="T467" s="269">
        <f t="shared" si="59"/>
        <v>765844.31151139655</v>
      </c>
      <c r="U467" s="242">
        <f t="shared" si="60"/>
        <v>338537.92000000004</v>
      </c>
    </row>
    <row r="468" spans="1:21" s="237" customFormat="1" x14ac:dyDescent="0.3">
      <c r="A468" s="237">
        <v>463</v>
      </c>
      <c r="B468" s="263">
        <v>1</v>
      </c>
      <c r="C468" s="263">
        <f t="shared" si="54"/>
        <v>0</v>
      </c>
      <c r="D468" s="264">
        <f t="shared" si="53"/>
        <v>0</v>
      </c>
      <c r="E468" s="270" t="s">
        <v>1239</v>
      </c>
      <c r="F468" s="384" t="s">
        <v>364</v>
      </c>
      <c r="G468" s="384">
        <v>31</v>
      </c>
      <c r="H468" s="385">
        <v>34274</v>
      </c>
      <c r="I468" s="265">
        <f t="shared" si="55"/>
        <v>1993</v>
      </c>
      <c r="J468" s="383">
        <v>360</v>
      </c>
      <c r="K468" s="641" t="str">
        <f>VLOOKUP(J468,'Cost Escalators'!$C$313:$D$330,2,FALSE)</f>
        <v>Water Distribution System</v>
      </c>
      <c r="L468" s="238" t="s">
        <v>1240</v>
      </c>
      <c r="M468" s="384" t="s">
        <v>1232</v>
      </c>
      <c r="N468" s="246">
        <v>748396</v>
      </c>
      <c r="O468" s="267">
        <v>50</v>
      </c>
      <c r="P468" s="250">
        <f t="shared" si="56"/>
        <v>2043</v>
      </c>
      <c r="Q468" s="268">
        <f>IF(J468=10,1,IFERROR(INDEX('Cost Escalators'!$D$28:$D$92,MATCH($P$4,'Cost Escalators'!$B$28:$B$92,0))/INDEX('Cost Escalators'!$D$28:$D$92,MATCH(I468,'Cost Escalators'!$B$28:$B$92,0)),1))</f>
        <v>1.9265642994241843</v>
      </c>
      <c r="R468" s="269">
        <f t="shared" si="57"/>
        <v>1441833.0154318619</v>
      </c>
      <c r="S468" s="269">
        <f t="shared" si="58"/>
        <v>3204397.5421113027</v>
      </c>
      <c r="T468" s="269">
        <f t="shared" si="59"/>
        <v>784928.12240054645</v>
      </c>
      <c r="U468" s="242">
        <f t="shared" si="60"/>
        <v>329294.24</v>
      </c>
    </row>
    <row r="469" spans="1:21" s="237" customFormat="1" x14ac:dyDescent="0.3">
      <c r="A469" s="237">
        <v>464</v>
      </c>
      <c r="B469" s="263">
        <v>1</v>
      </c>
      <c r="C469" s="263">
        <f t="shared" si="54"/>
        <v>0</v>
      </c>
      <c r="D469" s="264">
        <f t="shared" si="53"/>
        <v>0</v>
      </c>
      <c r="E469" s="270" t="s">
        <v>1241</v>
      </c>
      <c r="F469" s="384" t="s">
        <v>364</v>
      </c>
      <c r="G469" s="384">
        <v>31</v>
      </c>
      <c r="H469" s="385">
        <v>34454</v>
      </c>
      <c r="I469" s="265">
        <f t="shared" si="55"/>
        <v>1994</v>
      </c>
      <c r="J469" s="383">
        <v>360</v>
      </c>
      <c r="K469" s="641" t="str">
        <f>VLOOKUP(J469,'Cost Escalators'!$C$313:$D$330,2,FALSE)</f>
        <v>Water Distribution System</v>
      </c>
      <c r="L469" s="238" t="s">
        <v>1242</v>
      </c>
      <c r="M469" s="384" t="s">
        <v>1232</v>
      </c>
      <c r="N469" s="246">
        <v>180270</v>
      </c>
      <c r="O469" s="267">
        <v>50</v>
      </c>
      <c r="P469" s="250">
        <f t="shared" si="56"/>
        <v>2044</v>
      </c>
      <c r="Q469" s="268">
        <f>IF(J469=10,1,IFERROR(INDEX('Cost Escalators'!$D$28:$D$92,MATCH($P$4,'Cost Escalators'!$B$28:$B$92,0))/INDEX('Cost Escalators'!$D$28:$D$92,MATCH(I469,'Cost Escalators'!$B$28:$B$92,0)),1))</f>
        <v>1.8560281065088757</v>
      </c>
      <c r="R469" s="269">
        <f t="shared" si="57"/>
        <v>334586.18676035502</v>
      </c>
      <c r="S469" s="269">
        <f t="shared" si="58"/>
        <v>765114.21010460716</v>
      </c>
      <c r="T469" s="269">
        <f t="shared" si="59"/>
        <v>190315.87689610341</v>
      </c>
      <c r="U469" s="242">
        <f t="shared" si="60"/>
        <v>75713.400000000009</v>
      </c>
    </row>
    <row r="470" spans="1:21" s="237" customFormat="1" x14ac:dyDescent="0.3">
      <c r="A470" s="237">
        <v>465</v>
      </c>
      <c r="B470" s="263">
        <v>1</v>
      </c>
      <c r="C470" s="263">
        <f t="shared" si="54"/>
        <v>0</v>
      </c>
      <c r="D470" s="264">
        <f t="shared" si="53"/>
        <v>0</v>
      </c>
      <c r="E470" s="270" t="s">
        <v>1243</v>
      </c>
      <c r="F470" s="384" t="s">
        <v>364</v>
      </c>
      <c r="G470" s="384">
        <v>31</v>
      </c>
      <c r="H470" s="385">
        <v>34454</v>
      </c>
      <c r="I470" s="265">
        <f t="shared" si="55"/>
        <v>1994</v>
      </c>
      <c r="J470" s="383">
        <v>360</v>
      </c>
      <c r="K470" s="641" t="str">
        <f>VLOOKUP(J470,'Cost Escalators'!$C$313:$D$330,2,FALSE)</f>
        <v>Water Distribution System</v>
      </c>
      <c r="L470" s="238" t="s">
        <v>1244</v>
      </c>
      <c r="M470" s="384" t="s">
        <v>1232</v>
      </c>
      <c r="N470" s="246">
        <v>156364.5</v>
      </c>
      <c r="O470" s="267">
        <v>50</v>
      </c>
      <c r="P470" s="250">
        <f t="shared" si="56"/>
        <v>2044</v>
      </c>
      <c r="Q470" s="268">
        <f>IF(J470=10,1,IFERROR(INDEX('Cost Escalators'!$D$28:$D$92,MATCH($P$4,'Cost Escalators'!$B$28:$B$92,0))/INDEX('Cost Escalators'!$D$28:$D$92,MATCH(I470,'Cost Escalators'!$B$28:$B$92,0)),1))</f>
        <v>1.8560281065088757</v>
      </c>
      <c r="R470" s="269">
        <f t="shared" si="57"/>
        <v>290216.90686020709</v>
      </c>
      <c r="S470" s="269">
        <f t="shared" si="58"/>
        <v>663652.85907750507</v>
      </c>
      <c r="T470" s="269">
        <f t="shared" si="59"/>
        <v>165078.19899551096</v>
      </c>
      <c r="U470" s="242">
        <f t="shared" si="60"/>
        <v>65673.09</v>
      </c>
    </row>
    <row r="471" spans="1:21" s="237" customFormat="1" x14ac:dyDescent="0.3">
      <c r="A471" s="237">
        <v>466</v>
      </c>
      <c r="B471" s="263">
        <v>1</v>
      </c>
      <c r="C471" s="263">
        <f t="shared" si="54"/>
        <v>0</v>
      </c>
      <c r="D471" s="264">
        <f t="shared" si="53"/>
        <v>0</v>
      </c>
      <c r="E471" s="270" t="s">
        <v>1245</v>
      </c>
      <c r="F471" s="384" t="s">
        <v>364</v>
      </c>
      <c r="G471" s="384">
        <v>31</v>
      </c>
      <c r="H471" s="385">
        <v>34530</v>
      </c>
      <c r="I471" s="265">
        <f t="shared" si="55"/>
        <v>1994</v>
      </c>
      <c r="J471" s="383">
        <v>360</v>
      </c>
      <c r="K471" s="641" t="str">
        <f>VLOOKUP(J471,'Cost Escalators'!$C$313:$D$330,2,FALSE)</f>
        <v>Water Distribution System</v>
      </c>
      <c r="L471" s="238" t="s">
        <v>1246</v>
      </c>
      <c r="M471" s="384" t="s">
        <v>1232</v>
      </c>
      <c r="N471" s="246">
        <v>1166255</v>
      </c>
      <c r="O471" s="267">
        <v>50</v>
      </c>
      <c r="P471" s="250">
        <f t="shared" si="56"/>
        <v>2044</v>
      </c>
      <c r="Q471" s="268">
        <f>IF(J471=10,1,IFERROR(INDEX('Cost Escalators'!$D$28:$D$92,MATCH($P$4,'Cost Escalators'!$B$28:$B$92,0))/INDEX('Cost Escalators'!$D$28:$D$92,MATCH(I471,'Cost Escalators'!$B$28:$B$92,0)),1))</f>
        <v>1.8560281065088757</v>
      </c>
      <c r="R471" s="269">
        <f t="shared" si="57"/>
        <v>2164602.0593565088</v>
      </c>
      <c r="S471" s="269">
        <f t="shared" si="58"/>
        <v>4949898.891138562</v>
      </c>
      <c r="T471" s="269">
        <f t="shared" si="59"/>
        <v>1231246.7022214739</v>
      </c>
      <c r="U471" s="242">
        <f t="shared" si="60"/>
        <v>489827.1</v>
      </c>
    </row>
    <row r="472" spans="1:21" s="237" customFormat="1" x14ac:dyDescent="0.3">
      <c r="A472" s="237">
        <v>467</v>
      </c>
      <c r="B472" s="263">
        <v>1</v>
      </c>
      <c r="C472" s="263">
        <f t="shared" si="54"/>
        <v>0</v>
      </c>
      <c r="D472" s="264">
        <f t="shared" si="53"/>
        <v>0</v>
      </c>
      <c r="E472" s="270" t="s">
        <v>1247</v>
      </c>
      <c r="F472" s="384" t="s">
        <v>364</v>
      </c>
      <c r="G472" s="384">
        <v>31</v>
      </c>
      <c r="H472" s="385">
        <v>34790</v>
      </c>
      <c r="I472" s="265">
        <f t="shared" si="55"/>
        <v>1995</v>
      </c>
      <c r="J472" s="383">
        <v>360</v>
      </c>
      <c r="K472" s="641" t="str">
        <f>VLOOKUP(J472,'Cost Escalators'!$C$313:$D$330,2,FALSE)</f>
        <v>Water Distribution System</v>
      </c>
      <c r="L472" s="238" t="s">
        <v>1248</v>
      </c>
      <c r="M472" s="384" t="s">
        <v>1232</v>
      </c>
      <c r="N472" s="246">
        <v>1372924</v>
      </c>
      <c r="O472" s="267">
        <v>50</v>
      </c>
      <c r="P472" s="250">
        <f t="shared" si="56"/>
        <v>2045</v>
      </c>
      <c r="Q472" s="268">
        <f>IF(J472=10,1,IFERROR(INDEX('Cost Escalators'!$D$28:$D$92,MATCH($P$4,'Cost Escalators'!$B$28:$B$92,0))/INDEX('Cost Escalators'!$D$28:$D$92,MATCH(I472,'Cost Escalators'!$B$28:$B$92,0)),1))</f>
        <v>1.8346554560409432</v>
      </c>
      <c r="R472" s="269">
        <f t="shared" si="57"/>
        <v>2518842.5073295557</v>
      </c>
      <c r="S472" s="269">
        <f t="shared" si="58"/>
        <v>5926606.7449434642</v>
      </c>
      <c r="T472" s="269">
        <f t="shared" si="59"/>
        <v>1457251.3919466131</v>
      </c>
      <c r="U472" s="242">
        <f t="shared" si="60"/>
        <v>549169.6</v>
      </c>
    </row>
    <row r="473" spans="1:21" s="237" customFormat="1" x14ac:dyDescent="0.3">
      <c r="A473" s="237">
        <v>468</v>
      </c>
      <c r="B473" s="263">
        <v>1</v>
      </c>
      <c r="C473" s="263">
        <f t="shared" si="54"/>
        <v>0</v>
      </c>
      <c r="D473" s="264">
        <f t="shared" si="53"/>
        <v>0</v>
      </c>
      <c r="E473" s="270" t="s">
        <v>1249</v>
      </c>
      <c r="F473" s="384" t="s">
        <v>364</v>
      </c>
      <c r="G473" s="384">
        <v>31</v>
      </c>
      <c r="H473" s="385">
        <v>35156</v>
      </c>
      <c r="I473" s="265">
        <f t="shared" si="55"/>
        <v>1996</v>
      </c>
      <c r="J473" s="383">
        <v>360</v>
      </c>
      <c r="K473" s="641" t="str">
        <f>VLOOKUP(J473,'Cost Escalators'!$C$313:$D$330,2,FALSE)</f>
        <v>Water Distribution System</v>
      </c>
      <c r="L473" s="238" t="s">
        <v>1250</v>
      </c>
      <c r="M473" s="384" t="s">
        <v>1232</v>
      </c>
      <c r="N473" s="246">
        <v>1387859.79</v>
      </c>
      <c r="O473" s="267">
        <v>50</v>
      </c>
      <c r="P473" s="250">
        <f t="shared" si="56"/>
        <v>2046</v>
      </c>
      <c r="Q473" s="268">
        <f>IF(J473=10,1,IFERROR(INDEX('Cost Escalators'!$D$28:$D$92,MATCH($P$4,'Cost Escalators'!$B$28:$B$92,0))/INDEX('Cost Escalators'!$D$28:$D$92,MATCH(I473,'Cost Escalators'!$B$28:$B$92,0)),1))</f>
        <v>1.7860142348754449</v>
      </c>
      <c r="R473" s="269">
        <f t="shared" si="57"/>
        <v>2478737.3409512457</v>
      </c>
      <c r="S473" s="269">
        <f t="shared" si="58"/>
        <v>6000983.6435272871</v>
      </c>
      <c r="T473" s="269">
        <f t="shared" si="59"/>
        <v>1479405.3253418657</v>
      </c>
      <c r="U473" s="242">
        <f t="shared" si="60"/>
        <v>527386.72019999998</v>
      </c>
    </row>
    <row r="474" spans="1:21" s="237" customFormat="1" x14ac:dyDescent="0.3">
      <c r="A474" s="237">
        <v>469</v>
      </c>
      <c r="B474" s="263">
        <v>1</v>
      </c>
      <c r="C474" s="263">
        <f t="shared" si="54"/>
        <v>0</v>
      </c>
      <c r="D474" s="264">
        <f t="shared" si="53"/>
        <v>0</v>
      </c>
      <c r="E474" s="270" t="s">
        <v>1251</v>
      </c>
      <c r="F474" s="384" t="s">
        <v>364</v>
      </c>
      <c r="G474" s="384">
        <v>31</v>
      </c>
      <c r="H474" s="385">
        <v>35703</v>
      </c>
      <c r="I474" s="265">
        <f t="shared" si="55"/>
        <v>1997</v>
      </c>
      <c r="J474" s="383">
        <v>360</v>
      </c>
      <c r="K474" s="641" t="str">
        <f>VLOOKUP(J474,'Cost Escalators'!$C$313:$D$330,2,FALSE)</f>
        <v>Water Distribution System</v>
      </c>
      <c r="L474" s="238" t="s">
        <v>1252</v>
      </c>
      <c r="M474" s="384" t="s">
        <v>1232</v>
      </c>
      <c r="N474" s="246">
        <v>1091498.7</v>
      </c>
      <c r="O474" s="267">
        <v>50</v>
      </c>
      <c r="P474" s="250">
        <f t="shared" si="56"/>
        <v>2047</v>
      </c>
      <c r="Q474" s="268">
        <f>IF(J474=10,1,IFERROR(INDEX('Cost Escalators'!$D$28:$D$92,MATCH($P$4,'Cost Escalators'!$B$28:$B$92,0))/INDEX('Cost Escalators'!$D$28:$D$92,MATCH(I474,'Cost Escalators'!$B$28:$B$92,0)),1))</f>
        <v>1.722863027806385</v>
      </c>
      <c r="R474" s="269">
        <f t="shared" si="57"/>
        <v>1880502.7551287331</v>
      </c>
      <c r="S474" s="269">
        <f t="shared" si="58"/>
        <v>4684386.7556245849</v>
      </c>
      <c r="T474" s="269">
        <f t="shared" si="59"/>
        <v>1167256.3765682143</v>
      </c>
      <c r="U474" s="242">
        <f t="shared" si="60"/>
        <v>392939.53199999995</v>
      </c>
    </row>
    <row r="475" spans="1:21" s="237" customFormat="1" x14ac:dyDescent="0.3">
      <c r="A475" s="237">
        <v>470</v>
      </c>
      <c r="B475" s="263">
        <v>1</v>
      </c>
      <c r="C475" s="263">
        <f t="shared" si="54"/>
        <v>0</v>
      </c>
      <c r="D475" s="264">
        <f t="shared" si="53"/>
        <v>0</v>
      </c>
      <c r="E475" s="270" t="s">
        <v>1253</v>
      </c>
      <c r="F475" s="384" t="s">
        <v>364</v>
      </c>
      <c r="G475" s="384">
        <v>31</v>
      </c>
      <c r="H475" s="385">
        <v>35703</v>
      </c>
      <c r="I475" s="265">
        <f t="shared" si="55"/>
        <v>1997</v>
      </c>
      <c r="J475" s="383">
        <v>360</v>
      </c>
      <c r="K475" s="641" t="str">
        <f>VLOOKUP(J475,'Cost Escalators'!$C$313:$D$330,2,FALSE)</f>
        <v>Water Distribution System</v>
      </c>
      <c r="L475" s="238" t="s">
        <v>1254</v>
      </c>
      <c r="M475" s="384" t="s">
        <v>1232</v>
      </c>
      <c r="N475" s="246">
        <v>153439</v>
      </c>
      <c r="O475" s="267">
        <v>50</v>
      </c>
      <c r="P475" s="250">
        <f t="shared" si="56"/>
        <v>2047</v>
      </c>
      <c r="Q475" s="268">
        <f>IF(J475=10,1,IFERROR(INDEX('Cost Escalators'!$D$28:$D$92,MATCH($P$4,'Cost Escalators'!$B$28:$B$92,0))/INDEX('Cost Escalators'!$D$28:$D$92,MATCH(I475,'Cost Escalators'!$B$28:$B$92,0)),1))</f>
        <v>1.722863027806385</v>
      </c>
      <c r="R475" s="269">
        <f t="shared" si="57"/>
        <v>264354.38012358389</v>
      </c>
      <c r="S475" s="269">
        <f t="shared" si="58"/>
        <v>658514.40720568935</v>
      </c>
      <c r="T475" s="269">
        <f t="shared" si="59"/>
        <v>164088.74436978277</v>
      </c>
      <c r="U475" s="242">
        <f t="shared" si="60"/>
        <v>55238.04</v>
      </c>
    </row>
    <row r="476" spans="1:21" s="237" customFormat="1" x14ac:dyDescent="0.3">
      <c r="A476" s="237">
        <v>471</v>
      </c>
      <c r="B476" s="263">
        <v>1</v>
      </c>
      <c r="C476" s="263">
        <f t="shared" ref="C476:C507" si="61">1-B476</f>
        <v>0</v>
      </c>
      <c r="D476" s="264">
        <f t="shared" si="53"/>
        <v>0</v>
      </c>
      <c r="E476" s="270" t="s">
        <v>1255</v>
      </c>
      <c r="F476" s="384" t="s">
        <v>364</v>
      </c>
      <c r="G476" s="384">
        <v>31</v>
      </c>
      <c r="H476" s="385">
        <v>36068</v>
      </c>
      <c r="I476" s="265">
        <f t="shared" si="55"/>
        <v>1998</v>
      </c>
      <c r="J476" s="383">
        <v>360</v>
      </c>
      <c r="K476" s="641" t="str">
        <f>VLOOKUP(J476,'Cost Escalators'!$C$313:$D$330,2,FALSE)</f>
        <v>Water Distribution System</v>
      </c>
      <c r="L476" s="238" t="s">
        <v>1256</v>
      </c>
      <c r="M476" s="384" t="s">
        <v>1232</v>
      </c>
      <c r="N476" s="246">
        <v>394664.25</v>
      </c>
      <c r="O476" s="267">
        <v>50</v>
      </c>
      <c r="P476" s="250">
        <f t="shared" si="56"/>
        <v>2048</v>
      </c>
      <c r="Q476" s="268">
        <f>IF(J476=10,1,IFERROR(INDEX('Cost Escalators'!$D$28:$D$92,MATCH($P$4,'Cost Escalators'!$B$28:$B$92,0))/INDEX('Cost Escalators'!$D$28:$D$92,MATCH(I476,'Cost Escalators'!$B$28:$B$92,0)),1))</f>
        <v>1.6955067567567568</v>
      </c>
      <c r="R476" s="269">
        <f t="shared" si="57"/>
        <v>669155.90252533788</v>
      </c>
      <c r="S476" s="269">
        <f t="shared" si="58"/>
        <v>1715113.7161441774</v>
      </c>
      <c r="T476" s="269">
        <f t="shared" si="59"/>
        <v>423007.38124071294</v>
      </c>
      <c r="U476" s="242">
        <f t="shared" si="60"/>
        <v>134185.845</v>
      </c>
    </row>
    <row r="477" spans="1:21" s="237" customFormat="1" x14ac:dyDescent="0.3">
      <c r="A477" s="237">
        <v>472</v>
      </c>
      <c r="B477" s="263">
        <v>1</v>
      </c>
      <c r="C477" s="263">
        <f t="shared" si="61"/>
        <v>0</v>
      </c>
      <c r="D477" s="264">
        <f t="shared" si="53"/>
        <v>0</v>
      </c>
      <c r="E477" s="270" t="s">
        <v>1257</v>
      </c>
      <c r="F477" s="384" t="s">
        <v>364</v>
      </c>
      <c r="G477" s="384">
        <v>31</v>
      </c>
      <c r="H477" s="385">
        <v>36068</v>
      </c>
      <c r="I477" s="265">
        <f t="shared" si="55"/>
        <v>1998</v>
      </c>
      <c r="J477" s="383">
        <v>360</v>
      </c>
      <c r="K477" s="641" t="str">
        <f>VLOOKUP(J477,'Cost Escalators'!$C$313:$D$330,2,FALSE)</f>
        <v>Water Distribution System</v>
      </c>
      <c r="L477" s="238" t="s">
        <v>1258</v>
      </c>
      <c r="M477" s="384" t="s">
        <v>1232</v>
      </c>
      <c r="N477" s="246">
        <v>152581.5</v>
      </c>
      <c r="O477" s="267">
        <v>50</v>
      </c>
      <c r="P477" s="250">
        <f t="shared" si="56"/>
        <v>2048</v>
      </c>
      <c r="Q477" s="268">
        <f>IF(J477=10,1,IFERROR(INDEX('Cost Escalators'!$D$28:$D$92,MATCH($P$4,'Cost Escalators'!$B$28:$B$92,0))/INDEX('Cost Escalators'!$D$28:$D$92,MATCH(I477,'Cost Escalators'!$B$28:$B$92,0)),1))</f>
        <v>1.6955067567567568</v>
      </c>
      <c r="R477" s="269">
        <f t="shared" si="57"/>
        <v>258702.96420608109</v>
      </c>
      <c r="S477" s="269">
        <f t="shared" si="58"/>
        <v>663081.65353171155</v>
      </c>
      <c r="T477" s="269">
        <f t="shared" si="59"/>
        <v>163539.26341385077</v>
      </c>
      <c r="U477" s="242">
        <f t="shared" si="60"/>
        <v>51877.71</v>
      </c>
    </row>
    <row r="478" spans="1:21" s="237" customFormat="1" x14ac:dyDescent="0.3">
      <c r="A478" s="237">
        <v>473</v>
      </c>
      <c r="B478" s="263">
        <v>1</v>
      </c>
      <c r="C478" s="263">
        <f t="shared" si="61"/>
        <v>0</v>
      </c>
      <c r="D478" s="264">
        <f t="shared" si="53"/>
        <v>0</v>
      </c>
      <c r="E478" s="270" t="s">
        <v>1259</v>
      </c>
      <c r="F478" s="384" t="s">
        <v>364</v>
      </c>
      <c r="G478" s="384">
        <v>31</v>
      </c>
      <c r="H478" s="385">
        <v>36433</v>
      </c>
      <c r="I478" s="265">
        <f t="shared" si="55"/>
        <v>1999</v>
      </c>
      <c r="J478" s="383">
        <v>360</v>
      </c>
      <c r="K478" s="641" t="str">
        <f>VLOOKUP(J478,'Cost Escalators'!$C$313:$D$330,2,FALSE)</f>
        <v>Water Distribution System</v>
      </c>
      <c r="L478" s="238" t="s">
        <v>1260</v>
      </c>
      <c r="M478" s="384" t="s">
        <v>1232</v>
      </c>
      <c r="N478" s="246">
        <v>614848.07999999996</v>
      </c>
      <c r="O478" s="267">
        <v>50</v>
      </c>
      <c r="P478" s="250">
        <f t="shared" si="56"/>
        <v>2049</v>
      </c>
      <c r="Q478" s="268">
        <f>IF(J478=10,1,IFERROR(INDEX('Cost Escalators'!$D$28:$D$92,MATCH($P$4,'Cost Escalators'!$B$28:$B$92,0))/INDEX('Cost Escalators'!$D$28:$D$92,MATCH(I478,'Cost Escalators'!$B$28:$B$92,0)),1))</f>
        <v>1.6566100016504373</v>
      </c>
      <c r="R478" s="269">
        <f t="shared" si="57"/>
        <v>1018563.4788235681</v>
      </c>
      <c r="S478" s="269">
        <f t="shared" si="58"/>
        <v>2686213.6012002551</v>
      </c>
      <c r="T478" s="269">
        <f t="shared" si="59"/>
        <v>659881.75243765162</v>
      </c>
      <c r="U478" s="242">
        <f t="shared" si="60"/>
        <v>196751.38559999998</v>
      </c>
    </row>
    <row r="479" spans="1:21" s="237" customFormat="1" x14ac:dyDescent="0.3">
      <c r="A479" s="237">
        <v>474</v>
      </c>
      <c r="B479" s="263">
        <v>1</v>
      </c>
      <c r="C479" s="263">
        <f t="shared" si="61"/>
        <v>0</v>
      </c>
      <c r="D479" s="264">
        <f t="shared" si="53"/>
        <v>0</v>
      </c>
      <c r="E479" s="270" t="s">
        <v>1261</v>
      </c>
      <c r="F479" s="384" t="s">
        <v>364</v>
      </c>
      <c r="G479" s="384">
        <v>31</v>
      </c>
      <c r="H479" s="385">
        <v>36508</v>
      </c>
      <c r="I479" s="265">
        <f t="shared" si="55"/>
        <v>1999</v>
      </c>
      <c r="J479" s="383">
        <v>360</v>
      </c>
      <c r="K479" s="641" t="str">
        <f>VLOOKUP(J479,'Cost Escalators'!$C$313:$D$330,2,FALSE)</f>
        <v>Water Distribution System</v>
      </c>
      <c r="L479" s="238" t="s">
        <v>1254</v>
      </c>
      <c r="M479" s="384" t="s">
        <v>1232</v>
      </c>
      <c r="N479" s="246">
        <v>48201.82</v>
      </c>
      <c r="O479" s="267">
        <v>50</v>
      </c>
      <c r="P479" s="250">
        <f t="shared" si="56"/>
        <v>2049</v>
      </c>
      <c r="Q479" s="268">
        <f>IF(J479=10,1,IFERROR(INDEX('Cost Escalators'!$D$28:$D$92,MATCH($P$4,'Cost Escalators'!$B$28:$B$92,0))/INDEX('Cost Escalators'!$D$28:$D$92,MATCH(I479,'Cost Escalators'!$B$28:$B$92,0)),1))</f>
        <v>1.6566100016504373</v>
      </c>
      <c r="R479" s="269">
        <f t="shared" si="57"/>
        <v>79851.617109754079</v>
      </c>
      <c r="S479" s="269">
        <f t="shared" si="58"/>
        <v>210589.23122376262</v>
      </c>
      <c r="T479" s="269">
        <f t="shared" si="59"/>
        <v>51732.293694865642</v>
      </c>
      <c r="U479" s="242">
        <f t="shared" si="60"/>
        <v>15424.582399999999</v>
      </c>
    </row>
    <row r="480" spans="1:21" s="237" customFormat="1" x14ac:dyDescent="0.3">
      <c r="A480" s="237">
        <v>475</v>
      </c>
      <c r="B480" s="263">
        <v>1</v>
      </c>
      <c r="C480" s="263">
        <f t="shared" si="61"/>
        <v>0</v>
      </c>
      <c r="D480" s="264">
        <f t="shared" si="53"/>
        <v>0</v>
      </c>
      <c r="E480" s="270" t="s">
        <v>1262</v>
      </c>
      <c r="F480" s="384" t="s">
        <v>364</v>
      </c>
      <c r="G480" s="384">
        <v>31</v>
      </c>
      <c r="H480" s="385">
        <v>36799</v>
      </c>
      <c r="I480" s="265">
        <f t="shared" si="55"/>
        <v>2000</v>
      </c>
      <c r="J480" s="383">
        <v>360</v>
      </c>
      <c r="K480" s="641" t="str">
        <f>VLOOKUP(J480,'Cost Escalators'!$C$313:$D$330,2,FALSE)</f>
        <v>Water Distribution System</v>
      </c>
      <c r="L480" s="238" t="s">
        <v>1263</v>
      </c>
      <c r="M480" s="384" t="s">
        <v>1232</v>
      </c>
      <c r="N480" s="246">
        <v>1686396.39</v>
      </c>
      <c r="O480" s="267">
        <v>50</v>
      </c>
      <c r="P480" s="250">
        <f t="shared" si="56"/>
        <v>2050</v>
      </c>
      <c r="Q480" s="268">
        <f>IF(J480=10,1,IFERROR(INDEX('Cost Escalators'!$D$28:$D$92,MATCH($P$4,'Cost Escalators'!$B$28:$B$92,0))/INDEX('Cost Escalators'!$D$28:$D$92,MATCH(I480,'Cost Escalators'!$B$28:$B$92,0)),1))</f>
        <v>1.6134705031345442</v>
      </c>
      <c r="R480" s="269">
        <f t="shared" si="57"/>
        <v>2720950.8318575788</v>
      </c>
      <c r="S480" s="269">
        <f t="shared" si="58"/>
        <v>7383460.8112388067</v>
      </c>
      <c r="T480" s="269">
        <f t="shared" si="59"/>
        <v>1810757.3323547698</v>
      </c>
      <c r="U480" s="242">
        <f t="shared" si="60"/>
        <v>505918.91699999996</v>
      </c>
    </row>
    <row r="481" spans="1:21" s="237" customFormat="1" x14ac:dyDescent="0.3">
      <c r="A481" s="237">
        <v>476</v>
      </c>
      <c r="B481" s="263">
        <v>1</v>
      </c>
      <c r="C481" s="263">
        <f t="shared" si="61"/>
        <v>0</v>
      </c>
      <c r="D481" s="264">
        <f t="shared" si="53"/>
        <v>0</v>
      </c>
      <c r="E481" s="270" t="s">
        <v>1264</v>
      </c>
      <c r="F481" s="384" t="s">
        <v>364</v>
      </c>
      <c r="G481" s="384">
        <v>31</v>
      </c>
      <c r="H481" s="385">
        <v>37164</v>
      </c>
      <c r="I481" s="265">
        <f t="shared" si="55"/>
        <v>2001</v>
      </c>
      <c r="J481" s="383">
        <v>360</v>
      </c>
      <c r="K481" s="641" t="str">
        <f>VLOOKUP(J481,'Cost Escalators'!$C$313:$D$330,2,FALSE)</f>
        <v>Water Distribution System</v>
      </c>
      <c r="L481" s="238" t="s">
        <v>1265</v>
      </c>
      <c r="M481" s="384" t="s">
        <v>1232</v>
      </c>
      <c r="N481" s="246">
        <v>1036503</v>
      </c>
      <c r="O481" s="267">
        <v>50</v>
      </c>
      <c r="P481" s="250">
        <f t="shared" si="56"/>
        <v>2051</v>
      </c>
      <c r="Q481" s="268">
        <f>IF(J481=10,1,IFERROR(INDEX('Cost Escalators'!$D$28:$D$92,MATCH($P$4,'Cost Escalators'!$B$28:$B$92,0))/INDEX('Cost Escalators'!$D$28:$D$92,MATCH(I481,'Cost Escalators'!$B$28:$B$92,0)),1))</f>
        <v>1.5824373324925114</v>
      </c>
      <c r="R481" s="269">
        <f t="shared" si="57"/>
        <v>1640201.0424404854</v>
      </c>
      <c r="S481" s="269">
        <f t="shared" si="58"/>
        <v>4579554.1671339227</v>
      </c>
      <c r="T481" s="269">
        <f t="shared" si="59"/>
        <v>1112548.0372671147</v>
      </c>
      <c r="U481" s="242">
        <f t="shared" si="60"/>
        <v>290220.84000000003</v>
      </c>
    </row>
    <row r="482" spans="1:21" s="237" customFormat="1" x14ac:dyDescent="0.3">
      <c r="A482" s="237">
        <v>477</v>
      </c>
      <c r="B482" s="263">
        <v>1</v>
      </c>
      <c r="C482" s="263">
        <f t="shared" si="61"/>
        <v>0</v>
      </c>
      <c r="D482" s="264">
        <f t="shared" si="53"/>
        <v>0</v>
      </c>
      <c r="E482" s="270" t="s">
        <v>1266</v>
      </c>
      <c r="F482" s="384" t="s">
        <v>364</v>
      </c>
      <c r="G482" s="384">
        <v>31</v>
      </c>
      <c r="H482" s="385">
        <v>37164</v>
      </c>
      <c r="I482" s="265">
        <f t="shared" si="55"/>
        <v>2001</v>
      </c>
      <c r="J482" s="383">
        <v>360</v>
      </c>
      <c r="K482" s="641" t="str">
        <f>VLOOKUP(J482,'Cost Escalators'!$C$313:$D$330,2,FALSE)</f>
        <v>Water Distribution System</v>
      </c>
      <c r="L482" s="238" t="s">
        <v>1254</v>
      </c>
      <c r="M482" s="384" t="s">
        <v>1232</v>
      </c>
      <c r="N482" s="246">
        <v>49350</v>
      </c>
      <c r="O482" s="267">
        <v>50</v>
      </c>
      <c r="P482" s="250">
        <f t="shared" si="56"/>
        <v>2051</v>
      </c>
      <c r="Q482" s="268">
        <f>IF(J482=10,1,IFERROR(INDEX('Cost Escalators'!$D$28:$D$92,MATCH($P$4,'Cost Escalators'!$B$28:$B$92,0))/INDEX('Cost Escalators'!$D$28:$D$92,MATCH(I482,'Cost Escalators'!$B$28:$B$92,0)),1))</f>
        <v>1.5824373324925114</v>
      </c>
      <c r="R482" s="269">
        <f t="shared" si="57"/>
        <v>78093.282358505443</v>
      </c>
      <c r="S482" s="269">
        <f t="shared" si="58"/>
        <v>218041.81767738168</v>
      </c>
      <c r="T482" s="269">
        <f t="shared" si="59"/>
        <v>52970.657720365612</v>
      </c>
      <c r="U482" s="242">
        <f t="shared" si="60"/>
        <v>13818</v>
      </c>
    </row>
    <row r="483" spans="1:21" s="237" customFormat="1" x14ac:dyDescent="0.3">
      <c r="A483" s="237">
        <v>478</v>
      </c>
      <c r="B483" s="263">
        <v>1</v>
      </c>
      <c r="C483" s="263">
        <f t="shared" si="61"/>
        <v>0</v>
      </c>
      <c r="D483" s="264">
        <f t="shared" ref="D483:D546" si="62">1-B483-C483</f>
        <v>0</v>
      </c>
      <c r="E483" s="270" t="s">
        <v>1267</v>
      </c>
      <c r="F483" s="384" t="s">
        <v>364</v>
      </c>
      <c r="G483" s="384">
        <v>31</v>
      </c>
      <c r="H483" s="385">
        <v>37529</v>
      </c>
      <c r="I483" s="265">
        <f t="shared" si="55"/>
        <v>2002</v>
      </c>
      <c r="J483" s="383">
        <v>360</v>
      </c>
      <c r="K483" s="641" t="str">
        <f>VLOOKUP(J483,'Cost Escalators'!$C$313:$D$330,2,FALSE)</f>
        <v>Water Distribution System</v>
      </c>
      <c r="L483" s="238" t="s">
        <v>1268</v>
      </c>
      <c r="M483" s="384" t="s">
        <v>1232</v>
      </c>
      <c r="N483" s="246">
        <v>761505.25</v>
      </c>
      <c r="O483" s="267">
        <v>50</v>
      </c>
      <c r="P483" s="250">
        <f t="shared" si="56"/>
        <v>2052</v>
      </c>
      <c r="Q483" s="268">
        <f>IF(J483=10,1,IFERROR(INDEX('Cost Escalators'!$D$28:$D$92,MATCH($P$4,'Cost Escalators'!$B$28:$B$92,0))/INDEX('Cost Escalators'!$D$28:$D$92,MATCH(I483,'Cost Escalators'!$B$28:$B$92,0)),1))</f>
        <v>1.5352401345977362</v>
      </c>
      <c r="R483" s="269">
        <f t="shared" si="57"/>
        <v>1169093.4225068828</v>
      </c>
      <c r="S483" s="269">
        <f t="shared" si="58"/>
        <v>3358630.0577704185</v>
      </c>
      <c r="T483" s="269">
        <f t="shared" si="59"/>
        <v>816457.33864574728</v>
      </c>
      <c r="U483" s="242">
        <f t="shared" si="60"/>
        <v>197991.36499999999</v>
      </c>
    </row>
    <row r="484" spans="1:21" s="237" customFormat="1" x14ac:dyDescent="0.3">
      <c r="A484" s="237">
        <v>479</v>
      </c>
      <c r="B484" s="263">
        <v>1</v>
      </c>
      <c r="C484" s="263">
        <f t="shared" si="61"/>
        <v>0</v>
      </c>
      <c r="D484" s="264">
        <f t="shared" si="62"/>
        <v>0</v>
      </c>
      <c r="E484" s="270" t="s">
        <v>1269</v>
      </c>
      <c r="F484" s="384" t="s">
        <v>364</v>
      </c>
      <c r="G484" s="384">
        <v>31</v>
      </c>
      <c r="H484" s="385">
        <v>37529</v>
      </c>
      <c r="I484" s="265">
        <f t="shared" si="55"/>
        <v>2002</v>
      </c>
      <c r="J484" s="383">
        <v>360</v>
      </c>
      <c r="K484" s="641" t="str">
        <f>VLOOKUP(J484,'Cost Escalators'!$C$313:$D$330,2,FALSE)</f>
        <v>Water Distribution System</v>
      </c>
      <c r="L484" s="238" t="s">
        <v>1270</v>
      </c>
      <c r="M484" s="384" t="s">
        <v>1232</v>
      </c>
      <c r="N484" s="246">
        <v>12882.15</v>
      </c>
      <c r="O484" s="267">
        <v>50</v>
      </c>
      <c r="P484" s="250">
        <f t="shared" si="56"/>
        <v>2052</v>
      </c>
      <c r="Q484" s="268">
        <f>IF(J484=10,1,IFERROR(INDEX('Cost Escalators'!$D$28:$D$92,MATCH($P$4,'Cost Escalators'!$B$28:$B$92,0))/INDEX('Cost Escalators'!$D$28:$D$92,MATCH(I484,'Cost Escalators'!$B$28:$B$92,0)),1))</f>
        <v>1.5352401345977362</v>
      </c>
      <c r="R484" s="269">
        <f t="shared" si="57"/>
        <v>19777.193699908228</v>
      </c>
      <c r="S484" s="269">
        <f t="shared" si="58"/>
        <v>56816.91124087089</v>
      </c>
      <c r="T484" s="269">
        <f t="shared" si="59"/>
        <v>13811.757574928492</v>
      </c>
      <c r="U484" s="242">
        <f t="shared" si="60"/>
        <v>3349.3589999999995</v>
      </c>
    </row>
    <row r="485" spans="1:21" s="237" customFormat="1" x14ac:dyDescent="0.3">
      <c r="A485" s="237">
        <v>480</v>
      </c>
      <c r="B485" s="263">
        <v>1</v>
      </c>
      <c r="C485" s="263">
        <f t="shared" si="61"/>
        <v>0</v>
      </c>
      <c r="D485" s="264">
        <f t="shared" si="62"/>
        <v>0</v>
      </c>
      <c r="E485" s="270" t="s">
        <v>1271</v>
      </c>
      <c r="F485" s="384" t="s">
        <v>364</v>
      </c>
      <c r="G485" s="384">
        <v>31</v>
      </c>
      <c r="H485" s="385">
        <v>37894</v>
      </c>
      <c r="I485" s="265">
        <f t="shared" si="55"/>
        <v>2003</v>
      </c>
      <c r="J485" s="383">
        <v>360</v>
      </c>
      <c r="K485" s="641" t="str">
        <f>VLOOKUP(J485,'Cost Escalators'!$C$313:$D$330,2,FALSE)</f>
        <v>Water Distribution System</v>
      </c>
      <c r="L485" s="238" t="s">
        <v>1272</v>
      </c>
      <c r="M485" s="384" t="s">
        <v>1232</v>
      </c>
      <c r="N485" s="246">
        <v>1353765</v>
      </c>
      <c r="O485" s="267">
        <v>50</v>
      </c>
      <c r="P485" s="250">
        <f t="shared" si="56"/>
        <v>2053</v>
      </c>
      <c r="Q485" s="268">
        <f>IF(J485=10,1,IFERROR(INDEX('Cost Escalators'!$D$28:$D$92,MATCH($P$4,'Cost Escalators'!$B$28:$B$92,0))/INDEX('Cost Escalators'!$D$28:$D$92,MATCH(I485,'Cost Escalators'!$B$28:$B$92,0)),1))</f>
        <v>1.4994622049596653</v>
      </c>
      <c r="R485" s="269">
        <f t="shared" si="57"/>
        <v>2029919.4518972214</v>
      </c>
      <c r="S485" s="269">
        <f t="shared" si="58"/>
        <v>6000377.7925866973</v>
      </c>
      <c r="T485" s="269">
        <f t="shared" si="59"/>
        <v>1448768.2270711621</v>
      </c>
      <c r="U485" s="242">
        <f t="shared" si="60"/>
        <v>324903.59999999998</v>
      </c>
    </row>
    <row r="486" spans="1:21" s="237" customFormat="1" x14ac:dyDescent="0.3">
      <c r="A486" s="237">
        <v>481</v>
      </c>
      <c r="B486" s="263">
        <v>1</v>
      </c>
      <c r="C486" s="263">
        <f t="shared" si="61"/>
        <v>0</v>
      </c>
      <c r="D486" s="264">
        <f t="shared" si="62"/>
        <v>0</v>
      </c>
      <c r="E486" s="270" t="s">
        <v>1273</v>
      </c>
      <c r="F486" s="384" t="s">
        <v>364</v>
      </c>
      <c r="G486" s="384">
        <v>31</v>
      </c>
      <c r="H486" s="385">
        <v>38177</v>
      </c>
      <c r="I486" s="265">
        <f t="shared" si="55"/>
        <v>2004</v>
      </c>
      <c r="J486" s="383">
        <v>360</v>
      </c>
      <c r="K486" s="641" t="str">
        <f>VLOOKUP(J486,'Cost Escalators'!$C$313:$D$330,2,FALSE)</f>
        <v>Water Distribution System</v>
      </c>
      <c r="L486" s="238" t="s">
        <v>1274</v>
      </c>
      <c r="M486" s="384" t="s">
        <v>1232</v>
      </c>
      <c r="N486" s="246">
        <v>26398.3</v>
      </c>
      <c r="O486" s="267">
        <v>50</v>
      </c>
      <c r="P486" s="250">
        <f t="shared" si="56"/>
        <v>2054</v>
      </c>
      <c r="Q486" s="268">
        <f>IF(J486=10,1,IFERROR(INDEX('Cost Escalators'!$D$28:$D$92,MATCH($P$4,'Cost Escalators'!$B$28:$B$92,0))/INDEX('Cost Escalators'!$D$28:$D$92,MATCH(I486,'Cost Escalators'!$B$28:$B$92,0)),1))</f>
        <v>1.4107378777231201</v>
      </c>
      <c r="R486" s="269">
        <f t="shared" si="57"/>
        <v>37241.081717498237</v>
      </c>
      <c r="S486" s="269">
        <f t="shared" si="58"/>
        <v>113268.43852618328</v>
      </c>
      <c r="T486" s="269">
        <f t="shared" si="59"/>
        <v>28179.01219718378</v>
      </c>
      <c r="U486" s="242">
        <f t="shared" si="60"/>
        <v>5807.6260000000002</v>
      </c>
    </row>
    <row r="487" spans="1:21" s="237" customFormat="1" x14ac:dyDescent="0.3">
      <c r="A487" s="237">
        <v>482</v>
      </c>
      <c r="B487" s="263">
        <v>1</v>
      </c>
      <c r="C487" s="263">
        <f t="shared" si="61"/>
        <v>0</v>
      </c>
      <c r="D487" s="264">
        <f t="shared" si="62"/>
        <v>0</v>
      </c>
      <c r="E487" s="270" t="s">
        <v>1275</v>
      </c>
      <c r="F487" s="384" t="s">
        <v>364</v>
      </c>
      <c r="G487" s="384">
        <v>31</v>
      </c>
      <c r="H487" s="385">
        <v>38260</v>
      </c>
      <c r="I487" s="265">
        <f t="shared" si="55"/>
        <v>2004</v>
      </c>
      <c r="J487" s="383">
        <v>360</v>
      </c>
      <c r="K487" s="641" t="str">
        <f>VLOOKUP(J487,'Cost Escalators'!$C$313:$D$330,2,FALSE)</f>
        <v>Water Distribution System</v>
      </c>
      <c r="L487" s="238" t="s">
        <v>1276</v>
      </c>
      <c r="M487" s="384" t="s">
        <v>1232</v>
      </c>
      <c r="N487" s="246">
        <v>933723</v>
      </c>
      <c r="O487" s="267">
        <v>50</v>
      </c>
      <c r="P487" s="250">
        <f t="shared" si="56"/>
        <v>2054</v>
      </c>
      <c r="Q487" s="268">
        <f>IF(J487=10,1,IFERROR(INDEX('Cost Escalators'!$D$28:$D$92,MATCH($P$4,'Cost Escalators'!$B$28:$B$92,0))/INDEX('Cost Escalators'!$D$28:$D$92,MATCH(I487,'Cost Escalators'!$B$28:$B$92,0)),1))</f>
        <v>1.4107378777231201</v>
      </c>
      <c r="R487" s="269">
        <f t="shared" si="57"/>
        <v>1317238.4034012649</v>
      </c>
      <c r="S487" s="269">
        <f t="shared" si="58"/>
        <v>4006369.5853893412</v>
      </c>
      <c r="T487" s="269">
        <f t="shared" si="59"/>
        <v>996707.81094960775</v>
      </c>
      <c r="U487" s="242">
        <f t="shared" si="60"/>
        <v>205419.06</v>
      </c>
    </row>
    <row r="488" spans="1:21" s="237" customFormat="1" x14ac:dyDescent="0.3">
      <c r="A488" s="237">
        <v>483</v>
      </c>
      <c r="B488" s="263">
        <v>1</v>
      </c>
      <c r="C488" s="263">
        <f t="shared" si="61"/>
        <v>0</v>
      </c>
      <c r="D488" s="264">
        <f t="shared" si="62"/>
        <v>0</v>
      </c>
      <c r="E488" s="270" t="s">
        <v>1277</v>
      </c>
      <c r="F488" s="384" t="s">
        <v>364</v>
      </c>
      <c r="G488" s="384">
        <v>31</v>
      </c>
      <c r="H488" s="385">
        <v>38506</v>
      </c>
      <c r="I488" s="265">
        <f t="shared" si="55"/>
        <v>2005</v>
      </c>
      <c r="J488" s="383">
        <v>360</v>
      </c>
      <c r="K488" s="641" t="str">
        <f>VLOOKUP(J488,'Cost Escalators'!$C$313:$D$330,2,FALSE)</f>
        <v>Water Distribution System</v>
      </c>
      <c r="L488" s="238" t="s">
        <v>1278</v>
      </c>
      <c r="M488" s="384" t="s">
        <v>1232</v>
      </c>
      <c r="N488" s="246">
        <v>19780</v>
      </c>
      <c r="O488" s="267">
        <v>50</v>
      </c>
      <c r="P488" s="250">
        <f t="shared" si="56"/>
        <v>2055</v>
      </c>
      <c r="Q488" s="268">
        <f>IF(J488=10,1,IFERROR(INDEX('Cost Escalators'!$D$28:$D$92,MATCH($P$4,'Cost Escalators'!$B$28:$B$92,0))/INDEX('Cost Escalators'!$D$28:$D$92,MATCH(I488,'Cost Escalators'!$B$28:$B$92,0)),1))</f>
        <v>1.3480106991371303</v>
      </c>
      <c r="R488" s="269">
        <f t="shared" si="57"/>
        <v>26663.651628932439</v>
      </c>
      <c r="S488" s="269">
        <f t="shared" si="58"/>
        <v>83443.610925206303</v>
      </c>
      <c r="T488" s="269">
        <f t="shared" si="59"/>
        <v>21046.730498365705</v>
      </c>
      <c r="U488" s="242">
        <f t="shared" si="60"/>
        <v>3956</v>
      </c>
    </row>
    <row r="489" spans="1:21" s="237" customFormat="1" x14ac:dyDescent="0.3">
      <c r="A489" s="237">
        <v>484</v>
      </c>
      <c r="B489" s="263">
        <v>1</v>
      </c>
      <c r="C489" s="263">
        <f t="shared" si="61"/>
        <v>0</v>
      </c>
      <c r="D489" s="264">
        <f t="shared" si="62"/>
        <v>0</v>
      </c>
      <c r="E489" s="270" t="s">
        <v>1279</v>
      </c>
      <c r="F489" s="384" t="s">
        <v>364</v>
      </c>
      <c r="G489" s="384">
        <v>31</v>
      </c>
      <c r="H489" s="385">
        <v>38513</v>
      </c>
      <c r="I489" s="265">
        <f t="shared" si="55"/>
        <v>2005</v>
      </c>
      <c r="J489" s="383">
        <v>360</v>
      </c>
      <c r="K489" s="641" t="str">
        <f>VLOOKUP(J489,'Cost Escalators'!$C$313:$D$330,2,FALSE)</f>
        <v>Water Distribution System</v>
      </c>
      <c r="L489" s="238" t="s">
        <v>1280</v>
      </c>
      <c r="M489" s="384" t="s">
        <v>1232</v>
      </c>
      <c r="N489" s="246">
        <v>176354.66</v>
      </c>
      <c r="O489" s="267">
        <v>50</v>
      </c>
      <c r="P489" s="250">
        <f t="shared" si="56"/>
        <v>2055</v>
      </c>
      <c r="Q489" s="268">
        <f>IF(J489=10,1,IFERROR(INDEX('Cost Escalators'!$D$28:$D$92,MATCH($P$4,'Cost Escalators'!$B$28:$B$92,0))/INDEX('Cost Escalators'!$D$28:$D$92,MATCH(I489,'Cost Escalators'!$B$28:$B$92,0)),1))</f>
        <v>1.3480106991371303</v>
      </c>
      <c r="R489" s="269">
        <f t="shared" si="57"/>
        <v>237727.96852269091</v>
      </c>
      <c r="S489" s="269">
        <f t="shared" si="58"/>
        <v>743967.12001451175</v>
      </c>
      <c r="T489" s="269">
        <f t="shared" si="59"/>
        <v>187648.58448690164</v>
      </c>
      <c r="U489" s="242">
        <f t="shared" si="60"/>
        <v>35270.932000000001</v>
      </c>
    </row>
    <row r="490" spans="1:21" s="237" customFormat="1" x14ac:dyDescent="0.3">
      <c r="A490" s="237">
        <v>485</v>
      </c>
      <c r="B490" s="263">
        <v>1</v>
      </c>
      <c r="C490" s="263">
        <f t="shared" si="61"/>
        <v>0</v>
      </c>
      <c r="D490" s="264">
        <f t="shared" si="62"/>
        <v>0</v>
      </c>
      <c r="E490" s="270" t="s">
        <v>1281</v>
      </c>
      <c r="F490" s="384" t="s">
        <v>364</v>
      </c>
      <c r="G490" s="384">
        <v>31</v>
      </c>
      <c r="H490" s="385">
        <v>38625</v>
      </c>
      <c r="I490" s="265">
        <f t="shared" si="55"/>
        <v>2005</v>
      </c>
      <c r="J490" s="383">
        <v>360</v>
      </c>
      <c r="K490" s="641" t="str">
        <f>VLOOKUP(J490,'Cost Escalators'!$C$313:$D$330,2,FALSE)</f>
        <v>Water Distribution System</v>
      </c>
      <c r="L490" s="238" t="s">
        <v>1282</v>
      </c>
      <c r="M490" s="384" t="s">
        <v>1232</v>
      </c>
      <c r="N490" s="246">
        <v>624069.51</v>
      </c>
      <c r="O490" s="267">
        <v>50</v>
      </c>
      <c r="P490" s="250">
        <f t="shared" si="56"/>
        <v>2055</v>
      </c>
      <c r="Q490" s="268">
        <f>IF(J490=10,1,IFERROR(INDEX('Cost Escalators'!$D$28:$D$92,MATCH($P$4,'Cost Escalators'!$B$28:$B$92,0))/INDEX('Cost Escalators'!$D$28:$D$92,MATCH(I490,'Cost Escalators'!$B$28:$B$92,0)),1))</f>
        <v>1.3480106991371303</v>
      </c>
      <c r="R490" s="269">
        <f t="shared" si="57"/>
        <v>841252.37648526637</v>
      </c>
      <c r="S490" s="269">
        <f t="shared" si="58"/>
        <v>2632690.26201841</v>
      </c>
      <c r="T490" s="269">
        <f t="shared" si="59"/>
        <v>664035.53029409202</v>
      </c>
      <c r="U490" s="242">
        <f t="shared" si="60"/>
        <v>124813.902</v>
      </c>
    </row>
    <row r="491" spans="1:21" s="237" customFormat="1" x14ac:dyDescent="0.3">
      <c r="A491" s="237">
        <v>486</v>
      </c>
      <c r="B491" s="263">
        <v>1</v>
      </c>
      <c r="C491" s="263">
        <f t="shared" si="61"/>
        <v>0</v>
      </c>
      <c r="D491" s="264">
        <f t="shared" si="62"/>
        <v>0</v>
      </c>
      <c r="E491" s="270" t="s">
        <v>1283</v>
      </c>
      <c r="F491" s="384" t="s">
        <v>364</v>
      </c>
      <c r="G491" s="384">
        <v>31</v>
      </c>
      <c r="H491" s="385">
        <v>38625</v>
      </c>
      <c r="I491" s="265">
        <f t="shared" si="55"/>
        <v>2005</v>
      </c>
      <c r="J491" s="383">
        <v>360</v>
      </c>
      <c r="K491" s="641" t="str">
        <f>VLOOKUP(J491,'Cost Escalators'!$C$313:$D$330,2,FALSE)</f>
        <v>Water Distribution System</v>
      </c>
      <c r="L491" s="238" t="s">
        <v>1284</v>
      </c>
      <c r="M491" s="384" t="s">
        <v>1232</v>
      </c>
      <c r="N491" s="246">
        <v>918640</v>
      </c>
      <c r="O491" s="267">
        <v>50</v>
      </c>
      <c r="P491" s="250">
        <f t="shared" si="56"/>
        <v>2055</v>
      </c>
      <c r="Q491" s="268">
        <f>IF(J491=10,1,IFERROR(INDEX('Cost Escalators'!$D$28:$D$92,MATCH($P$4,'Cost Escalators'!$B$28:$B$92,0))/INDEX('Cost Escalators'!$D$28:$D$92,MATCH(I491,'Cost Escalators'!$B$28:$B$92,0)),1))</f>
        <v>1.3480106991371303</v>
      </c>
      <c r="R491" s="269">
        <f t="shared" si="57"/>
        <v>1238336.5486553335</v>
      </c>
      <c r="S491" s="269">
        <f t="shared" si="58"/>
        <v>3875360.9069935046</v>
      </c>
      <c r="T491" s="269">
        <f t="shared" si="59"/>
        <v>977470.60187152028</v>
      </c>
      <c r="U491" s="242">
        <f t="shared" si="60"/>
        <v>183728</v>
      </c>
    </row>
    <row r="492" spans="1:21" s="237" customFormat="1" x14ac:dyDescent="0.3">
      <c r="A492" s="237">
        <v>487</v>
      </c>
      <c r="B492" s="263">
        <v>1</v>
      </c>
      <c r="C492" s="263">
        <f t="shared" si="61"/>
        <v>0</v>
      </c>
      <c r="D492" s="264">
        <f t="shared" si="62"/>
        <v>0</v>
      </c>
      <c r="E492" s="270" t="s">
        <v>1277</v>
      </c>
      <c r="F492" s="384" t="s">
        <v>364</v>
      </c>
      <c r="G492" s="384">
        <v>31</v>
      </c>
      <c r="H492" s="385">
        <v>38990</v>
      </c>
      <c r="I492" s="265">
        <f t="shared" si="55"/>
        <v>2006</v>
      </c>
      <c r="J492" s="383">
        <v>360</v>
      </c>
      <c r="K492" s="641" t="str">
        <f>VLOOKUP(J492,'Cost Escalators'!$C$313:$D$330,2,FALSE)</f>
        <v>Water Distribution System</v>
      </c>
      <c r="L492" s="238" t="s">
        <v>1285</v>
      </c>
      <c r="M492" s="384" t="s">
        <v>1232</v>
      </c>
      <c r="N492" s="246">
        <v>165417</v>
      </c>
      <c r="O492" s="267">
        <v>50</v>
      </c>
      <c r="P492" s="250">
        <f t="shared" si="56"/>
        <v>2056</v>
      </c>
      <c r="Q492" s="268">
        <f>IF(J492=10,1,IFERROR(INDEX('Cost Escalators'!$D$28:$D$92,MATCH($P$4,'Cost Escalators'!$B$28:$B$92,0))/INDEX('Cost Escalators'!$D$28:$D$92,MATCH(I492,'Cost Escalators'!$B$28:$B$92,0)),1))</f>
        <v>1.2949395258829222</v>
      </c>
      <c r="R492" s="269">
        <f t="shared" si="57"/>
        <v>214205.01155297534</v>
      </c>
      <c r="S492" s="269">
        <f t="shared" si="58"/>
        <v>689747.16945099307</v>
      </c>
      <c r="T492" s="269">
        <f t="shared" si="59"/>
        <v>175337.78735605982</v>
      </c>
      <c r="U492" s="242">
        <f t="shared" si="60"/>
        <v>29775.06</v>
      </c>
    </row>
    <row r="493" spans="1:21" s="237" customFormat="1" x14ac:dyDescent="0.3">
      <c r="A493" s="237">
        <v>488</v>
      </c>
      <c r="B493" s="263">
        <v>1</v>
      </c>
      <c r="C493" s="263">
        <f t="shared" si="61"/>
        <v>0</v>
      </c>
      <c r="D493" s="264">
        <f t="shared" si="62"/>
        <v>0</v>
      </c>
      <c r="E493" s="270" t="s">
        <v>1286</v>
      </c>
      <c r="F493" s="384" t="s">
        <v>364</v>
      </c>
      <c r="G493" s="384">
        <v>31</v>
      </c>
      <c r="H493" s="385">
        <v>38990</v>
      </c>
      <c r="I493" s="265">
        <f t="shared" si="55"/>
        <v>2006</v>
      </c>
      <c r="J493" s="383">
        <v>360</v>
      </c>
      <c r="K493" s="641" t="str">
        <f>VLOOKUP(J493,'Cost Escalators'!$C$313:$D$330,2,FALSE)</f>
        <v>Water Distribution System</v>
      </c>
      <c r="L493" s="238" t="s">
        <v>1287</v>
      </c>
      <c r="M493" s="384" t="s">
        <v>1232</v>
      </c>
      <c r="N493" s="246">
        <v>5458496</v>
      </c>
      <c r="O493" s="267">
        <v>50</v>
      </c>
      <c r="P493" s="250">
        <f t="shared" si="56"/>
        <v>2056</v>
      </c>
      <c r="Q493" s="268">
        <f>IF(J493=10,1,IFERROR(INDEX('Cost Escalators'!$D$28:$D$92,MATCH($P$4,'Cost Escalators'!$B$28:$B$92,0))/INDEX('Cost Escalators'!$D$28:$D$92,MATCH(I493,'Cost Escalators'!$B$28:$B$92,0)),1))</f>
        <v>1.2949395258829222</v>
      </c>
      <c r="R493" s="269">
        <f t="shared" si="57"/>
        <v>7068422.2222738275</v>
      </c>
      <c r="S493" s="269">
        <f t="shared" si="58"/>
        <v>22760551.608719587</v>
      </c>
      <c r="T493" s="269">
        <f t="shared" si="59"/>
        <v>5785866.0895307194</v>
      </c>
      <c r="U493" s="242">
        <f t="shared" si="60"/>
        <v>982529.28</v>
      </c>
    </row>
    <row r="494" spans="1:21" s="237" customFormat="1" x14ac:dyDescent="0.3">
      <c r="A494" s="237">
        <v>489</v>
      </c>
      <c r="B494" s="263">
        <v>1</v>
      </c>
      <c r="C494" s="263">
        <f t="shared" si="61"/>
        <v>0</v>
      </c>
      <c r="D494" s="264">
        <f t="shared" si="62"/>
        <v>0</v>
      </c>
      <c r="E494" s="270" t="s">
        <v>1288</v>
      </c>
      <c r="F494" s="384" t="s">
        <v>364</v>
      </c>
      <c r="G494" s="384">
        <v>31</v>
      </c>
      <c r="H494" s="385">
        <v>38990</v>
      </c>
      <c r="I494" s="265">
        <f t="shared" si="55"/>
        <v>2006</v>
      </c>
      <c r="J494" s="383">
        <v>360</v>
      </c>
      <c r="K494" s="641" t="str">
        <f>VLOOKUP(J494,'Cost Escalators'!$C$313:$D$330,2,FALSE)</f>
        <v>Water Distribution System</v>
      </c>
      <c r="L494" s="238" t="s">
        <v>1289</v>
      </c>
      <c r="M494" s="384" t="s">
        <v>1232</v>
      </c>
      <c r="N494" s="246">
        <v>2429902.62</v>
      </c>
      <c r="O494" s="267">
        <v>50</v>
      </c>
      <c r="P494" s="250">
        <f t="shared" si="56"/>
        <v>2056</v>
      </c>
      <c r="Q494" s="268">
        <f>IF(J494=10,1,IFERROR(INDEX('Cost Escalators'!$D$28:$D$92,MATCH($P$4,'Cost Escalators'!$B$28:$B$92,0))/INDEX('Cost Escalators'!$D$28:$D$92,MATCH(I494,'Cost Escalators'!$B$28:$B$92,0)),1))</f>
        <v>1.2949395258829222</v>
      </c>
      <c r="R494" s="269">
        <f t="shared" si="57"/>
        <v>3146576.9466844704</v>
      </c>
      <c r="S494" s="269">
        <f t="shared" si="58"/>
        <v>10132081.068974482</v>
      </c>
      <c r="T494" s="269">
        <f t="shared" si="59"/>
        <v>2575634.6015312369</v>
      </c>
      <c r="U494" s="242">
        <f t="shared" si="60"/>
        <v>437382.47159999999</v>
      </c>
    </row>
    <row r="495" spans="1:21" s="237" customFormat="1" x14ac:dyDescent="0.3">
      <c r="A495" s="237">
        <v>490</v>
      </c>
      <c r="B495" s="263">
        <v>1</v>
      </c>
      <c r="C495" s="263">
        <f t="shared" si="61"/>
        <v>0</v>
      </c>
      <c r="D495" s="264">
        <f t="shared" si="62"/>
        <v>0</v>
      </c>
      <c r="E495" s="270" t="s">
        <v>1277</v>
      </c>
      <c r="F495" s="384" t="s">
        <v>364</v>
      </c>
      <c r="G495" s="384">
        <v>31</v>
      </c>
      <c r="H495" s="385">
        <v>39355</v>
      </c>
      <c r="I495" s="265">
        <f t="shared" si="55"/>
        <v>2007</v>
      </c>
      <c r="J495" s="383">
        <v>360</v>
      </c>
      <c r="K495" s="641" t="str">
        <f>VLOOKUP(J495,'Cost Escalators'!$C$313:$D$330,2,FALSE)</f>
        <v>Water Distribution System</v>
      </c>
      <c r="L495" s="238" t="s">
        <v>1290</v>
      </c>
      <c r="M495" s="384" t="s">
        <v>1232</v>
      </c>
      <c r="N495" s="246">
        <v>1706583.85</v>
      </c>
      <c r="O495" s="267">
        <v>50</v>
      </c>
      <c r="P495" s="250">
        <f t="shared" si="56"/>
        <v>2057</v>
      </c>
      <c r="Q495" s="268">
        <f>IF(J495=10,1,IFERROR(INDEX('Cost Escalators'!$D$28:$D$92,MATCH($P$4,'Cost Escalators'!$B$28:$B$92,0))/INDEX('Cost Escalators'!$D$28:$D$92,MATCH(I495,'Cost Escalators'!$B$28:$B$92,0)),1))</f>
        <v>1.2598719718840214</v>
      </c>
      <c r="R495" s="269">
        <f t="shared" si="57"/>
        <v>2150077.1602849253</v>
      </c>
      <c r="S495" s="269">
        <f t="shared" si="58"/>
        <v>7123627.1739931414</v>
      </c>
      <c r="T495" s="269">
        <f t="shared" si="59"/>
        <v>1800949.8112059825</v>
      </c>
      <c r="U495" s="242">
        <f t="shared" si="60"/>
        <v>273053.41600000003</v>
      </c>
    </row>
    <row r="496" spans="1:21" s="237" customFormat="1" x14ac:dyDescent="0.3">
      <c r="A496" s="237">
        <v>491</v>
      </c>
      <c r="B496" s="263">
        <v>1</v>
      </c>
      <c r="C496" s="263">
        <f t="shared" si="61"/>
        <v>0</v>
      </c>
      <c r="D496" s="264">
        <f t="shared" si="62"/>
        <v>0</v>
      </c>
      <c r="E496" s="270" t="s">
        <v>1291</v>
      </c>
      <c r="F496" s="384" t="s">
        <v>364</v>
      </c>
      <c r="G496" s="384">
        <v>31</v>
      </c>
      <c r="H496" s="385">
        <v>39355</v>
      </c>
      <c r="I496" s="265">
        <f t="shared" si="55"/>
        <v>2007</v>
      </c>
      <c r="J496" s="383">
        <v>360</v>
      </c>
      <c r="K496" s="641" t="str">
        <f>VLOOKUP(J496,'Cost Escalators'!$C$313:$D$330,2,FALSE)</f>
        <v>Water Distribution System</v>
      </c>
      <c r="L496" s="238" t="s">
        <v>1292</v>
      </c>
      <c r="M496" s="384" t="s">
        <v>1232</v>
      </c>
      <c r="N496" s="246">
        <v>69937</v>
      </c>
      <c r="O496" s="267">
        <v>50</v>
      </c>
      <c r="P496" s="250">
        <f t="shared" si="56"/>
        <v>2057</v>
      </c>
      <c r="Q496" s="268">
        <f>IF(J496=10,1,IFERROR(INDEX('Cost Escalators'!$D$28:$D$92,MATCH($P$4,'Cost Escalators'!$B$28:$B$92,0))/INDEX('Cost Escalators'!$D$28:$D$92,MATCH(I496,'Cost Escalators'!$B$28:$B$92,0)),1))</f>
        <v>1.2598719718840214</v>
      </c>
      <c r="R496" s="269">
        <f t="shared" si="57"/>
        <v>88111.666097652807</v>
      </c>
      <c r="S496" s="269">
        <f t="shared" si="58"/>
        <v>291931.22486630722</v>
      </c>
      <c r="T496" s="269">
        <f t="shared" si="59"/>
        <v>73804.183103169984</v>
      </c>
      <c r="U496" s="242">
        <f t="shared" si="60"/>
        <v>11189.92</v>
      </c>
    </row>
    <row r="497" spans="1:21" s="237" customFormat="1" x14ac:dyDescent="0.3">
      <c r="A497" s="237">
        <v>492</v>
      </c>
      <c r="B497" s="263">
        <v>1</v>
      </c>
      <c r="C497" s="263">
        <f t="shared" si="61"/>
        <v>0</v>
      </c>
      <c r="D497" s="264">
        <f t="shared" si="62"/>
        <v>0</v>
      </c>
      <c r="E497" s="270" t="s">
        <v>1293</v>
      </c>
      <c r="F497" s="384" t="s">
        <v>364</v>
      </c>
      <c r="G497" s="384">
        <v>31</v>
      </c>
      <c r="H497" s="385">
        <v>39355</v>
      </c>
      <c r="I497" s="265">
        <f t="shared" si="55"/>
        <v>2007</v>
      </c>
      <c r="J497" s="383">
        <v>360</v>
      </c>
      <c r="K497" s="641" t="str">
        <f>VLOOKUP(J497,'Cost Escalators'!$C$313:$D$330,2,FALSE)</f>
        <v>Water Distribution System</v>
      </c>
      <c r="L497" s="238" t="s">
        <v>1294</v>
      </c>
      <c r="M497" s="384" t="s">
        <v>1232</v>
      </c>
      <c r="N497" s="246">
        <v>991836</v>
      </c>
      <c r="O497" s="267">
        <v>50</v>
      </c>
      <c r="P497" s="250">
        <f t="shared" si="56"/>
        <v>2057</v>
      </c>
      <c r="Q497" s="268">
        <f>IF(J497=10,1,IFERROR(INDEX('Cost Escalators'!$D$28:$D$92,MATCH($P$4,'Cost Escalators'!$B$28:$B$92,0))/INDEX('Cost Escalators'!$D$28:$D$92,MATCH(I497,'Cost Escalators'!$B$28:$B$92,0)),1))</f>
        <v>1.2598719718840214</v>
      </c>
      <c r="R497" s="269">
        <f t="shared" si="57"/>
        <v>1249586.3771055604</v>
      </c>
      <c r="S497" s="269">
        <f t="shared" si="58"/>
        <v>4140124.6600011252</v>
      </c>
      <c r="T497" s="269">
        <f t="shared" si="59"/>
        <v>1046679.8082891132</v>
      </c>
      <c r="U497" s="242">
        <f t="shared" si="60"/>
        <v>158693.76000000001</v>
      </c>
    </row>
    <row r="498" spans="1:21" s="237" customFormat="1" x14ac:dyDescent="0.3">
      <c r="A498" s="237">
        <v>493</v>
      </c>
      <c r="B498" s="263">
        <v>1</v>
      </c>
      <c r="C498" s="263">
        <f t="shared" si="61"/>
        <v>0</v>
      </c>
      <c r="D498" s="264">
        <f t="shared" si="62"/>
        <v>0</v>
      </c>
      <c r="E498" s="270" t="s">
        <v>1295</v>
      </c>
      <c r="F498" s="384" t="s">
        <v>364</v>
      </c>
      <c r="G498" s="384">
        <v>31</v>
      </c>
      <c r="H498" s="385">
        <v>39355</v>
      </c>
      <c r="I498" s="265">
        <f t="shared" si="55"/>
        <v>2007</v>
      </c>
      <c r="J498" s="383">
        <v>360</v>
      </c>
      <c r="K498" s="641" t="str">
        <f>VLOOKUP(J498,'Cost Escalators'!$C$313:$D$330,2,FALSE)</f>
        <v>Water Distribution System</v>
      </c>
      <c r="L498" s="238" t="s">
        <v>1296</v>
      </c>
      <c r="M498" s="384" t="s">
        <v>1232</v>
      </c>
      <c r="N498" s="246">
        <v>143560</v>
      </c>
      <c r="O498" s="267">
        <v>50</v>
      </c>
      <c r="P498" s="250">
        <f t="shared" si="56"/>
        <v>2057</v>
      </c>
      <c r="Q498" s="268">
        <f>IF(J498=10,1,IFERROR(INDEX('Cost Escalators'!$D$28:$D$92,MATCH($P$4,'Cost Escalators'!$B$28:$B$92,0))/INDEX('Cost Escalators'!$D$28:$D$92,MATCH(I498,'Cost Escalators'!$B$28:$B$92,0)),1))</f>
        <v>1.2598719718840214</v>
      </c>
      <c r="R498" s="269">
        <f t="shared" si="57"/>
        <v>180867.22028367012</v>
      </c>
      <c r="S498" s="269">
        <f t="shared" si="58"/>
        <v>599248.56144540175</v>
      </c>
      <c r="T498" s="269">
        <f t="shared" si="59"/>
        <v>151498.1844558829</v>
      </c>
      <c r="U498" s="242">
        <f t="shared" si="60"/>
        <v>22969.599999999999</v>
      </c>
    </row>
    <row r="499" spans="1:21" s="237" customFormat="1" x14ac:dyDescent="0.3">
      <c r="A499" s="237">
        <v>494</v>
      </c>
      <c r="B499" s="263">
        <v>1</v>
      </c>
      <c r="C499" s="263">
        <f t="shared" si="61"/>
        <v>0</v>
      </c>
      <c r="D499" s="264">
        <f t="shared" si="62"/>
        <v>0</v>
      </c>
      <c r="E499" s="270" t="s">
        <v>1277</v>
      </c>
      <c r="F499" s="384" t="s">
        <v>364</v>
      </c>
      <c r="G499" s="384">
        <v>31</v>
      </c>
      <c r="H499" s="385">
        <v>39721</v>
      </c>
      <c r="I499" s="265">
        <f t="shared" si="55"/>
        <v>2008</v>
      </c>
      <c r="J499" s="383">
        <v>360</v>
      </c>
      <c r="K499" s="641" t="str">
        <f>VLOOKUP(J499,'Cost Escalators'!$C$313:$D$330,2,FALSE)</f>
        <v>Water Distribution System</v>
      </c>
      <c r="L499" s="238" t="s">
        <v>1297</v>
      </c>
      <c r="M499" s="384" t="s">
        <v>1232</v>
      </c>
      <c r="N499" s="246">
        <v>186550.5</v>
      </c>
      <c r="O499" s="267">
        <v>50</v>
      </c>
      <c r="P499" s="250">
        <f t="shared" si="56"/>
        <v>2058</v>
      </c>
      <c r="Q499" s="268">
        <f>IF(J499=10,1,IFERROR(INDEX('Cost Escalators'!$D$28:$D$92,MATCH($P$4,'Cost Escalators'!$B$28:$B$92,0))/INDEX('Cost Escalators'!$D$28:$D$92,MATCH(I499,'Cost Escalators'!$B$28:$B$92,0)),1))</f>
        <v>1.2078821488382354</v>
      </c>
      <c r="R499" s="269">
        <f t="shared" si="57"/>
        <v>225331.01880684725</v>
      </c>
      <c r="S499" s="269">
        <f t="shared" si="58"/>
        <v>768165.77387479285</v>
      </c>
      <c r="T499" s="269">
        <f t="shared" si="59"/>
        <v>195885.69628315777</v>
      </c>
      <c r="U499" s="242">
        <f t="shared" si="60"/>
        <v>26117.07</v>
      </c>
    </row>
    <row r="500" spans="1:21" s="237" customFormat="1" x14ac:dyDescent="0.3">
      <c r="A500" s="237">
        <v>495</v>
      </c>
      <c r="B500" s="263">
        <v>1</v>
      </c>
      <c r="C500" s="263">
        <f t="shared" si="61"/>
        <v>0</v>
      </c>
      <c r="D500" s="264">
        <f t="shared" si="62"/>
        <v>0</v>
      </c>
      <c r="E500" s="270" t="s">
        <v>1298</v>
      </c>
      <c r="F500" s="384" t="s">
        <v>364</v>
      </c>
      <c r="G500" s="384">
        <v>31</v>
      </c>
      <c r="H500" s="385">
        <v>39721</v>
      </c>
      <c r="I500" s="265">
        <f t="shared" si="55"/>
        <v>2008</v>
      </c>
      <c r="J500" s="383">
        <v>360</v>
      </c>
      <c r="K500" s="641" t="str">
        <f>VLOOKUP(J500,'Cost Escalators'!$C$313:$D$330,2,FALSE)</f>
        <v>Water Distribution System</v>
      </c>
      <c r="L500" s="238" t="s">
        <v>1299</v>
      </c>
      <c r="M500" s="384" t="s">
        <v>1232</v>
      </c>
      <c r="N500" s="246">
        <v>280774</v>
      </c>
      <c r="O500" s="267">
        <v>50</v>
      </c>
      <c r="P500" s="250">
        <f t="shared" si="56"/>
        <v>2058</v>
      </c>
      <c r="Q500" s="268">
        <f>IF(J500=10,1,IFERROR(INDEX('Cost Escalators'!$D$28:$D$92,MATCH($P$4,'Cost Escalators'!$B$28:$B$92,0))/INDEX('Cost Escalators'!$D$28:$D$92,MATCH(I500,'Cost Escalators'!$B$28:$B$92,0)),1))</f>
        <v>1.2078821488382354</v>
      </c>
      <c r="R500" s="269">
        <f t="shared" si="57"/>
        <v>339141.90245790669</v>
      </c>
      <c r="S500" s="269">
        <f t="shared" si="58"/>
        <v>1156153.3043005571</v>
      </c>
      <c r="T500" s="269">
        <f t="shared" si="59"/>
        <v>294824.24591843679</v>
      </c>
      <c r="U500" s="242">
        <f t="shared" si="60"/>
        <v>39308.36</v>
      </c>
    </row>
    <row r="501" spans="1:21" s="237" customFormat="1" x14ac:dyDescent="0.3">
      <c r="A501" s="237">
        <v>496</v>
      </c>
      <c r="B501" s="263">
        <v>1</v>
      </c>
      <c r="C501" s="263">
        <f t="shared" si="61"/>
        <v>0</v>
      </c>
      <c r="D501" s="264">
        <f t="shared" si="62"/>
        <v>0</v>
      </c>
      <c r="E501" s="270" t="s">
        <v>1300</v>
      </c>
      <c r="F501" s="384" t="s">
        <v>364</v>
      </c>
      <c r="G501" s="384">
        <v>31</v>
      </c>
      <c r="H501" s="385">
        <v>39721</v>
      </c>
      <c r="I501" s="265">
        <f t="shared" si="55"/>
        <v>2008</v>
      </c>
      <c r="J501" s="383">
        <v>360</v>
      </c>
      <c r="K501" s="641" t="str">
        <f>VLOOKUP(J501,'Cost Escalators'!$C$313:$D$330,2,FALSE)</f>
        <v>Water Distribution System</v>
      </c>
      <c r="L501" s="238" t="s">
        <v>1301</v>
      </c>
      <c r="M501" s="384" t="s">
        <v>1232</v>
      </c>
      <c r="N501" s="246">
        <v>958455</v>
      </c>
      <c r="O501" s="267">
        <v>50</v>
      </c>
      <c r="P501" s="250">
        <f t="shared" si="56"/>
        <v>2058</v>
      </c>
      <c r="Q501" s="268">
        <f>IF(J501=10,1,IFERROR(INDEX('Cost Escalators'!$D$28:$D$92,MATCH($P$4,'Cost Escalators'!$B$28:$B$92,0))/INDEX('Cost Escalators'!$D$28:$D$92,MATCH(I501,'Cost Escalators'!$B$28:$B$92,0)),1))</f>
        <v>1.2078821488382354</v>
      </c>
      <c r="R501" s="269">
        <f t="shared" si="57"/>
        <v>1157700.6849647509</v>
      </c>
      <c r="S501" s="269">
        <f t="shared" si="58"/>
        <v>3946664.987760229</v>
      </c>
      <c r="T501" s="269">
        <f t="shared" si="59"/>
        <v>1006417.1633475869</v>
      </c>
      <c r="U501" s="242">
        <f t="shared" si="60"/>
        <v>134183.69999999998</v>
      </c>
    </row>
    <row r="502" spans="1:21" s="237" customFormat="1" x14ac:dyDescent="0.3">
      <c r="A502" s="237">
        <v>497</v>
      </c>
      <c r="B502" s="263">
        <v>1</v>
      </c>
      <c r="C502" s="263">
        <f t="shared" si="61"/>
        <v>0</v>
      </c>
      <c r="D502" s="264">
        <f t="shared" si="62"/>
        <v>0</v>
      </c>
      <c r="E502" s="270" t="s">
        <v>1302</v>
      </c>
      <c r="F502" s="384" t="s">
        <v>364</v>
      </c>
      <c r="G502" s="384">
        <v>31</v>
      </c>
      <c r="H502" s="385">
        <v>39721</v>
      </c>
      <c r="I502" s="265">
        <f t="shared" si="55"/>
        <v>2008</v>
      </c>
      <c r="J502" s="383">
        <v>360</v>
      </c>
      <c r="K502" s="641" t="str">
        <f>VLOOKUP(J502,'Cost Escalators'!$C$313:$D$330,2,FALSE)</f>
        <v>Water Distribution System</v>
      </c>
      <c r="L502" s="238" t="s">
        <v>1303</v>
      </c>
      <c r="M502" s="384" t="s">
        <v>1232</v>
      </c>
      <c r="N502" s="246">
        <v>1233995</v>
      </c>
      <c r="O502" s="267">
        <v>50</v>
      </c>
      <c r="P502" s="250">
        <f t="shared" si="56"/>
        <v>2058</v>
      </c>
      <c r="Q502" s="268">
        <f>IF(J502=10,1,IFERROR(INDEX('Cost Escalators'!$D$28:$D$92,MATCH($P$4,'Cost Escalators'!$B$28:$B$92,0))/INDEX('Cost Escalators'!$D$28:$D$92,MATCH(I502,'Cost Escalators'!$B$28:$B$92,0)),1))</f>
        <v>1.2078821488382354</v>
      </c>
      <c r="R502" s="269">
        <f t="shared" si="57"/>
        <v>1490520.5322556384</v>
      </c>
      <c r="S502" s="269">
        <f t="shared" si="58"/>
        <v>5081266.0600353526</v>
      </c>
      <c r="T502" s="269">
        <f t="shared" si="59"/>
        <v>1295745.4940347802</v>
      </c>
      <c r="U502" s="242">
        <f t="shared" si="60"/>
        <v>172759.30000000002</v>
      </c>
    </row>
    <row r="503" spans="1:21" s="237" customFormat="1" x14ac:dyDescent="0.3">
      <c r="A503" s="237">
        <v>498</v>
      </c>
      <c r="B503" s="263">
        <v>1</v>
      </c>
      <c r="C503" s="263">
        <f t="shared" si="61"/>
        <v>0</v>
      </c>
      <c r="D503" s="264">
        <f t="shared" si="62"/>
        <v>0</v>
      </c>
      <c r="E503" s="270" t="s">
        <v>1304</v>
      </c>
      <c r="F503" s="384" t="s">
        <v>364</v>
      </c>
      <c r="G503" s="384">
        <v>31</v>
      </c>
      <c r="H503" s="385">
        <v>39738</v>
      </c>
      <c r="I503" s="265">
        <f t="shared" si="55"/>
        <v>2008</v>
      </c>
      <c r="J503" s="383">
        <v>360</v>
      </c>
      <c r="K503" s="641" t="str">
        <f>VLOOKUP(J503,'Cost Escalators'!$C$313:$D$330,2,FALSE)</f>
        <v>Water Distribution System</v>
      </c>
      <c r="L503" s="238" t="s">
        <v>1305</v>
      </c>
      <c r="M503" s="384" t="s">
        <v>1232</v>
      </c>
      <c r="N503" s="246">
        <v>1346869.15</v>
      </c>
      <c r="O503" s="267">
        <v>50</v>
      </c>
      <c r="P503" s="250">
        <f t="shared" si="56"/>
        <v>2058</v>
      </c>
      <c r="Q503" s="268">
        <f>IF(J503=10,1,IFERROR(INDEX('Cost Escalators'!$D$28:$D$92,MATCH($P$4,'Cost Escalators'!$B$28:$B$92,0))/INDEX('Cost Escalators'!$D$28:$D$92,MATCH(I503,'Cost Escalators'!$B$28:$B$92,0)),1))</f>
        <v>1.2078821488382354</v>
      </c>
      <c r="R503" s="269">
        <f t="shared" si="57"/>
        <v>1626859.2031059274</v>
      </c>
      <c r="S503" s="269">
        <f t="shared" si="58"/>
        <v>5546052.049808681</v>
      </c>
      <c r="T503" s="269">
        <f t="shared" si="59"/>
        <v>1414267.9931174393</v>
      </c>
      <c r="U503" s="242">
        <f t="shared" si="60"/>
        <v>188561.68099999998</v>
      </c>
    </row>
    <row r="504" spans="1:21" s="237" customFormat="1" x14ac:dyDescent="0.3">
      <c r="A504" s="237">
        <v>499</v>
      </c>
      <c r="B504" s="263">
        <v>1</v>
      </c>
      <c r="C504" s="263">
        <f t="shared" si="61"/>
        <v>0</v>
      </c>
      <c r="D504" s="264">
        <f t="shared" si="62"/>
        <v>0</v>
      </c>
      <c r="E504" s="270" t="s">
        <v>1306</v>
      </c>
      <c r="F504" s="384" t="s">
        <v>364</v>
      </c>
      <c r="G504" s="384">
        <v>31</v>
      </c>
      <c r="H504" s="385">
        <v>40178</v>
      </c>
      <c r="I504" s="265">
        <f t="shared" si="55"/>
        <v>2009</v>
      </c>
      <c r="J504" s="383">
        <v>360</v>
      </c>
      <c r="K504" s="641" t="str">
        <f>VLOOKUP(J504,'Cost Escalators'!$C$313:$D$330,2,FALSE)</f>
        <v>Water Distribution System</v>
      </c>
      <c r="L504" s="238" t="s">
        <v>1307</v>
      </c>
      <c r="M504" s="384" t="s">
        <v>1232</v>
      </c>
      <c r="N504" s="246">
        <v>536775</v>
      </c>
      <c r="O504" s="267">
        <v>50</v>
      </c>
      <c r="P504" s="250">
        <f t="shared" si="56"/>
        <v>2059</v>
      </c>
      <c r="Q504" s="268">
        <f>IF(J504=10,1,IFERROR(INDEX('Cost Escalators'!$D$28:$D$92,MATCH($P$4,'Cost Escalators'!$B$28:$B$92,0))/INDEX('Cost Escalators'!$D$28:$D$92,MATCH(I504,'Cost Escalators'!$B$28:$B$92,0)),1))</f>
        <v>1.1712138155015994</v>
      </c>
      <c r="R504" s="269">
        <f t="shared" si="57"/>
        <v>628678.29581587098</v>
      </c>
      <c r="S504" s="269">
        <f t="shared" si="58"/>
        <v>2205206.5637854184</v>
      </c>
      <c r="T504" s="269">
        <f t="shared" si="59"/>
        <v>560526.27110254252</v>
      </c>
      <c r="U504" s="242">
        <f t="shared" si="60"/>
        <v>64413</v>
      </c>
    </row>
    <row r="505" spans="1:21" s="237" customFormat="1" x14ac:dyDescent="0.3">
      <c r="A505" s="237">
        <v>500</v>
      </c>
      <c r="B505" s="263">
        <v>1</v>
      </c>
      <c r="C505" s="263">
        <f t="shared" si="61"/>
        <v>0</v>
      </c>
      <c r="D505" s="264">
        <f t="shared" si="62"/>
        <v>0</v>
      </c>
      <c r="E505" s="270" t="s">
        <v>1304</v>
      </c>
      <c r="F505" s="384" t="s">
        <v>364</v>
      </c>
      <c r="G505" s="384">
        <v>31</v>
      </c>
      <c r="H505" s="385">
        <v>40179</v>
      </c>
      <c r="I505" s="265">
        <f t="shared" si="55"/>
        <v>2010</v>
      </c>
      <c r="J505" s="383">
        <v>360</v>
      </c>
      <c r="K505" s="641" t="str">
        <f>VLOOKUP(J505,'Cost Escalators'!$C$313:$D$330,2,FALSE)</f>
        <v>Water Distribution System</v>
      </c>
      <c r="L505" s="238" t="s">
        <v>1308</v>
      </c>
      <c r="M505" s="384" t="s">
        <v>1232</v>
      </c>
      <c r="N505" s="246">
        <v>4800</v>
      </c>
      <c r="O505" s="267">
        <v>50</v>
      </c>
      <c r="P505" s="250">
        <f t="shared" si="56"/>
        <v>2060</v>
      </c>
      <c r="Q505" s="268">
        <f>IF(J505=10,1,IFERROR(INDEX('Cost Escalators'!$D$28:$D$92,MATCH($P$4,'Cost Escalators'!$B$28:$B$92,0))/INDEX('Cost Escalators'!$D$28:$D$92,MATCH(I505,'Cost Escalators'!$B$28:$B$92,0)),1))</f>
        <v>1.1407540701033272</v>
      </c>
      <c r="R505" s="269">
        <f t="shared" si="57"/>
        <v>5475.6195364959704</v>
      </c>
      <c r="S505" s="269">
        <f t="shared" si="58"/>
        <v>19762.455734107058</v>
      </c>
      <c r="T505" s="269">
        <f t="shared" si="59"/>
        <v>4982.1629720407045</v>
      </c>
      <c r="U505" s="242">
        <f t="shared" si="60"/>
        <v>480</v>
      </c>
    </row>
    <row r="506" spans="1:21" s="237" customFormat="1" x14ac:dyDescent="0.3">
      <c r="A506" s="237">
        <v>501</v>
      </c>
      <c r="B506" s="263">
        <v>1</v>
      </c>
      <c r="C506" s="263">
        <f t="shared" si="61"/>
        <v>0</v>
      </c>
      <c r="D506" s="264">
        <f t="shared" si="62"/>
        <v>0</v>
      </c>
      <c r="E506" s="270" t="s">
        <v>1309</v>
      </c>
      <c r="F506" s="384" t="s">
        <v>364</v>
      </c>
      <c r="G506" s="384">
        <v>31</v>
      </c>
      <c r="H506" s="385">
        <v>40543</v>
      </c>
      <c r="I506" s="265">
        <f t="shared" si="55"/>
        <v>2010</v>
      </c>
      <c r="J506" s="383">
        <v>360</v>
      </c>
      <c r="K506" s="641" t="str">
        <f>VLOOKUP(J506,'Cost Escalators'!$C$313:$D$330,2,FALSE)</f>
        <v>Water Distribution System</v>
      </c>
      <c r="L506" s="238" t="s">
        <v>1310</v>
      </c>
      <c r="M506" s="384" t="s">
        <v>1232</v>
      </c>
      <c r="N506" s="246">
        <v>1507394</v>
      </c>
      <c r="O506" s="267">
        <v>50</v>
      </c>
      <c r="P506" s="250">
        <f t="shared" si="56"/>
        <v>2060</v>
      </c>
      <c r="Q506" s="268">
        <f>IF(J506=10,1,IFERROR(INDEX('Cost Escalators'!$D$28:$D$92,MATCH($P$4,'Cost Escalators'!$B$28:$B$92,0))/INDEX('Cost Escalators'!$D$28:$D$92,MATCH(I506,'Cost Escalators'!$B$28:$B$92,0)),1))</f>
        <v>1.1407540701033272</v>
      </c>
      <c r="R506" s="269">
        <f t="shared" si="57"/>
        <v>1719565.8407493348</v>
      </c>
      <c r="S506" s="269">
        <f t="shared" si="58"/>
        <v>6206209.8330955366</v>
      </c>
      <c r="T506" s="269">
        <f t="shared" si="59"/>
        <v>1564600.5356409014</v>
      </c>
      <c r="U506" s="242">
        <f t="shared" si="60"/>
        <v>150739.4</v>
      </c>
    </row>
    <row r="507" spans="1:21" s="237" customFormat="1" x14ac:dyDescent="0.3">
      <c r="A507" s="237">
        <v>502</v>
      </c>
      <c r="B507" s="263">
        <v>1</v>
      </c>
      <c r="C507" s="263">
        <f t="shared" si="61"/>
        <v>0</v>
      </c>
      <c r="D507" s="264">
        <f t="shared" si="62"/>
        <v>0</v>
      </c>
      <c r="E507" s="270" t="s">
        <v>1311</v>
      </c>
      <c r="F507" s="384" t="s">
        <v>364</v>
      </c>
      <c r="G507" s="384">
        <v>31</v>
      </c>
      <c r="H507" s="385">
        <v>40543</v>
      </c>
      <c r="I507" s="265">
        <f t="shared" si="55"/>
        <v>2010</v>
      </c>
      <c r="J507" s="383">
        <v>360</v>
      </c>
      <c r="K507" s="641" t="str">
        <f>VLOOKUP(J507,'Cost Escalators'!$C$313:$D$330,2,FALSE)</f>
        <v>Water Distribution System</v>
      </c>
      <c r="L507" s="238" t="s">
        <v>1312</v>
      </c>
      <c r="M507" s="384" t="s">
        <v>1232</v>
      </c>
      <c r="N507" s="246">
        <v>806061</v>
      </c>
      <c r="O507" s="267">
        <v>50</v>
      </c>
      <c r="P507" s="250">
        <f t="shared" si="56"/>
        <v>2060</v>
      </c>
      <c r="Q507" s="268">
        <f>IF(J507=10,1,IFERROR(INDEX('Cost Escalators'!$D$28:$D$92,MATCH($P$4,'Cost Escalators'!$B$28:$B$92,0))/INDEX('Cost Escalators'!$D$28:$D$92,MATCH(I507,'Cost Escalators'!$B$28:$B$92,0)),1))</f>
        <v>1.1407540701033272</v>
      </c>
      <c r="R507" s="269">
        <f t="shared" si="57"/>
        <v>919517.36650155799</v>
      </c>
      <c r="S507" s="269">
        <f t="shared" si="58"/>
        <v>3318696.8398937644</v>
      </c>
      <c r="T507" s="269">
        <f t="shared" si="59"/>
        <v>836651.51404293801</v>
      </c>
      <c r="U507" s="242">
        <f t="shared" si="60"/>
        <v>80606.099999999991</v>
      </c>
    </row>
    <row r="508" spans="1:21" s="237" customFormat="1" x14ac:dyDescent="0.3">
      <c r="A508" s="237">
        <v>503</v>
      </c>
      <c r="B508" s="263">
        <v>1</v>
      </c>
      <c r="C508" s="263">
        <f t="shared" ref="C508:C516" si="63">1-B508</f>
        <v>0</v>
      </c>
      <c r="D508" s="264">
        <f t="shared" si="62"/>
        <v>0</v>
      </c>
      <c r="E508" s="270" t="s">
        <v>1313</v>
      </c>
      <c r="F508" s="384" t="s">
        <v>364</v>
      </c>
      <c r="G508" s="384">
        <v>31</v>
      </c>
      <c r="H508" s="385">
        <v>40543</v>
      </c>
      <c r="I508" s="265">
        <f t="shared" si="55"/>
        <v>2010</v>
      </c>
      <c r="J508" s="383">
        <v>360</v>
      </c>
      <c r="K508" s="641" t="str">
        <f>VLOOKUP(J508,'Cost Escalators'!$C$313:$D$330,2,FALSE)</f>
        <v>Water Distribution System</v>
      </c>
      <c r="L508" s="238" t="s">
        <v>1314</v>
      </c>
      <c r="M508" s="384" t="s">
        <v>1232</v>
      </c>
      <c r="N508" s="246">
        <v>1318150</v>
      </c>
      <c r="O508" s="267">
        <v>50</v>
      </c>
      <c r="P508" s="250">
        <f t="shared" si="56"/>
        <v>2060</v>
      </c>
      <c r="Q508" s="268">
        <f>IF(J508=10,1,IFERROR(INDEX('Cost Escalators'!$D$28:$D$92,MATCH($P$4,'Cost Escalators'!$B$28:$B$92,0))/INDEX('Cost Escalators'!$D$28:$D$92,MATCH(I508,'Cost Escalators'!$B$28:$B$92,0)),1))</f>
        <v>1.1407540701033272</v>
      </c>
      <c r="R508" s="269">
        <f t="shared" si="57"/>
        <v>1503684.9775067007</v>
      </c>
      <c r="S508" s="269">
        <f t="shared" si="58"/>
        <v>5427058.5470652534</v>
      </c>
      <c r="T508" s="269">
        <f t="shared" si="59"/>
        <v>1368174.6086657199</v>
      </c>
      <c r="U508" s="242">
        <f t="shared" si="60"/>
        <v>131815</v>
      </c>
    </row>
    <row r="509" spans="1:21" s="237" customFormat="1" x14ac:dyDescent="0.3">
      <c r="A509" s="237">
        <v>504</v>
      </c>
      <c r="B509" s="263">
        <v>1</v>
      </c>
      <c r="C509" s="263">
        <f t="shared" si="63"/>
        <v>0</v>
      </c>
      <c r="D509" s="264">
        <f t="shared" si="62"/>
        <v>0</v>
      </c>
      <c r="E509" s="270" t="s">
        <v>1309</v>
      </c>
      <c r="F509" s="384" t="s">
        <v>364</v>
      </c>
      <c r="G509" s="384">
        <v>31</v>
      </c>
      <c r="H509" s="385">
        <v>40908</v>
      </c>
      <c r="I509" s="265">
        <f t="shared" si="55"/>
        <v>2011</v>
      </c>
      <c r="J509" s="383">
        <v>360</v>
      </c>
      <c r="K509" s="641" t="str">
        <f>VLOOKUP(J509,'Cost Escalators'!$C$313:$D$330,2,FALSE)</f>
        <v>Water Distribution System</v>
      </c>
      <c r="L509" s="238" t="s">
        <v>1315</v>
      </c>
      <c r="M509" s="384" t="s">
        <v>1232</v>
      </c>
      <c r="N509" s="246">
        <v>8040</v>
      </c>
      <c r="O509" s="267">
        <v>50</v>
      </c>
      <c r="P509" s="250">
        <f t="shared" si="56"/>
        <v>2061</v>
      </c>
      <c r="Q509" s="268">
        <f>IF(J509=10,1,IFERROR(INDEX('Cost Escalators'!$D$28:$D$92,MATCH($P$4,'Cost Escalators'!$B$28:$B$92,0))/INDEX('Cost Escalators'!$D$28:$D$92,MATCH(I509,'Cost Escalators'!$B$28:$B$92,0)),1))</f>
        <v>1.1066796523273121</v>
      </c>
      <c r="R509" s="269">
        <f t="shared" si="57"/>
        <v>8897.7044047115887</v>
      </c>
      <c r="S509" s="269">
        <f t="shared" si="58"/>
        <v>33042.466329559713</v>
      </c>
      <c r="T509" s="269">
        <f t="shared" si="59"/>
        <v>8290.7004192017212</v>
      </c>
      <c r="U509" s="242">
        <f t="shared" si="60"/>
        <v>643.20000000000005</v>
      </c>
    </row>
    <row r="510" spans="1:21" s="237" customFormat="1" x14ac:dyDescent="0.3">
      <c r="A510" s="237">
        <v>505</v>
      </c>
      <c r="B510" s="263">
        <v>1</v>
      </c>
      <c r="C510" s="263">
        <f t="shared" si="63"/>
        <v>0</v>
      </c>
      <c r="D510" s="264">
        <f t="shared" si="62"/>
        <v>0</v>
      </c>
      <c r="E510" s="270" t="s">
        <v>1316</v>
      </c>
      <c r="F510" s="384" t="s">
        <v>364</v>
      </c>
      <c r="G510" s="384">
        <v>31</v>
      </c>
      <c r="H510" s="385">
        <v>40908</v>
      </c>
      <c r="I510" s="265">
        <f t="shared" si="55"/>
        <v>2011</v>
      </c>
      <c r="J510" s="383">
        <v>360</v>
      </c>
      <c r="K510" s="641" t="str">
        <f>VLOOKUP(J510,'Cost Escalators'!$C$313:$D$330,2,FALSE)</f>
        <v>Water Distribution System</v>
      </c>
      <c r="L510" s="238" t="s">
        <v>1317</v>
      </c>
      <c r="M510" s="384" t="s">
        <v>1232</v>
      </c>
      <c r="N510" s="246">
        <v>219658</v>
      </c>
      <c r="O510" s="267">
        <v>50</v>
      </c>
      <c r="P510" s="250">
        <f t="shared" si="56"/>
        <v>2061</v>
      </c>
      <c r="Q510" s="268">
        <f>IF(J510=10,1,IFERROR(INDEX('Cost Escalators'!$D$28:$D$92,MATCH($P$4,'Cost Escalators'!$B$28:$B$92,0))/INDEX('Cost Escalators'!$D$28:$D$92,MATCH(I510,'Cost Escalators'!$B$28:$B$92,0)),1))</f>
        <v>1.1066796523273121</v>
      </c>
      <c r="R510" s="269">
        <f t="shared" si="57"/>
        <v>243091.03907091272</v>
      </c>
      <c r="S510" s="269">
        <f t="shared" si="58"/>
        <v>902741.55087293882</v>
      </c>
      <c r="T510" s="269">
        <f t="shared" si="59"/>
        <v>226507.29759714071</v>
      </c>
      <c r="U510" s="242">
        <f t="shared" si="60"/>
        <v>17572.64</v>
      </c>
    </row>
    <row r="511" spans="1:21" s="237" customFormat="1" x14ac:dyDescent="0.3">
      <c r="A511" s="237">
        <v>506</v>
      </c>
      <c r="B511" s="263">
        <v>1</v>
      </c>
      <c r="C511" s="263">
        <f t="shared" si="63"/>
        <v>0</v>
      </c>
      <c r="D511" s="264">
        <f t="shared" si="62"/>
        <v>0</v>
      </c>
      <c r="E511" s="270" t="s">
        <v>1318</v>
      </c>
      <c r="F511" s="384" t="s">
        <v>364</v>
      </c>
      <c r="G511" s="384">
        <v>31</v>
      </c>
      <c r="H511" s="385">
        <v>40908</v>
      </c>
      <c r="I511" s="265">
        <f t="shared" si="55"/>
        <v>2011</v>
      </c>
      <c r="J511" s="383">
        <v>360</v>
      </c>
      <c r="K511" s="641" t="str">
        <f>VLOOKUP(J511,'Cost Escalators'!$C$313:$D$330,2,FALSE)</f>
        <v>Water Distribution System</v>
      </c>
      <c r="L511" s="238" t="s">
        <v>1319</v>
      </c>
      <c r="M511" s="384" t="s">
        <v>1232</v>
      </c>
      <c r="N511" s="246">
        <v>733350</v>
      </c>
      <c r="O511" s="267">
        <v>50</v>
      </c>
      <c r="P511" s="250">
        <f t="shared" si="56"/>
        <v>2061</v>
      </c>
      <c r="Q511" s="268">
        <f>IF(J511=10,1,IFERROR(INDEX('Cost Escalators'!$D$28:$D$92,MATCH($P$4,'Cost Escalators'!$B$28:$B$92,0))/INDEX('Cost Escalators'!$D$28:$D$92,MATCH(I511,'Cost Escalators'!$B$28:$B$92,0)),1))</f>
        <v>1.1066796523273121</v>
      </c>
      <c r="R511" s="269">
        <f t="shared" si="57"/>
        <v>811583.5230342343</v>
      </c>
      <c r="S511" s="269">
        <f t="shared" si="58"/>
        <v>3013892.124724206</v>
      </c>
      <c r="T511" s="269">
        <f t="shared" si="59"/>
        <v>756217.05875890318</v>
      </c>
      <c r="U511" s="242">
        <f t="shared" si="60"/>
        <v>58668</v>
      </c>
    </row>
    <row r="512" spans="1:21" s="237" customFormat="1" x14ac:dyDescent="0.3">
      <c r="A512" s="237">
        <v>507</v>
      </c>
      <c r="B512" s="263">
        <v>1</v>
      </c>
      <c r="C512" s="263">
        <f t="shared" si="63"/>
        <v>0</v>
      </c>
      <c r="D512" s="264">
        <f t="shared" si="62"/>
        <v>0</v>
      </c>
      <c r="E512" s="270" t="s">
        <v>1320</v>
      </c>
      <c r="F512" s="384" t="s">
        <v>364</v>
      </c>
      <c r="G512" s="384">
        <v>31</v>
      </c>
      <c r="H512" s="385">
        <v>41274</v>
      </c>
      <c r="I512" s="265">
        <f t="shared" si="55"/>
        <v>2012</v>
      </c>
      <c r="J512" s="383">
        <v>360</v>
      </c>
      <c r="K512" s="641" t="str">
        <f>VLOOKUP(J512,'Cost Escalators'!$C$313:$D$330,2,FALSE)</f>
        <v>Water Distribution System</v>
      </c>
      <c r="L512" s="238" t="s">
        <v>1321</v>
      </c>
      <c r="M512" s="384" t="s">
        <v>1232</v>
      </c>
      <c r="N512" s="246">
        <v>892950</v>
      </c>
      <c r="O512" s="267">
        <v>50</v>
      </c>
      <c r="P512" s="250">
        <f t="shared" si="56"/>
        <v>2062</v>
      </c>
      <c r="Q512" s="268">
        <f>IF(J512=10,1,IFERROR(INDEX('Cost Escalators'!$D$28:$D$92,MATCH($P$4,'Cost Escalators'!$B$28:$B$92,0))/INDEX('Cost Escalators'!$D$28:$D$92,MATCH(I512,'Cost Escalators'!$B$28:$B$92,0)),1))</f>
        <v>1.0783433902128956</v>
      </c>
      <c r="R512" s="269">
        <f t="shared" si="57"/>
        <v>962906.7302906051</v>
      </c>
      <c r="S512" s="269">
        <f t="shared" si="58"/>
        <v>3679302.8868724597</v>
      </c>
      <c r="T512" s="269">
        <f t="shared" si="59"/>
        <v>914356.39129346889</v>
      </c>
      <c r="U512" s="242">
        <f t="shared" si="60"/>
        <v>53577</v>
      </c>
    </row>
    <row r="513" spans="1:21" s="237" customFormat="1" x14ac:dyDescent="0.3">
      <c r="A513" s="237">
        <v>508</v>
      </c>
      <c r="B513" s="263">
        <v>1</v>
      </c>
      <c r="C513" s="263">
        <f t="shared" si="63"/>
        <v>0</v>
      </c>
      <c r="D513" s="264">
        <f t="shared" si="62"/>
        <v>0</v>
      </c>
      <c r="E513" s="270" t="s">
        <v>1322</v>
      </c>
      <c r="F513" s="384" t="s">
        <v>364</v>
      </c>
      <c r="G513" s="384">
        <v>31</v>
      </c>
      <c r="H513" s="385">
        <v>41274</v>
      </c>
      <c r="I513" s="265">
        <f t="shared" si="55"/>
        <v>2012</v>
      </c>
      <c r="J513" s="383">
        <v>360</v>
      </c>
      <c r="K513" s="641" t="str">
        <f>VLOOKUP(J513,'Cost Escalators'!$C$313:$D$330,2,FALSE)</f>
        <v>Water Distribution System</v>
      </c>
      <c r="L513" s="238" t="s">
        <v>1323</v>
      </c>
      <c r="M513" s="384" t="s">
        <v>1232</v>
      </c>
      <c r="N513" s="246">
        <v>82240</v>
      </c>
      <c r="O513" s="267">
        <v>50</v>
      </c>
      <c r="P513" s="250">
        <f t="shared" si="56"/>
        <v>2062</v>
      </c>
      <c r="Q513" s="268">
        <f>IF(J513=10,1,IFERROR(INDEX('Cost Escalators'!$D$28:$D$92,MATCH($P$4,'Cost Escalators'!$B$28:$B$92,0))/INDEX('Cost Escalators'!$D$28:$D$92,MATCH(I513,'Cost Escalators'!$B$28:$B$92,0)),1))</f>
        <v>1.0783433902128956</v>
      </c>
      <c r="R513" s="269">
        <f t="shared" si="57"/>
        <v>88682.960411108535</v>
      </c>
      <c r="S513" s="269">
        <f t="shared" si="58"/>
        <v>338860.93220940826</v>
      </c>
      <c r="T513" s="269">
        <f t="shared" si="59"/>
        <v>84211.511977126254</v>
      </c>
      <c r="U513" s="242">
        <f t="shared" si="60"/>
        <v>4934.3999999999996</v>
      </c>
    </row>
    <row r="514" spans="1:21" s="237" customFormat="1" x14ac:dyDescent="0.3">
      <c r="A514" s="237">
        <v>509</v>
      </c>
      <c r="B514" s="263">
        <v>1</v>
      </c>
      <c r="C514" s="263">
        <f t="shared" si="63"/>
        <v>0</v>
      </c>
      <c r="D514" s="264">
        <f t="shared" si="62"/>
        <v>0</v>
      </c>
      <c r="E514" s="270" t="s">
        <v>1324</v>
      </c>
      <c r="F514" s="384" t="s">
        <v>364</v>
      </c>
      <c r="G514" s="384">
        <v>31</v>
      </c>
      <c r="H514" s="385">
        <v>41639</v>
      </c>
      <c r="I514" s="265">
        <f t="shared" si="55"/>
        <v>2013</v>
      </c>
      <c r="J514" s="383">
        <v>360</v>
      </c>
      <c r="K514" s="641" t="str">
        <f>VLOOKUP(J514,'Cost Escalators'!$C$313:$D$330,2,FALSE)</f>
        <v>Water Distribution System</v>
      </c>
      <c r="L514" s="238" t="s">
        <v>1325</v>
      </c>
      <c r="M514" s="384" t="s">
        <v>1232</v>
      </c>
      <c r="N514" s="246">
        <v>4730902</v>
      </c>
      <c r="O514" s="267">
        <v>50</v>
      </c>
      <c r="P514" s="250">
        <f t="shared" si="56"/>
        <v>2063</v>
      </c>
      <c r="Q514" s="268">
        <f>IF(J514=10,1,IFERROR(INDEX('Cost Escalators'!$D$28:$D$92,MATCH($P$4,'Cost Escalators'!$B$28:$B$92,0))/INDEX('Cost Escalators'!$D$28:$D$92,MATCH(I514,'Cost Escalators'!$B$28:$B$92,0)),1))</f>
        <v>1.0514036312849162</v>
      </c>
      <c r="R514" s="269">
        <f t="shared" si="57"/>
        <v>4974087.5420530727</v>
      </c>
      <c r="S514" s="269">
        <f t="shared" si="58"/>
        <v>19556069.857301604</v>
      </c>
      <c r="T514" s="269">
        <f t="shared" si="59"/>
        <v>4808270.1245519351</v>
      </c>
      <c r="U514" s="242">
        <f t="shared" si="60"/>
        <v>189236.08</v>
      </c>
    </row>
    <row r="515" spans="1:21" s="237" customFormat="1" x14ac:dyDescent="0.3">
      <c r="A515" s="237">
        <v>510</v>
      </c>
      <c r="B515" s="263">
        <v>1</v>
      </c>
      <c r="C515" s="263">
        <f t="shared" si="63"/>
        <v>0</v>
      </c>
      <c r="D515" s="264">
        <f t="shared" si="62"/>
        <v>0</v>
      </c>
      <c r="E515" s="270" t="s">
        <v>1326</v>
      </c>
      <c r="F515" s="384" t="s">
        <v>364</v>
      </c>
      <c r="G515" s="384">
        <v>31</v>
      </c>
      <c r="H515" s="385">
        <v>41639</v>
      </c>
      <c r="I515" s="265">
        <f t="shared" si="55"/>
        <v>2013</v>
      </c>
      <c r="J515" s="383">
        <v>360</v>
      </c>
      <c r="K515" s="641" t="str">
        <f>VLOOKUP(J515,'Cost Escalators'!$C$313:$D$330,2,FALSE)</f>
        <v>Water Distribution System</v>
      </c>
      <c r="L515" s="238" t="s">
        <v>1327</v>
      </c>
      <c r="M515" s="384" t="s">
        <v>1232</v>
      </c>
      <c r="N515" s="246">
        <v>285510</v>
      </c>
      <c r="O515" s="267">
        <v>50</v>
      </c>
      <c r="P515" s="250">
        <f t="shared" si="56"/>
        <v>2063</v>
      </c>
      <c r="Q515" s="268">
        <f>IF(J515=10,1,IFERROR(INDEX('Cost Escalators'!$D$28:$D$92,MATCH($P$4,'Cost Escalators'!$B$28:$B$92,0))/INDEX('Cost Escalators'!$D$28:$D$92,MATCH(I515,'Cost Escalators'!$B$28:$B$92,0)),1))</f>
        <v>1.0514036312849162</v>
      </c>
      <c r="R515" s="269">
        <f t="shared" si="57"/>
        <v>300186.25076815643</v>
      </c>
      <c r="S515" s="269">
        <f t="shared" si="58"/>
        <v>1180209.0816842499</v>
      </c>
      <c r="T515" s="269">
        <f t="shared" si="59"/>
        <v>290179.16736825724</v>
      </c>
      <c r="U515" s="242">
        <f t="shared" si="60"/>
        <v>11420.4</v>
      </c>
    </row>
    <row r="516" spans="1:21" s="237" customFormat="1" x14ac:dyDescent="0.3">
      <c r="A516" s="237">
        <v>511</v>
      </c>
      <c r="B516" s="263">
        <v>1</v>
      </c>
      <c r="C516" s="263">
        <f t="shared" si="63"/>
        <v>0</v>
      </c>
      <c r="D516" s="264">
        <f t="shared" si="62"/>
        <v>0</v>
      </c>
      <c r="E516" s="270" t="s">
        <v>1328</v>
      </c>
      <c r="F516" s="384" t="s">
        <v>364</v>
      </c>
      <c r="G516" s="384">
        <v>31</v>
      </c>
      <c r="H516" s="385">
        <v>41639</v>
      </c>
      <c r="I516" s="265">
        <f t="shared" si="55"/>
        <v>2013</v>
      </c>
      <c r="J516" s="383">
        <v>360</v>
      </c>
      <c r="K516" s="641" t="str">
        <f>VLOOKUP(J516,'Cost Escalators'!$C$313:$D$330,2,FALSE)</f>
        <v>Water Distribution System</v>
      </c>
      <c r="L516" s="238" t="s">
        <v>1329</v>
      </c>
      <c r="M516" s="384" t="s">
        <v>1232</v>
      </c>
      <c r="N516" s="246">
        <v>154100</v>
      </c>
      <c r="O516" s="267">
        <v>50</v>
      </c>
      <c r="P516" s="250">
        <f t="shared" si="56"/>
        <v>2063</v>
      </c>
      <c r="Q516" s="268">
        <f>IF(J516=10,1,IFERROR(INDEX('Cost Escalators'!$D$28:$D$92,MATCH($P$4,'Cost Escalators'!$B$28:$B$92,0))/INDEX('Cost Escalators'!$D$28:$D$92,MATCH(I516,'Cost Escalators'!$B$28:$B$92,0)),1))</f>
        <v>1.0514036312849162</v>
      </c>
      <c r="R516" s="269">
        <f t="shared" si="57"/>
        <v>162021.29958100559</v>
      </c>
      <c r="S516" s="269">
        <f t="shared" si="58"/>
        <v>637001.22408161848</v>
      </c>
      <c r="T516" s="269">
        <f t="shared" si="59"/>
        <v>156620.11730394189</v>
      </c>
      <c r="U516" s="242">
        <f t="shared" si="60"/>
        <v>6164</v>
      </c>
    </row>
    <row r="517" spans="1:21" s="237" customFormat="1" x14ac:dyDescent="0.3">
      <c r="A517" s="237">
        <v>512</v>
      </c>
      <c r="B517" s="263">
        <v>0</v>
      </c>
      <c r="C517" s="263">
        <v>0</v>
      </c>
      <c r="D517" s="264">
        <f t="shared" si="62"/>
        <v>1</v>
      </c>
      <c r="E517" s="270">
        <v>41853</v>
      </c>
      <c r="F517" s="384" t="s">
        <v>364</v>
      </c>
      <c r="G517" s="384">
        <v>31</v>
      </c>
      <c r="H517" s="385">
        <v>42004</v>
      </c>
      <c r="I517" s="265">
        <f t="shared" si="55"/>
        <v>2014</v>
      </c>
      <c r="J517" s="383">
        <v>360</v>
      </c>
      <c r="K517" s="641" t="str">
        <f>VLOOKUP(J517,'Cost Escalators'!$C$313:$D$330,2,FALSE)</f>
        <v>Water Distribution System</v>
      </c>
      <c r="L517" s="868" t="s">
        <v>1330</v>
      </c>
      <c r="M517" s="384" t="s">
        <v>1232</v>
      </c>
      <c r="N517" s="246">
        <v>2452</v>
      </c>
      <c r="O517" s="267">
        <v>50</v>
      </c>
      <c r="P517" s="250">
        <f t="shared" si="56"/>
        <v>2064</v>
      </c>
      <c r="Q517" s="268">
        <f>IF(J517=10,1,IFERROR(INDEX('Cost Escalators'!$D$28:$D$92,MATCH($P$4,'Cost Escalators'!$B$28:$B$92,0))/INDEX('Cost Escalators'!$D$28:$D$92,MATCH(I517,'Cost Escalators'!$B$28:$B$92,0)),1))</f>
        <v>1.028501165560878</v>
      </c>
      <c r="R517" s="269">
        <f t="shared" si="57"/>
        <v>2521.8848579552728</v>
      </c>
      <c r="S517" s="269">
        <f t="shared" si="58"/>
        <v>10201.880830227583</v>
      </c>
      <c r="T517" s="269">
        <f t="shared" si="59"/>
        <v>2472.4833638048444</v>
      </c>
      <c r="U517" s="242">
        <f t="shared" si="60"/>
        <v>49.04</v>
      </c>
    </row>
    <row r="518" spans="1:21" s="237" customFormat="1" x14ac:dyDescent="0.3">
      <c r="A518" s="237">
        <v>513</v>
      </c>
      <c r="B518" s="263">
        <v>1</v>
      </c>
      <c r="C518" s="263">
        <f t="shared" ref="C518:C546" si="64">1-B518</f>
        <v>0</v>
      </c>
      <c r="D518" s="264">
        <f t="shared" si="62"/>
        <v>0</v>
      </c>
      <c r="E518" s="270" t="s">
        <v>1331</v>
      </c>
      <c r="F518" s="384" t="s">
        <v>364</v>
      </c>
      <c r="G518" s="384">
        <v>31</v>
      </c>
      <c r="H518" s="385">
        <v>42004</v>
      </c>
      <c r="I518" s="265">
        <f t="shared" ref="I518:I581" si="65">YEAR(H518)</f>
        <v>2014</v>
      </c>
      <c r="J518" s="383">
        <v>360</v>
      </c>
      <c r="K518" s="641" t="str">
        <f>VLOOKUP(J518,'Cost Escalators'!$C$313:$D$330,2,FALSE)</f>
        <v>Water Distribution System</v>
      </c>
      <c r="L518" s="238" t="s">
        <v>1332</v>
      </c>
      <c r="M518" s="384" t="s">
        <v>1232</v>
      </c>
      <c r="N518" s="246">
        <v>40500</v>
      </c>
      <c r="O518" s="267">
        <v>50</v>
      </c>
      <c r="P518" s="250">
        <f t="shared" ref="P518:P581" si="66">IF(O518="","",I518+O518)</f>
        <v>2064</v>
      </c>
      <c r="Q518" s="268">
        <f>IF(J518=10,1,IFERROR(INDEX('Cost Escalators'!$D$28:$D$92,MATCH($P$4,'Cost Escalators'!$B$28:$B$92,0))/INDEX('Cost Escalators'!$D$28:$D$92,MATCH(I518,'Cost Escalators'!$B$28:$B$92,0)),1))</f>
        <v>1.028501165560878</v>
      </c>
      <c r="R518" s="269">
        <f t="shared" ref="R518:R581" si="67">N518*Q518</f>
        <v>41654.29720521556</v>
      </c>
      <c r="S518" s="269">
        <f t="shared" ref="S518:S581" si="68">IFERROR(IF(P518&gt;$P$4,R518*(1+$Q$4)^(P518-$P$4),R518),"")</f>
        <v>168505.78043402004</v>
      </c>
      <c r="T518" s="269">
        <f t="shared" ref="T518:T581" si="69">IF(J518=10,N518,(N518-U518)*(1+$Q$4)^($P$4-I518))</f>
        <v>40838.326359745588</v>
      </c>
      <c r="U518" s="242">
        <f t="shared" ref="U518:U581" si="70">IFERROR(IF((N518/O518)*($U$4-I518)&gt;N518,N518,(N518/O518)*($U$4-I518)),0)</f>
        <v>810</v>
      </c>
    </row>
    <row r="519" spans="1:21" s="237" customFormat="1" x14ac:dyDescent="0.3">
      <c r="A519" s="237">
        <v>514</v>
      </c>
      <c r="B519" s="263">
        <v>1</v>
      </c>
      <c r="C519" s="263">
        <f t="shared" si="64"/>
        <v>0</v>
      </c>
      <c r="D519" s="264">
        <f t="shared" si="62"/>
        <v>0</v>
      </c>
      <c r="E519" s="270" t="s">
        <v>1333</v>
      </c>
      <c r="F519" s="384" t="s">
        <v>764</v>
      </c>
      <c r="G519" s="384">
        <v>31</v>
      </c>
      <c r="H519" s="385">
        <v>42004</v>
      </c>
      <c r="I519" s="265">
        <f t="shared" si="65"/>
        <v>2014</v>
      </c>
      <c r="J519" s="383">
        <v>360</v>
      </c>
      <c r="K519" s="641" t="str">
        <f>VLOOKUP(J519,'Cost Escalators'!$C$313:$D$330,2,FALSE)</f>
        <v>Water Distribution System</v>
      </c>
      <c r="L519" s="238" t="s">
        <v>1334</v>
      </c>
      <c r="M519" s="384" t="s">
        <v>1232</v>
      </c>
      <c r="N519" s="246">
        <v>169520</v>
      </c>
      <c r="O519" s="267">
        <v>50</v>
      </c>
      <c r="P519" s="250">
        <f t="shared" si="66"/>
        <v>2064</v>
      </c>
      <c r="Q519" s="268">
        <f>IF(J519=10,1,IFERROR(INDEX('Cost Escalators'!$D$28:$D$92,MATCH($P$4,'Cost Escalators'!$B$28:$B$92,0))/INDEX('Cost Escalators'!$D$28:$D$92,MATCH(I519,'Cost Escalators'!$B$28:$B$92,0)),1))</f>
        <v>1.028501165560878</v>
      </c>
      <c r="R519" s="269">
        <f t="shared" si="67"/>
        <v>174351.51758588004</v>
      </c>
      <c r="S519" s="269">
        <f t="shared" si="68"/>
        <v>705311.10862160684</v>
      </c>
      <c r="T519" s="269">
        <f t="shared" si="69"/>
        <v>170936.12554331045</v>
      </c>
      <c r="U519" s="242">
        <f t="shared" si="70"/>
        <v>3390.4</v>
      </c>
    </row>
    <row r="520" spans="1:21" s="237" customFormat="1" x14ac:dyDescent="0.3">
      <c r="A520" s="237">
        <v>515</v>
      </c>
      <c r="B520" s="263">
        <v>1</v>
      </c>
      <c r="C520" s="263">
        <f t="shared" si="64"/>
        <v>0</v>
      </c>
      <c r="D520" s="264">
        <f t="shared" si="62"/>
        <v>0</v>
      </c>
      <c r="E520" s="270" t="s">
        <v>1335</v>
      </c>
      <c r="F520" s="384" t="s">
        <v>364</v>
      </c>
      <c r="G520" s="384">
        <v>31</v>
      </c>
      <c r="H520" s="385">
        <v>31898</v>
      </c>
      <c r="I520" s="265">
        <f t="shared" si="65"/>
        <v>1987</v>
      </c>
      <c r="J520" s="383">
        <v>370</v>
      </c>
      <c r="K520" s="641" t="str">
        <f>VLOOKUP(J520,'Cost Escalators'!$C$313:$D$330,2,FALSE)</f>
        <v>Chicago Water Connection</v>
      </c>
      <c r="L520" s="238" t="s">
        <v>1336</v>
      </c>
      <c r="M520" s="384" t="s">
        <v>1506</v>
      </c>
      <c r="N520" s="246">
        <v>98765</v>
      </c>
      <c r="O520" s="267">
        <v>50</v>
      </c>
      <c r="P520" s="250">
        <f t="shared" si="66"/>
        <v>2037</v>
      </c>
      <c r="Q520" s="268">
        <f>IF(J520=10,1,IFERROR(INDEX('Cost Escalators'!$D$28:$D$92,MATCH($P$4,'Cost Escalators'!$B$28:$B$92,0))/INDEX('Cost Escalators'!$D$28:$D$92,MATCH(I520,'Cost Escalators'!$B$28:$B$92,0)),1))</f>
        <v>2.2781207444394007</v>
      </c>
      <c r="R520" s="269">
        <f t="shared" si="67"/>
        <v>224998.59532455742</v>
      </c>
      <c r="S520" s="269">
        <f t="shared" si="68"/>
        <v>421395.80843293341</v>
      </c>
      <c r="T520" s="269">
        <f t="shared" si="69"/>
        <v>96579.992785645023</v>
      </c>
      <c r="U520" s="242">
        <f t="shared" si="70"/>
        <v>55308.4</v>
      </c>
    </row>
    <row r="521" spans="1:21" s="237" customFormat="1" x14ac:dyDescent="0.3">
      <c r="A521" s="237">
        <v>516</v>
      </c>
      <c r="B521" s="263">
        <v>1</v>
      </c>
      <c r="C521" s="263">
        <f t="shared" si="64"/>
        <v>0</v>
      </c>
      <c r="D521" s="264">
        <f t="shared" si="62"/>
        <v>0</v>
      </c>
      <c r="E521" s="270" t="s">
        <v>1335</v>
      </c>
      <c r="F521" s="384" t="s">
        <v>364</v>
      </c>
      <c r="G521" s="384">
        <v>31</v>
      </c>
      <c r="H521" s="385">
        <v>30895</v>
      </c>
      <c r="I521" s="265">
        <f t="shared" si="65"/>
        <v>1984</v>
      </c>
      <c r="J521" s="383">
        <v>370</v>
      </c>
      <c r="K521" s="641" t="str">
        <f>VLOOKUP(J521,'Cost Escalators'!$C$313:$D$330,2,FALSE)</f>
        <v>Chicago Water Connection</v>
      </c>
      <c r="L521" s="238" t="s">
        <v>1337</v>
      </c>
      <c r="M521" s="384" t="s">
        <v>1506</v>
      </c>
      <c r="N521" s="246">
        <v>10696184.890000001</v>
      </c>
      <c r="O521" s="267">
        <v>50</v>
      </c>
      <c r="P521" s="250">
        <f t="shared" si="66"/>
        <v>2034</v>
      </c>
      <c r="Q521" s="268">
        <f>IF(J521=10,1,IFERROR(INDEX('Cost Escalators'!$D$28:$D$92,MATCH($P$4,'Cost Escalators'!$B$28:$B$92,0))/INDEX('Cost Escalators'!$D$28:$D$92,MATCH(I521,'Cost Escalators'!$B$28:$B$92,0)),1))</f>
        <v>2.4209840810419681</v>
      </c>
      <c r="R521" s="269">
        <f t="shared" si="67"/>
        <v>25895293.346571635</v>
      </c>
      <c r="S521" s="269">
        <f t="shared" si="68"/>
        <v>44521596.57606969</v>
      </c>
      <c r="T521" s="269">
        <f t="shared" si="69"/>
        <v>9840211.4716972616</v>
      </c>
      <c r="U521" s="242">
        <f t="shared" si="70"/>
        <v>6631634.6318000006</v>
      </c>
    </row>
    <row r="522" spans="1:21" s="237" customFormat="1" x14ac:dyDescent="0.3">
      <c r="A522" s="237">
        <v>517</v>
      </c>
      <c r="B522" s="263">
        <v>1</v>
      </c>
      <c r="C522" s="263">
        <f t="shared" si="64"/>
        <v>0</v>
      </c>
      <c r="D522" s="264">
        <f t="shared" si="62"/>
        <v>0</v>
      </c>
      <c r="E522" s="270" t="s">
        <v>1338</v>
      </c>
      <c r="F522" s="384" t="s">
        <v>764</v>
      </c>
      <c r="G522" s="384">
        <v>31</v>
      </c>
      <c r="H522" s="385">
        <v>30863</v>
      </c>
      <c r="I522" s="265">
        <f t="shared" si="65"/>
        <v>1984</v>
      </c>
      <c r="J522" s="383">
        <v>380</v>
      </c>
      <c r="K522" s="641" t="str">
        <f>VLOOKUP(J522,'Cost Escalators'!$C$313:$D$330,2,FALSE)</f>
        <v>Above Ground Piping</v>
      </c>
      <c r="L522" s="238" t="s">
        <v>1339</v>
      </c>
      <c r="M522" s="384" t="s">
        <v>1506</v>
      </c>
      <c r="N522" s="246">
        <v>106791.57</v>
      </c>
      <c r="O522" s="267">
        <v>15</v>
      </c>
      <c r="P522" s="250">
        <f t="shared" si="66"/>
        <v>1999</v>
      </c>
      <c r="Q522" s="268">
        <f>IF(J522=10,1,IFERROR(INDEX('Cost Escalators'!$D$28:$D$92,MATCH($P$4,'Cost Escalators'!$B$28:$B$92,0))/INDEX('Cost Escalators'!$D$28:$D$92,MATCH(I522,'Cost Escalators'!$B$28:$B$92,0)),1))</f>
        <v>2.4209840810419681</v>
      </c>
      <c r="R522" s="269">
        <f t="shared" si="67"/>
        <v>258540.69095947902</v>
      </c>
      <c r="S522" s="269">
        <f t="shared" si="68"/>
        <v>258540.69095947902</v>
      </c>
      <c r="T522" s="269">
        <f t="shared" si="69"/>
        <v>0</v>
      </c>
      <c r="U522" s="242">
        <f t="shared" si="70"/>
        <v>106791.57</v>
      </c>
    </row>
    <row r="523" spans="1:21" s="237" customFormat="1" x14ac:dyDescent="0.3">
      <c r="A523" s="237">
        <v>518</v>
      </c>
      <c r="B523" s="263">
        <v>0.5</v>
      </c>
      <c r="C523" s="263">
        <f t="shared" si="64"/>
        <v>0.5</v>
      </c>
      <c r="D523" s="264">
        <f t="shared" si="62"/>
        <v>0</v>
      </c>
      <c r="E523" s="270" t="s">
        <v>1340</v>
      </c>
      <c r="F523" s="384" t="s">
        <v>364</v>
      </c>
      <c r="G523" s="384">
        <v>31</v>
      </c>
      <c r="H523" s="385">
        <v>35226</v>
      </c>
      <c r="I523" s="265">
        <f t="shared" si="65"/>
        <v>1996</v>
      </c>
      <c r="J523" s="383">
        <v>410</v>
      </c>
      <c r="K523" s="641" t="str">
        <f>VLOOKUP(J523,'Cost Escalators'!$C$313:$D$330,2,FALSE)</f>
        <v>Machinery &amp; Equipment</v>
      </c>
      <c r="L523" s="238" t="s">
        <v>1341</v>
      </c>
      <c r="M523" s="384" t="s">
        <v>1506</v>
      </c>
      <c r="N523" s="246">
        <v>13197</v>
      </c>
      <c r="O523" s="267">
        <v>20</v>
      </c>
      <c r="P523" s="250">
        <f t="shared" si="66"/>
        <v>2016</v>
      </c>
      <c r="Q523" s="268">
        <f>IF(J523=10,1,IFERROR(INDEX('Cost Escalators'!$D$28:$D$92,MATCH($P$4,'Cost Escalators'!$B$28:$B$92,0))/INDEX('Cost Escalators'!$D$28:$D$92,MATCH(I523,'Cost Escalators'!$B$28:$B$92,0)),1))</f>
        <v>1.7860142348754449</v>
      </c>
      <c r="R523" s="269">
        <f t="shared" si="67"/>
        <v>23570.029857651247</v>
      </c>
      <c r="S523" s="269">
        <f t="shared" si="68"/>
        <v>24251.967035417223</v>
      </c>
      <c r="T523" s="269">
        <f t="shared" si="69"/>
        <v>1134.4754858553861</v>
      </c>
      <c r="U523" s="242">
        <f t="shared" si="70"/>
        <v>12537.15</v>
      </c>
    </row>
    <row r="524" spans="1:21" s="237" customFormat="1" x14ac:dyDescent="0.3">
      <c r="A524" s="237">
        <v>519</v>
      </c>
      <c r="B524" s="263">
        <v>0.5</v>
      </c>
      <c r="C524" s="263">
        <f t="shared" si="64"/>
        <v>0.5</v>
      </c>
      <c r="D524" s="264">
        <f t="shared" si="62"/>
        <v>0</v>
      </c>
      <c r="E524" s="270" t="s">
        <v>1342</v>
      </c>
      <c r="F524" s="384" t="s">
        <v>364</v>
      </c>
      <c r="G524" s="384">
        <v>31</v>
      </c>
      <c r="H524" s="385">
        <v>35221</v>
      </c>
      <c r="I524" s="265">
        <f t="shared" si="65"/>
        <v>1996</v>
      </c>
      <c r="J524" s="383">
        <v>410</v>
      </c>
      <c r="K524" s="641" t="str">
        <f>VLOOKUP(J524,'Cost Escalators'!$C$313:$D$330,2,FALSE)</f>
        <v>Machinery &amp; Equipment</v>
      </c>
      <c r="L524" s="238" t="s">
        <v>1343</v>
      </c>
      <c r="M524" s="384" t="s">
        <v>1506</v>
      </c>
      <c r="N524" s="246">
        <v>14382</v>
      </c>
      <c r="O524" s="267">
        <v>20</v>
      </c>
      <c r="P524" s="250">
        <f t="shared" si="66"/>
        <v>2016</v>
      </c>
      <c r="Q524" s="268">
        <f>IF(J524=10,1,IFERROR(INDEX('Cost Escalators'!$D$28:$D$92,MATCH($P$4,'Cost Escalators'!$B$28:$B$92,0))/INDEX('Cost Escalators'!$D$28:$D$92,MATCH(I524,'Cost Escalators'!$B$28:$B$92,0)),1))</f>
        <v>1.7860142348754449</v>
      </c>
      <c r="R524" s="269">
        <f t="shared" si="67"/>
        <v>25686.456725978649</v>
      </c>
      <c r="S524" s="269">
        <f t="shared" si="68"/>
        <v>26429.62718067519</v>
      </c>
      <c r="T524" s="269">
        <f t="shared" si="69"/>
        <v>1236.343596087911</v>
      </c>
      <c r="U524" s="242">
        <f t="shared" si="70"/>
        <v>13662.9</v>
      </c>
    </row>
    <row r="525" spans="1:21" s="237" customFormat="1" x14ac:dyDescent="0.3">
      <c r="A525" s="237">
        <v>520</v>
      </c>
      <c r="B525" s="263">
        <v>0.5</v>
      </c>
      <c r="C525" s="263">
        <f t="shared" si="64"/>
        <v>0.5</v>
      </c>
      <c r="D525" s="264">
        <f t="shared" si="62"/>
        <v>0</v>
      </c>
      <c r="E525" s="270" t="s">
        <v>1344</v>
      </c>
      <c r="F525" s="384" t="s">
        <v>364</v>
      </c>
      <c r="G525" s="384">
        <v>31</v>
      </c>
      <c r="H525" s="385">
        <v>34736</v>
      </c>
      <c r="I525" s="265">
        <f t="shared" si="65"/>
        <v>1995</v>
      </c>
      <c r="J525" s="383">
        <v>410</v>
      </c>
      <c r="K525" s="641" t="str">
        <f>VLOOKUP(J525,'Cost Escalators'!$C$313:$D$330,2,FALSE)</f>
        <v>Machinery &amp; Equipment</v>
      </c>
      <c r="L525" s="238" t="s">
        <v>1345</v>
      </c>
      <c r="M525" s="384" t="s">
        <v>1506</v>
      </c>
      <c r="N525" s="246">
        <v>65104.82</v>
      </c>
      <c r="O525" s="267">
        <v>20</v>
      </c>
      <c r="P525" s="250">
        <f t="shared" si="66"/>
        <v>2015</v>
      </c>
      <c r="Q525" s="268">
        <f>IF(J525=10,1,IFERROR(INDEX('Cost Escalators'!$D$28:$D$92,MATCH($P$4,'Cost Escalators'!$B$28:$B$92,0))/INDEX('Cost Escalators'!$D$28:$D$92,MATCH(I525,'Cost Escalators'!$B$28:$B$92,0)),1))</f>
        <v>1.8346554560409432</v>
      </c>
      <c r="R525" s="269">
        <f t="shared" si="67"/>
        <v>119444.91322756352</v>
      </c>
      <c r="S525" s="269">
        <f t="shared" si="68"/>
        <v>119444.91322756352</v>
      </c>
      <c r="T525" s="269">
        <f t="shared" si="69"/>
        <v>0</v>
      </c>
      <c r="U525" s="242">
        <f t="shared" si="70"/>
        <v>65104.82</v>
      </c>
    </row>
    <row r="526" spans="1:21" s="237" customFormat="1" x14ac:dyDescent="0.3">
      <c r="A526" s="237">
        <v>521</v>
      </c>
      <c r="B526" s="263">
        <v>0.5</v>
      </c>
      <c r="C526" s="263">
        <f t="shared" si="64"/>
        <v>0.5</v>
      </c>
      <c r="D526" s="264">
        <f t="shared" si="62"/>
        <v>0</v>
      </c>
      <c r="E526" s="270" t="s">
        <v>1346</v>
      </c>
      <c r="F526" s="384" t="s">
        <v>364</v>
      </c>
      <c r="G526" s="384">
        <v>31</v>
      </c>
      <c r="H526" s="385">
        <v>35914</v>
      </c>
      <c r="I526" s="265">
        <f t="shared" si="65"/>
        <v>1998</v>
      </c>
      <c r="J526" s="383">
        <v>410</v>
      </c>
      <c r="K526" s="641" t="str">
        <f>VLOOKUP(J526,'Cost Escalators'!$C$313:$D$330,2,FALSE)</f>
        <v>Machinery &amp; Equipment</v>
      </c>
      <c r="L526" s="238" t="s">
        <v>1347</v>
      </c>
      <c r="M526" s="384" t="s">
        <v>1506</v>
      </c>
      <c r="N526" s="246">
        <v>55863</v>
      </c>
      <c r="O526" s="267">
        <v>20</v>
      </c>
      <c r="P526" s="250">
        <f t="shared" si="66"/>
        <v>2018</v>
      </c>
      <c r="Q526" s="268">
        <f>IF(J526=10,1,IFERROR(INDEX('Cost Escalators'!$D$28:$D$92,MATCH($P$4,'Cost Escalators'!$B$28:$B$92,0))/INDEX('Cost Escalators'!$D$28:$D$92,MATCH(I526,'Cost Escalators'!$B$28:$B$92,0)),1))</f>
        <v>1.6955067567567568</v>
      </c>
      <c r="R526" s="269">
        <f t="shared" si="67"/>
        <v>94716.093952702708</v>
      </c>
      <c r="S526" s="269">
        <f t="shared" si="68"/>
        <v>103177.33101256104</v>
      </c>
      <c r="T526" s="269">
        <f t="shared" si="69"/>
        <v>13607.919630563965</v>
      </c>
      <c r="U526" s="242">
        <f t="shared" si="70"/>
        <v>47483.55</v>
      </c>
    </row>
    <row r="527" spans="1:21" s="237" customFormat="1" x14ac:dyDescent="0.3">
      <c r="A527" s="237">
        <v>522</v>
      </c>
      <c r="B527" s="263">
        <v>0.5</v>
      </c>
      <c r="C527" s="263">
        <f t="shared" si="64"/>
        <v>0.5</v>
      </c>
      <c r="D527" s="264">
        <f t="shared" si="62"/>
        <v>0</v>
      </c>
      <c r="E527" s="270" t="s">
        <v>1348</v>
      </c>
      <c r="F527" s="384" t="s">
        <v>364</v>
      </c>
      <c r="G527" s="384">
        <v>31</v>
      </c>
      <c r="H527" s="385">
        <v>35782</v>
      </c>
      <c r="I527" s="265">
        <f t="shared" si="65"/>
        <v>1997</v>
      </c>
      <c r="J527" s="383">
        <v>410</v>
      </c>
      <c r="K527" s="641" t="str">
        <f>VLOOKUP(J527,'Cost Escalators'!$C$313:$D$330,2,FALSE)</f>
        <v>Machinery &amp; Equipment</v>
      </c>
      <c r="L527" s="238" t="s">
        <v>1349</v>
      </c>
      <c r="M527" s="384" t="s">
        <v>1506</v>
      </c>
      <c r="N527" s="246">
        <v>14150</v>
      </c>
      <c r="O527" s="267">
        <v>20</v>
      </c>
      <c r="P527" s="250">
        <f t="shared" si="66"/>
        <v>2017</v>
      </c>
      <c r="Q527" s="268">
        <f>IF(J527=10,1,IFERROR(INDEX('Cost Escalators'!$D$28:$D$92,MATCH($P$4,'Cost Escalators'!$B$28:$B$92,0))/INDEX('Cost Escalators'!$D$28:$D$92,MATCH(I527,'Cost Escalators'!$B$28:$B$92,0)),1))</f>
        <v>1.722863027806385</v>
      </c>
      <c r="R527" s="269">
        <f t="shared" si="67"/>
        <v>24378.511843460346</v>
      </c>
      <c r="S527" s="269">
        <f t="shared" si="68"/>
        <v>25809.575658516493</v>
      </c>
      <c r="T527" s="269">
        <f t="shared" si="69"/>
        <v>2364.3920923302853</v>
      </c>
      <c r="U527" s="242">
        <f t="shared" si="70"/>
        <v>12735</v>
      </c>
    </row>
    <row r="528" spans="1:21" s="237" customFormat="1" x14ac:dyDescent="0.3">
      <c r="A528" s="237">
        <v>523</v>
      </c>
      <c r="B528" s="263">
        <v>0.5</v>
      </c>
      <c r="C528" s="263">
        <f t="shared" si="64"/>
        <v>0.5</v>
      </c>
      <c r="D528" s="264">
        <f t="shared" si="62"/>
        <v>0</v>
      </c>
      <c r="E528" s="270" t="s">
        <v>1350</v>
      </c>
      <c r="F528" s="384" t="s">
        <v>364</v>
      </c>
      <c r="G528" s="384">
        <v>31</v>
      </c>
      <c r="H528" s="385">
        <v>36192</v>
      </c>
      <c r="I528" s="265">
        <f t="shared" si="65"/>
        <v>1999</v>
      </c>
      <c r="J528" s="383">
        <v>410</v>
      </c>
      <c r="K528" s="641" t="str">
        <f>VLOOKUP(J528,'Cost Escalators'!$C$313:$D$330,2,FALSE)</f>
        <v>Machinery &amp; Equipment</v>
      </c>
      <c r="L528" s="238" t="s">
        <v>1351</v>
      </c>
      <c r="M528" s="384" t="s">
        <v>1506</v>
      </c>
      <c r="N528" s="246">
        <v>28773</v>
      </c>
      <c r="O528" s="267">
        <v>20</v>
      </c>
      <c r="P528" s="250">
        <f t="shared" si="66"/>
        <v>2019</v>
      </c>
      <c r="Q528" s="268">
        <f>IF(J528=10,1,IFERROR(INDEX('Cost Escalators'!$D$28:$D$92,MATCH($P$4,'Cost Escalators'!$B$28:$B$92,0))/INDEX('Cost Escalators'!$D$28:$D$92,MATCH(I528,'Cost Escalators'!$B$28:$B$92,0)),1))</f>
        <v>1.6566100016504373</v>
      </c>
      <c r="R528" s="269">
        <f t="shared" si="67"/>
        <v>47665.639577488029</v>
      </c>
      <c r="S528" s="269">
        <f t="shared" si="68"/>
        <v>53426.013685187936</v>
      </c>
      <c r="T528" s="269">
        <f t="shared" si="69"/>
        <v>9082.4815968162548</v>
      </c>
      <c r="U528" s="242">
        <f t="shared" si="70"/>
        <v>23018.400000000001</v>
      </c>
    </row>
    <row r="529" spans="1:21" s="237" customFormat="1" x14ac:dyDescent="0.3">
      <c r="A529" s="237">
        <v>524</v>
      </c>
      <c r="B529" s="263">
        <v>0.5</v>
      </c>
      <c r="C529" s="263">
        <f t="shared" si="64"/>
        <v>0.5</v>
      </c>
      <c r="D529" s="264">
        <f t="shared" si="62"/>
        <v>0</v>
      </c>
      <c r="E529" s="270" t="s">
        <v>1352</v>
      </c>
      <c r="F529" s="384" t="s">
        <v>364</v>
      </c>
      <c r="G529" s="384">
        <v>31</v>
      </c>
      <c r="H529" s="385">
        <v>37344</v>
      </c>
      <c r="I529" s="265">
        <f t="shared" si="65"/>
        <v>2002</v>
      </c>
      <c r="J529" s="383">
        <v>410</v>
      </c>
      <c r="K529" s="641" t="str">
        <f>VLOOKUP(J529,'Cost Escalators'!$C$313:$D$330,2,FALSE)</f>
        <v>Machinery &amp; Equipment</v>
      </c>
      <c r="L529" s="238" t="s">
        <v>1353</v>
      </c>
      <c r="M529" s="384" t="s">
        <v>1506</v>
      </c>
      <c r="N529" s="246">
        <v>12000</v>
      </c>
      <c r="O529" s="267">
        <v>15</v>
      </c>
      <c r="P529" s="250">
        <f t="shared" si="66"/>
        <v>2017</v>
      </c>
      <c r="Q529" s="268">
        <f>IF(J529=10,1,IFERROR(INDEX('Cost Escalators'!$D$28:$D$92,MATCH($P$4,'Cost Escalators'!$B$28:$B$92,0))/INDEX('Cost Escalators'!$D$28:$D$92,MATCH(I529,'Cost Escalators'!$B$28:$B$92,0)),1))</f>
        <v>1.5352401345977362</v>
      </c>
      <c r="R529" s="269">
        <f t="shared" si="67"/>
        <v>18422.881615172835</v>
      </c>
      <c r="S529" s="269">
        <f t="shared" si="68"/>
        <v>19504.338900909879</v>
      </c>
      <c r="T529" s="269">
        <f t="shared" si="69"/>
        <v>2318.189092773101</v>
      </c>
      <c r="U529" s="242">
        <f t="shared" si="70"/>
        <v>10400</v>
      </c>
    </row>
    <row r="530" spans="1:21" s="237" customFormat="1" x14ac:dyDescent="0.3">
      <c r="A530" s="237">
        <v>525</v>
      </c>
      <c r="B530" s="263">
        <v>0.5</v>
      </c>
      <c r="C530" s="263">
        <f t="shared" si="64"/>
        <v>0.5</v>
      </c>
      <c r="D530" s="264">
        <f t="shared" si="62"/>
        <v>0</v>
      </c>
      <c r="E530" s="270" t="s">
        <v>1354</v>
      </c>
      <c r="F530" s="384" t="s">
        <v>364</v>
      </c>
      <c r="G530" s="384">
        <v>31</v>
      </c>
      <c r="H530" s="385">
        <v>37424</v>
      </c>
      <c r="I530" s="265">
        <f t="shared" si="65"/>
        <v>2002</v>
      </c>
      <c r="J530" s="383">
        <v>410</v>
      </c>
      <c r="K530" s="641" t="str">
        <f>VLOOKUP(J530,'Cost Escalators'!$C$313:$D$330,2,FALSE)</f>
        <v>Machinery &amp; Equipment</v>
      </c>
      <c r="L530" s="238" t="s">
        <v>850</v>
      </c>
      <c r="M530" s="384" t="s">
        <v>1506</v>
      </c>
      <c r="N530" s="246">
        <v>19905.009999999998</v>
      </c>
      <c r="O530" s="267">
        <v>15</v>
      </c>
      <c r="P530" s="250">
        <f t="shared" si="66"/>
        <v>2017</v>
      </c>
      <c r="Q530" s="268">
        <f>IF(J530=10,1,IFERROR(INDEX('Cost Escalators'!$D$28:$D$92,MATCH($P$4,'Cost Escalators'!$B$28:$B$92,0))/INDEX('Cost Escalators'!$D$28:$D$92,MATCH(I530,'Cost Escalators'!$B$28:$B$92,0)),1))</f>
        <v>1.5352401345977362</v>
      </c>
      <c r="R530" s="269">
        <f t="shared" si="67"/>
        <v>30558.970231569285</v>
      </c>
      <c r="S530" s="269">
        <f t="shared" si="68"/>
        <v>32352.83840550001</v>
      </c>
      <c r="T530" s="269">
        <f t="shared" si="69"/>
        <v>3845.2980894616258</v>
      </c>
      <c r="U530" s="242">
        <f t="shared" si="70"/>
        <v>17251.008666666665</v>
      </c>
    </row>
    <row r="531" spans="1:21" s="237" customFormat="1" x14ac:dyDescent="0.3">
      <c r="A531" s="237">
        <v>526</v>
      </c>
      <c r="B531" s="263">
        <v>0.5</v>
      </c>
      <c r="C531" s="263">
        <f t="shared" si="64"/>
        <v>0.5</v>
      </c>
      <c r="D531" s="264">
        <f t="shared" si="62"/>
        <v>0</v>
      </c>
      <c r="E531" s="270" t="s">
        <v>1355</v>
      </c>
      <c r="F531" s="384" t="s">
        <v>364</v>
      </c>
      <c r="G531" s="384">
        <v>31</v>
      </c>
      <c r="H531" s="385">
        <v>38915</v>
      </c>
      <c r="I531" s="265">
        <f t="shared" si="65"/>
        <v>2006</v>
      </c>
      <c r="J531" s="383">
        <v>410</v>
      </c>
      <c r="K531" s="641" t="str">
        <f>VLOOKUP(J531,'Cost Escalators'!$C$313:$D$330,2,FALSE)</f>
        <v>Machinery &amp; Equipment</v>
      </c>
      <c r="L531" s="238" t="s">
        <v>1356</v>
      </c>
      <c r="M531" s="384" t="s">
        <v>1506</v>
      </c>
      <c r="N531" s="246">
        <v>69134</v>
      </c>
      <c r="O531" s="267">
        <v>10</v>
      </c>
      <c r="P531" s="250">
        <f t="shared" si="66"/>
        <v>2016</v>
      </c>
      <c r="Q531" s="268">
        <f>IF(J531=10,1,IFERROR(INDEX('Cost Escalators'!$D$28:$D$92,MATCH($P$4,'Cost Escalators'!$B$28:$B$92,0))/INDEX('Cost Escalators'!$D$28:$D$92,MATCH(I531,'Cost Escalators'!$B$28:$B$92,0)),1))</f>
        <v>1.2949395258829222</v>
      </c>
      <c r="R531" s="269">
        <f t="shared" si="67"/>
        <v>89524.349182389939</v>
      </c>
      <c r="S531" s="269">
        <f t="shared" si="68"/>
        <v>92114.502117769298</v>
      </c>
      <c r="T531" s="269">
        <f t="shared" si="69"/>
        <v>8936.6184168951295</v>
      </c>
      <c r="U531" s="242">
        <f t="shared" si="70"/>
        <v>62220.6</v>
      </c>
    </row>
    <row r="532" spans="1:21" s="237" customFormat="1" x14ac:dyDescent="0.3">
      <c r="A532" s="237">
        <v>527</v>
      </c>
      <c r="B532" s="263">
        <v>0</v>
      </c>
      <c r="C532" s="263">
        <f t="shared" si="64"/>
        <v>1</v>
      </c>
      <c r="D532" s="264">
        <f t="shared" si="62"/>
        <v>0</v>
      </c>
      <c r="E532" s="270" t="s">
        <v>1357</v>
      </c>
      <c r="F532" s="384" t="s">
        <v>364</v>
      </c>
      <c r="G532" s="384">
        <v>31</v>
      </c>
      <c r="H532" s="385">
        <v>38889</v>
      </c>
      <c r="I532" s="265">
        <f t="shared" si="65"/>
        <v>2006</v>
      </c>
      <c r="J532" s="383">
        <v>410</v>
      </c>
      <c r="K532" s="641" t="str">
        <f>VLOOKUP(J532,'Cost Escalators'!$C$313:$D$330,2,FALSE)</f>
        <v>Machinery &amp; Equipment</v>
      </c>
      <c r="L532" s="238" t="s">
        <v>1358</v>
      </c>
      <c r="M532" s="384" t="s">
        <v>1506</v>
      </c>
      <c r="N532" s="246">
        <v>44405</v>
      </c>
      <c r="O532" s="267">
        <v>10</v>
      </c>
      <c r="P532" s="250">
        <f t="shared" si="66"/>
        <v>2016</v>
      </c>
      <c r="Q532" s="268">
        <f>IF(J532=10,1,IFERROR(INDEX('Cost Escalators'!$D$28:$D$92,MATCH($P$4,'Cost Escalators'!$B$28:$B$92,0))/INDEX('Cost Escalators'!$D$28:$D$92,MATCH(I532,'Cost Escalators'!$B$28:$B$92,0)),1))</f>
        <v>1.2949395258829222</v>
      </c>
      <c r="R532" s="269">
        <f t="shared" si="67"/>
        <v>57501.789646831159</v>
      </c>
      <c r="S532" s="269">
        <f t="shared" si="68"/>
        <v>59165.45356177201</v>
      </c>
      <c r="T532" s="269">
        <f t="shared" si="69"/>
        <v>5740.0199728386633</v>
      </c>
      <c r="U532" s="242">
        <f t="shared" si="70"/>
        <v>39964.5</v>
      </c>
    </row>
    <row r="533" spans="1:21" s="237" customFormat="1" x14ac:dyDescent="0.3">
      <c r="A533" s="237">
        <v>528</v>
      </c>
      <c r="B533" s="263">
        <v>1</v>
      </c>
      <c r="C533" s="263">
        <f t="shared" si="64"/>
        <v>0</v>
      </c>
      <c r="D533" s="264">
        <f t="shared" si="62"/>
        <v>0</v>
      </c>
      <c r="E533" s="270" t="s">
        <v>1359</v>
      </c>
      <c r="F533" s="384" t="s">
        <v>364</v>
      </c>
      <c r="G533" s="384">
        <v>31</v>
      </c>
      <c r="H533" s="385">
        <v>40543</v>
      </c>
      <c r="I533" s="265">
        <f t="shared" si="65"/>
        <v>2010</v>
      </c>
      <c r="J533" s="383">
        <v>410</v>
      </c>
      <c r="K533" s="641" t="str">
        <f>VLOOKUP(J533,'Cost Escalators'!$C$313:$D$330,2,FALSE)</f>
        <v>Machinery &amp; Equipment</v>
      </c>
      <c r="L533" s="868" t="s">
        <v>1360</v>
      </c>
      <c r="M533" s="384" t="s">
        <v>1506</v>
      </c>
      <c r="N533" s="246">
        <v>50600</v>
      </c>
      <c r="O533" s="267">
        <v>25</v>
      </c>
      <c r="P533" s="250">
        <f t="shared" si="66"/>
        <v>2035</v>
      </c>
      <c r="Q533" s="268">
        <f>IF(J533=10,1,IFERROR(INDEX('Cost Escalators'!$D$28:$D$92,MATCH($P$4,'Cost Escalators'!$B$28:$B$92,0))/INDEX('Cost Escalators'!$D$28:$D$92,MATCH(I533,'Cost Escalators'!$B$28:$B$92,0)),1))</f>
        <v>1.1407540701033272</v>
      </c>
      <c r="R533" s="269">
        <f t="shared" si="67"/>
        <v>57722.155947228355</v>
      </c>
      <c r="S533" s="269">
        <f t="shared" si="68"/>
        <v>102112.58610607481</v>
      </c>
      <c r="T533" s="269">
        <f t="shared" si="69"/>
        <v>46684.712293566605</v>
      </c>
      <c r="U533" s="242">
        <f t="shared" si="70"/>
        <v>10120</v>
      </c>
    </row>
    <row r="534" spans="1:21" s="237" customFormat="1" x14ac:dyDescent="0.3">
      <c r="A534" s="237">
        <v>529</v>
      </c>
      <c r="B534" s="263">
        <v>1</v>
      </c>
      <c r="C534" s="263">
        <f t="shared" si="64"/>
        <v>0</v>
      </c>
      <c r="D534" s="264">
        <f t="shared" si="62"/>
        <v>0</v>
      </c>
      <c r="E534" s="270" t="s">
        <v>1359</v>
      </c>
      <c r="F534" s="384" t="s">
        <v>364</v>
      </c>
      <c r="G534" s="384">
        <v>31</v>
      </c>
      <c r="H534" s="385">
        <v>40543</v>
      </c>
      <c r="I534" s="265">
        <f t="shared" si="65"/>
        <v>2010</v>
      </c>
      <c r="J534" s="383">
        <v>410</v>
      </c>
      <c r="K534" s="641" t="str">
        <f>VLOOKUP(J534,'Cost Escalators'!$C$313:$D$330,2,FALSE)</f>
        <v>Machinery &amp; Equipment</v>
      </c>
      <c r="L534" s="868" t="s">
        <v>1361</v>
      </c>
      <c r="M534" s="384" t="s">
        <v>1506</v>
      </c>
      <c r="N534" s="246">
        <v>223491</v>
      </c>
      <c r="O534" s="267">
        <v>25</v>
      </c>
      <c r="P534" s="250">
        <f t="shared" si="66"/>
        <v>2035</v>
      </c>
      <c r="Q534" s="268">
        <f>IF(J534=10,1,IFERROR(INDEX('Cost Escalators'!$D$28:$D$92,MATCH($P$4,'Cost Escalators'!$B$28:$B$92,0))/INDEX('Cost Escalators'!$D$28:$D$92,MATCH(I534,'Cost Escalators'!$B$28:$B$92,0)),1))</f>
        <v>1.1407540701033272</v>
      </c>
      <c r="R534" s="269">
        <f t="shared" si="67"/>
        <v>254948.2678814627</v>
      </c>
      <c r="S534" s="269">
        <f t="shared" si="68"/>
        <v>451012.72690578591</v>
      </c>
      <c r="T534" s="269">
        <f t="shared" si="69"/>
        <v>206197.88607117574</v>
      </c>
      <c r="U534" s="242">
        <f t="shared" si="70"/>
        <v>44698.2</v>
      </c>
    </row>
    <row r="535" spans="1:21" s="237" customFormat="1" x14ac:dyDescent="0.3">
      <c r="A535" s="237">
        <v>530</v>
      </c>
      <c r="B535" s="263">
        <v>1</v>
      </c>
      <c r="C535" s="263">
        <f t="shared" si="64"/>
        <v>0</v>
      </c>
      <c r="D535" s="264">
        <f t="shared" si="62"/>
        <v>0</v>
      </c>
      <c r="E535" s="270" t="s">
        <v>1359</v>
      </c>
      <c r="F535" s="384" t="s">
        <v>364</v>
      </c>
      <c r="G535" s="384">
        <v>31</v>
      </c>
      <c r="H535" s="385">
        <v>40908</v>
      </c>
      <c r="I535" s="265">
        <f t="shared" si="65"/>
        <v>2011</v>
      </c>
      <c r="J535" s="383">
        <v>410</v>
      </c>
      <c r="K535" s="641" t="str">
        <f>VLOOKUP(J535,'Cost Escalators'!$C$313:$D$330,2,FALSE)</f>
        <v>Machinery &amp; Equipment</v>
      </c>
      <c r="L535" s="868" t="s">
        <v>1362</v>
      </c>
      <c r="M535" s="384" t="s">
        <v>1506</v>
      </c>
      <c r="N535" s="246">
        <v>450</v>
      </c>
      <c r="O535" s="267">
        <v>25</v>
      </c>
      <c r="P535" s="250">
        <f t="shared" si="66"/>
        <v>2036</v>
      </c>
      <c r="Q535" s="268">
        <f>IF(J535=10,1,IFERROR(INDEX('Cost Escalators'!$D$28:$D$92,MATCH($P$4,'Cost Escalators'!$B$28:$B$92,0))/INDEX('Cost Escalators'!$D$28:$D$92,MATCH(I535,'Cost Escalators'!$B$28:$B$92,0)),1))</f>
        <v>1.1066796523273121</v>
      </c>
      <c r="R535" s="269">
        <f t="shared" si="67"/>
        <v>498.00584354729045</v>
      </c>
      <c r="S535" s="269">
        <f t="shared" si="68"/>
        <v>906.47954135928546</v>
      </c>
      <c r="T535" s="269">
        <f t="shared" si="69"/>
        <v>423.68115380411126</v>
      </c>
      <c r="U535" s="242">
        <f t="shared" si="70"/>
        <v>72</v>
      </c>
    </row>
    <row r="536" spans="1:21" s="237" customFormat="1" x14ac:dyDescent="0.3">
      <c r="A536" s="237">
        <v>531</v>
      </c>
      <c r="B536" s="263">
        <v>1</v>
      </c>
      <c r="C536" s="263">
        <f t="shared" si="64"/>
        <v>0</v>
      </c>
      <c r="D536" s="264">
        <f t="shared" si="62"/>
        <v>0</v>
      </c>
      <c r="E536" s="270" t="s">
        <v>1363</v>
      </c>
      <c r="F536" s="384" t="s">
        <v>764</v>
      </c>
      <c r="G536" s="384">
        <v>31</v>
      </c>
      <c r="H536" s="385">
        <v>31981</v>
      </c>
      <c r="I536" s="265">
        <f t="shared" si="65"/>
        <v>1987</v>
      </c>
      <c r="J536" s="383">
        <v>410</v>
      </c>
      <c r="K536" s="641" t="str">
        <f>VLOOKUP(J536,'Cost Escalators'!$C$313:$D$330,2,FALSE)</f>
        <v>Machinery &amp; Equipment</v>
      </c>
      <c r="L536" s="868" t="s">
        <v>1364</v>
      </c>
      <c r="M536" s="384" t="s">
        <v>1506</v>
      </c>
      <c r="N536" s="246">
        <v>83341.5</v>
      </c>
      <c r="O536" s="267">
        <v>20</v>
      </c>
      <c r="P536" s="250">
        <f t="shared" si="66"/>
        <v>2007</v>
      </c>
      <c r="Q536" s="268">
        <f>IF(J536=10,1,IFERROR(INDEX('Cost Escalators'!$D$28:$D$92,MATCH($P$4,'Cost Escalators'!$B$28:$B$92,0))/INDEX('Cost Escalators'!$D$28:$D$92,MATCH(I536,'Cost Escalators'!$B$28:$B$92,0)),1))</f>
        <v>2.2781207444394007</v>
      </c>
      <c r="R536" s="269">
        <f t="shared" si="67"/>
        <v>189862.0000226963</v>
      </c>
      <c r="S536" s="269">
        <f t="shared" si="68"/>
        <v>189862.0000226963</v>
      </c>
      <c r="T536" s="269">
        <f t="shared" si="69"/>
        <v>0</v>
      </c>
      <c r="U536" s="242">
        <f t="shared" si="70"/>
        <v>83341.5</v>
      </c>
    </row>
    <row r="537" spans="1:21" s="237" customFormat="1" x14ac:dyDescent="0.3">
      <c r="A537" s="237">
        <v>532</v>
      </c>
      <c r="B537" s="263">
        <v>1</v>
      </c>
      <c r="C537" s="263">
        <f t="shared" si="64"/>
        <v>0</v>
      </c>
      <c r="D537" s="264">
        <f t="shared" si="62"/>
        <v>0</v>
      </c>
      <c r="E537" s="270" t="s">
        <v>1365</v>
      </c>
      <c r="F537" s="384" t="s">
        <v>764</v>
      </c>
      <c r="G537" s="384">
        <v>31</v>
      </c>
      <c r="H537" s="385">
        <v>31981</v>
      </c>
      <c r="I537" s="265">
        <f t="shared" si="65"/>
        <v>1987</v>
      </c>
      <c r="J537" s="383">
        <v>410</v>
      </c>
      <c r="K537" s="641" t="str">
        <f>VLOOKUP(J537,'Cost Escalators'!$C$313:$D$330,2,FALSE)</f>
        <v>Machinery &amp; Equipment</v>
      </c>
      <c r="L537" s="868" t="s">
        <v>1364</v>
      </c>
      <c r="M537" s="384" t="s">
        <v>1506</v>
      </c>
      <c r="N537" s="246">
        <v>83341.5</v>
      </c>
      <c r="O537" s="267">
        <v>20</v>
      </c>
      <c r="P537" s="250">
        <f t="shared" si="66"/>
        <v>2007</v>
      </c>
      <c r="Q537" s="268">
        <f>IF(J537=10,1,IFERROR(INDEX('Cost Escalators'!$D$28:$D$92,MATCH($P$4,'Cost Escalators'!$B$28:$B$92,0))/INDEX('Cost Escalators'!$D$28:$D$92,MATCH(I537,'Cost Escalators'!$B$28:$B$92,0)),1))</f>
        <v>2.2781207444394007</v>
      </c>
      <c r="R537" s="269">
        <f t="shared" si="67"/>
        <v>189862.0000226963</v>
      </c>
      <c r="S537" s="269">
        <f t="shared" si="68"/>
        <v>189862.0000226963</v>
      </c>
      <c r="T537" s="269">
        <f t="shared" si="69"/>
        <v>0</v>
      </c>
      <c r="U537" s="242">
        <f t="shared" si="70"/>
        <v>83341.5</v>
      </c>
    </row>
    <row r="538" spans="1:21" s="237" customFormat="1" x14ac:dyDescent="0.3">
      <c r="A538" s="237">
        <v>533</v>
      </c>
      <c r="B538" s="263">
        <v>0.5</v>
      </c>
      <c r="C538" s="263">
        <f t="shared" si="64"/>
        <v>0.5</v>
      </c>
      <c r="D538" s="264">
        <f t="shared" si="62"/>
        <v>0</v>
      </c>
      <c r="E538" s="270" t="s">
        <v>1366</v>
      </c>
      <c r="F538" s="384" t="s">
        <v>764</v>
      </c>
      <c r="G538" s="384">
        <v>31</v>
      </c>
      <c r="H538" s="385">
        <v>33375</v>
      </c>
      <c r="I538" s="265">
        <f t="shared" si="65"/>
        <v>1991</v>
      </c>
      <c r="J538" s="383">
        <v>410</v>
      </c>
      <c r="K538" s="641" t="str">
        <f>VLOOKUP(J538,'Cost Escalators'!$C$313:$D$330,2,FALSE)</f>
        <v>Machinery &amp; Equipment</v>
      </c>
      <c r="L538" s="238" t="s">
        <v>1367</v>
      </c>
      <c r="M538" s="384" t="s">
        <v>1506</v>
      </c>
      <c r="N538" s="246">
        <v>37850</v>
      </c>
      <c r="O538" s="267">
        <v>20</v>
      </c>
      <c r="P538" s="250">
        <f t="shared" si="66"/>
        <v>2011</v>
      </c>
      <c r="Q538" s="268">
        <f>IF(J538=10,1,IFERROR(INDEX('Cost Escalators'!$D$28:$D$92,MATCH($P$4,'Cost Escalators'!$B$28:$B$92,0))/INDEX('Cost Escalators'!$D$28:$D$92,MATCH(I538,'Cost Escalators'!$B$28:$B$92,0)),1))</f>
        <v>2.0759875904860392</v>
      </c>
      <c r="R538" s="269">
        <f t="shared" si="67"/>
        <v>78576.130299896584</v>
      </c>
      <c r="S538" s="269">
        <f t="shared" si="68"/>
        <v>78576.130299896584</v>
      </c>
      <c r="T538" s="269">
        <f t="shared" si="69"/>
        <v>0</v>
      </c>
      <c r="U538" s="242">
        <f t="shared" si="70"/>
        <v>37850</v>
      </c>
    </row>
    <row r="539" spans="1:21" s="237" customFormat="1" x14ac:dyDescent="0.3">
      <c r="A539" s="237">
        <v>534</v>
      </c>
      <c r="B539" s="263">
        <v>1</v>
      </c>
      <c r="C539" s="263">
        <f t="shared" si="64"/>
        <v>0</v>
      </c>
      <c r="D539" s="264">
        <f t="shared" si="62"/>
        <v>0</v>
      </c>
      <c r="E539" s="270" t="s">
        <v>1368</v>
      </c>
      <c r="F539" s="384" t="s">
        <v>764</v>
      </c>
      <c r="G539" s="384">
        <v>31</v>
      </c>
      <c r="H539" s="385">
        <v>33600</v>
      </c>
      <c r="I539" s="265">
        <f t="shared" si="65"/>
        <v>1991</v>
      </c>
      <c r="J539" s="383">
        <v>410</v>
      </c>
      <c r="K539" s="641" t="str">
        <f>VLOOKUP(J539,'Cost Escalators'!$C$313:$D$330,2,FALSE)</f>
        <v>Machinery &amp; Equipment</v>
      </c>
      <c r="L539" s="868" t="s">
        <v>1369</v>
      </c>
      <c r="M539" s="384" t="s">
        <v>1506</v>
      </c>
      <c r="N539" s="246">
        <v>20913</v>
      </c>
      <c r="O539" s="267">
        <v>20</v>
      </c>
      <c r="P539" s="250">
        <f t="shared" si="66"/>
        <v>2011</v>
      </c>
      <c r="Q539" s="268">
        <f>IF(J539=10,1,IFERROR(INDEX('Cost Escalators'!$D$28:$D$92,MATCH($P$4,'Cost Escalators'!$B$28:$B$92,0))/INDEX('Cost Escalators'!$D$28:$D$92,MATCH(I539,'Cost Escalators'!$B$28:$B$92,0)),1))</f>
        <v>2.0759875904860392</v>
      </c>
      <c r="R539" s="269">
        <f t="shared" si="67"/>
        <v>43415.128479834537</v>
      </c>
      <c r="S539" s="269">
        <f t="shared" si="68"/>
        <v>43415.128479834537</v>
      </c>
      <c r="T539" s="269">
        <f t="shared" si="69"/>
        <v>0</v>
      </c>
      <c r="U539" s="242">
        <f t="shared" si="70"/>
        <v>20913</v>
      </c>
    </row>
    <row r="540" spans="1:21" s="237" customFormat="1" x14ac:dyDescent="0.3">
      <c r="A540" s="237">
        <v>535</v>
      </c>
      <c r="B540" s="263">
        <v>0.33</v>
      </c>
      <c r="C540" s="263">
        <v>0.33</v>
      </c>
      <c r="D540" s="264">
        <f t="shared" si="62"/>
        <v>0.33999999999999991</v>
      </c>
      <c r="E540" s="270" t="s">
        <v>1370</v>
      </c>
      <c r="F540" s="384" t="s">
        <v>764</v>
      </c>
      <c r="G540" s="384">
        <v>31</v>
      </c>
      <c r="H540" s="385">
        <v>34607</v>
      </c>
      <c r="I540" s="265">
        <f t="shared" si="65"/>
        <v>1994</v>
      </c>
      <c r="J540" s="383">
        <v>410</v>
      </c>
      <c r="K540" s="641" t="str">
        <f>VLOOKUP(J540,'Cost Escalators'!$C$313:$D$330,2,FALSE)</f>
        <v>Machinery &amp; Equipment</v>
      </c>
      <c r="L540" s="868" t="s">
        <v>1371</v>
      </c>
      <c r="M540" s="384" t="s">
        <v>1506</v>
      </c>
      <c r="N540" s="246">
        <v>9995</v>
      </c>
      <c r="O540" s="267">
        <v>7</v>
      </c>
      <c r="P540" s="250">
        <f t="shared" si="66"/>
        <v>2001</v>
      </c>
      <c r="Q540" s="268">
        <f>IF(J540=10,1,IFERROR(INDEX('Cost Escalators'!$D$28:$D$92,MATCH($P$4,'Cost Escalators'!$B$28:$B$92,0))/INDEX('Cost Escalators'!$D$28:$D$92,MATCH(I540,'Cost Escalators'!$B$28:$B$92,0)),1))</f>
        <v>1.8560281065088757</v>
      </c>
      <c r="R540" s="269">
        <f t="shared" si="67"/>
        <v>18551.000924556214</v>
      </c>
      <c r="S540" s="269">
        <f t="shared" si="68"/>
        <v>18551.000924556214</v>
      </c>
      <c r="T540" s="269">
        <f t="shared" si="69"/>
        <v>0</v>
      </c>
      <c r="U540" s="242">
        <f t="shared" si="70"/>
        <v>9995</v>
      </c>
    </row>
    <row r="541" spans="1:21" s="237" customFormat="1" x14ac:dyDescent="0.3">
      <c r="A541" s="237">
        <v>536</v>
      </c>
      <c r="B541" s="263">
        <v>1</v>
      </c>
      <c r="C541" s="263">
        <f t="shared" si="64"/>
        <v>0</v>
      </c>
      <c r="D541" s="264">
        <f t="shared" si="62"/>
        <v>0</v>
      </c>
      <c r="E541" s="270" t="s">
        <v>1372</v>
      </c>
      <c r="F541" s="384" t="s">
        <v>764</v>
      </c>
      <c r="G541" s="384">
        <v>31</v>
      </c>
      <c r="H541" s="385">
        <v>26572</v>
      </c>
      <c r="I541" s="265">
        <f t="shared" si="65"/>
        <v>1972</v>
      </c>
      <c r="J541" s="383">
        <v>410</v>
      </c>
      <c r="K541" s="641" t="str">
        <f>VLOOKUP(J541,'Cost Escalators'!$C$313:$D$330,2,FALSE)</f>
        <v>Machinery &amp; Equipment</v>
      </c>
      <c r="L541" s="238" t="s">
        <v>1373</v>
      </c>
      <c r="M541" s="384" t="s">
        <v>1506</v>
      </c>
      <c r="N541" s="246">
        <v>4755</v>
      </c>
      <c r="O541" s="267">
        <v>20</v>
      </c>
      <c r="P541" s="250">
        <f t="shared" si="66"/>
        <v>1992</v>
      </c>
      <c r="Q541" s="268">
        <f>IF(J541=10,1,IFERROR(INDEX('Cost Escalators'!$D$28:$D$92,MATCH($P$4,'Cost Escalators'!$B$28:$B$92,0))/INDEX('Cost Escalators'!$D$28:$D$92,MATCH(I541,'Cost Escalators'!$B$28:$B$92,0)),1))</f>
        <v>5.7258414147176264</v>
      </c>
      <c r="R541" s="269">
        <f t="shared" si="67"/>
        <v>27226.375926982313</v>
      </c>
      <c r="S541" s="269">
        <f t="shared" si="68"/>
        <v>27226.375926982313</v>
      </c>
      <c r="T541" s="269">
        <f t="shared" si="69"/>
        <v>0</v>
      </c>
      <c r="U541" s="242">
        <f t="shared" si="70"/>
        <v>4755</v>
      </c>
    </row>
    <row r="542" spans="1:21" s="237" customFormat="1" x14ac:dyDescent="0.3">
      <c r="A542" s="237">
        <v>537</v>
      </c>
      <c r="B542" s="263">
        <v>0</v>
      </c>
      <c r="C542" s="263">
        <f t="shared" si="64"/>
        <v>1</v>
      </c>
      <c r="D542" s="264">
        <f t="shared" si="62"/>
        <v>0</v>
      </c>
      <c r="E542" s="270" t="s">
        <v>1374</v>
      </c>
      <c r="F542" s="384" t="s">
        <v>764</v>
      </c>
      <c r="G542" s="384">
        <v>31</v>
      </c>
      <c r="H542" s="385">
        <v>36038</v>
      </c>
      <c r="I542" s="265">
        <f t="shared" si="65"/>
        <v>1998</v>
      </c>
      <c r="J542" s="383">
        <v>410</v>
      </c>
      <c r="K542" s="641" t="str">
        <f>VLOOKUP(J542,'Cost Escalators'!$C$313:$D$330,2,FALSE)</f>
        <v>Machinery &amp; Equipment</v>
      </c>
      <c r="L542" s="238" t="s">
        <v>1375</v>
      </c>
      <c r="M542" s="384" t="s">
        <v>1506</v>
      </c>
      <c r="N542" s="246">
        <v>248130</v>
      </c>
      <c r="O542" s="267">
        <v>10</v>
      </c>
      <c r="P542" s="250">
        <f t="shared" si="66"/>
        <v>2008</v>
      </c>
      <c r="Q542" s="268">
        <f>IF(J542=10,1,IFERROR(INDEX('Cost Escalators'!$D$28:$D$92,MATCH($P$4,'Cost Escalators'!$B$28:$B$92,0))/INDEX('Cost Escalators'!$D$28:$D$92,MATCH(I542,'Cost Escalators'!$B$28:$B$92,0)),1))</f>
        <v>1.6955067567567568</v>
      </c>
      <c r="R542" s="269">
        <f t="shared" si="67"/>
        <v>420706.09155405406</v>
      </c>
      <c r="S542" s="269">
        <f t="shared" si="68"/>
        <v>420706.09155405406</v>
      </c>
      <c r="T542" s="269">
        <f t="shared" si="69"/>
        <v>0</v>
      </c>
      <c r="U542" s="242">
        <f t="shared" si="70"/>
        <v>248130</v>
      </c>
    </row>
    <row r="543" spans="1:21" s="237" customFormat="1" x14ac:dyDescent="0.3">
      <c r="A543" s="237">
        <v>538</v>
      </c>
      <c r="B543" s="263">
        <v>0.33</v>
      </c>
      <c r="C543" s="263">
        <v>0.33</v>
      </c>
      <c r="D543" s="264">
        <f t="shared" si="62"/>
        <v>0.33999999999999991</v>
      </c>
      <c r="E543" s="270" t="s">
        <v>1376</v>
      </c>
      <c r="F543" s="384" t="s">
        <v>764</v>
      </c>
      <c r="G543" s="384">
        <v>31</v>
      </c>
      <c r="H543" s="385">
        <v>36677</v>
      </c>
      <c r="I543" s="265">
        <f t="shared" si="65"/>
        <v>2000</v>
      </c>
      <c r="J543" s="383">
        <v>410</v>
      </c>
      <c r="K543" s="641" t="str">
        <f>VLOOKUP(J543,'Cost Escalators'!$C$313:$D$330,2,FALSE)</f>
        <v>Machinery &amp; Equipment</v>
      </c>
      <c r="L543" s="868" t="s">
        <v>1377</v>
      </c>
      <c r="M543" s="384" t="s">
        <v>1506</v>
      </c>
      <c r="N543" s="246">
        <v>108700</v>
      </c>
      <c r="O543" s="267">
        <v>10</v>
      </c>
      <c r="P543" s="250">
        <f t="shared" si="66"/>
        <v>2010</v>
      </c>
      <c r="Q543" s="268">
        <f>IF(J543=10,1,IFERROR(INDEX('Cost Escalators'!$D$28:$D$92,MATCH($P$4,'Cost Escalators'!$B$28:$B$92,0))/INDEX('Cost Escalators'!$D$28:$D$92,MATCH(I543,'Cost Escalators'!$B$28:$B$92,0)),1))</f>
        <v>1.6134705031345442</v>
      </c>
      <c r="R543" s="269">
        <f t="shared" si="67"/>
        <v>175384.24369072495</v>
      </c>
      <c r="S543" s="269">
        <f t="shared" si="68"/>
        <v>175384.24369072495</v>
      </c>
      <c r="T543" s="269">
        <f t="shared" si="69"/>
        <v>0</v>
      </c>
      <c r="U543" s="242">
        <f t="shared" si="70"/>
        <v>108700</v>
      </c>
    </row>
    <row r="544" spans="1:21" s="237" customFormat="1" x14ac:dyDescent="0.3">
      <c r="A544" s="237">
        <v>539</v>
      </c>
      <c r="B544" s="263">
        <v>0.5</v>
      </c>
      <c r="C544" s="263">
        <f t="shared" si="64"/>
        <v>0.5</v>
      </c>
      <c r="D544" s="264">
        <f t="shared" si="62"/>
        <v>0</v>
      </c>
      <c r="E544" s="270" t="s">
        <v>1378</v>
      </c>
      <c r="F544" s="384" t="s">
        <v>764</v>
      </c>
      <c r="G544" s="384">
        <v>31</v>
      </c>
      <c r="H544" s="385">
        <v>37131</v>
      </c>
      <c r="I544" s="265">
        <f t="shared" si="65"/>
        <v>2001</v>
      </c>
      <c r="J544" s="383">
        <v>410</v>
      </c>
      <c r="K544" s="641" t="str">
        <f>VLOOKUP(J544,'Cost Escalators'!$C$313:$D$330,2,FALSE)</f>
        <v>Machinery &amp; Equipment</v>
      </c>
      <c r="L544" s="238" t="s">
        <v>1379</v>
      </c>
      <c r="M544" s="384" t="s">
        <v>1506</v>
      </c>
      <c r="N544" s="246">
        <v>13275.11</v>
      </c>
      <c r="O544" s="267">
        <v>10</v>
      </c>
      <c r="P544" s="250">
        <f t="shared" si="66"/>
        <v>2011</v>
      </c>
      <c r="Q544" s="268">
        <f>IF(J544=10,1,IFERROR(INDEX('Cost Escalators'!$D$28:$D$92,MATCH($P$4,'Cost Escalators'!$B$28:$B$92,0))/INDEX('Cost Escalators'!$D$28:$D$92,MATCH(I544,'Cost Escalators'!$B$28:$B$92,0)),1))</f>
        <v>1.5824373324925114</v>
      </c>
      <c r="R544" s="269">
        <f t="shared" si="67"/>
        <v>21007.029656944665</v>
      </c>
      <c r="S544" s="269">
        <f t="shared" si="68"/>
        <v>21007.029656944665</v>
      </c>
      <c r="T544" s="269">
        <f t="shared" si="69"/>
        <v>0</v>
      </c>
      <c r="U544" s="242">
        <f t="shared" si="70"/>
        <v>13275.11</v>
      </c>
    </row>
    <row r="545" spans="1:21" s="237" customFormat="1" x14ac:dyDescent="0.3">
      <c r="A545" s="237">
        <v>540</v>
      </c>
      <c r="B545" s="263">
        <v>0</v>
      </c>
      <c r="C545" s="263">
        <v>0</v>
      </c>
      <c r="D545" s="264">
        <v>0</v>
      </c>
      <c r="E545" s="270" t="s">
        <v>1380</v>
      </c>
      <c r="F545" s="384" t="s">
        <v>764</v>
      </c>
      <c r="G545" s="384">
        <v>31</v>
      </c>
      <c r="H545" s="385">
        <v>37286</v>
      </c>
      <c r="I545" s="265">
        <f t="shared" si="65"/>
        <v>2002</v>
      </c>
      <c r="J545" s="383">
        <v>410</v>
      </c>
      <c r="K545" s="641" t="str">
        <f>VLOOKUP(J545,'Cost Escalators'!$C$313:$D$330,2,FALSE)</f>
        <v>Machinery &amp; Equipment</v>
      </c>
      <c r="L545" s="868" t="s">
        <v>1381</v>
      </c>
      <c r="M545" s="384" t="s">
        <v>1506</v>
      </c>
      <c r="N545" s="246">
        <v>11220</v>
      </c>
      <c r="O545" s="267">
        <v>10</v>
      </c>
      <c r="P545" s="250">
        <f t="shared" si="66"/>
        <v>2012</v>
      </c>
      <c r="Q545" s="268">
        <f>IF(J545=10,1,IFERROR(INDEX('Cost Escalators'!$D$28:$D$92,MATCH($P$4,'Cost Escalators'!$B$28:$B$92,0))/INDEX('Cost Escalators'!$D$28:$D$92,MATCH(I545,'Cost Escalators'!$B$28:$B$92,0)),1))</f>
        <v>1.5352401345977362</v>
      </c>
      <c r="R545" s="269">
        <f t="shared" si="67"/>
        <v>17225.394310186599</v>
      </c>
      <c r="S545" s="269">
        <f t="shared" si="68"/>
        <v>17225.394310186599</v>
      </c>
      <c r="T545" s="269">
        <f t="shared" si="69"/>
        <v>0</v>
      </c>
      <c r="U545" s="242">
        <f t="shared" si="70"/>
        <v>11220</v>
      </c>
    </row>
    <row r="546" spans="1:21" s="237" customFormat="1" x14ac:dyDescent="0.3">
      <c r="A546" s="237">
        <v>541</v>
      </c>
      <c r="B546" s="263">
        <v>0.5</v>
      </c>
      <c r="C546" s="263">
        <f t="shared" si="64"/>
        <v>0.5</v>
      </c>
      <c r="D546" s="264">
        <f t="shared" si="62"/>
        <v>0</v>
      </c>
      <c r="E546" s="270" t="s">
        <v>1382</v>
      </c>
      <c r="F546" s="384" t="s">
        <v>764</v>
      </c>
      <c r="G546" s="384">
        <v>31</v>
      </c>
      <c r="H546" s="385">
        <v>37586</v>
      </c>
      <c r="I546" s="265">
        <f t="shared" si="65"/>
        <v>2002</v>
      </c>
      <c r="J546" s="383">
        <v>410</v>
      </c>
      <c r="K546" s="641" t="str">
        <f>VLOOKUP(J546,'Cost Escalators'!$C$313:$D$330,2,FALSE)</f>
        <v>Machinery &amp; Equipment</v>
      </c>
      <c r="L546" s="238" t="s">
        <v>1383</v>
      </c>
      <c r="M546" s="384" t="s">
        <v>1506</v>
      </c>
      <c r="N546" s="246">
        <v>38500.76</v>
      </c>
      <c r="O546" s="267">
        <v>10</v>
      </c>
      <c r="P546" s="250">
        <f t="shared" si="66"/>
        <v>2012</v>
      </c>
      <c r="Q546" s="268">
        <f>IF(J546=10,1,IFERROR(INDEX('Cost Escalators'!$D$28:$D$92,MATCH($P$4,'Cost Escalators'!$B$28:$B$92,0))/INDEX('Cost Escalators'!$D$28:$D$92,MATCH(I546,'Cost Escalators'!$B$28:$B$92,0)),1))</f>
        <v>1.5352401345977362</v>
      </c>
      <c r="R546" s="269">
        <f t="shared" si="67"/>
        <v>59107.911964515144</v>
      </c>
      <c r="S546" s="269">
        <f t="shared" si="68"/>
        <v>59107.911964515144</v>
      </c>
      <c r="T546" s="269">
        <f t="shared" si="69"/>
        <v>0</v>
      </c>
      <c r="U546" s="242">
        <f t="shared" si="70"/>
        <v>38500.76</v>
      </c>
    </row>
    <row r="547" spans="1:21" s="237" customFormat="1" x14ac:dyDescent="0.3">
      <c r="A547" s="237">
        <v>542</v>
      </c>
      <c r="B547" s="263">
        <v>0.33</v>
      </c>
      <c r="C547" s="263">
        <v>0.33</v>
      </c>
      <c r="D547" s="264">
        <f t="shared" ref="D547:D568" si="71">1-B547-C547</f>
        <v>0.33999999999999991</v>
      </c>
      <c r="E547" s="270" t="s">
        <v>1384</v>
      </c>
      <c r="F547" s="384" t="s">
        <v>364</v>
      </c>
      <c r="G547" s="384">
        <v>31</v>
      </c>
      <c r="H547" s="385">
        <v>39715</v>
      </c>
      <c r="I547" s="265">
        <f t="shared" si="65"/>
        <v>2008</v>
      </c>
      <c r="J547" s="383">
        <v>610</v>
      </c>
      <c r="K547" s="641" t="str">
        <f>VLOOKUP(J547,'Cost Escalators'!$C$313:$D$330,2,FALSE)</f>
        <v>Autos &amp; Trucks</v>
      </c>
      <c r="L547" s="868" t="s">
        <v>1385</v>
      </c>
      <c r="M547" s="384" t="s">
        <v>1506</v>
      </c>
      <c r="N547" s="246">
        <v>22860</v>
      </c>
      <c r="O547" s="267">
        <v>7</v>
      </c>
      <c r="P547" s="250">
        <f t="shared" si="66"/>
        <v>2015</v>
      </c>
      <c r="Q547" s="268">
        <f>IF(J547=10,1,IFERROR(INDEX('Cost Escalators'!$D$28:$D$92,MATCH($P$4,'Cost Escalators'!$B$28:$B$92,0))/INDEX('Cost Escalators'!$D$28:$D$92,MATCH(I547,'Cost Escalators'!$B$28:$B$92,0)),1))</f>
        <v>1.2078821488382354</v>
      </c>
      <c r="R547" s="269">
        <f t="shared" si="67"/>
        <v>27612.185922442062</v>
      </c>
      <c r="S547" s="269">
        <f t="shared" si="68"/>
        <v>27612.185922442062</v>
      </c>
      <c r="T547" s="269">
        <f t="shared" si="69"/>
        <v>0</v>
      </c>
      <c r="U547" s="242">
        <f t="shared" si="70"/>
        <v>22860</v>
      </c>
    </row>
    <row r="548" spans="1:21" s="237" customFormat="1" x14ac:dyDescent="0.3">
      <c r="A548" s="237">
        <v>543</v>
      </c>
      <c r="B548" s="263">
        <v>0.33</v>
      </c>
      <c r="C548" s="263">
        <v>0.33</v>
      </c>
      <c r="D548" s="264">
        <f t="shared" si="71"/>
        <v>0.33999999999999991</v>
      </c>
      <c r="E548" s="270" t="s">
        <v>1386</v>
      </c>
      <c r="F548" s="384" t="s">
        <v>364</v>
      </c>
      <c r="G548" s="384">
        <v>31</v>
      </c>
      <c r="H548" s="385">
        <v>39694</v>
      </c>
      <c r="I548" s="265">
        <f t="shared" si="65"/>
        <v>2008</v>
      </c>
      <c r="J548" s="383">
        <v>610</v>
      </c>
      <c r="K548" s="641" t="str">
        <f>VLOOKUP(J548,'Cost Escalators'!$C$313:$D$330,2,FALSE)</f>
        <v>Autos &amp; Trucks</v>
      </c>
      <c r="L548" s="868" t="s">
        <v>1387</v>
      </c>
      <c r="M548" s="384" t="s">
        <v>1506</v>
      </c>
      <c r="N548" s="246">
        <v>29483.18</v>
      </c>
      <c r="O548" s="267">
        <v>7</v>
      </c>
      <c r="P548" s="250">
        <f t="shared" si="66"/>
        <v>2015</v>
      </c>
      <c r="Q548" s="268">
        <f>IF(J548=10,1,IFERROR(INDEX('Cost Escalators'!$D$28:$D$92,MATCH($P$4,'Cost Escalators'!$B$28:$B$92,0))/INDEX('Cost Escalators'!$D$28:$D$92,MATCH(I548,'Cost Escalators'!$B$28:$B$92,0)),1))</f>
        <v>1.2078821488382354</v>
      </c>
      <c r="R548" s="269">
        <f t="shared" si="67"/>
        <v>35612.206812984485</v>
      </c>
      <c r="S548" s="269">
        <f t="shared" si="68"/>
        <v>35612.206812984485</v>
      </c>
      <c r="T548" s="269">
        <f t="shared" si="69"/>
        <v>-4.4418922645394536E-12</v>
      </c>
      <c r="U548" s="242">
        <f t="shared" si="70"/>
        <v>29483.180000000004</v>
      </c>
    </row>
    <row r="549" spans="1:21" s="237" customFormat="1" x14ac:dyDescent="0.3">
      <c r="A549" s="237">
        <v>544</v>
      </c>
      <c r="B549" s="263">
        <v>0.33</v>
      </c>
      <c r="C549" s="263">
        <v>0.33</v>
      </c>
      <c r="D549" s="264">
        <f t="shared" si="71"/>
        <v>0.33999999999999991</v>
      </c>
      <c r="E549" s="270" t="s">
        <v>1388</v>
      </c>
      <c r="F549" s="384" t="s">
        <v>364</v>
      </c>
      <c r="G549" s="384">
        <v>31</v>
      </c>
      <c r="H549" s="385">
        <v>40119</v>
      </c>
      <c r="I549" s="265">
        <f t="shared" si="65"/>
        <v>2009</v>
      </c>
      <c r="J549" s="383">
        <v>610</v>
      </c>
      <c r="K549" s="641" t="str">
        <f>VLOOKUP(J549,'Cost Escalators'!$C$313:$D$330,2,FALSE)</f>
        <v>Autos &amp; Trucks</v>
      </c>
      <c r="L549" s="868" t="s">
        <v>1389</v>
      </c>
      <c r="M549" s="384" t="s">
        <v>1506</v>
      </c>
      <c r="N549" s="246">
        <v>30904</v>
      </c>
      <c r="O549" s="267">
        <v>7</v>
      </c>
      <c r="P549" s="250">
        <f t="shared" si="66"/>
        <v>2016</v>
      </c>
      <c r="Q549" s="268">
        <f>IF(J549=10,1,IFERROR(INDEX('Cost Escalators'!$D$28:$D$92,MATCH($P$4,'Cost Escalators'!$B$28:$B$92,0))/INDEX('Cost Escalators'!$D$28:$D$92,MATCH(I549,'Cost Escalators'!$B$28:$B$92,0)),1))</f>
        <v>1.1712138155015994</v>
      </c>
      <c r="R549" s="269">
        <f t="shared" si="67"/>
        <v>36195.191754261432</v>
      </c>
      <c r="S549" s="269">
        <f t="shared" si="68"/>
        <v>37242.404976419777</v>
      </c>
      <c r="T549" s="269">
        <f t="shared" si="69"/>
        <v>5238.8706367915674</v>
      </c>
      <c r="U549" s="242">
        <f t="shared" si="70"/>
        <v>26489.142857142859</v>
      </c>
    </row>
    <row r="550" spans="1:21" s="237" customFormat="1" x14ac:dyDescent="0.3">
      <c r="A550" s="237">
        <v>545</v>
      </c>
      <c r="B550" s="263">
        <v>0.33</v>
      </c>
      <c r="C550" s="263">
        <v>0.33</v>
      </c>
      <c r="D550" s="264">
        <f t="shared" si="71"/>
        <v>0.33999999999999991</v>
      </c>
      <c r="E550" s="270" t="s">
        <v>1390</v>
      </c>
      <c r="F550" s="384" t="s">
        <v>364</v>
      </c>
      <c r="G550" s="384">
        <v>31</v>
      </c>
      <c r="H550" s="385">
        <v>40199</v>
      </c>
      <c r="I550" s="265">
        <f t="shared" si="65"/>
        <v>2010</v>
      </c>
      <c r="J550" s="383">
        <v>610</v>
      </c>
      <c r="K550" s="641" t="str">
        <f>VLOOKUP(J550,'Cost Escalators'!$C$313:$D$330,2,FALSE)</f>
        <v>Autos &amp; Trucks</v>
      </c>
      <c r="L550" s="868" t="s">
        <v>1391</v>
      </c>
      <c r="M550" s="384" t="s">
        <v>1506</v>
      </c>
      <c r="N550" s="246">
        <v>21340</v>
      </c>
      <c r="O550" s="267">
        <v>7</v>
      </c>
      <c r="P550" s="250">
        <f t="shared" si="66"/>
        <v>2017</v>
      </c>
      <c r="Q550" s="268">
        <f>IF(J550=10,1,IFERROR(INDEX('Cost Escalators'!$D$28:$D$92,MATCH($P$4,'Cost Escalators'!$B$28:$B$92,0))/INDEX('Cost Escalators'!$D$28:$D$92,MATCH(I550,'Cost Escalators'!$B$28:$B$92,0)),1))</f>
        <v>1.1407540701033272</v>
      </c>
      <c r="R550" s="269">
        <f t="shared" si="67"/>
        <v>24343.691856005004</v>
      </c>
      <c r="S550" s="269">
        <f t="shared" si="68"/>
        <v>25772.711673281137</v>
      </c>
      <c r="T550" s="269">
        <f t="shared" si="69"/>
        <v>7031.7035597452823</v>
      </c>
      <c r="U550" s="242">
        <f t="shared" si="70"/>
        <v>15242.857142857141</v>
      </c>
    </row>
    <row r="551" spans="1:21" s="237" customFormat="1" x14ac:dyDescent="0.3">
      <c r="A551" s="237">
        <v>546</v>
      </c>
      <c r="B551" s="263">
        <v>0.33</v>
      </c>
      <c r="C551" s="263">
        <v>0.33</v>
      </c>
      <c r="D551" s="264">
        <f t="shared" si="71"/>
        <v>0.33999999999999991</v>
      </c>
      <c r="E551" s="270" t="s">
        <v>1392</v>
      </c>
      <c r="F551" s="384" t="s">
        <v>364</v>
      </c>
      <c r="G551" s="384">
        <v>31</v>
      </c>
      <c r="H551" s="385">
        <v>40422</v>
      </c>
      <c r="I551" s="265">
        <f t="shared" si="65"/>
        <v>2010</v>
      </c>
      <c r="J551" s="383">
        <v>610</v>
      </c>
      <c r="K551" s="641" t="str">
        <f>VLOOKUP(J551,'Cost Escalators'!$C$313:$D$330,2,FALSE)</f>
        <v>Autos &amp; Trucks</v>
      </c>
      <c r="L551" s="868" t="s">
        <v>1393</v>
      </c>
      <c r="M551" s="384" t="s">
        <v>1506</v>
      </c>
      <c r="N551" s="246">
        <v>36999</v>
      </c>
      <c r="O551" s="267">
        <v>7</v>
      </c>
      <c r="P551" s="250">
        <f t="shared" si="66"/>
        <v>2017</v>
      </c>
      <c r="Q551" s="268">
        <f>IF(J551=10,1,IFERROR(INDEX('Cost Escalators'!$D$28:$D$92,MATCH($P$4,'Cost Escalators'!$B$28:$B$92,0))/INDEX('Cost Escalators'!$D$28:$D$92,MATCH(I551,'Cost Escalators'!$B$28:$B$92,0)),1))</f>
        <v>1.1407540701033272</v>
      </c>
      <c r="R551" s="269">
        <f t="shared" si="67"/>
        <v>42206.759839753002</v>
      </c>
      <c r="S551" s="269">
        <f t="shared" si="68"/>
        <v>44684.374845348117</v>
      </c>
      <c r="T551" s="269">
        <f t="shared" si="69"/>
        <v>12191.471415511513</v>
      </c>
      <c r="U551" s="242">
        <f t="shared" si="70"/>
        <v>26427.857142857141</v>
      </c>
    </row>
    <row r="552" spans="1:21" s="237" customFormat="1" x14ac:dyDescent="0.3">
      <c r="A552" s="237">
        <v>547</v>
      </c>
      <c r="B552" s="263">
        <v>0.33</v>
      </c>
      <c r="C552" s="263">
        <v>0.33</v>
      </c>
      <c r="D552" s="264">
        <f t="shared" si="71"/>
        <v>0.33999999999999991</v>
      </c>
      <c r="E552" s="270" t="s">
        <v>1394</v>
      </c>
      <c r="F552" s="384" t="s">
        <v>364</v>
      </c>
      <c r="G552" s="384">
        <v>31</v>
      </c>
      <c r="H552" s="385">
        <v>40786</v>
      </c>
      <c r="I552" s="265">
        <f t="shared" si="65"/>
        <v>2011</v>
      </c>
      <c r="J552" s="383">
        <v>610</v>
      </c>
      <c r="K552" s="641" t="str">
        <f>VLOOKUP(J552,'Cost Escalators'!$C$313:$D$330,2,FALSE)</f>
        <v>Autos &amp; Trucks</v>
      </c>
      <c r="L552" s="868" t="s">
        <v>1395</v>
      </c>
      <c r="M552" s="384" t="s">
        <v>1506</v>
      </c>
      <c r="N552" s="246">
        <v>19163</v>
      </c>
      <c r="O552" s="267">
        <v>7</v>
      </c>
      <c r="P552" s="250">
        <f t="shared" si="66"/>
        <v>2018</v>
      </c>
      <c r="Q552" s="268">
        <f>IF(J552=10,1,IFERROR(INDEX('Cost Escalators'!$D$28:$D$92,MATCH($P$4,'Cost Escalators'!$B$28:$B$92,0))/INDEX('Cost Escalators'!$D$28:$D$92,MATCH(I552,'Cost Escalators'!$B$28:$B$92,0)),1))</f>
        <v>1.1066796523273121</v>
      </c>
      <c r="R552" s="269">
        <f t="shared" si="67"/>
        <v>21207.302177548281</v>
      </c>
      <c r="S552" s="269">
        <f t="shared" si="68"/>
        <v>23101.806095899166</v>
      </c>
      <c r="T552" s="269">
        <f t="shared" si="69"/>
        <v>9205.2176307802547</v>
      </c>
      <c r="U552" s="242">
        <f t="shared" si="70"/>
        <v>10950.285714285714</v>
      </c>
    </row>
    <row r="553" spans="1:21" s="237" customFormat="1" x14ac:dyDescent="0.3">
      <c r="A553" s="237">
        <v>548</v>
      </c>
      <c r="B553" s="263">
        <v>0.33</v>
      </c>
      <c r="C553" s="263">
        <v>0.33</v>
      </c>
      <c r="D553" s="264">
        <f t="shared" si="71"/>
        <v>0.33999999999999991</v>
      </c>
      <c r="E553" s="270" t="s">
        <v>1396</v>
      </c>
      <c r="F553" s="384" t="s">
        <v>364</v>
      </c>
      <c r="G553" s="384">
        <v>31</v>
      </c>
      <c r="H553" s="385">
        <v>40908</v>
      </c>
      <c r="I553" s="265">
        <f t="shared" si="65"/>
        <v>2011</v>
      </c>
      <c r="J553" s="383">
        <v>610</v>
      </c>
      <c r="K553" s="641" t="str">
        <f>VLOOKUP(J553,'Cost Escalators'!$C$313:$D$330,2,FALSE)</f>
        <v>Autos &amp; Trucks</v>
      </c>
      <c r="L553" s="868" t="s">
        <v>1397</v>
      </c>
      <c r="M553" s="384" t="s">
        <v>1506</v>
      </c>
      <c r="N553" s="246">
        <v>30745</v>
      </c>
      <c r="O553" s="267">
        <v>7</v>
      </c>
      <c r="P553" s="250">
        <f t="shared" si="66"/>
        <v>2018</v>
      </c>
      <c r="Q553" s="268">
        <f>IF(J553=10,1,IFERROR(INDEX('Cost Escalators'!$D$28:$D$92,MATCH($P$4,'Cost Escalators'!$B$28:$B$92,0))/INDEX('Cost Escalators'!$D$28:$D$92,MATCH(I553,'Cost Escalators'!$B$28:$B$92,0)),1))</f>
        <v>1.1066796523273121</v>
      </c>
      <c r="R553" s="269">
        <f t="shared" si="67"/>
        <v>34024.865910803215</v>
      </c>
      <c r="S553" s="269">
        <f t="shared" si="68"/>
        <v>37064.396410709182</v>
      </c>
      <c r="T553" s="269">
        <f t="shared" si="69"/>
        <v>14768.794868148982</v>
      </c>
      <c r="U553" s="242">
        <f t="shared" si="70"/>
        <v>17568.571428571428</v>
      </c>
    </row>
    <row r="554" spans="1:21" s="237" customFormat="1" x14ac:dyDescent="0.3">
      <c r="A554" s="237">
        <v>549</v>
      </c>
      <c r="B554" s="263">
        <v>0.33</v>
      </c>
      <c r="C554" s="263">
        <v>0.33</v>
      </c>
      <c r="D554" s="264">
        <f t="shared" si="71"/>
        <v>0.33999999999999991</v>
      </c>
      <c r="E554" s="270" t="s">
        <v>1398</v>
      </c>
      <c r="F554" s="384" t="s">
        <v>364</v>
      </c>
      <c r="G554" s="384">
        <v>31</v>
      </c>
      <c r="H554" s="385">
        <v>41250</v>
      </c>
      <c r="I554" s="265">
        <f t="shared" si="65"/>
        <v>2012</v>
      </c>
      <c r="J554" s="383">
        <v>610</v>
      </c>
      <c r="K554" s="641" t="str">
        <f>VLOOKUP(J554,'Cost Escalators'!$C$313:$D$330,2,FALSE)</f>
        <v>Autos &amp; Trucks</v>
      </c>
      <c r="L554" s="868" t="s">
        <v>1399</v>
      </c>
      <c r="M554" s="384" t="s">
        <v>1506</v>
      </c>
      <c r="N554" s="246">
        <v>102842</v>
      </c>
      <c r="O554" s="267">
        <v>7</v>
      </c>
      <c r="P554" s="250">
        <f t="shared" si="66"/>
        <v>2019</v>
      </c>
      <c r="Q554" s="268">
        <f>IF(J554=10,1,IFERROR(INDEX('Cost Escalators'!$D$28:$D$92,MATCH($P$4,'Cost Escalators'!$B$28:$B$92,0))/INDEX('Cost Escalators'!$D$28:$D$92,MATCH(I554,'Cost Escalators'!$B$28:$B$92,0)),1))</f>
        <v>1.0783433902128956</v>
      </c>
      <c r="R554" s="269">
        <f t="shared" si="67"/>
        <v>110898.99093627461</v>
      </c>
      <c r="S554" s="269">
        <f t="shared" si="68"/>
        <v>124301.09109945108</v>
      </c>
      <c r="T554" s="269">
        <f t="shared" si="69"/>
        <v>64016.65460385511</v>
      </c>
      <c r="U554" s="242">
        <f t="shared" si="70"/>
        <v>44075.142857142855</v>
      </c>
    </row>
    <row r="555" spans="1:21" s="237" customFormat="1" x14ac:dyDescent="0.3">
      <c r="A555" s="237">
        <v>550</v>
      </c>
      <c r="B555" s="263">
        <v>0.33</v>
      </c>
      <c r="C555" s="263">
        <v>0.33</v>
      </c>
      <c r="D555" s="264">
        <f t="shared" si="71"/>
        <v>0.33999999999999991</v>
      </c>
      <c r="E555" s="270" t="s">
        <v>1400</v>
      </c>
      <c r="F555" s="384" t="s">
        <v>364</v>
      </c>
      <c r="G555" s="384">
        <v>31</v>
      </c>
      <c r="H555" s="385">
        <v>40955</v>
      </c>
      <c r="I555" s="265">
        <f t="shared" si="65"/>
        <v>2012</v>
      </c>
      <c r="J555" s="383">
        <v>610</v>
      </c>
      <c r="K555" s="641" t="str">
        <f>VLOOKUP(J555,'Cost Escalators'!$C$313:$D$330,2,FALSE)</f>
        <v>Autos &amp; Trucks</v>
      </c>
      <c r="L555" s="868" t="s">
        <v>1401</v>
      </c>
      <c r="M555" s="384" t="s">
        <v>1506</v>
      </c>
      <c r="N555" s="246">
        <v>28774</v>
      </c>
      <c r="O555" s="267">
        <v>7</v>
      </c>
      <c r="P555" s="250">
        <f t="shared" si="66"/>
        <v>2019</v>
      </c>
      <c r="Q555" s="268">
        <f>IF(J555=10,1,IFERROR(INDEX('Cost Escalators'!$D$28:$D$92,MATCH($P$4,'Cost Escalators'!$B$28:$B$92,0))/INDEX('Cost Escalators'!$D$28:$D$92,MATCH(I555,'Cost Escalators'!$B$28:$B$92,0)),1))</f>
        <v>1.0783433902128956</v>
      </c>
      <c r="R555" s="269">
        <f t="shared" si="67"/>
        <v>31028.25270998586</v>
      </c>
      <c r="S555" s="269">
        <f t="shared" si="68"/>
        <v>34778.005049450665</v>
      </c>
      <c r="T555" s="269">
        <f t="shared" si="69"/>
        <v>17911.118216014147</v>
      </c>
      <c r="U555" s="242">
        <f t="shared" si="70"/>
        <v>12331.714285714286</v>
      </c>
    </row>
    <row r="556" spans="1:21" s="237" customFormat="1" x14ac:dyDescent="0.3">
      <c r="A556" s="237">
        <v>551</v>
      </c>
      <c r="B556" s="263">
        <v>0.33</v>
      </c>
      <c r="C556" s="263">
        <v>0.33</v>
      </c>
      <c r="D556" s="264">
        <f t="shared" si="71"/>
        <v>0.33999999999999991</v>
      </c>
      <c r="E556" s="270" t="s">
        <v>1402</v>
      </c>
      <c r="F556" s="384" t="s">
        <v>364</v>
      </c>
      <c r="G556" s="384">
        <v>31</v>
      </c>
      <c r="H556" s="385">
        <v>41474</v>
      </c>
      <c r="I556" s="265">
        <f t="shared" si="65"/>
        <v>2013</v>
      </c>
      <c r="J556" s="383">
        <v>610</v>
      </c>
      <c r="K556" s="641" t="str">
        <f>VLOOKUP(J556,'Cost Escalators'!$C$313:$D$330,2,FALSE)</f>
        <v>Autos &amp; Trucks</v>
      </c>
      <c r="L556" s="868" t="s">
        <v>1403</v>
      </c>
      <c r="M556" s="384" t="s">
        <v>1506</v>
      </c>
      <c r="N556" s="246">
        <v>23693</v>
      </c>
      <c r="O556" s="267">
        <v>7</v>
      </c>
      <c r="P556" s="250">
        <f t="shared" si="66"/>
        <v>2020</v>
      </c>
      <c r="Q556" s="268">
        <f>IF(J556=10,1,IFERROR(INDEX('Cost Escalators'!$D$28:$D$92,MATCH($P$4,'Cost Escalators'!$B$28:$B$92,0))/INDEX('Cost Escalators'!$D$28:$D$92,MATCH(I556,'Cost Escalators'!$B$28:$B$92,0)),1))</f>
        <v>1.0514036312849162</v>
      </c>
      <c r="R556" s="269">
        <f t="shared" si="67"/>
        <v>24910.906236033519</v>
      </c>
      <c r="S556" s="269">
        <f t="shared" si="68"/>
        <v>28729.211724338908</v>
      </c>
      <c r="T556" s="269">
        <f t="shared" si="69"/>
        <v>17917.016428350747</v>
      </c>
      <c r="U556" s="242">
        <f t="shared" si="70"/>
        <v>6769.4285714285716</v>
      </c>
    </row>
    <row r="557" spans="1:21" s="237" customFormat="1" x14ac:dyDescent="0.3">
      <c r="A557" s="237">
        <v>552</v>
      </c>
      <c r="B557" s="263">
        <v>0.33</v>
      </c>
      <c r="C557" s="263">
        <v>0.33</v>
      </c>
      <c r="D557" s="264">
        <f t="shared" si="71"/>
        <v>0.33999999999999991</v>
      </c>
      <c r="E557" s="270" t="s">
        <v>1404</v>
      </c>
      <c r="F557" s="384" t="s">
        <v>364</v>
      </c>
      <c r="G557" s="384">
        <v>31</v>
      </c>
      <c r="H557" s="385">
        <v>41639</v>
      </c>
      <c r="I557" s="265">
        <f t="shared" si="65"/>
        <v>2013</v>
      </c>
      <c r="J557" s="383">
        <v>610</v>
      </c>
      <c r="K557" s="641" t="str">
        <f>VLOOKUP(J557,'Cost Escalators'!$C$313:$D$330,2,FALSE)</f>
        <v>Autos &amp; Trucks</v>
      </c>
      <c r="L557" s="868" t="s">
        <v>1405</v>
      </c>
      <c r="M557" s="384" t="s">
        <v>1506</v>
      </c>
      <c r="N557" s="246">
        <v>39199</v>
      </c>
      <c r="O557" s="267">
        <v>7</v>
      </c>
      <c r="P557" s="250">
        <f t="shared" si="66"/>
        <v>2020</v>
      </c>
      <c r="Q557" s="268">
        <f>IF(J557=10,1,IFERROR(INDEX('Cost Escalators'!$D$28:$D$92,MATCH($P$4,'Cost Escalators'!$B$28:$B$92,0))/INDEX('Cost Escalators'!$D$28:$D$92,MATCH(I557,'Cost Escalators'!$B$28:$B$92,0)),1))</f>
        <v>1.0514036312849162</v>
      </c>
      <c r="R557" s="269">
        <f t="shared" si="67"/>
        <v>41213.970942737433</v>
      </c>
      <c r="S557" s="269">
        <f t="shared" si="68"/>
        <v>47531.185176312028</v>
      </c>
      <c r="T557" s="269">
        <f t="shared" si="69"/>
        <v>29642.895664327905</v>
      </c>
      <c r="U557" s="242">
        <f t="shared" si="70"/>
        <v>11199.714285714286</v>
      </c>
    </row>
    <row r="558" spans="1:21" s="237" customFormat="1" x14ac:dyDescent="0.3">
      <c r="A558" s="237">
        <v>553</v>
      </c>
      <c r="B558" s="263">
        <v>0.33</v>
      </c>
      <c r="C558" s="263">
        <v>0.33</v>
      </c>
      <c r="D558" s="264">
        <f t="shared" si="71"/>
        <v>0.33999999999999991</v>
      </c>
      <c r="E558" s="270" t="s">
        <v>1406</v>
      </c>
      <c r="F558" s="384" t="s">
        <v>364</v>
      </c>
      <c r="G558" s="384">
        <v>31</v>
      </c>
      <c r="H558" s="385">
        <v>41864</v>
      </c>
      <c r="I558" s="265">
        <f t="shared" si="65"/>
        <v>2014</v>
      </c>
      <c r="J558" s="383">
        <v>610</v>
      </c>
      <c r="K558" s="641" t="str">
        <f>VLOOKUP(J558,'Cost Escalators'!$C$313:$D$330,2,FALSE)</f>
        <v>Autos &amp; Trucks</v>
      </c>
      <c r="L558" s="868" t="s">
        <v>1407</v>
      </c>
      <c r="M558" s="384" t="s">
        <v>1506</v>
      </c>
      <c r="N558" s="246">
        <v>79427</v>
      </c>
      <c r="O558" s="267">
        <v>7</v>
      </c>
      <c r="P558" s="250">
        <f t="shared" si="66"/>
        <v>2021</v>
      </c>
      <c r="Q558" s="268">
        <f>IF(J558=10,1,IFERROR(INDEX('Cost Escalators'!$D$28:$D$92,MATCH($P$4,'Cost Escalators'!$B$28:$B$92,0))/INDEX('Cost Escalators'!$D$28:$D$92,MATCH(I558,'Cost Escalators'!$B$28:$B$92,0)),1))</f>
        <v>1.028501165560878</v>
      </c>
      <c r="R558" s="269">
        <f t="shared" si="67"/>
        <v>81690.762077003863</v>
      </c>
      <c r="S558" s="269">
        <f t="shared" si="68"/>
        <v>96937.980300168027</v>
      </c>
      <c r="T558" s="269">
        <f t="shared" si="69"/>
        <v>70050.010749930094</v>
      </c>
      <c r="U558" s="242">
        <f t="shared" si="70"/>
        <v>11346.714285714286</v>
      </c>
    </row>
    <row r="559" spans="1:21" s="237" customFormat="1" x14ac:dyDescent="0.3">
      <c r="A559" s="237">
        <v>554</v>
      </c>
      <c r="B559" s="263">
        <v>0.33</v>
      </c>
      <c r="C559" s="263">
        <v>0.33</v>
      </c>
      <c r="D559" s="264">
        <f t="shared" si="71"/>
        <v>0.33999999999999991</v>
      </c>
      <c r="E559" s="270" t="s">
        <v>1408</v>
      </c>
      <c r="F559" s="384" t="s">
        <v>364</v>
      </c>
      <c r="G559" s="384">
        <v>31</v>
      </c>
      <c r="H559" s="385">
        <v>41864</v>
      </c>
      <c r="I559" s="265">
        <f t="shared" si="65"/>
        <v>2014</v>
      </c>
      <c r="J559" s="383">
        <v>610</v>
      </c>
      <c r="K559" s="641" t="str">
        <f>VLOOKUP(J559,'Cost Escalators'!$C$313:$D$330,2,FALSE)</f>
        <v>Autos &amp; Trucks</v>
      </c>
      <c r="L559" s="868" t="s">
        <v>1409</v>
      </c>
      <c r="M559" s="384" t="s">
        <v>1506</v>
      </c>
      <c r="N559" s="246">
        <v>81983</v>
      </c>
      <c r="O559" s="267">
        <v>7</v>
      </c>
      <c r="P559" s="250">
        <f t="shared" si="66"/>
        <v>2021</v>
      </c>
      <c r="Q559" s="268">
        <f>IF(J559=10,1,IFERROR(INDEX('Cost Escalators'!$D$28:$D$92,MATCH($P$4,'Cost Escalators'!$B$28:$B$92,0))/INDEX('Cost Escalators'!$D$28:$D$92,MATCH(I559,'Cost Escalators'!$B$28:$B$92,0)),1))</f>
        <v>1.028501165560878</v>
      </c>
      <c r="R559" s="269">
        <f t="shared" si="67"/>
        <v>84319.611056177455</v>
      </c>
      <c r="S559" s="269">
        <f t="shared" si="68"/>
        <v>100057.49227528012</v>
      </c>
      <c r="T559" s="269">
        <f t="shared" si="69"/>
        <v>72304.25461507446</v>
      </c>
      <c r="U559" s="242">
        <f t="shared" si="70"/>
        <v>11711.857142857143</v>
      </c>
    </row>
    <row r="560" spans="1:21" s="237" customFormat="1" x14ac:dyDescent="0.3">
      <c r="A560" s="237">
        <v>555</v>
      </c>
      <c r="B560" s="263">
        <v>0.33</v>
      </c>
      <c r="C560" s="263">
        <v>0.33</v>
      </c>
      <c r="D560" s="264">
        <f t="shared" si="71"/>
        <v>0.33999999999999991</v>
      </c>
      <c r="E560" s="270" t="s">
        <v>1410</v>
      </c>
      <c r="F560" s="384" t="s">
        <v>364</v>
      </c>
      <c r="G560" s="384">
        <v>31</v>
      </c>
      <c r="H560" s="385">
        <v>41787</v>
      </c>
      <c r="I560" s="265">
        <f t="shared" si="65"/>
        <v>2014</v>
      </c>
      <c r="J560" s="383">
        <v>610</v>
      </c>
      <c r="K560" s="641" t="str">
        <f>VLOOKUP(J560,'Cost Escalators'!$C$313:$D$330,2,FALSE)</f>
        <v>Autos &amp; Trucks</v>
      </c>
      <c r="L560" s="868" t="s">
        <v>1411</v>
      </c>
      <c r="M560" s="384" t="s">
        <v>1506</v>
      </c>
      <c r="N560" s="246">
        <v>181507</v>
      </c>
      <c r="O560" s="267">
        <v>15</v>
      </c>
      <c r="P560" s="250">
        <f t="shared" si="66"/>
        <v>2029</v>
      </c>
      <c r="Q560" s="268">
        <f>IF(J560=10,1,IFERROR(INDEX('Cost Escalators'!$D$28:$D$92,MATCH($P$4,'Cost Escalators'!$B$28:$B$92,0))/INDEX('Cost Escalators'!$D$28:$D$92,MATCH(I560,'Cost Escalators'!$B$28:$B$92,0)),1))</f>
        <v>1.028501165560878</v>
      </c>
      <c r="R560" s="269">
        <f t="shared" si="67"/>
        <v>186680.16105745829</v>
      </c>
      <c r="S560" s="269">
        <f t="shared" si="68"/>
        <v>278300.43100746791</v>
      </c>
      <c r="T560" s="269">
        <f t="shared" si="69"/>
        <v>174307.86837338842</v>
      </c>
      <c r="U560" s="242">
        <f t="shared" si="70"/>
        <v>12100.466666666667</v>
      </c>
    </row>
    <row r="561" spans="1:21" s="237" customFormat="1" x14ac:dyDescent="0.3">
      <c r="A561" s="237">
        <v>556</v>
      </c>
      <c r="B561" s="263">
        <v>0.33</v>
      </c>
      <c r="C561" s="263">
        <v>0.33</v>
      </c>
      <c r="D561" s="264">
        <f t="shared" si="71"/>
        <v>0.33999999999999991</v>
      </c>
      <c r="E561" s="270" t="s">
        <v>1412</v>
      </c>
      <c r="F561" s="384" t="s">
        <v>764</v>
      </c>
      <c r="G561" s="384">
        <v>31</v>
      </c>
      <c r="H561" s="385">
        <v>34700</v>
      </c>
      <c r="I561" s="265">
        <f t="shared" si="65"/>
        <v>1995</v>
      </c>
      <c r="J561" s="383">
        <v>610</v>
      </c>
      <c r="K561" s="641" t="str">
        <f>VLOOKUP(J561,'Cost Escalators'!$C$313:$D$330,2,FALSE)</f>
        <v>Autos &amp; Trucks</v>
      </c>
      <c r="L561" s="868" t="s">
        <v>1413</v>
      </c>
      <c r="M561" s="384" t="s">
        <v>1506</v>
      </c>
      <c r="N561" s="246">
        <v>95000</v>
      </c>
      <c r="O561" s="267">
        <v>10</v>
      </c>
      <c r="P561" s="250">
        <f t="shared" si="66"/>
        <v>2005</v>
      </c>
      <c r="Q561" s="268">
        <f>IF(J561=10,1,IFERROR(INDEX('Cost Escalators'!$D$28:$D$92,MATCH($P$4,'Cost Escalators'!$B$28:$B$92,0))/INDEX('Cost Escalators'!$D$28:$D$92,MATCH(I561,'Cost Escalators'!$B$28:$B$92,0)),1))</f>
        <v>1.8346554560409432</v>
      </c>
      <c r="R561" s="269">
        <f t="shared" si="67"/>
        <v>174292.26832388961</v>
      </c>
      <c r="S561" s="269">
        <f t="shared" si="68"/>
        <v>174292.26832388961</v>
      </c>
      <c r="T561" s="269">
        <f t="shared" si="69"/>
        <v>0</v>
      </c>
      <c r="U561" s="242">
        <f t="shared" si="70"/>
        <v>95000</v>
      </c>
    </row>
    <row r="562" spans="1:21" s="237" customFormat="1" x14ac:dyDescent="0.3">
      <c r="A562" s="237">
        <v>557</v>
      </c>
      <c r="B562" s="263">
        <v>0.33</v>
      </c>
      <c r="C562" s="263">
        <v>0.33</v>
      </c>
      <c r="D562" s="264">
        <f t="shared" si="71"/>
        <v>0.33999999999999991</v>
      </c>
      <c r="E562" s="270" t="s">
        <v>1414</v>
      </c>
      <c r="F562" s="384" t="s">
        <v>764</v>
      </c>
      <c r="G562" s="384">
        <v>31</v>
      </c>
      <c r="H562" s="385">
        <v>36692</v>
      </c>
      <c r="I562" s="265">
        <f t="shared" si="65"/>
        <v>2000</v>
      </c>
      <c r="J562" s="383">
        <v>610</v>
      </c>
      <c r="K562" s="641" t="str">
        <f>VLOOKUP(J562,'Cost Escalators'!$C$313:$D$330,2,FALSE)</f>
        <v>Autos &amp; Trucks</v>
      </c>
      <c r="L562" s="868" t="s">
        <v>1415</v>
      </c>
      <c r="M562" s="384" t="s">
        <v>1506</v>
      </c>
      <c r="N562" s="246">
        <v>16600</v>
      </c>
      <c r="O562" s="267">
        <v>5</v>
      </c>
      <c r="P562" s="250">
        <f t="shared" si="66"/>
        <v>2005</v>
      </c>
      <c r="Q562" s="268">
        <f>IF(J562=10,1,IFERROR(INDEX('Cost Escalators'!$D$28:$D$92,MATCH($P$4,'Cost Escalators'!$B$28:$B$92,0))/INDEX('Cost Escalators'!$D$28:$D$92,MATCH(I562,'Cost Escalators'!$B$28:$B$92,0)),1))</f>
        <v>1.6134705031345442</v>
      </c>
      <c r="R562" s="269">
        <f t="shared" si="67"/>
        <v>26783.610352033433</v>
      </c>
      <c r="S562" s="269">
        <f t="shared" si="68"/>
        <v>26783.610352033433</v>
      </c>
      <c r="T562" s="269">
        <f t="shared" si="69"/>
        <v>0</v>
      </c>
      <c r="U562" s="242">
        <f t="shared" si="70"/>
        <v>16600</v>
      </c>
    </row>
    <row r="563" spans="1:21" s="237" customFormat="1" x14ac:dyDescent="0.3">
      <c r="A563" s="237">
        <v>558</v>
      </c>
      <c r="B563" s="263">
        <v>0.33</v>
      </c>
      <c r="C563" s="263">
        <v>0.33</v>
      </c>
      <c r="D563" s="264">
        <f t="shared" si="71"/>
        <v>0.33999999999999991</v>
      </c>
      <c r="E563" s="270" t="s">
        <v>1416</v>
      </c>
      <c r="F563" s="384" t="s">
        <v>764</v>
      </c>
      <c r="G563" s="384">
        <v>31</v>
      </c>
      <c r="H563" s="385">
        <v>37536</v>
      </c>
      <c r="I563" s="265">
        <f t="shared" si="65"/>
        <v>2002</v>
      </c>
      <c r="J563" s="383">
        <v>610</v>
      </c>
      <c r="K563" s="641" t="str">
        <f>VLOOKUP(J563,'Cost Escalators'!$C$313:$D$330,2,FALSE)</f>
        <v>Autos &amp; Trucks</v>
      </c>
      <c r="L563" s="868" t="s">
        <v>1417</v>
      </c>
      <c r="M563" s="384" t="s">
        <v>1506</v>
      </c>
      <c r="N563" s="246">
        <v>39063.800000000003</v>
      </c>
      <c r="O563" s="267">
        <v>10</v>
      </c>
      <c r="P563" s="250">
        <f t="shared" si="66"/>
        <v>2012</v>
      </c>
      <c r="Q563" s="268">
        <f>IF(J563=10,1,IFERROR(INDEX('Cost Escalators'!$D$28:$D$92,MATCH($P$4,'Cost Escalators'!$B$28:$B$92,0))/INDEX('Cost Escalators'!$D$28:$D$92,MATCH(I563,'Cost Escalators'!$B$28:$B$92,0)),1))</f>
        <v>1.5352401345977362</v>
      </c>
      <c r="R563" s="269">
        <f t="shared" si="67"/>
        <v>59972.313569899052</v>
      </c>
      <c r="S563" s="269">
        <f t="shared" si="68"/>
        <v>59972.313569899052</v>
      </c>
      <c r="T563" s="269">
        <f t="shared" si="69"/>
        <v>0</v>
      </c>
      <c r="U563" s="242">
        <f t="shared" si="70"/>
        <v>39063.800000000003</v>
      </c>
    </row>
    <row r="564" spans="1:21" s="237" customFormat="1" x14ac:dyDescent="0.3">
      <c r="A564" s="237">
        <v>559</v>
      </c>
      <c r="B564" s="263">
        <v>0.33</v>
      </c>
      <c r="C564" s="263">
        <v>0.33</v>
      </c>
      <c r="D564" s="264">
        <f t="shared" si="71"/>
        <v>0.33999999999999991</v>
      </c>
      <c r="E564" s="270" t="s">
        <v>1418</v>
      </c>
      <c r="F564" s="384" t="s">
        <v>764</v>
      </c>
      <c r="G564" s="384">
        <v>31</v>
      </c>
      <c r="H564" s="385">
        <v>37700</v>
      </c>
      <c r="I564" s="265">
        <f t="shared" si="65"/>
        <v>2003</v>
      </c>
      <c r="J564" s="383">
        <v>610</v>
      </c>
      <c r="K564" s="641" t="str">
        <f>VLOOKUP(J564,'Cost Escalators'!$C$313:$D$330,2,FALSE)</f>
        <v>Autos &amp; Trucks</v>
      </c>
      <c r="L564" s="868" t="s">
        <v>1419</v>
      </c>
      <c r="M564" s="384" t="s">
        <v>1506</v>
      </c>
      <c r="N564" s="246">
        <v>22100</v>
      </c>
      <c r="O564" s="267">
        <v>10</v>
      </c>
      <c r="P564" s="250">
        <f t="shared" si="66"/>
        <v>2013</v>
      </c>
      <c r="Q564" s="268">
        <f>IF(J564=10,1,IFERROR(INDEX('Cost Escalators'!$D$28:$D$92,MATCH($P$4,'Cost Escalators'!$B$28:$B$92,0))/INDEX('Cost Escalators'!$D$28:$D$92,MATCH(I564,'Cost Escalators'!$B$28:$B$92,0)),1))</f>
        <v>1.4994622049596653</v>
      </c>
      <c r="R564" s="269">
        <f t="shared" si="67"/>
        <v>33138.114729608606</v>
      </c>
      <c r="S564" s="269">
        <f t="shared" si="68"/>
        <v>33138.114729608606</v>
      </c>
      <c r="T564" s="269">
        <f t="shared" si="69"/>
        <v>0</v>
      </c>
      <c r="U564" s="242">
        <f t="shared" si="70"/>
        <v>22100</v>
      </c>
    </row>
    <row r="565" spans="1:21" s="237" customFormat="1" x14ac:dyDescent="0.3">
      <c r="A565" s="237">
        <v>560</v>
      </c>
      <c r="B565" s="263">
        <v>0.33</v>
      </c>
      <c r="C565" s="263">
        <v>0.33</v>
      </c>
      <c r="D565" s="264">
        <f t="shared" si="71"/>
        <v>0.33999999999999991</v>
      </c>
      <c r="E565" s="270" t="s">
        <v>1420</v>
      </c>
      <c r="F565" s="384" t="s">
        <v>764</v>
      </c>
      <c r="G565" s="384">
        <v>31</v>
      </c>
      <c r="H565" s="385">
        <v>37853</v>
      </c>
      <c r="I565" s="265">
        <f t="shared" si="65"/>
        <v>2003</v>
      </c>
      <c r="J565" s="383">
        <v>610</v>
      </c>
      <c r="K565" s="641" t="str">
        <f>VLOOKUP(J565,'Cost Escalators'!$C$313:$D$330,2,FALSE)</f>
        <v>Autos &amp; Trucks</v>
      </c>
      <c r="L565" s="868" t="s">
        <v>1421</v>
      </c>
      <c r="M565" s="384" t="s">
        <v>1506</v>
      </c>
      <c r="N565" s="246">
        <v>60299</v>
      </c>
      <c r="O565" s="267">
        <v>7</v>
      </c>
      <c r="P565" s="250">
        <f t="shared" si="66"/>
        <v>2010</v>
      </c>
      <c r="Q565" s="268">
        <f>IF(J565=10,1,IFERROR(INDEX('Cost Escalators'!$D$28:$D$92,MATCH($P$4,'Cost Escalators'!$B$28:$B$92,0))/INDEX('Cost Escalators'!$D$28:$D$92,MATCH(I565,'Cost Escalators'!$B$28:$B$92,0)),1))</f>
        <v>1.4994622049596653</v>
      </c>
      <c r="R565" s="269">
        <f t="shared" si="67"/>
        <v>90416.07149686286</v>
      </c>
      <c r="S565" s="269">
        <f t="shared" si="68"/>
        <v>90416.07149686286</v>
      </c>
      <c r="T565" s="269">
        <f t="shared" si="69"/>
        <v>0</v>
      </c>
      <c r="U565" s="242">
        <f t="shared" si="70"/>
        <v>60299</v>
      </c>
    </row>
    <row r="566" spans="1:21" s="237" customFormat="1" x14ac:dyDescent="0.3">
      <c r="A566" s="237">
        <v>561</v>
      </c>
      <c r="B566" s="263">
        <v>0.33</v>
      </c>
      <c r="C566" s="263">
        <v>0.33</v>
      </c>
      <c r="D566" s="264">
        <f t="shared" si="71"/>
        <v>0.33999999999999991</v>
      </c>
      <c r="E566" s="270" t="s">
        <v>1420</v>
      </c>
      <c r="F566" s="384" t="s">
        <v>764</v>
      </c>
      <c r="G566" s="384">
        <v>31</v>
      </c>
      <c r="H566" s="385">
        <v>37970</v>
      </c>
      <c r="I566" s="265">
        <f t="shared" si="65"/>
        <v>2003</v>
      </c>
      <c r="J566" s="383">
        <v>610</v>
      </c>
      <c r="K566" s="641" t="str">
        <f>VLOOKUP(J566,'Cost Escalators'!$C$313:$D$330,2,FALSE)</f>
        <v>Autos &amp; Trucks</v>
      </c>
      <c r="L566" s="868" t="s">
        <v>1422</v>
      </c>
      <c r="M566" s="384" t="s">
        <v>1506</v>
      </c>
      <c r="N566" s="246">
        <v>50988</v>
      </c>
      <c r="O566" s="267">
        <v>7</v>
      </c>
      <c r="P566" s="250">
        <f t="shared" si="66"/>
        <v>2010</v>
      </c>
      <c r="Q566" s="268">
        <f>IF(J566=10,1,IFERROR(INDEX('Cost Escalators'!$D$28:$D$92,MATCH($P$4,'Cost Escalators'!$B$28:$B$92,0))/INDEX('Cost Escalators'!$D$28:$D$92,MATCH(I566,'Cost Escalators'!$B$28:$B$92,0)),1))</f>
        <v>1.4994622049596653</v>
      </c>
      <c r="R566" s="269">
        <f t="shared" si="67"/>
        <v>76454.57890648341</v>
      </c>
      <c r="S566" s="269">
        <f t="shared" si="68"/>
        <v>76454.57890648341</v>
      </c>
      <c r="T566" s="269">
        <f t="shared" si="69"/>
        <v>0</v>
      </c>
      <c r="U566" s="242">
        <f t="shared" si="70"/>
        <v>50988</v>
      </c>
    </row>
    <row r="567" spans="1:21" s="237" customFormat="1" x14ac:dyDescent="0.3">
      <c r="A567" s="237">
        <v>562</v>
      </c>
      <c r="B567" s="263">
        <v>0.33</v>
      </c>
      <c r="C567" s="263">
        <v>0.33</v>
      </c>
      <c r="D567" s="264">
        <f t="shared" si="71"/>
        <v>0.33999999999999991</v>
      </c>
      <c r="E567" s="270" t="s">
        <v>1423</v>
      </c>
      <c r="F567" s="384" t="s">
        <v>764</v>
      </c>
      <c r="G567" s="384">
        <v>31</v>
      </c>
      <c r="H567" s="385">
        <v>38209</v>
      </c>
      <c r="I567" s="265">
        <f t="shared" si="65"/>
        <v>2004</v>
      </c>
      <c r="J567" s="383">
        <v>610</v>
      </c>
      <c r="K567" s="641" t="str">
        <f>VLOOKUP(J567,'Cost Escalators'!$C$313:$D$330,2,FALSE)</f>
        <v>Autos &amp; Trucks</v>
      </c>
      <c r="L567" s="868" t="s">
        <v>1424</v>
      </c>
      <c r="M567" s="384" t="s">
        <v>1506</v>
      </c>
      <c r="N567" s="246">
        <v>61143</v>
      </c>
      <c r="O567" s="267">
        <v>7</v>
      </c>
      <c r="P567" s="250">
        <f t="shared" si="66"/>
        <v>2011</v>
      </c>
      <c r="Q567" s="268">
        <f>IF(J567=10,1,IFERROR(INDEX('Cost Escalators'!$D$28:$D$92,MATCH($P$4,'Cost Escalators'!$B$28:$B$92,0))/INDEX('Cost Escalators'!$D$28:$D$92,MATCH(I567,'Cost Escalators'!$B$28:$B$92,0)),1))</f>
        <v>1.4107378777231201</v>
      </c>
      <c r="R567" s="269">
        <f t="shared" si="67"/>
        <v>86256.746057624725</v>
      </c>
      <c r="S567" s="269">
        <f t="shared" si="68"/>
        <v>86256.746057624725</v>
      </c>
      <c r="T567" s="269">
        <f t="shared" si="69"/>
        <v>0</v>
      </c>
      <c r="U567" s="242">
        <f t="shared" si="70"/>
        <v>61143</v>
      </c>
    </row>
    <row r="568" spans="1:21" s="237" customFormat="1" x14ac:dyDescent="0.3">
      <c r="A568" s="237">
        <v>563</v>
      </c>
      <c r="B568" s="263">
        <v>0.33</v>
      </c>
      <c r="C568" s="263">
        <v>0.33</v>
      </c>
      <c r="D568" s="264">
        <f t="shared" si="71"/>
        <v>0.33999999999999991</v>
      </c>
      <c r="E568" s="270" t="s">
        <v>1425</v>
      </c>
      <c r="F568" s="384" t="s">
        <v>764</v>
      </c>
      <c r="G568" s="384">
        <v>31</v>
      </c>
      <c r="H568" s="385">
        <v>38604</v>
      </c>
      <c r="I568" s="265">
        <f t="shared" si="65"/>
        <v>2005</v>
      </c>
      <c r="J568" s="383">
        <v>610</v>
      </c>
      <c r="K568" s="641" t="str">
        <f>VLOOKUP(J568,'Cost Escalators'!$C$313:$D$330,2,FALSE)</f>
        <v>Autos &amp; Trucks</v>
      </c>
      <c r="L568" s="868" t="s">
        <v>1426</v>
      </c>
      <c r="M568" s="384" t="s">
        <v>1506</v>
      </c>
      <c r="N568" s="246">
        <v>54608</v>
      </c>
      <c r="O568" s="267">
        <v>7</v>
      </c>
      <c r="P568" s="250">
        <f t="shared" si="66"/>
        <v>2012</v>
      </c>
      <c r="Q568" s="268">
        <f>IF(J568=10,1,IFERROR(INDEX('Cost Escalators'!$D$28:$D$92,MATCH($P$4,'Cost Escalators'!$B$28:$B$92,0))/INDEX('Cost Escalators'!$D$28:$D$92,MATCH(I568,'Cost Escalators'!$B$28:$B$92,0)),1))</f>
        <v>1.3480106991371303</v>
      </c>
      <c r="R568" s="269">
        <f t="shared" si="67"/>
        <v>73612.168258480408</v>
      </c>
      <c r="S568" s="269">
        <f t="shared" si="68"/>
        <v>73612.168258480408</v>
      </c>
      <c r="T568" s="269">
        <f t="shared" si="69"/>
        <v>0</v>
      </c>
      <c r="U568" s="242">
        <f t="shared" si="70"/>
        <v>54608</v>
      </c>
    </row>
    <row r="569" spans="1:21" s="237" customFormat="1" x14ac:dyDescent="0.3">
      <c r="A569" s="237">
        <v>564</v>
      </c>
      <c r="B569" s="263">
        <v>0</v>
      </c>
      <c r="C569" s="263">
        <v>0</v>
      </c>
      <c r="D569" s="626">
        <v>0</v>
      </c>
      <c r="E569" s="270" t="s">
        <v>1427</v>
      </c>
      <c r="F569" s="384" t="s">
        <v>364</v>
      </c>
      <c r="G569" s="384">
        <v>31</v>
      </c>
      <c r="H569" s="385">
        <v>38625</v>
      </c>
      <c r="I569" s="265">
        <f t="shared" si="65"/>
        <v>2005</v>
      </c>
      <c r="J569" s="383">
        <v>900</v>
      </c>
      <c r="K569" s="641" t="str">
        <f>VLOOKUP(J569,'Cost Escalators'!$C$313:$D$330,2,FALSE)</f>
        <v>Construction in Progress</v>
      </c>
      <c r="L569" s="238" t="s">
        <v>1428</v>
      </c>
      <c r="M569" s="384" t="s">
        <v>1506</v>
      </c>
      <c r="N569" s="246">
        <v>56033.53</v>
      </c>
      <c r="O569" s="267">
        <v>0</v>
      </c>
      <c r="P569" s="250">
        <f t="shared" si="66"/>
        <v>2005</v>
      </c>
      <c r="Q569" s="268">
        <f>IF(J569=10,1,IFERROR(INDEX('Cost Escalators'!$D$28:$D$92,MATCH($P$4,'Cost Escalators'!$B$28:$B$92,0))/INDEX('Cost Escalators'!$D$28:$D$92,MATCH(I569,'Cost Escalators'!$B$28:$B$92,0)),1))</f>
        <v>1.3480106991371303</v>
      </c>
      <c r="R569" s="269">
        <f t="shared" si="67"/>
        <v>75533.797950421373</v>
      </c>
      <c r="S569" s="269">
        <f t="shared" si="68"/>
        <v>75533.797950421373</v>
      </c>
      <c r="T569" s="269">
        <f t="shared" si="69"/>
        <v>74527.464912922747</v>
      </c>
      <c r="U569" s="242">
        <f t="shared" si="70"/>
        <v>0</v>
      </c>
    </row>
    <row r="570" spans="1:21" s="237" customFormat="1" x14ac:dyDescent="0.3">
      <c r="A570" s="237">
        <v>565</v>
      </c>
      <c r="B570" s="263">
        <v>0</v>
      </c>
      <c r="C570" s="263">
        <v>0</v>
      </c>
      <c r="D570" s="626">
        <v>0</v>
      </c>
      <c r="E570" s="270" t="s">
        <v>1427</v>
      </c>
      <c r="F570" s="384" t="s">
        <v>364</v>
      </c>
      <c r="G570" s="384">
        <v>31</v>
      </c>
      <c r="H570" s="385">
        <v>38990</v>
      </c>
      <c r="I570" s="265">
        <f t="shared" si="65"/>
        <v>2006</v>
      </c>
      <c r="J570" s="383">
        <v>900</v>
      </c>
      <c r="K570" s="641" t="str">
        <f>VLOOKUP(J570,'Cost Escalators'!$C$313:$D$330,2,FALSE)</f>
        <v>Construction in Progress</v>
      </c>
      <c r="L570" s="238" t="s">
        <v>1429</v>
      </c>
      <c r="M570" s="384" t="s">
        <v>1506</v>
      </c>
      <c r="N570" s="246">
        <v>7838</v>
      </c>
      <c r="O570" s="267">
        <v>0</v>
      </c>
      <c r="P570" s="250">
        <f t="shared" si="66"/>
        <v>2006</v>
      </c>
      <c r="Q570" s="268">
        <f>IF(J570=10,1,IFERROR(INDEX('Cost Escalators'!$D$28:$D$92,MATCH($P$4,'Cost Escalators'!$B$28:$B$92,0))/INDEX('Cost Escalators'!$D$28:$D$92,MATCH(I570,'Cost Escalators'!$B$28:$B$92,0)),1))</f>
        <v>1.2949395258829222</v>
      </c>
      <c r="R570" s="269">
        <f t="shared" si="67"/>
        <v>10149.736003870345</v>
      </c>
      <c r="S570" s="269">
        <f t="shared" si="68"/>
        <v>10149.736003870345</v>
      </c>
      <c r="T570" s="269">
        <f t="shared" si="69"/>
        <v>10131.804199326527</v>
      </c>
      <c r="U570" s="242">
        <f t="shared" si="70"/>
        <v>0</v>
      </c>
    </row>
    <row r="571" spans="1:21" s="237" customFormat="1" x14ac:dyDescent="0.3">
      <c r="A571" s="237">
        <v>566</v>
      </c>
      <c r="B571" s="263">
        <v>0</v>
      </c>
      <c r="C571" s="263">
        <v>0</v>
      </c>
      <c r="D571" s="626">
        <v>0</v>
      </c>
      <c r="E571" s="270" t="s">
        <v>1427</v>
      </c>
      <c r="F571" s="384" t="s">
        <v>364</v>
      </c>
      <c r="G571" s="384">
        <v>31</v>
      </c>
      <c r="H571" s="385">
        <v>39355</v>
      </c>
      <c r="I571" s="265">
        <f t="shared" si="65"/>
        <v>2007</v>
      </c>
      <c r="J571" s="383">
        <v>900</v>
      </c>
      <c r="K571" s="641" t="str">
        <f>VLOOKUP(J571,'Cost Escalators'!$C$313:$D$330,2,FALSE)</f>
        <v>Construction in Progress</v>
      </c>
      <c r="L571" s="238" t="s">
        <v>1430</v>
      </c>
      <c r="M571" s="384" t="s">
        <v>1506</v>
      </c>
      <c r="N571" s="246">
        <v>2974</v>
      </c>
      <c r="O571" s="267">
        <v>0</v>
      </c>
      <c r="P571" s="250">
        <f t="shared" si="66"/>
        <v>2007</v>
      </c>
      <c r="Q571" s="268">
        <f>IF(J571=10,1,IFERROR(INDEX('Cost Escalators'!$D$28:$D$92,MATCH($P$4,'Cost Escalators'!$B$28:$B$92,0))/INDEX('Cost Escalators'!$D$28:$D$92,MATCH(I571,'Cost Escalators'!$B$28:$B$92,0)),1))</f>
        <v>1.2598719718840214</v>
      </c>
      <c r="R571" s="269">
        <f t="shared" si="67"/>
        <v>3746.8592443830798</v>
      </c>
      <c r="S571" s="269">
        <f t="shared" si="68"/>
        <v>3746.8592443830798</v>
      </c>
      <c r="T571" s="269">
        <f t="shared" si="69"/>
        <v>3736.2476662470294</v>
      </c>
      <c r="U571" s="242">
        <f t="shared" si="70"/>
        <v>0</v>
      </c>
    </row>
    <row r="572" spans="1:21" s="237" customFormat="1" x14ac:dyDescent="0.3">
      <c r="A572" s="237">
        <v>567</v>
      </c>
      <c r="B572" s="263">
        <v>0</v>
      </c>
      <c r="C572" s="263">
        <v>0</v>
      </c>
      <c r="D572" s="626">
        <v>0</v>
      </c>
      <c r="E572" s="270" t="s">
        <v>1427</v>
      </c>
      <c r="F572" s="384" t="s">
        <v>364</v>
      </c>
      <c r="G572" s="384">
        <v>31</v>
      </c>
      <c r="H572" s="385">
        <v>39721</v>
      </c>
      <c r="I572" s="265">
        <f t="shared" si="65"/>
        <v>2008</v>
      </c>
      <c r="J572" s="383">
        <v>900</v>
      </c>
      <c r="K572" s="641" t="str">
        <f>VLOOKUP(J572,'Cost Escalators'!$C$313:$D$330,2,FALSE)</f>
        <v>Construction in Progress</v>
      </c>
      <c r="L572" s="238" t="s">
        <v>1431</v>
      </c>
      <c r="M572" s="384" t="s">
        <v>1506</v>
      </c>
      <c r="N572" s="246">
        <v>7114.5</v>
      </c>
      <c r="O572" s="267">
        <v>0</v>
      </c>
      <c r="P572" s="250">
        <f t="shared" si="66"/>
        <v>2008</v>
      </c>
      <c r="Q572" s="268">
        <f>IF(J572=10,1,IFERROR(INDEX('Cost Escalators'!$D$28:$D$92,MATCH($P$4,'Cost Escalators'!$B$28:$B$92,0))/INDEX('Cost Escalators'!$D$28:$D$92,MATCH(I572,'Cost Escalators'!$B$28:$B$92,0)),1))</f>
        <v>1.2078821488382354</v>
      </c>
      <c r="R572" s="269">
        <f t="shared" si="67"/>
        <v>8593.4775479096261</v>
      </c>
      <c r="S572" s="269">
        <f t="shared" si="68"/>
        <v>8593.4775479096261</v>
      </c>
      <c r="T572" s="269">
        <f t="shared" si="69"/>
        <v>8686.6483263901173</v>
      </c>
      <c r="U572" s="242">
        <f t="shared" si="70"/>
        <v>0</v>
      </c>
    </row>
    <row r="573" spans="1:21" s="237" customFormat="1" x14ac:dyDescent="0.3">
      <c r="A573" s="237">
        <v>568</v>
      </c>
      <c r="B573" s="263">
        <v>0</v>
      </c>
      <c r="C573" s="263">
        <v>0</v>
      </c>
      <c r="D573" s="626">
        <v>0</v>
      </c>
      <c r="E573" s="270" t="s">
        <v>1427</v>
      </c>
      <c r="F573" s="384" t="s">
        <v>364</v>
      </c>
      <c r="G573" s="384">
        <v>31</v>
      </c>
      <c r="H573" s="385">
        <v>39798</v>
      </c>
      <c r="I573" s="265">
        <f t="shared" si="65"/>
        <v>2008</v>
      </c>
      <c r="J573" s="383">
        <v>900</v>
      </c>
      <c r="K573" s="641" t="str">
        <f>VLOOKUP(J573,'Cost Escalators'!$C$313:$D$330,2,FALSE)</f>
        <v>Construction in Progress</v>
      </c>
      <c r="L573" s="238" t="s">
        <v>1432</v>
      </c>
      <c r="M573" s="384" t="s">
        <v>1506</v>
      </c>
      <c r="N573" s="246">
        <v>8262</v>
      </c>
      <c r="O573" s="267">
        <v>0</v>
      </c>
      <c r="P573" s="250">
        <f t="shared" si="66"/>
        <v>2008</v>
      </c>
      <c r="Q573" s="268">
        <f>IF(J573=10,1,IFERROR(INDEX('Cost Escalators'!$D$28:$D$92,MATCH($P$4,'Cost Escalators'!$B$28:$B$92,0))/INDEX('Cost Escalators'!$D$28:$D$92,MATCH(I573,'Cost Escalators'!$B$28:$B$92,0)),1))</f>
        <v>1.2078821488382354</v>
      </c>
      <c r="R573" s="269">
        <f t="shared" si="67"/>
        <v>9979.5223137015018</v>
      </c>
      <c r="S573" s="269">
        <f t="shared" si="68"/>
        <v>9979.5223137015018</v>
      </c>
      <c r="T573" s="269">
        <f t="shared" si="69"/>
        <v>10087.7206370982</v>
      </c>
      <c r="U573" s="242">
        <f t="shared" si="70"/>
        <v>0</v>
      </c>
    </row>
    <row r="574" spans="1:21" s="237" customFormat="1" x14ac:dyDescent="0.3">
      <c r="A574" s="237">
        <v>569</v>
      </c>
      <c r="B574" s="263">
        <v>0</v>
      </c>
      <c r="C574" s="263">
        <v>0</v>
      </c>
      <c r="D574" s="626">
        <v>0</v>
      </c>
      <c r="E574" s="270" t="s">
        <v>1427</v>
      </c>
      <c r="F574" s="384" t="s">
        <v>364</v>
      </c>
      <c r="G574" s="384">
        <v>31</v>
      </c>
      <c r="H574" s="385">
        <v>41639</v>
      </c>
      <c r="I574" s="265">
        <f t="shared" si="65"/>
        <v>2013</v>
      </c>
      <c r="J574" s="383">
        <v>900</v>
      </c>
      <c r="K574" s="641" t="str">
        <f>VLOOKUP(J574,'Cost Escalators'!$C$313:$D$330,2,FALSE)</f>
        <v>Construction in Progress</v>
      </c>
      <c r="L574" s="238" t="s">
        <v>1433</v>
      </c>
      <c r="M574" s="384" t="s">
        <v>1506</v>
      </c>
      <c r="N574" s="246">
        <v>22829</v>
      </c>
      <c r="O574" s="267">
        <v>0</v>
      </c>
      <c r="P574" s="250">
        <f t="shared" si="66"/>
        <v>2013</v>
      </c>
      <c r="Q574" s="268">
        <f>IF(J574=10,1,IFERROR(INDEX('Cost Escalators'!$D$28:$D$92,MATCH($P$4,'Cost Escalators'!$B$28:$B$92,0))/INDEX('Cost Escalators'!$D$28:$D$92,MATCH(I574,'Cost Escalators'!$B$28:$B$92,0)),1))</f>
        <v>1.0514036312849162</v>
      </c>
      <c r="R574" s="269">
        <f t="shared" si="67"/>
        <v>24002.493498603351</v>
      </c>
      <c r="S574" s="269">
        <f t="shared" si="68"/>
        <v>24002.493498603351</v>
      </c>
      <c r="T574" s="269">
        <f t="shared" si="69"/>
        <v>24169.104598824419</v>
      </c>
      <c r="U574" s="242">
        <f t="shared" si="70"/>
        <v>0</v>
      </c>
    </row>
    <row r="575" spans="1:21" s="237" customFormat="1" x14ac:dyDescent="0.3">
      <c r="A575" s="237">
        <v>570</v>
      </c>
      <c r="B575" s="263">
        <v>0</v>
      </c>
      <c r="C575" s="263">
        <v>0</v>
      </c>
      <c r="D575" s="626">
        <v>0</v>
      </c>
      <c r="E575" s="270" t="s">
        <v>1427</v>
      </c>
      <c r="F575" s="384" t="s">
        <v>364</v>
      </c>
      <c r="G575" s="384">
        <v>31</v>
      </c>
      <c r="H575" s="385">
        <v>41639</v>
      </c>
      <c r="I575" s="265">
        <f t="shared" si="65"/>
        <v>2013</v>
      </c>
      <c r="J575" s="383">
        <v>900</v>
      </c>
      <c r="K575" s="641" t="str">
        <f>VLOOKUP(J575,'Cost Escalators'!$C$313:$D$330,2,FALSE)</f>
        <v>Construction in Progress</v>
      </c>
      <c r="L575" s="238" t="s">
        <v>1434</v>
      </c>
      <c r="M575" s="384" t="s">
        <v>1506</v>
      </c>
      <c r="N575" s="246">
        <v>46400</v>
      </c>
      <c r="O575" s="267">
        <v>0</v>
      </c>
      <c r="P575" s="250">
        <f t="shared" si="66"/>
        <v>2013</v>
      </c>
      <c r="Q575" s="268">
        <f>IF(J575=10,1,IFERROR(INDEX('Cost Escalators'!$D$28:$D$92,MATCH($P$4,'Cost Escalators'!$B$28:$B$92,0))/INDEX('Cost Escalators'!$D$28:$D$92,MATCH(I575,'Cost Escalators'!$B$28:$B$92,0)),1))</f>
        <v>1.0514036312849162</v>
      </c>
      <c r="R575" s="269">
        <f t="shared" si="67"/>
        <v>48785.128491620111</v>
      </c>
      <c r="S575" s="269">
        <f t="shared" si="68"/>
        <v>48785.128491620111</v>
      </c>
      <c r="T575" s="269">
        <f t="shared" si="69"/>
        <v>49123.765972467168</v>
      </c>
      <c r="U575" s="242">
        <f t="shared" si="70"/>
        <v>0</v>
      </c>
    </row>
    <row r="576" spans="1:21" s="237" customFormat="1" x14ac:dyDescent="0.3">
      <c r="A576" s="237">
        <v>571</v>
      </c>
      <c r="B576" s="263">
        <v>0</v>
      </c>
      <c r="C576" s="263">
        <v>0</v>
      </c>
      <c r="D576" s="626">
        <v>0</v>
      </c>
      <c r="E576" s="270" t="s">
        <v>1427</v>
      </c>
      <c r="F576" s="384" t="s">
        <v>364</v>
      </c>
      <c r="G576" s="384">
        <v>31</v>
      </c>
      <c r="H576" s="385">
        <v>42004</v>
      </c>
      <c r="I576" s="265">
        <f t="shared" si="65"/>
        <v>2014</v>
      </c>
      <c r="J576" s="383">
        <v>900</v>
      </c>
      <c r="K576" s="641" t="str">
        <f>VLOOKUP(J576,'Cost Escalators'!$C$313:$D$330,2,FALSE)</f>
        <v>Construction in Progress</v>
      </c>
      <c r="L576" s="238" t="s">
        <v>1435</v>
      </c>
      <c r="M576" s="384" t="s">
        <v>1506</v>
      </c>
      <c r="N576" s="246">
        <v>13501</v>
      </c>
      <c r="O576" s="267">
        <v>0</v>
      </c>
      <c r="P576" s="250">
        <f t="shared" si="66"/>
        <v>2014</v>
      </c>
      <c r="Q576" s="268">
        <f>IF(J576=10,1,IFERROR(INDEX('Cost Escalators'!$D$28:$D$92,MATCH($P$4,'Cost Escalators'!$B$28:$B$92,0))/INDEX('Cost Escalators'!$D$28:$D$92,MATCH(I576,'Cost Escalators'!$B$28:$B$92,0)),1))</f>
        <v>1.028501165560878</v>
      </c>
      <c r="R576" s="269">
        <f t="shared" si="67"/>
        <v>13885.794236237414</v>
      </c>
      <c r="S576" s="269">
        <f t="shared" si="68"/>
        <v>13885.794236237414</v>
      </c>
      <c r="T576" s="269">
        <f t="shared" si="69"/>
        <v>13891.616129577355</v>
      </c>
      <c r="U576" s="242">
        <f t="shared" si="70"/>
        <v>0</v>
      </c>
    </row>
    <row r="577" spans="1:21" s="237" customFormat="1" x14ac:dyDescent="0.3">
      <c r="A577" s="237">
        <v>572</v>
      </c>
      <c r="B577" s="263">
        <v>0</v>
      </c>
      <c r="C577" s="263">
        <v>0</v>
      </c>
      <c r="D577" s="626">
        <v>0</v>
      </c>
      <c r="E577" s="270" t="s">
        <v>1427</v>
      </c>
      <c r="F577" s="384" t="s">
        <v>364</v>
      </c>
      <c r="G577" s="384">
        <v>31</v>
      </c>
      <c r="H577" s="385">
        <v>42004</v>
      </c>
      <c r="I577" s="265">
        <f t="shared" si="65"/>
        <v>2014</v>
      </c>
      <c r="J577" s="383">
        <v>900</v>
      </c>
      <c r="K577" s="641" t="str">
        <f>VLOOKUP(J577,'Cost Escalators'!$C$313:$D$330,2,FALSE)</f>
        <v>Construction in Progress</v>
      </c>
      <c r="L577" s="238" t="s">
        <v>1436</v>
      </c>
      <c r="M577" s="384" t="s">
        <v>1506</v>
      </c>
      <c r="N577" s="246">
        <v>45770</v>
      </c>
      <c r="O577" s="267">
        <v>0</v>
      </c>
      <c r="P577" s="250">
        <f t="shared" si="66"/>
        <v>2014</v>
      </c>
      <c r="Q577" s="268">
        <f>IF(J577=10,1,IFERROR(INDEX('Cost Escalators'!$D$28:$D$92,MATCH($P$4,'Cost Escalators'!$B$28:$B$92,0))/INDEX('Cost Escalators'!$D$28:$D$92,MATCH(I577,'Cost Escalators'!$B$28:$B$92,0)),1))</f>
        <v>1.028501165560878</v>
      </c>
      <c r="R577" s="269">
        <f t="shared" si="67"/>
        <v>47074.498347721383</v>
      </c>
      <c r="S577" s="269">
        <f t="shared" si="68"/>
        <v>47074.498347721383</v>
      </c>
      <c r="T577" s="269">
        <f t="shared" si="69"/>
        <v>47094.235260407047</v>
      </c>
      <c r="U577" s="242">
        <f t="shared" si="70"/>
        <v>0</v>
      </c>
    </row>
    <row r="578" spans="1:21" s="237" customFormat="1" x14ac:dyDescent="0.3">
      <c r="A578" s="237">
        <v>573</v>
      </c>
      <c r="B578" s="263">
        <v>0</v>
      </c>
      <c r="C578" s="263">
        <v>0</v>
      </c>
      <c r="D578" s="626">
        <v>0</v>
      </c>
      <c r="E578" s="270" t="s">
        <v>1437</v>
      </c>
      <c r="F578" s="384" t="s">
        <v>364</v>
      </c>
      <c r="G578" s="384">
        <v>31</v>
      </c>
      <c r="H578" s="385">
        <v>39721</v>
      </c>
      <c r="I578" s="265">
        <f t="shared" si="65"/>
        <v>2008</v>
      </c>
      <c r="J578" s="383">
        <v>900</v>
      </c>
      <c r="K578" s="641" t="str">
        <f>VLOOKUP(J578,'Cost Escalators'!$C$313:$D$330,2,FALSE)</f>
        <v>Construction in Progress</v>
      </c>
      <c r="L578" s="238" t="s">
        <v>1438</v>
      </c>
      <c r="M578" s="384" t="s">
        <v>1506</v>
      </c>
      <c r="N578" s="246">
        <v>23566.58</v>
      </c>
      <c r="O578" s="267">
        <v>0</v>
      </c>
      <c r="P578" s="250">
        <f t="shared" si="66"/>
        <v>2008</v>
      </c>
      <c r="Q578" s="268">
        <f>IF(J578=10,1,IFERROR(INDEX('Cost Escalators'!$D$28:$D$92,MATCH($P$4,'Cost Escalators'!$B$28:$B$92,0))/INDEX('Cost Escalators'!$D$28:$D$92,MATCH(I578,'Cost Escalators'!$B$28:$B$92,0)),1))</f>
        <v>1.2078821488382354</v>
      </c>
      <c r="R578" s="269">
        <f t="shared" si="67"/>
        <v>28465.651291168186</v>
      </c>
      <c r="S578" s="269">
        <f t="shared" si="68"/>
        <v>28465.651291168186</v>
      </c>
      <c r="T578" s="269">
        <f t="shared" si="69"/>
        <v>28774.276859334994</v>
      </c>
      <c r="U578" s="242">
        <f t="shared" si="70"/>
        <v>0</v>
      </c>
    </row>
    <row r="579" spans="1:21" s="237" customFormat="1" x14ac:dyDescent="0.3">
      <c r="A579" s="237">
        <v>574</v>
      </c>
      <c r="B579" s="263">
        <v>0</v>
      </c>
      <c r="C579" s="263">
        <v>0</v>
      </c>
      <c r="D579" s="626">
        <v>0</v>
      </c>
      <c r="E579" s="270" t="s">
        <v>1437</v>
      </c>
      <c r="F579" s="384" t="s">
        <v>364</v>
      </c>
      <c r="G579" s="384">
        <v>31</v>
      </c>
      <c r="H579" s="385">
        <v>41274</v>
      </c>
      <c r="I579" s="265">
        <f t="shared" si="65"/>
        <v>2012</v>
      </c>
      <c r="J579" s="383">
        <v>900</v>
      </c>
      <c r="K579" s="641" t="str">
        <f>VLOOKUP(J579,'Cost Escalators'!$C$313:$D$330,2,FALSE)</f>
        <v>Construction in Progress</v>
      </c>
      <c r="L579" s="238" t="s">
        <v>1439</v>
      </c>
      <c r="M579" s="384" t="s">
        <v>1506</v>
      </c>
      <c r="N579" s="246">
        <v>44635</v>
      </c>
      <c r="O579" s="267">
        <v>0</v>
      </c>
      <c r="P579" s="250">
        <f t="shared" si="66"/>
        <v>2012</v>
      </c>
      <c r="Q579" s="268">
        <f>IF(J579=10,1,IFERROR(INDEX('Cost Escalators'!$D$28:$D$92,MATCH($P$4,'Cost Escalators'!$B$28:$B$92,0))/INDEX('Cost Escalators'!$D$28:$D$92,MATCH(I579,'Cost Escalators'!$B$28:$B$92,0)),1))</f>
        <v>1.0783433902128956</v>
      </c>
      <c r="R579" s="269">
        <f t="shared" si="67"/>
        <v>48131.857222152597</v>
      </c>
      <c r="S579" s="269">
        <f t="shared" si="68"/>
        <v>48131.857222152597</v>
      </c>
      <c r="T579" s="269">
        <f t="shared" si="69"/>
        <v>48622.361602510427</v>
      </c>
      <c r="U579" s="242">
        <f t="shared" si="70"/>
        <v>0</v>
      </c>
    </row>
    <row r="580" spans="1:21" s="237" customFormat="1" x14ac:dyDescent="0.3">
      <c r="A580" s="237">
        <v>575</v>
      </c>
      <c r="B580" s="263">
        <v>0</v>
      </c>
      <c r="C580" s="263">
        <v>0</v>
      </c>
      <c r="D580" s="626">
        <v>0</v>
      </c>
      <c r="E580" s="270" t="s">
        <v>1437</v>
      </c>
      <c r="F580" s="384" t="s">
        <v>364</v>
      </c>
      <c r="G580" s="384">
        <v>31</v>
      </c>
      <c r="H580" s="385">
        <v>41639</v>
      </c>
      <c r="I580" s="265">
        <f t="shared" si="65"/>
        <v>2013</v>
      </c>
      <c r="J580" s="383">
        <v>900</v>
      </c>
      <c r="K580" s="641" t="str">
        <f>VLOOKUP(J580,'Cost Escalators'!$C$313:$D$330,2,FALSE)</f>
        <v>Construction in Progress</v>
      </c>
      <c r="L580" s="238" t="s">
        <v>1440</v>
      </c>
      <c r="M580" s="384" t="s">
        <v>1506</v>
      </c>
      <c r="N580" s="246">
        <v>30835</v>
      </c>
      <c r="O580" s="267">
        <v>0</v>
      </c>
      <c r="P580" s="250">
        <f t="shared" si="66"/>
        <v>2013</v>
      </c>
      <c r="Q580" s="268">
        <f>IF(J580=10,1,IFERROR(INDEX('Cost Escalators'!$D$28:$D$92,MATCH($P$4,'Cost Escalators'!$B$28:$B$92,0))/INDEX('Cost Escalators'!$D$28:$D$92,MATCH(I580,'Cost Escalators'!$B$28:$B$92,0)),1))</f>
        <v>1.0514036312849162</v>
      </c>
      <c r="R580" s="269">
        <f t="shared" si="67"/>
        <v>32420.030970670392</v>
      </c>
      <c r="S580" s="269">
        <f t="shared" si="68"/>
        <v>32420.030970670392</v>
      </c>
      <c r="T580" s="269">
        <f t="shared" si="69"/>
        <v>32645.071632780717</v>
      </c>
      <c r="U580" s="242">
        <f t="shared" si="70"/>
        <v>0</v>
      </c>
    </row>
    <row r="581" spans="1:21" s="237" customFormat="1" x14ac:dyDescent="0.3">
      <c r="A581" s="237">
        <v>576</v>
      </c>
      <c r="B581" s="263">
        <v>0</v>
      </c>
      <c r="C581" s="263">
        <v>0</v>
      </c>
      <c r="D581" s="626">
        <v>0</v>
      </c>
      <c r="E581" s="270" t="s">
        <v>1437</v>
      </c>
      <c r="F581" s="384" t="s">
        <v>364</v>
      </c>
      <c r="G581" s="384">
        <v>31</v>
      </c>
      <c r="H581" s="385">
        <v>42004</v>
      </c>
      <c r="I581" s="265">
        <f t="shared" si="65"/>
        <v>2014</v>
      </c>
      <c r="J581" s="383">
        <v>900</v>
      </c>
      <c r="K581" s="641" t="str">
        <f>VLOOKUP(J581,'Cost Escalators'!$C$313:$D$330,2,FALSE)</f>
        <v>Construction in Progress</v>
      </c>
      <c r="L581" s="238" t="s">
        <v>1441</v>
      </c>
      <c r="M581" s="384" t="s">
        <v>1506</v>
      </c>
      <c r="N581" s="246">
        <v>22704</v>
      </c>
      <c r="O581" s="267">
        <v>0</v>
      </c>
      <c r="P581" s="250">
        <f t="shared" si="66"/>
        <v>2014</v>
      </c>
      <c r="Q581" s="268">
        <f>IF(J581=10,1,IFERROR(INDEX('Cost Escalators'!$D$28:$D$92,MATCH($P$4,'Cost Escalators'!$B$28:$B$92,0))/INDEX('Cost Escalators'!$D$28:$D$92,MATCH(I581,'Cost Escalators'!$B$28:$B$92,0)),1))</f>
        <v>1.028501165560878</v>
      </c>
      <c r="R581" s="269">
        <f t="shared" si="67"/>
        <v>23351.090462894175</v>
      </c>
      <c r="S581" s="269">
        <f t="shared" si="68"/>
        <v>23351.090462894175</v>
      </c>
      <c r="T581" s="269">
        <f t="shared" si="69"/>
        <v>23360.880868522647</v>
      </c>
      <c r="U581" s="242">
        <f t="shared" si="70"/>
        <v>0</v>
      </c>
    </row>
    <row r="582" spans="1:21" s="237" customFormat="1" x14ac:dyDescent="0.3">
      <c r="A582" s="237">
        <v>577</v>
      </c>
      <c r="B582" s="263">
        <v>0</v>
      </c>
      <c r="C582" s="263">
        <v>0</v>
      </c>
      <c r="D582" s="626">
        <v>0</v>
      </c>
      <c r="E582" s="270" t="s">
        <v>1442</v>
      </c>
      <c r="F582" s="384" t="s">
        <v>364</v>
      </c>
      <c r="G582" s="384">
        <v>31</v>
      </c>
      <c r="H582" s="385">
        <v>39934</v>
      </c>
      <c r="I582" s="265">
        <f t="shared" ref="I582:I597" si="72">YEAR(H582)</f>
        <v>2009</v>
      </c>
      <c r="J582" s="383">
        <v>900</v>
      </c>
      <c r="K582" s="641" t="str">
        <f>VLOOKUP(J582,'Cost Escalators'!$C$313:$D$330,2,FALSE)</f>
        <v>Construction in Progress</v>
      </c>
      <c r="L582" s="238" t="s">
        <v>1443</v>
      </c>
      <c r="M582" s="384" t="s">
        <v>1506</v>
      </c>
      <c r="N582" s="246">
        <v>3478</v>
      </c>
      <c r="O582" s="267">
        <v>0</v>
      </c>
      <c r="P582" s="250">
        <f t="shared" ref="P582:P597" si="73">IF(O582="","",I582+O582)</f>
        <v>2009</v>
      </c>
      <c r="Q582" s="268">
        <f>IF(J582=10,1,IFERROR(INDEX('Cost Escalators'!$D$28:$D$92,MATCH($P$4,'Cost Escalators'!$B$28:$B$92,0))/INDEX('Cost Escalators'!$D$28:$D$92,MATCH(I582,'Cost Escalators'!$B$28:$B$92,0)),1))</f>
        <v>1.1712138155015994</v>
      </c>
      <c r="R582" s="269">
        <f t="shared" ref="R582:R597" si="74">N582*Q582</f>
        <v>4073.4816503145626</v>
      </c>
      <c r="S582" s="269">
        <f t="shared" ref="S582:S597" si="75">IFERROR(IF(P582&gt;$P$4,R582*(1+$Q$4)^(P582-$P$4),R582),"")</f>
        <v>4073.4816503145626</v>
      </c>
      <c r="T582" s="269">
        <f t="shared" ref="T582:T597" si="76">IF(J582=10,N582,(N582-U582)*(1+$Q$4)^($P$4-I582))</f>
        <v>4127.1532657043599</v>
      </c>
      <c r="U582" s="242">
        <f t="shared" ref="U582:U597" si="77">IFERROR(IF((N582/O582)*($U$4-I582)&gt;N582,N582,(N582/O582)*($U$4-I582)),0)</f>
        <v>0</v>
      </c>
    </row>
    <row r="583" spans="1:21" s="237" customFormat="1" x14ac:dyDescent="0.3">
      <c r="A583" s="237">
        <v>578</v>
      </c>
      <c r="B583" s="263">
        <v>0</v>
      </c>
      <c r="C583" s="263">
        <v>0</v>
      </c>
      <c r="D583" s="626">
        <v>0</v>
      </c>
      <c r="E583" s="270" t="s">
        <v>1442</v>
      </c>
      <c r="F583" s="384" t="s">
        <v>364</v>
      </c>
      <c r="G583" s="384">
        <v>31</v>
      </c>
      <c r="H583" s="385">
        <v>39721</v>
      </c>
      <c r="I583" s="265">
        <f t="shared" si="72"/>
        <v>2008</v>
      </c>
      <c r="J583" s="383">
        <v>900</v>
      </c>
      <c r="K583" s="641" t="str">
        <f>VLOOKUP(J583,'Cost Escalators'!$C$313:$D$330,2,FALSE)</f>
        <v>Construction in Progress</v>
      </c>
      <c r="L583" s="238" t="s">
        <v>1444</v>
      </c>
      <c r="M583" s="384" t="s">
        <v>1506</v>
      </c>
      <c r="N583" s="246">
        <v>6417.89</v>
      </c>
      <c r="O583" s="267">
        <v>0</v>
      </c>
      <c r="P583" s="250">
        <f t="shared" si="73"/>
        <v>2008</v>
      </c>
      <c r="Q583" s="268">
        <f>IF(J583=10,1,IFERROR(INDEX('Cost Escalators'!$D$28:$D$92,MATCH($P$4,'Cost Escalators'!$B$28:$B$92,0))/INDEX('Cost Escalators'!$D$28:$D$92,MATCH(I583,'Cost Escalators'!$B$28:$B$92,0)),1))</f>
        <v>1.2078821488382354</v>
      </c>
      <c r="R583" s="269">
        <f t="shared" si="74"/>
        <v>7752.0547642074234</v>
      </c>
      <c r="S583" s="269">
        <f t="shared" si="75"/>
        <v>7752.0547642074234</v>
      </c>
      <c r="T583" s="269">
        <f t="shared" si="76"/>
        <v>7836.1028079915486</v>
      </c>
      <c r="U583" s="242">
        <f t="shared" si="77"/>
        <v>0</v>
      </c>
    </row>
    <row r="584" spans="1:21" s="237" customFormat="1" x14ac:dyDescent="0.3">
      <c r="A584" s="237">
        <v>579</v>
      </c>
      <c r="B584" s="263">
        <v>0</v>
      </c>
      <c r="C584" s="263">
        <v>0</v>
      </c>
      <c r="D584" s="626">
        <v>0</v>
      </c>
      <c r="E584" s="270" t="s">
        <v>1445</v>
      </c>
      <c r="F584" s="384" t="s">
        <v>364</v>
      </c>
      <c r="G584" s="384">
        <v>31</v>
      </c>
      <c r="H584" s="385">
        <v>40543</v>
      </c>
      <c r="I584" s="265">
        <f t="shared" si="72"/>
        <v>2010</v>
      </c>
      <c r="J584" s="383">
        <v>900</v>
      </c>
      <c r="K584" s="641" t="str">
        <f>VLOOKUP(J584,'Cost Escalators'!$C$313:$D$330,2,FALSE)</f>
        <v>Construction in Progress</v>
      </c>
      <c r="L584" s="238" t="s">
        <v>1446</v>
      </c>
      <c r="M584" s="384" t="s">
        <v>1506</v>
      </c>
      <c r="N584" s="246">
        <v>14700</v>
      </c>
      <c r="O584" s="267">
        <v>0</v>
      </c>
      <c r="P584" s="250">
        <f t="shared" si="73"/>
        <v>2010</v>
      </c>
      <c r="Q584" s="268">
        <f>IF(J584=10,1,IFERROR(INDEX('Cost Escalators'!$D$28:$D$92,MATCH($P$4,'Cost Escalators'!$B$28:$B$92,0))/INDEX('Cost Escalators'!$D$28:$D$92,MATCH(I584,'Cost Escalators'!$B$28:$B$92,0)),1))</f>
        <v>1.1407540701033272</v>
      </c>
      <c r="R584" s="269">
        <f t="shared" si="74"/>
        <v>16769.08483051891</v>
      </c>
      <c r="S584" s="269">
        <f t="shared" si="75"/>
        <v>16769.08483051891</v>
      </c>
      <c r="T584" s="269">
        <f t="shared" si="76"/>
        <v>16953.193446527399</v>
      </c>
      <c r="U584" s="242">
        <f t="shared" si="77"/>
        <v>0</v>
      </c>
    </row>
    <row r="585" spans="1:21" s="237" customFormat="1" x14ac:dyDescent="0.3">
      <c r="A585" s="237">
        <v>580</v>
      </c>
      <c r="B585" s="263">
        <v>0</v>
      </c>
      <c r="C585" s="263">
        <v>0</v>
      </c>
      <c r="D585" s="626">
        <v>0</v>
      </c>
      <c r="E585" s="270" t="s">
        <v>1445</v>
      </c>
      <c r="F585" s="384" t="s">
        <v>364</v>
      </c>
      <c r="G585" s="384">
        <v>31</v>
      </c>
      <c r="H585" s="385">
        <v>40908</v>
      </c>
      <c r="I585" s="265">
        <f t="shared" si="72"/>
        <v>2011</v>
      </c>
      <c r="J585" s="383">
        <v>900</v>
      </c>
      <c r="K585" s="641" t="str">
        <f>VLOOKUP(J585,'Cost Escalators'!$C$313:$D$330,2,FALSE)</f>
        <v>Construction in Progress</v>
      </c>
      <c r="L585" s="238" t="s">
        <v>1447</v>
      </c>
      <c r="M585" s="384" t="s">
        <v>1506</v>
      </c>
      <c r="N585" s="246">
        <v>78400</v>
      </c>
      <c r="O585" s="267">
        <v>0</v>
      </c>
      <c r="P585" s="250">
        <f t="shared" si="73"/>
        <v>2011</v>
      </c>
      <c r="Q585" s="268">
        <f>IF(J585=10,1,IFERROR(INDEX('Cost Escalators'!$D$28:$D$92,MATCH($P$4,'Cost Escalators'!$B$28:$B$92,0))/INDEX('Cost Escalators'!$D$28:$D$92,MATCH(I585,'Cost Escalators'!$B$28:$B$92,0)),1))</f>
        <v>1.1066796523273121</v>
      </c>
      <c r="R585" s="269">
        <f t="shared" si="74"/>
        <v>86763.684742461264</v>
      </c>
      <c r="S585" s="269">
        <f t="shared" si="75"/>
        <v>86763.684742461264</v>
      </c>
      <c r="T585" s="269">
        <f t="shared" si="76"/>
        <v>87874.609677889748</v>
      </c>
      <c r="U585" s="242">
        <f t="shared" si="77"/>
        <v>0</v>
      </c>
    </row>
    <row r="586" spans="1:21" s="237" customFormat="1" x14ac:dyDescent="0.3">
      <c r="A586" s="237">
        <v>581</v>
      </c>
      <c r="B586" s="263">
        <v>0</v>
      </c>
      <c r="C586" s="263">
        <v>0</v>
      </c>
      <c r="D586" s="626">
        <v>0</v>
      </c>
      <c r="E586" s="270" t="s">
        <v>1445</v>
      </c>
      <c r="F586" s="384" t="s">
        <v>364</v>
      </c>
      <c r="G586" s="384">
        <v>31</v>
      </c>
      <c r="H586" s="385">
        <v>41274</v>
      </c>
      <c r="I586" s="265">
        <f t="shared" si="72"/>
        <v>2012</v>
      </c>
      <c r="J586" s="383">
        <v>900</v>
      </c>
      <c r="K586" s="641" t="str">
        <f>VLOOKUP(J586,'Cost Escalators'!$C$313:$D$330,2,FALSE)</f>
        <v>Construction in Progress</v>
      </c>
      <c r="L586" s="238" t="s">
        <v>1448</v>
      </c>
      <c r="M586" s="384" t="s">
        <v>1506</v>
      </c>
      <c r="N586" s="246">
        <v>97300</v>
      </c>
      <c r="O586" s="267">
        <v>0</v>
      </c>
      <c r="P586" s="250">
        <f t="shared" si="73"/>
        <v>2012</v>
      </c>
      <c r="Q586" s="268">
        <f>IF(J586=10,1,IFERROR(INDEX('Cost Escalators'!$D$28:$D$92,MATCH($P$4,'Cost Escalators'!$B$28:$B$92,0))/INDEX('Cost Escalators'!$D$28:$D$92,MATCH(I586,'Cost Escalators'!$B$28:$B$92,0)),1))</f>
        <v>1.0783433902128956</v>
      </c>
      <c r="R586" s="269">
        <f t="shared" si="74"/>
        <v>104922.81186771474</v>
      </c>
      <c r="S586" s="269">
        <f t="shared" si="75"/>
        <v>104922.81186771474</v>
      </c>
      <c r="T586" s="269">
        <f t="shared" si="76"/>
        <v>105992.06416319625</v>
      </c>
      <c r="U586" s="242">
        <f t="shared" si="77"/>
        <v>0</v>
      </c>
    </row>
    <row r="587" spans="1:21" s="237" customFormat="1" x14ac:dyDescent="0.3">
      <c r="A587" s="237">
        <v>582</v>
      </c>
      <c r="B587" s="263">
        <v>0</v>
      </c>
      <c r="C587" s="263">
        <v>0</v>
      </c>
      <c r="D587" s="626">
        <v>0</v>
      </c>
      <c r="E587" s="270" t="s">
        <v>1445</v>
      </c>
      <c r="F587" s="384" t="s">
        <v>364</v>
      </c>
      <c r="G587" s="384">
        <v>31</v>
      </c>
      <c r="H587" s="385">
        <v>41639</v>
      </c>
      <c r="I587" s="265">
        <f t="shared" si="72"/>
        <v>2013</v>
      </c>
      <c r="J587" s="383">
        <v>900</v>
      </c>
      <c r="K587" s="641" t="str">
        <f>VLOOKUP(J587,'Cost Escalators'!$C$313:$D$330,2,FALSE)</f>
        <v>Construction in Progress</v>
      </c>
      <c r="L587" s="238" t="s">
        <v>1449</v>
      </c>
      <c r="M587" s="384" t="s">
        <v>1506</v>
      </c>
      <c r="N587" s="246">
        <v>464346</v>
      </c>
      <c r="O587" s="267">
        <v>0</v>
      </c>
      <c r="P587" s="250">
        <f t="shared" si="73"/>
        <v>2013</v>
      </c>
      <c r="Q587" s="268">
        <f>IF(J587=10,1,IFERROR(INDEX('Cost Escalators'!$D$28:$D$92,MATCH($P$4,'Cost Escalators'!$B$28:$B$92,0))/INDEX('Cost Escalators'!$D$28:$D$92,MATCH(I587,'Cost Escalators'!$B$28:$B$92,0)),1))</f>
        <v>1.0514036312849162</v>
      </c>
      <c r="R587" s="269">
        <f t="shared" si="74"/>
        <v>488215.07057262573</v>
      </c>
      <c r="S587" s="269">
        <f t="shared" si="75"/>
        <v>488215.07057262573</v>
      </c>
      <c r="T587" s="269">
        <f t="shared" si="76"/>
        <v>491603.97056575952</v>
      </c>
      <c r="U587" s="242">
        <f t="shared" si="77"/>
        <v>0</v>
      </c>
    </row>
    <row r="588" spans="1:21" s="237" customFormat="1" x14ac:dyDescent="0.3">
      <c r="A588" s="237">
        <v>583</v>
      </c>
      <c r="B588" s="263">
        <v>0</v>
      </c>
      <c r="C588" s="263">
        <v>0</v>
      </c>
      <c r="D588" s="626">
        <v>0</v>
      </c>
      <c r="E588" s="270" t="s">
        <v>1445</v>
      </c>
      <c r="F588" s="384" t="s">
        <v>364</v>
      </c>
      <c r="G588" s="384">
        <v>31</v>
      </c>
      <c r="H588" s="385">
        <v>42004</v>
      </c>
      <c r="I588" s="265">
        <f t="shared" si="72"/>
        <v>2014</v>
      </c>
      <c r="J588" s="383">
        <v>900</v>
      </c>
      <c r="K588" s="641" t="str">
        <f>VLOOKUP(J588,'Cost Escalators'!$C$313:$D$330,2,FALSE)</f>
        <v>Construction in Progress</v>
      </c>
      <c r="L588" s="238" t="s">
        <v>1450</v>
      </c>
      <c r="M588" s="384" t="s">
        <v>1506</v>
      </c>
      <c r="N588" s="246">
        <v>692334</v>
      </c>
      <c r="O588" s="267">
        <v>0</v>
      </c>
      <c r="P588" s="250">
        <f t="shared" si="73"/>
        <v>2014</v>
      </c>
      <c r="Q588" s="268">
        <f>IF(J588=10,1,IFERROR(INDEX('Cost Escalators'!$D$28:$D$92,MATCH($P$4,'Cost Escalators'!$B$28:$B$92,0))/INDEX('Cost Escalators'!$D$28:$D$92,MATCH(I588,'Cost Escalators'!$B$28:$B$92,0)),1))</f>
        <v>1.028501165560878</v>
      </c>
      <c r="R588" s="269">
        <f t="shared" si="74"/>
        <v>712066.32595742494</v>
      </c>
      <c r="S588" s="269">
        <f t="shared" si="75"/>
        <v>712066.32595742494</v>
      </c>
      <c r="T588" s="269">
        <f t="shared" si="76"/>
        <v>712364.87382081395</v>
      </c>
      <c r="U588" s="242">
        <f t="shared" si="77"/>
        <v>0</v>
      </c>
    </row>
    <row r="589" spans="1:21" s="237" customFormat="1" x14ac:dyDescent="0.3">
      <c r="A589" s="237">
        <v>584</v>
      </c>
      <c r="B589" s="263">
        <v>0</v>
      </c>
      <c r="C589" s="263">
        <v>0</v>
      </c>
      <c r="D589" s="626">
        <v>0</v>
      </c>
      <c r="E589" s="270" t="s">
        <v>1451</v>
      </c>
      <c r="F589" s="384" t="s">
        <v>364</v>
      </c>
      <c r="G589" s="384">
        <v>31</v>
      </c>
      <c r="H589" s="385">
        <v>40908</v>
      </c>
      <c r="I589" s="265">
        <f t="shared" si="72"/>
        <v>2011</v>
      </c>
      <c r="J589" s="383">
        <v>900</v>
      </c>
      <c r="K589" s="641" t="str">
        <f>VLOOKUP(J589,'Cost Escalators'!$C$313:$D$330,2,FALSE)</f>
        <v>Construction in Progress</v>
      </c>
      <c r="L589" s="238" t="s">
        <v>1452</v>
      </c>
      <c r="M589" s="384" t="s">
        <v>1506</v>
      </c>
      <c r="N589" s="246">
        <v>8990</v>
      </c>
      <c r="O589" s="267">
        <v>0</v>
      </c>
      <c r="P589" s="250">
        <f t="shared" si="73"/>
        <v>2011</v>
      </c>
      <c r="Q589" s="268">
        <f>IF(J589=10,1,IFERROR(INDEX('Cost Escalators'!$D$28:$D$92,MATCH($P$4,'Cost Escalators'!$B$28:$B$92,0))/INDEX('Cost Escalators'!$D$28:$D$92,MATCH(I589,'Cost Escalators'!$B$28:$B$92,0)),1))</f>
        <v>1.1066796523273121</v>
      </c>
      <c r="R589" s="269">
        <f t="shared" si="74"/>
        <v>9949.0500744225355</v>
      </c>
      <c r="S589" s="269">
        <f t="shared" si="75"/>
        <v>9949.0500744225355</v>
      </c>
      <c r="T589" s="269">
        <f t="shared" si="76"/>
        <v>10076.438023013123</v>
      </c>
      <c r="U589" s="242">
        <f t="shared" si="77"/>
        <v>0</v>
      </c>
    </row>
    <row r="590" spans="1:21" s="237" customFormat="1" x14ac:dyDescent="0.3">
      <c r="A590" s="237">
        <v>585</v>
      </c>
      <c r="B590" s="263">
        <v>0</v>
      </c>
      <c r="C590" s="263">
        <v>0</v>
      </c>
      <c r="D590" s="626">
        <v>0</v>
      </c>
      <c r="E590" s="270" t="s">
        <v>1451</v>
      </c>
      <c r="F590" s="384" t="s">
        <v>364</v>
      </c>
      <c r="G590" s="384">
        <v>31</v>
      </c>
      <c r="H590" s="385">
        <v>41274</v>
      </c>
      <c r="I590" s="265">
        <f t="shared" si="72"/>
        <v>2012</v>
      </c>
      <c r="J590" s="383">
        <v>900</v>
      </c>
      <c r="K590" s="641" t="str">
        <f>VLOOKUP(J590,'Cost Escalators'!$C$313:$D$330,2,FALSE)</f>
        <v>Construction in Progress</v>
      </c>
      <c r="L590" s="238" t="s">
        <v>1453</v>
      </c>
      <c r="M590" s="384" t="s">
        <v>1506</v>
      </c>
      <c r="N590" s="246">
        <v>32306</v>
      </c>
      <c r="O590" s="267">
        <v>0</v>
      </c>
      <c r="P590" s="250">
        <f t="shared" si="73"/>
        <v>2012</v>
      </c>
      <c r="Q590" s="268">
        <f>IF(J590=10,1,IFERROR(INDEX('Cost Escalators'!$D$28:$D$92,MATCH($P$4,'Cost Escalators'!$B$28:$B$92,0))/INDEX('Cost Escalators'!$D$28:$D$92,MATCH(I590,'Cost Escalators'!$B$28:$B$92,0)),1))</f>
        <v>1.0783433902128956</v>
      </c>
      <c r="R590" s="269">
        <f t="shared" si="74"/>
        <v>34836.961564217803</v>
      </c>
      <c r="S590" s="269">
        <f t="shared" si="75"/>
        <v>34836.961564217803</v>
      </c>
      <c r="T590" s="269">
        <f t="shared" si="76"/>
        <v>35191.979700475007</v>
      </c>
      <c r="U590" s="242">
        <f t="shared" si="77"/>
        <v>0</v>
      </c>
    </row>
    <row r="591" spans="1:21" s="237" customFormat="1" x14ac:dyDescent="0.3">
      <c r="A591" s="237">
        <v>586</v>
      </c>
      <c r="B591" s="263">
        <v>0</v>
      </c>
      <c r="C591" s="263">
        <v>0</v>
      </c>
      <c r="D591" s="626">
        <v>0</v>
      </c>
      <c r="E591" s="270" t="s">
        <v>1451</v>
      </c>
      <c r="F591" s="384" t="s">
        <v>364</v>
      </c>
      <c r="G591" s="384">
        <v>31</v>
      </c>
      <c r="H591" s="385">
        <v>41639</v>
      </c>
      <c r="I591" s="265">
        <f t="shared" si="72"/>
        <v>2013</v>
      </c>
      <c r="J591" s="383">
        <v>900</v>
      </c>
      <c r="K591" s="641" t="str">
        <f>VLOOKUP(J591,'Cost Escalators'!$C$313:$D$330,2,FALSE)</f>
        <v>Construction in Progress</v>
      </c>
      <c r="L591" s="238" t="s">
        <v>1454</v>
      </c>
      <c r="M591" s="384" t="s">
        <v>1506</v>
      </c>
      <c r="N591" s="246">
        <v>26938</v>
      </c>
      <c r="O591" s="267">
        <v>0</v>
      </c>
      <c r="P591" s="250">
        <f t="shared" si="73"/>
        <v>2013</v>
      </c>
      <c r="Q591" s="268">
        <f>IF(J591=10,1,IFERROR(INDEX('Cost Escalators'!$D$28:$D$92,MATCH($P$4,'Cost Escalators'!$B$28:$B$92,0))/INDEX('Cost Escalators'!$D$28:$D$92,MATCH(I591,'Cost Escalators'!$B$28:$B$92,0)),1))</f>
        <v>1.0514036312849162</v>
      </c>
      <c r="R591" s="269">
        <f t="shared" si="74"/>
        <v>28322.711019553073</v>
      </c>
      <c r="S591" s="269">
        <f t="shared" si="75"/>
        <v>28322.711019553073</v>
      </c>
      <c r="T591" s="269">
        <f t="shared" si="76"/>
        <v>28519.310512205186</v>
      </c>
      <c r="U591" s="242">
        <f t="shared" si="77"/>
        <v>0</v>
      </c>
    </row>
    <row r="592" spans="1:21" s="237" customFormat="1" x14ac:dyDescent="0.3">
      <c r="A592" s="237">
        <v>587</v>
      </c>
      <c r="B592" s="263">
        <v>0</v>
      </c>
      <c r="C592" s="263">
        <v>0</v>
      </c>
      <c r="D592" s="626">
        <v>0</v>
      </c>
      <c r="E592" s="270" t="s">
        <v>1451</v>
      </c>
      <c r="F592" s="384" t="s">
        <v>364</v>
      </c>
      <c r="G592" s="384">
        <v>31</v>
      </c>
      <c r="H592" s="385">
        <v>42004</v>
      </c>
      <c r="I592" s="265">
        <f t="shared" si="72"/>
        <v>2014</v>
      </c>
      <c r="J592" s="383">
        <v>900</v>
      </c>
      <c r="K592" s="641" t="str">
        <f>VLOOKUP(J592,'Cost Escalators'!$C$313:$D$330,2,FALSE)</f>
        <v>Construction in Progress</v>
      </c>
      <c r="L592" s="238" t="s">
        <v>1455</v>
      </c>
      <c r="M592" s="384" t="s">
        <v>1506</v>
      </c>
      <c r="N592" s="246">
        <v>1609545</v>
      </c>
      <c r="O592" s="267">
        <v>0</v>
      </c>
      <c r="P592" s="250">
        <f t="shared" si="73"/>
        <v>2014</v>
      </c>
      <c r="Q592" s="268">
        <f>IF(J592=10,1,IFERROR(INDEX('Cost Escalators'!$D$28:$D$92,MATCH($P$4,'Cost Escalators'!$B$28:$B$92,0))/INDEX('Cost Escalators'!$D$28:$D$92,MATCH(I592,'Cost Escalators'!$B$28:$B$92,0)),1))</f>
        <v>1.028501165560878</v>
      </c>
      <c r="R592" s="269">
        <f t="shared" si="74"/>
        <v>1655418.9085226834</v>
      </c>
      <c r="S592" s="269">
        <f t="shared" si="75"/>
        <v>1655418.9085226834</v>
      </c>
      <c r="T592" s="269">
        <f t="shared" si="76"/>
        <v>1656112.9755781486</v>
      </c>
      <c r="U592" s="242">
        <f t="shared" si="77"/>
        <v>0</v>
      </c>
    </row>
    <row r="593" spans="1:21" s="237" customFormat="1" x14ac:dyDescent="0.3">
      <c r="A593" s="237">
        <v>588</v>
      </c>
      <c r="B593" s="263">
        <v>0</v>
      </c>
      <c r="C593" s="263">
        <v>0</v>
      </c>
      <c r="D593" s="626">
        <v>0</v>
      </c>
      <c r="E593" s="270" t="s">
        <v>1456</v>
      </c>
      <c r="F593" s="384" t="s">
        <v>364</v>
      </c>
      <c r="G593" s="384">
        <v>31</v>
      </c>
      <c r="H593" s="385">
        <v>41639</v>
      </c>
      <c r="I593" s="265">
        <f t="shared" si="72"/>
        <v>2013</v>
      </c>
      <c r="J593" s="383">
        <v>900</v>
      </c>
      <c r="K593" s="641" t="str">
        <f>VLOOKUP(J593,'Cost Escalators'!$C$313:$D$330,2,FALSE)</f>
        <v>Construction in Progress</v>
      </c>
      <c r="L593" s="238" t="s">
        <v>1457</v>
      </c>
      <c r="M593" s="384" t="s">
        <v>1506</v>
      </c>
      <c r="N593" s="246">
        <v>6585</v>
      </c>
      <c r="O593" s="267">
        <v>0</v>
      </c>
      <c r="P593" s="250">
        <f t="shared" si="73"/>
        <v>2013</v>
      </c>
      <c r="Q593" s="268">
        <f>IF(J593=10,1,IFERROR(INDEX('Cost Escalators'!$D$28:$D$92,MATCH($P$4,'Cost Escalators'!$B$28:$B$92,0))/INDEX('Cost Escalators'!$D$28:$D$92,MATCH(I593,'Cost Escalators'!$B$28:$B$92,0)),1))</f>
        <v>1.0514036312849162</v>
      </c>
      <c r="R593" s="269">
        <f t="shared" si="74"/>
        <v>6923.4929120111728</v>
      </c>
      <c r="S593" s="269">
        <f t="shared" si="75"/>
        <v>6923.4929120111728</v>
      </c>
      <c r="T593" s="269">
        <f t="shared" si="76"/>
        <v>6971.5517010494896</v>
      </c>
      <c r="U593" s="242">
        <f t="shared" si="77"/>
        <v>0</v>
      </c>
    </row>
    <row r="594" spans="1:21" s="237" customFormat="1" x14ac:dyDescent="0.3">
      <c r="A594" s="237">
        <v>589</v>
      </c>
      <c r="B594" s="263">
        <v>0</v>
      </c>
      <c r="C594" s="263">
        <v>0</v>
      </c>
      <c r="D594" s="626">
        <v>0</v>
      </c>
      <c r="E594" s="270" t="s">
        <v>1456</v>
      </c>
      <c r="F594" s="384" t="s">
        <v>364</v>
      </c>
      <c r="G594" s="384">
        <v>31</v>
      </c>
      <c r="H594" s="385">
        <v>42004</v>
      </c>
      <c r="I594" s="265">
        <f t="shared" si="72"/>
        <v>2014</v>
      </c>
      <c r="J594" s="383">
        <v>900</v>
      </c>
      <c r="K594" s="641" t="str">
        <f>VLOOKUP(J594,'Cost Escalators'!$C$313:$D$330,2,FALSE)</f>
        <v>Construction in Progress</v>
      </c>
      <c r="L594" s="238" t="s">
        <v>1450</v>
      </c>
      <c r="M594" s="384" t="s">
        <v>1506</v>
      </c>
      <c r="N594" s="246">
        <v>89863</v>
      </c>
      <c r="O594" s="267">
        <v>0</v>
      </c>
      <c r="P594" s="250">
        <f t="shared" si="73"/>
        <v>2014</v>
      </c>
      <c r="Q594" s="268">
        <f>IF(J594=10,1,IFERROR(INDEX('Cost Escalators'!$D$28:$D$92,MATCH($P$4,'Cost Escalators'!$B$28:$B$92,0))/INDEX('Cost Escalators'!$D$28:$D$92,MATCH(I594,'Cost Escalators'!$B$28:$B$92,0)),1))</f>
        <v>1.028501165560878</v>
      </c>
      <c r="R594" s="269">
        <f t="shared" si="74"/>
        <v>92424.200240797174</v>
      </c>
      <c r="S594" s="269">
        <f t="shared" si="75"/>
        <v>92424.200240797174</v>
      </c>
      <c r="T594" s="269">
        <f t="shared" si="76"/>
        <v>92462.950911207314</v>
      </c>
      <c r="U594" s="242">
        <f t="shared" si="77"/>
        <v>0</v>
      </c>
    </row>
    <row r="595" spans="1:21" s="237" customFormat="1" x14ac:dyDescent="0.3">
      <c r="A595" s="237">
        <v>590</v>
      </c>
      <c r="B595" s="263">
        <v>0</v>
      </c>
      <c r="C595" s="263">
        <v>0</v>
      </c>
      <c r="D595" s="626">
        <v>0</v>
      </c>
      <c r="E595" s="270" t="s">
        <v>1458</v>
      </c>
      <c r="F595" s="384" t="s">
        <v>364</v>
      </c>
      <c r="G595" s="384">
        <v>31</v>
      </c>
      <c r="H595" s="385">
        <v>41639</v>
      </c>
      <c r="I595" s="265">
        <f t="shared" si="72"/>
        <v>2013</v>
      </c>
      <c r="J595" s="383">
        <v>900</v>
      </c>
      <c r="K595" s="641" t="str">
        <f>VLOOKUP(J595,'Cost Escalators'!$C$313:$D$330,2,FALSE)</f>
        <v>Construction in Progress</v>
      </c>
      <c r="L595" s="238" t="s">
        <v>1459</v>
      </c>
      <c r="M595" s="384" t="s">
        <v>1506</v>
      </c>
      <c r="N595" s="246">
        <v>6048</v>
      </c>
      <c r="O595" s="267">
        <v>0</v>
      </c>
      <c r="P595" s="250">
        <f t="shared" si="73"/>
        <v>2013</v>
      </c>
      <c r="Q595" s="268">
        <f>IF(J595=10,1,IFERROR(INDEX('Cost Escalators'!$D$28:$D$92,MATCH($P$4,'Cost Escalators'!$B$28:$B$92,0))/INDEX('Cost Escalators'!$D$28:$D$92,MATCH(I595,'Cost Escalators'!$B$28:$B$92,0)),1))</f>
        <v>1.0514036312849162</v>
      </c>
      <c r="R595" s="269">
        <f t="shared" si="74"/>
        <v>6358.8891620111735</v>
      </c>
      <c r="S595" s="269">
        <f t="shared" si="75"/>
        <v>6358.8891620111735</v>
      </c>
      <c r="T595" s="269">
        <f t="shared" si="76"/>
        <v>6403.0288060664107</v>
      </c>
      <c r="U595" s="242">
        <f t="shared" si="77"/>
        <v>0</v>
      </c>
    </row>
    <row r="596" spans="1:21" s="237" customFormat="1" x14ac:dyDescent="0.3">
      <c r="A596" s="237">
        <v>591</v>
      </c>
      <c r="B596" s="263">
        <v>0</v>
      </c>
      <c r="C596" s="263">
        <v>0</v>
      </c>
      <c r="D596" s="626">
        <v>0</v>
      </c>
      <c r="E596" s="270" t="s">
        <v>1460</v>
      </c>
      <c r="F596" s="384" t="s">
        <v>364</v>
      </c>
      <c r="G596" s="384">
        <v>31</v>
      </c>
      <c r="H596" s="385">
        <v>42004</v>
      </c>
      <c r="I596" s="265">
        <f t="shared" si="72"/>
        <v>2014</v>
      </c>
      <c r="J596" s="383">
        <v>900</v>
      </c>
      <c r="K596" s="641" t="str">
        <f>VLOOKUP(J596,'Cost Escalators'!$C$313:$D$330,2,FALSE)</f>
        <v>Construction in Progress</v>
      </c>
      <c r="L596" s="238" t="s">
        <v>1461</v>
      </c>
      <c r="M596" s="384" t="s">
        <v>1506</v>
      </c>
      <c r="N596" s="246">
        <v>1171</v>
      </c>
      <c r="O596" s="267">
        <v>0</v>
      </c>
      <c r="P596" s="250">
        <f t="shared" si="73"/>
        <v>2014</v>
      </c>
      <c r="Q596" s="268">
        <f>IF(J596=10,1,IFERROR(INDEX('Cost Escalators'!$D$28:$D$92,MATCH($P$4,'Cost Escalators'!$B$28:$B$92,0))/INDEX('Cost Escalators'!$D$28:$D$92,MATCH(I596,'Cost Escalators'!$B$28:$B$92,0)),1))</f>
        <v>1.028501165560878</v>
      </c>
      <c r="R596" s="269">
        <f t="shared" si="74"/>
        <v>1204.3748648717881</v>
      </c>
      <c r="S596" s="269">
        <f t="shared" si="75"/>
        <v>1204.3748648717881</v>
      </c>
      <c r="T596" s="269">
        <f t="shared" si="76"/>
        <v>1204.8798228083167</v>
      </c>
      <c r="U596" s="242">
        <f t="shared" si="77"/>
        <v>0</v>
      </c>
    </row>
    <row r="597" spans="1:21" s="237" customFormat="1" x14ac:dyDescent="0.3">
      <c r="A597" s="237">
        <v>592</v>
      </c>
      <c r="B597" s="263">
        <v>0</v>
      </c>
      <c r="C597" s="263">
        <v>0</v>
      </c>
      <c r="D597" s="626">
        <v>0</v>
      </c>
      <c r="E597" s="270" t="s">
        <v>1462</v>
      </c>
      <c r="F597" s="384" t="s">
        <v>364</v>
      </c>
      <c r="G597" s="384">
        <v>31</v>
      </c>
      <c r="H597" s="385">
        <v>42004</v>
      </c>
      <c r="I597" s="265">
        <f t="shared" si="72"/>
        <v>2014</v>
      </c>
      <c r="J597" s="383">
        <v>900</v>
      </c>
      <c r="K597" s="641" t="str">
        <f>VLOOKUP(J597,'Cost Escalators'!$C$313:$D$330,2,FALSE)</f>
        <v>Construction in Progress</v>
      </c>
      <c r="L597" s="238" t="s">
        <v>1463</v>
      </c>
      <c r="M597" s="384" t="s">
        <v>1506</v>
      </c>
      <c r="N597" s="246">
        <v>8636</v>
      </c>
      <c r="O597" s="267">
        <v>0</v>
      </c>
      <c r="P597" s="250">
        <f t="shared" si="73"/>
        <v>2014</v>
      </c>
      <c r="Q597" s="268">
        <f>IF(J597=10,1,IFERROR(INDEX('Cost Escalators'!$D$28:$D$92,MATCH($P$4,'Cost Escalators'!$B$28:$B$92,0))/INDEX('Cost Escalators'!$D$28:$D$92,MATCH(I597,'Cost Escalators'!$B$28:$B$92,0)),1))</f>
        <v>1.028501165560878</v>
      </c>
      <c r="R597" s="269">
        <f t="shared" si="74"/>
        <v>8882.1360657837431</v>
      </c>
      <c r="S597" s="269">
        <f t="shared" si="75"/>
        <v>8882.1360657837431</v>
      </c>
      <c r="T597" s="269">
        <f t="shared" si="76"/>
        <v>8885.8600766632135</v>
      </c>
      <c r="U597" s="242">
        <f t="shared" si="77"/>
        <v>0</v>
      </c>
    </row>
    <row r="598" spans="1:21" s="237" customFormat="1" x14ac:dyDescent="0.3">
      <c r="B598" s="270"/>
      <c r="C598" s="270"/>
      <c r="D598" s="270"/>
      <c r="E598" s="271"/>
      <c r="F598" s="238"/>
      <c r="G598" s="238"/>
      <c r="H598" s="238"/>
      <c r="I598" s="249"/>
      <c r="J598" s="383"/>
      <c r="K598" s="383"/>
      <c r="L598" s="266"/>
      <c r="M598" s="266"/>
      <c r="N598" s="250"/>
      <c r="P598" s="250"/>
      <c r="Q598" s="268"/>
      <c r="R598" s="272"/>
      <c r="S598" s="272"/>
      <c r="T598" s="273"/>
    </row>
    <row r="599" spans="1:21" s="237" customFormat="1" x14ac:dyDescent="0.3">
      <c r="B599" s="270"/>
      <c r="C599" s="270"/>
      <c r="D599" s="270"/>
      <c r="E599" s="271"/>
      <c r="F599" s="238"/>
      <c r="G599" s="238"/>
      <c r="H599" s="238"/>
      <c r="I599" s="249"/>
      <c r="J599" s="383"/>
      <c r="K599" s="383"/>
      <c r="L599" s="266"/>
      <c r="M599" s="266"/>
      <c r="N599" s="274">
        <f>SUM(N6:N597)</f>
        <v>219280824.55999988</v>
      </c>
      <c r="P599" s="250"/>
      <c r="Q599" s="268"/>
      <c r="R599" s="274">
        <f>SUM(R6:R597)</f>
        <v>420874972.80765319</v>
      </c>
      <c r="S599" s="274">
        <f>SUM(S6:S597)</f>
        <v>925623280.02823448</v>
      </c>
      <c r="T599" s="274">
        <f>SUM(T6:T597)</f>
        <v>211250075.68633205</v>
      </c>
      <c r="U599" s="274">
        <f>SUM(U6:U597)</f>
        <v>74092578.341081008</v>
      </c>
    </row>
    <row r="601" spans="1:21" x14ac:dyDescent="0.3">
      <c r="S601" s="275"/>
      <c r="T601" s="275"/>
    </row>
    <row r="602" spans="1:21" x14ac:dyDescent="0.3">
      <c r="R602" s="239"/>
      <c r="S602" s="239"/>
    </row>
    <row r="604" spans="1:21" x14ac:dyDescent="0.3">
      <c r="I604" s="276"/>
      <c r="L604" s="258" t="s">
        <v>1588</v>
      </c>
    </row>
    <row r="605" spans="1:21" x14ac:dyDescent="0.3">
      <c r="L605" s="447" t="s">
        <v>361</v>
      </c>
      <c r="M605" s="647"/>
      <c r="R605" s="282"/>
      <c r="S605" s="282"/>
    </row>
    <row r="606" spans="1:21" x14ac:dyDescent="0.3">
      <c r="L606" s="641">
        <v>10</v>
      </c>
      <c r="M606" s="647" t="str">
        <f>VLOOKUP(L606,'Cost Escalators'!$C$313:$D$330,2,FALSE)</f>
        <v>Land</v>
      </c>
      <c r="N606" s="246">
        <f t="shared" ref="N606:N623" si="78">SUMPRODUCT(($B$6:$B$597)*($J$6:$J$597=L606)*(N$6:N$597))</f>
        <v>0</v>
      </c>
      <c r="R606" s="246">
        <f t="shared" ref="R606:U623" si="79">SUMPRODUCT(($B$6:$B$597)*($J$6:$J$597=$L606)*(R$6:R$597))</f>
        <v>0</v>
      </c>
      <c r="S606" s="246">
        <f t="shared" si="79"/>
        <v>0</v>
      </c>
      <c r="T606" s="246">
        <f t="shared" si="79"/>
        <v>0</v>
      </c>
      <c r="U606" s="246">
        <f t="shared" si="79"/>
        <v>0</v>
      </c>
    </row>
    <row r="607" spans="1:21" x14ac:dyDescent="0.3">
      <c r="L607" s="383">
        <v>110</v>
      </c>
      <c r="M607" s="647" t="str">
        <f>VLOOKUP(L607,'Cost Escalators'!$C$313:$D$330,2,FALSE)</f>
        <v>Land Improvements</v>
      </c>
      <c r="N607" s="246">
        <f t="shared" si="78"/>
        <v>30171.05</v>
      </c>
      <c r="R607" s="246">
        <f t="shared" si="79"/>
        <v>70092.000310094125</v>
      </c>
      <c r="S607" s="246">
        <f t="shared" si="79"/>
        <v>70092.000310094125</v>
      </c>
      <c r="T607" s="246">
        <f t="shared" si="79"/>
        <v>0</v>
      </c>
      <c r="U607" s="246">
        <f t="shared" si="79"/>
        <v>30171.05</v>
      </c>
    </row>
    <row r="608" spans="1:21" x14ac:dyDescent="0.3">
      <c r="L608" s="383">
        <v>150</v>
      </c>
      <c r="M608" s="647" t="str">
        <f>VLOOKUP(L608,'Cost Escalators'!$C$313:$D$330,2,FALSE)</f>
        <v>Below Ground Piping (See 335)</v>
      </c>
      <c r="N608" s="246">
        <f t="shared" si="78"/>
        <v>182245.99</v>
      </c>
      <c r="R608" s="246">
        <f t="shared" si="79"/>
        <v>301597.94141983439</v>
      </c>
      <c r="S608" s="246">
        <f t="shared" si="79"/>
        <v>338425.0679067903</v>
      </c>
      <c r="T608" s="246">
        <f t="shared" si="79"/>
        <v>58019.169419156075</v>
      </c>
      <c r="U608" s="246">
        <f t="shared" si="79"/>
        <v>145434.49249999999</v>
      </c>
    </row>
    <row r="609" spans="12:21" x14ac:dyDescent="0.3">
      <c r="L609" s="383">
        <v>210</v>
      </c>
      <c r="M609" s="647" t="str">
        <f>VLOOKUP(L609,'Cost Escalators'!$C$313:$D$330,2,FALSE)</f>
        <v>Building</v>
      </c>
      <c r="N609" s="246">
        <f t="shared" si="78"/>
        <v>55166.07</v>
      </c>
      <c r="R609" s="246">
        <f t="shared" si="79"/>
        <v>164744.72801215292</v>
      </c>
      <c r="S609" s="246">
        <f t="shared" si="79"/>
        <v>265157.41662807437</v>
      </c>
      <c r="T609" s="246">
        <f t="shared" si="79"/>
        <v>46832.795158435176</v>
      </c>
      <c r="U609" s="246">
        <f t="shared" si="79"/>
        <v>35834.570399999997</v>
      </c>
    </row>
    <row r="610" spans="12:21" x14ac:dyDescent="0.3">
      <c r="L610" s="383">
        <v>211</v>
      </c>
      <c r="M610" s="647" t="str">
        <f>VLOOKUP(L610,'Cost Escalators'!$C$313:$D$330,2,FALSE)</f>
        <v>Pump Houses</v>
      </c>
      <c r="N610" s="246">
        <f t="shared" si="78"/>
        <v>940880.39</v>
      </c>
      <c r="R610" s="246">
        <f t="shared" si="79"/>
        <v>1715816.3721085354</v>
      </c>
      <c r="S610" s="246">
        <f t="shared" si="79"/>
        <v>4118388.9516350543</v>
      </c>
      <c r="T610" s="246">
        <f t="shared" si="79"/>
        <v>912367.62232359743</v>
      </c>
      <c r="U610" s="246">
        <f t="shared" si="79"/>
        <v>280125.5626</v>
      </c>
    </row>
    <row r="611" spans="12:21" x14ac:dyDescent="0.3">
      <c r="L611" s="383">
        <v>212</v>
      </c>
      <c r="M611" s="647" t="str">
        <f>VLOOKUP(L611,'Cost Escalators'!$C$313:$D$330,2,FALSE)</f>
        <v>Lift Stations</v>
      </c>
      <c r="N611" s="246">
        <f t="shared" si="78"/>
        <v>0</v>
      </c>
      <c r="R611" s="246">
        <f t="shared" si="79"/>
        <v>0</v>
      </c>
      <c r="S611" s="246">
        <f t="shared" si="79"/>
        <v>0</v>
      </c>
      <c r="T611" s="246">
        <f t="shared" si="79"/>
        <v>0</v>
      </c>
      <c r="U611" s="246">
        <f t="shared" si="79"/>
        <v>0</v>
      </c>
    </row>
    <row r="612" spans="12:21" x14ac:dyDescent="0.3">
      <c r="L612" s="383">
        <v>310</v>
      </c>
      <c r="M612" s="647" t="str">
        <f>VLOOKUP(L612,'Cost Escalators'!$C$313:$D$330,2,FALSE)</f>
        <v>Towers</v>
      </c>
      <c r="N612" s="246">
        <f t="shared" si="78"/>
        <v>3531160.72</v>
      </c>
      <c r="R612" s="246">
        <f t="shared" si="79"/>
        <v>8200900.0176270613</v>
      </c>
      <c r="S612" s="246">
        <f t="shared" si="79"/>
        <v>54151193.791831814</v>
      </c>
      <c r="T612" s="246">
        <f t="shared" si="79"/>
        <v>5045510.9024830507</v>
      </c>
      <c r="U612" s="246">
        <f t="shared" si="79"/>
        <v>975461.06200000003</v>
      </c>
    </row>
    <row r="613" spans="12:21" x14ac:dyDescent="0.3">
      <c r="L613" s="383">
        <v>320</v>
      </c>
      <c r="M613" s="647" t="str">
        <f>VLOOKUP(L613,'Cost Escalators'!$C$313:$D$330,2,FALSE)</f>
        <v>Foundations</v>
      </c>
      <c r="N613" s="246">
        <f t="shared" si="78"/>
        <v>128000</v>
      </c>
      <c r="R613" s="246">
        <f t="shared" si="79"/>
        <v>492850.96154857136</v>
      </c>
      <c r="S613" s="246">
        <f t="shared" si="79"/>
        <v>2878386.0360383801</v>
      </c>
      <c r="T613" s="246">
        <f t="shared" si="79"/>
        <v>232603.61158968517</v>
      </c>
      <c r="U613" s="246">
        <f t="shared" si="79"/>
        <v>47835</v>
      </c>
    </row>
    <row r="614" spans="12:21" x14ac:dyDescent="0.3">
      <c r="L614" s="383">
        <v>330</v>
      </c>
      <c r="M614" s="647" t="str">
        <f>VLOOKUP(L614,'Cost Escalators'!$C$313:$D$330,2,FALSE)</f>
        <v>Reservoir</v>
      </c>
      <c r="N614" s="246">
        <f t="shared" si="78"/>
        <v>14339860.630000001</v>
      </c>
      <c r="R614" s="246">
        <f t="shared" si="79"/>
        <v>21326514.926603679</v>
      </c>
      <c r="S614" s="246">
        <f t="shared" si="79"/>
        <v>117790840.01265052</v>
      </c>
      <c r="T614" s="246">
        <f t="shared" si="79"/>
        <v>17272967.330499765</v>
      </c>
      <c r="U614" s="246">
        <f t="shared" si="79"/>
        <v>2363672.0427999999</v>
      </c>
    </row>
    <row r="615" spans="12:21" x14ac:dyDescent="0.3">
      <c r="L615" s="383">
        <v>335</v>
      </c>
      <c r="M615" s="647" t="str">
        <f>VLOOKUP(L615,'Cost Escalators'!$C$313:$D$330,2,FALSE)</f>
        <v>Below Ground Piping (See 150)</v>
      </c>
      <c r="N615" s="246">
        <f t="shared" si="78"/>
        <v>1929204.2349999999</v>
      </c>
      <c r="R615" s="246">
        <f t="shared" si="79"/>
        <v>3595114.4104549247</v>
      </c>
      <c r="S615" s="246">
        <f t="shared" si="79"/>
        <v>4270509.6655786876</v>
      </c>
      <c r="T615" s="246">
        <f t="shared" si="79"/>
        <v>253388.05882846814</v>
      </c>
      <c r="U615" s="246">
        <f t="shared" si="79"/>
        <v>1754388.5117500001</v>
      </c>
    </row>
    <row r="616" spans="12:21" x14ac:dyDescent="0.3">
      <c r="L616" s="383">
        <v>340</v>
      </c>
      <c r="M616" s="647" t="str">
        <f>VLOOKUP(L616,'Cost Escalators'!$C$313:$D$330,2,FALSE)</f>
        <v>Sanitation Sewer System</v>
      </c>
      <c r="N616" s="246">
        <f t="shared" si="78"/>
        <v>0</v>
      </c>
      <c r="R616" s="246">
        <f t="shared" si="79"/>
        <v>0</v>
      </c>
      <c r="S616" s="246">
        <f t="shared" si="79"/>
        <v>0</v>
      </c>
      <c r="T616" s="246">
        <f t="shared" si="79"/>
        <v>0</v>
      </c>
      <c r="U616" s="246">
        <f t="shared" si="79"/>
        <v>0</v>
      </c>
    </row>
    <row r="617" spans="12:21" x14ac:dyDescent="0.3">
      <c r="L617" s="383">
        <v>350</v>
      </c>
      <c r="M617" s="647" t="str">
        <f>VLOOKUP(L617,'Cost Escalators'!$C$313:$D$330,2,FALSE)</f>
        <v>Storm Water System</v>
      </c>
      <c r="N617" s="246">
        <f t="shared" si="78"/>
        <v>0</v>
      </c>
      <c r="R617" s="246">
        <f t="shared" si="79"/>
        <v>0</v>
      </c>
      <c r="S617" s="246">
        <f t="shared" si="79"/>
        <v>0</v>
      </c>
      <c r="T617" s="246">
        <f t="shared" si="79"/>
        <v>0</v>
      </c>
      <c r="U617" s="246">
        <f t="shared" si="79"/>
        <v>0</v>
      </c>
    </row>
    <row r="618" spans="12:21" x14ac:dyDescent="0.3">
      <c r="L618" s="383">
        <v>360</v>
      </c>
      <c r="M618" s="647" t="str">
        <f>VLOOKUP(L618,'Cost Escalators'!$C$313:$D$330,2,FALSE)</f>
        <v>Water Distribution System</v>
      </c>
      <c r="N618" s="246">
        <f t="shared" si="78"/>
        <v>63621967.789999992</v>
      </c>
      <c r="R618" s="246">
        <f t="shared" si="79"/>
        <v>129466675.01278633</v>
      </c>
      <c r="S618" s="246">
        <f t="shared" si="79"/>
        <v>287444740.43923259</v>
      </c>
      <c r="T618" s="246">
        <f t="shared" si="79"/>
        <v>62220193.396310598</v>
      </c>
      <c r="U618" s="246">
        <f t="shared" si="79"/>
        <v>22130413.436199997</v>
      </c>
    </row>
    <row r="619" spans="12:21" x14ac:dyDescent="0.3">
      <c r="L619" s="383">
        <v>370</v>
      </c>
      <c r="M619" s="647" t="str">
        <f>VLOOKUP(L619,'Cost Escalators'!$C$313:$D$330,2,FALSE)</f>
        <v>Chicago Water Connection</v>
      </c>
      <c r="N619" s="246">
        <f t="shared" si="78"/>
        <v>10794949.890000001</v>
      </c>
      <c r="R619" s="246">
        <f t="shared" si="79"/>
        <v>26120291.941896193</v>
      </c>
      <c r="S619" s="246">
        <f t="shared" si="79"/>
        <v>44942992.384502627</v>
      </c>
      <c r="T619" s="246">
        <f t="shared" si="79"/>
        <v>9936791.4644829072</v>
      </c>
      <c r="U619" s="246">
        <f t="shared" si="79"/>
        <v>6686943.0318000009</v>
      </c>
    </row>
    <row r="620" spans="12:21" x14ac:dyDescent="0.3">
      <c r="L620" s="383">
        <v>380</v>
      </c>
      <c r="M620" s="647" t="str">
        <f>VLOOKUP(L620,'Cost Escalators'!$C$313:$D$330,2,FALSE)</f>
        <v>Above Ground Piping</v>
      </c>
      <c r="N620" s="246">
        <f t="shared" si="78"/>
        <v>106791.57</v>
      </c>
      <c r="R620" s="246">
        <f t="shared" si="79"/>
        <v>258540.69095947902</v>
      </c>
      <c r="S620" s="246">
        <f t="shared" si="79"/>
        <v>258540.69095947902</v>
      </c>
      <c r="T620" s="246">
        <f t="shared" si="79"/>
        <v>0</v>
      </c>
      <c r="U620" s="246">
        <f t="shared" si="79"/>
        <v>106791.57</v>
      </c>
    </row>
    <row r="621" spans="12:21" x14ac:dyDescent="0.3">
      <c r="L621" s="383">
        <v>410</v>
      </c>
      <c r="M621" s="647" t="str">
        <f>VLOOKUP(L621,'Cost Escalators'!$C$313:$D$330,2,FALSE)</f>
        <v>Machinery &amp; Equipment</v>
      </c>
      <c r="N621" s="246">
        <f t="shared" si="78"/>
        <v>697128.70000000007</v>
      </c>
      <c r="R621" s="246">
        <f t="shared" si="79"/>
        <v>1143862.0239151572</v>
      </c>
      <c r="S621" s="246">
        <f t="shared" si="79"/>
        <v>1395997.0173012007</v>
      </c>
      <c r="T621" s="246">
        <f t="shared" si="79"/>
        <v>274569.13851893827</v>
      </c>
      <c r="U621" s="246">
        <f t="shared" si="79"/>
        <v>463430.19933333329</v>
      </c>
    </row>
    <row r="622" spans="12:21" x14ac:dyDescent="0.3">
      <c r="L622" s="383">
        <v>610</v>
      </c>
      <c r="M622" s="647" t="str">
        <f>VLOOKUP(L622,'Cost Escalators'!$C$313:$D$330,2,FALSE)</f>
        <v>Autos &amp; Trucks</v>
      </c>
      <c r="N622" s="246">
        <f t="shared" si="78"/>
        <v>372477.92340000003</v>
      </c>
      <c r="R622" s="246">
        <f t="shared" si="79"/>
        <v>462947.34122483578</v>
      </c>
      <c r="S622" s="246">
        <f t="shared" si="79"/>
        <v>515674.94717126351</v>
      </c>
      <c r="T622" s="246">
        <f t="shared" si="79"/>
        <v>163213.33933143312</v>
      </c>
      <c r="U622" s="246">
        <f t="shared" si="79"/>
        <v>217258.3816857143</v>
      </c>
    </row>
    <row r="623" spans="12:21" x14ac:dyDescent="0.3">
      <c r="L623" s="383">
        <v>900</v>
      </c>
      <c r="M623" s="647" t="str">
        <f>VLOOKUP(L623,'Cost Escalators'!$C$313:$D$330,2,FALSE)</f>
        <v>Construction in Progress</v>
      </c>
      <c r="N623" s="246">
        <f t="shared" si="78"/>
        <v>0</v>
      </c>
      <c r="R623" s="246">
        <f t="shared" si="79"/>
        <v>0</v>
      </c>
      <c r="S623" s="246">
        <f t="shared" si="79"/>
        <v>0</v>
      </c>
      <c r="T623" s="246">
        <f t="shared" si="79"/>
        <v>0</v>
      </c>
      <c r="U623" s="246">
        <f t="shared" si="79"/>
        <v>0</v>
      </c>
    </row>
    <row r="624" spans="12:21" x14ac:dyDescent="0.3">
      <c r="L624" s="279" t="s">
        <v>1519</v>
      </c>
      <c r="M624" s="647"/>
      <c r="N624" s="280">
        <f>SUM(N606:N623)</f>
        <v>96730004.958399996</v>
      </c>
      <c r="R624" s="280">
        <f>SUM(R606:R623)</f>
        <v>193319948.36886689</v>
      </c>
      <c r="S624" s="280">
        <f>SUM(S606:S623)</f>
        <v>518440938.42174655</v>
      </c>
      <c r="T624" s="280">
        <f>SUM(T606:T623)</f>
        <v>96416456.828946039</v>
      </c>
      <c r="U624" s="280">
        <f>SUM(U606:U623)</f>
        <v>35237758.911069043</v>
      </c>
    </row>
    <row r="625" spans="6:21" x14ac:dyDescent="0.3">
      <c r="L625" s="279"/>
      <c r="M625" s="647"/>
      <c r="R625" s="1155">
        <f>R624/$R$671</f>
        <v>0.50112333939620923</v>
      </c>
      <c r="S625" s="282"/>
    </row>
    <row r="626" spans="6:21" x14ac:dyDescent="0.3">
      <c r="L626" s="449" t="s">
        <v>1589</v>
      </c>
      <c r="M626" s="647"/>
      <c r="R626" s="282"/>
      <c r="S626" s="282"/>
    </row>
    <row r="627" spans="6:21" x14ac:dyDescent="0.3">
      <c r="J627" s="281"/>
      <c r="K627" s="281"/>
      <c r="L627" s="447" t="s">
        <v>361</v>
      </c>
      <c r="M627" s="647"/>
      <c r="R627" s="282"/>
      <c r="S627" s="282"/>
    </row>
    <row r="628" spans="6:21" x14ac:dyDescent="0.3">
      <c r="L628" s="641">
        <v>10</v>
      </c>
      <c r="M628" s="647" t="str">
        <f>VLOOKUP(L628,'Cost Escalators'!$C$313:$D$330,2,FALSE)</f>
        <v>Land</v>
      </c>
      <c r="N628" s="246">
        <f>SUMPRODUCT(($C$6:$C$597)*($J$6:$J$597=L628)*(N$6:N$597))</f>
        <v>0</v>
      </c>
      <c r="R628" s="246">
        <f t="shared" ref="R628:U645" si="80">SUMPRODUCT(($C$6:$C$597)*($J$6:$J$597=$L628)*(R$6:R$597))</f>
        <v>0</v>
      </c>
      <c r="S628" s="246">
        <f t="shared" si="80"/>
        <v>0</v>
      </c>
      <c r="T628" s="246">
        <f t="shared" si="80"/>
        <v>0</v>
      </c>
      <c r="U628" s="246">
        <f t="shared" si="80"/>
        <v>0</v>
      </c>
    </row>
    <row r="629" spans="6:21" x14ac:dyDescent="0.3">
      <c r="L629" s="383">
        <v>110</v>
      </c>
      <c r="M629" s="647" t="str">
        <f>VLOOKUP(L629,'Cost Escalators'!$C$313:$D$330,2,FALSE)</f>
        <v>Land Improvements</v>
      </c>
      <c r="N629" s="246">
        <f t="shared" ref="N629:N645" si="81">SUMPRODUCT(($C$6:$C$597)*($J$6:$J$597=L629)*(N$6:N$597))</f>
        <v>30171.05</v>
      </c>
      <c r="R629" s="246">
        <f t="shared" si="80"/>
        <v>70092.000310094125</v>
      </c>
      <c r="S629" s="246">
        <f t="shared" si="80"/>
        <v>70092.000310094125</v>
      </c>
      <c r="T629" s="246">
        <f t="shared" si="80"/>
        <v>0</v>
      </c>
      <c r="U629" s="246">
        <f t="shared" si="80"/>
        <v>30171.05</v>
      </c>
    </row>
    <row r="630" spans="6:21" ht="16.5" customHeight="1" x14ac:dyDescent="0.3">
      <c r="L630" s="383">
        <v>150</v>
      </c>
      <c r="M630" s="647" t="str">
        <f>VLOOKUP(L630,'Cost Escalators'!$C$313:$D$330,2,FALSE)</f>
        <v>Below Ground Piping (See 335)</v>
      </c>
      <c r="N630" s="246">
        <f t="shared" si="81"/>
        <v>317728.75</v>
      </c>
      <c r="R630" s="246">
        <f t="shared" si="80"/>
        <v>526352.62506189139</v>
      </c>
      <c r="S630" s="246">
        <f t="shared" si="80"/>
        <v>589962.13622763206</v>
      </c>
      <c r="T630" s="246">
        <f t="shared" si="80"/>
        <v>100294.21765733266</v>
      </c>
      <c r="U630" s="246">
        <f t="shared" si="80"/>
        <v>254183</v>
      </c>
    </row>
    <row r="631" spans="6:21" ht="16.5" customHeight="1" x14ac:dyDescent="0.3">
      <c r="F631" s="383"/>
      <c r="L631" s="383">
        <v>210</v>
      </c>
      <c r="M631" s="647" t="str">
        <f>VLOOKUP(L631,'Cost Escalators'!$C$313:$D$330,2,FALSE)</f>
        <v>Building</v>
      </c>
      <c r="N631" s="246">
        <f t="shared" si="81"/>
        <v>41291.07</v>
      </c>
      <c r="R631" s="246">
        <f t="shared" si="80"/>
        <v>138013.64835764235</v>
      </c>
      <c r="S631" s="246">
        <f t="shared" si="80"/>
        <v>205749.00731429621</v>
      </c>
      <c r="T631" s="246">
        <f t="shared" si="80"/>
        <v>32280.502390558835</v>
      </c>
      <c r="U631" s="246">
        <f t="shared" si="80"/>
        <v>29729.570400000001</v>
      </c>
    </row>
    <row r="632" spans="6:21" ht="16.5" customHeight="1" x14ac:dyDescent="0.3">
      <c r="F632" s="383"/>
      <c r="L632" s="383">
        <v>211</v>
      </c>
      <c r="M632" s="647" t="str">
        <f>VLOOKUP(L632,'Cost Escalators'!$C$313:$D$330,2,FALSE)</f>
        <v>Pump Houses</v>
      </c>
      <c r="N632" s="246">
        <f t="shared" si="81"/>
        <v>0</v>
      </c>
      <c r="R632" s="246">
        <f t="shared" si="80"/>
        <v>0</v>
      </c>
      <c r="S632" s="246">
        <f t="shared" si="80"/>
        <v>0</v>
      </c>
      <c r="T632" s="246">
        <f t="shared" si="80"/>
        <v>0</v>
      </c>
      <c r="U632" s="246">
        <f t="shared" si="80"/>
        <v>0</v>
      </c>
    </row>
    <row r="633" spans="6:21" ht="16.5" customHeight="1" x14ac:dyDescent="0.3">
      <c r="F633" s="383"/>
      <c r="L633" s="383">
        <v>212</v>
      </c>
      <c r="M633" s="647" t="str">
        <f>VLOOKUP(L633,'Cost Escalators'!$C$313:$D$330,2,FALSE)</f>
        <v>Lift Stations</v>
      </c>
      <c r="N633" s="246">
        <f t="shared" si="81"/>
        <v>2789728.3099999996</v>
      </c>
      <c r="R633" s="246">
        <f t="shared" si="80"/>
        <v>6452011.4155679103</v>
      </c>
      <c r="S633" s="246">
        <f t="shared" si="80"/>
        <v>10700856.579367537</v>
      </c>
      <c r="T633" s="246">
        <f t="shared" si="80"/>
        <v>2041626.6018925812</v>
      </c>
      <c r="U633" s="246">
        <f t="shared" si="80"/>
        <v>1549005.3935999996</v>
      </c>
    </row>
    <row r="634" spans="6:21" ht="16.5" customHeight="1" x14ac:dyDescent="0.3">
      <c r="F634" s="383"/>
      <c r="L634" s="383">
        <v>310</v>
      </c>
      <c r="M634" s="647" t="str">
        <f>VLOOKUP(L634,'Cost Escalators'!$C$313:$D$330,2,FALSE)</f>
        <v>Towers</v>
      </c>
      <c r="N634" s="246">
        <f t="shared" si="81"/>
        <v>0</v>
      </c>
      <c r="R634" s="246">
        <f t="shared" si="80"/>
        <v>0</v>
      </c>
      <c r="S634" s="246">
        <f t="shared" si="80"/>
        <v>0</v>
      </c>
      <c r="T634" s="246">
        <f t="shared" si="80"/>
        <v>0</v>
      </c>
      <c r="U634" s="246">
        <f t="shared" si="80"/>
        <v>0</v>
      </c>
    </row>
    <row r="635" spans="6:21" ht="16.5" customHeight="1" x14ac:dyDescent="0.3">
      <c r="F635" s="383"/>
      <c r="L635" s="383">
        <v>320</v>
      </c>
      <c r="M635" s="647" t="str">
        <f>VLOOKUP(L635,'Cost Escalators'!$C$313:$D$330,2,FALSE)</f>
        <v>Foundations</v>
      </c>
      <c r="N635" s="246">
        <f t="shared" si="81"/>
        <v>0</v>
      </c>
      <c r="R635" s="246">
        <f t="shared" si="80"/>
        <v>0</v>
      </c>
      <c r="S635" s="246">
        <f t="shared" si="80"/>
        <v>0</v>
      </c>
      <c r="T635" s="246">
        <f t="shared" si="80"/>
        <v>0</v>
      </c>
      <c r="U635" s="246">
        <f t="shared" si="80"/>
        <v>0</v>
      </c>
    </row>
    <row r="636" spans="6:21" ht="16.5" customHeight="1" x14ac:dyDescent="0.3">
      <c r="F636" s="383"/>
      <c r="L636" s="383">
        <v>330</v>
      </c>
      <c r="M636" s="647" t="str">
        <f>VLOOKUP(L636,'Cost Escalators'!$C$313:$D$330,2,FALSE)</f>
        <v>Reservoir</v>
      </c>
      <c r="N636" s="246">
        <f t="shared" si="81"/>
        <v>0</v>
      </c>
      <c r="R636" s="246">
        <f t="shared" si="80"/>
        <v>0</v>
      </c>
      <c r="S636" s="246">
        <f t="shared" si="80"/>
        <v>0</v>
      </c>
      <c r="T636" s="246">
        <f t="shared" si="80"/>
        <v>0</v>
      </c>
      <c r="U636" s="246">
        <f t="shared" si="80"/>
        <v>0</v>
      </c>
    </row>
    <row r="637" spans="6:21" ht="16.5" customHeight="1" x14ac:dyDescent="0.3">
      <c r="F637" s="383"/>
      <c r="L637" s="383">
        <v>335</v>
      </c>
      <c r="M637" s="647" t="str">
        <f>VLOOKUP(L637,'Cost Escalators'!$C$313:$D$330,2,FALSE)</f>
        <v>Below Ground Piping (See 150)</v>
      </c>
      <c r="N637" s="246">
        <f t="shared" si="81"/>
        <v>5618356.6349999998</v>
      </c>
      <c r="R637" s="246">
        <f t="shared" si="80"/>
        <v>8598184.707982488</v>
      </c>
      <c r="S637" s="246">
        <f t="shared" si="80"/>
        <v>16021325.218195764</v>
      </c>
      <c r="T637" s="246">
        <f t="shared" si="80"/>
        <v>4585422.5123364199</v>
      </c>
      <c r="U637" s="246">
        <f t="shared" si="80"/>
        <v>2335699.2670833333</v>
      </c>
    </row>
    <row r="638" spans="6:21" ht="16.5" customHeight="1" x14ac:dyDescent="0.3">
      <c r="F638" s="383"/>
      <c r="L638" s="383">
        <v>340</v>
      </c>
      <c r="M638" s="647" t="str">
        <f>VLOOKUP(L638,'Cost Escalators'!$C$313:$D$330,2,FALSE)</f>
        <v>Sanitation Sewer System</v>
      </c>
      <c r="N638" s="246">
        <f t="shared" si="81"/>
        <v>29756369.120000001</v>
      </c>
      <c r="R638" s="246">
        <f t="shared" si="80"/>
        <v>79276210.509394854</v>
      </c>
      <c r="S638" s="246">
        <f t="shared" si="80"/>
        <v>143865987.84298983</v>
      </c>
      <c r="T638" s="246">
        <f t="shared" si="80"/>
        <v>27558674.675175782</v>
      </c>
      <c r="U638" s="246">
        <f t="shared" si="80"/>
        <v>14446575.441400008</v>
      </c>
    </row>
    <row r="639" spans="6:21" ht="16.5" customHeight="1" x14ac:dyDescent="0.3">
      <c r="F639" s="383"/>
      <c r="L639" s="383">
        <v>350</v>
      </c>
      <c r="M639" s="647" t="str">
        <f>VLOOKUP(L639,'Cost Escalators'!$C$313:$D$330,2,FALSE)</f>
        <v>Storm Water System</v>
      </c>
      <c r="N639" s="246">
        <f t="shared" si="81"/>
        <v>0</v>
      </c>
      <c r="R639" s="246">
        <f t="shared" si="80"/>
        <v>0</v>
      </c>
      <c r="S639" s="246">
        <f t="shared" si="80"/>
        <v>0</v>
      </c>
      <c r="T639" s="246">
        <f t="shared" si="80"/>
        <v>0</v>
      </c>
      <c r="U639" s="246">
        <f t="shared" si="80"/>
        <v>0</v>
      </c>
    </row>
    <row r="640" spans="6:21" ht="16.5" customHeight="1" x14ac:dyDescent="0.3">
      <c r="F640" s="383"/>
      <c r="L640" s="383">
        <v>360</v>
      </c>
      <c r="M640" s="647" t="str">
        <f>VLOOKUP(L640,'Cost Escalators'!$C$313:$D$330,2,FALSE)</f>
        <v>Water Distribution System</v>
      </c>
      <c r="N640" s="246">
        <f t="shared" si="81"/>
        <v>0</v>
      </c>
      <c r="R640" s="246">
        <f t="shared" si="80"/>
        <v>0</v>
      </c>
      <c r="S640" s="246">
        <f t="shared" si="80"/>
        <v>0</v>
      </c>
      <c r="T640" s="246">
        <f t="shared" si="80"/>
        <v>0</v>
      </c>
      <c r="U640" s="246">
        <f t="shared" si="80"/>
        <v>0</v>
      </c>
    </row>
    <row r="641" spans="6:21" ht="16.5" customHeight="1" x14ac:dyDescent="0.3">
      <c r="F641" s="383"/>
      <c r="L641" s="383">
        <v>370</v>
      </c>
      <c r="M641" s="647" t="str">
        <f>VLOOKUP(L641,'Cost Escalators'!$C$313:$D$330,2,FALSE)</f>
        <v>Chicago Water Connection</v>
      </c>
      <c r="N641" s="246">
        <f t="shared" si="81"/>
        <v>0</v>
      </c>
      <c r="R641" s="246">
        <f t="shared" si="80"/>
        <v>0</v>
      </c>
      <c r="S641" s="246">
        <f t="shared" si="80"/>
        <v>0</v>
      </c>
      <c r="T641" s="246">
        <f t="shared" si="80"/>
        <v>0</v>
      </c>
      <c r="U641" s="246">
        <f t="shared" si="80"/>
        <v>0</v>
      </c>
    </row>
    <row r="642" spans="6:21" ht="16.5" customHeight="1" x14ac:dyDescent="0.3">
      <c r="F642" s="383"/>
      <c r="L642" s="383">
        <v>380</v>
      </c>
      <c r="M642" s="647" t="str">
        <f>VLOOKUP(L642,'Cost Escalators'!$C$313:$D$330,2,FALSE)</f>
        <v>Above Ground Piping</v>
      </c>
      <c r="N642" s="246">
        <f t="shared" si="81"/>
        <v>0</v>
      </c>
      <c r="R642" s="246">
        <f t="shared" si="80"/>
        <v>0</v>
      </c>
      <c r="S642" s="246">
        <f t="shared" si="80"/>
        <v>0</v>
      </c>
      <c r="T642" s="246">
        <f t="shared" si="80"/>
        <v>0</v>
      </c>
      <c r="U642" s="246">
        <f t="shared" si="80"/>
        <v>0</v>
      </c>
    </row>
    <row r="643" spans="6:21" ht="16.5" customHeight="1" x14ac:dyDescent="0.3">
      <c r="F643" s="383"/>
      <c r="L643" s="383">
        <v>410</v>
      </c>
      <c r="M643" s="647" t="str">
        <f>VLOOKUP(L643,'Cost Escalators'!$C$313:$D$330,2,FALSE)</f>
        <v>Machinery &amp; Equipment</v>
      </c>
      <c r="N643" s="246">
        <f t="shared" si="81"/>
        <v>522771.7</v>
      </c>
      <c r="R643" s="246">
        <f t="shared" si="80"/>
        <v>858535.97099159437</v>
      </c>
      <c r="S643" s="246">
        <f t="shared" si="80"/>
        <v>871471.26541159733</v>
      </c>
      <c r="T643" s="246">
        <f t="shared" si="80"/>
        <v>27002.878973230494</v>
      </c>
      <c r="U643" s="246">
        <f t="shared" si="80"/>
        <v>504283.49933333328</v>
      </c>
    </row>
    <row r="644" spans="6:21" ht="16.5" customHeight="1" x14ac:dyDescent="0.3">
      <c r="F644" s="383"/>
      <c r="L644" s="383">
        <v>610</v>
      </c>
      <c r="M644" s="647" t="str">
        <f>VLOOKUP(L644,'Cost Escalators'!$C$313:$D$330,2,FALSE)</f>
        <v>Autos &amp; Trucks</v>
      </c>
      <c r="N644" s="246">
        <f t="shared" si="81"/>
        <v>372477.92340000003</v>
      </c>
      <c r="R644" s="246">
        <f t="shared" si="80"/>
        <v>462947.34122483578</v>
      </c>
      <c r="S644" s="246">
        <f t="shared" si="80"/>
        <v>515674.94717126351</v>
      </c>
      <c r="T644" s="246">
        <f t="shared" si="80"/>
        <v>163213.33933143312</v>
      </c>
      <c r="U644" s="246">
        <f t="shared" si="80"/>
        <v>217258.3816857143</v>
      </c>
    </row>
    <row r="645" spans="6:21" x14ac:dyDescent="0.3">
      <c r="F645" s="241"/>
      <c r="L645" s="383">
        <v>900</v>
      </c>
      <c r="M645" s="647" t="str">
        <f>VLOOKUP(L645,'Cost Escalators'!$C$313:$D$330,2,FALSE)</f>
        <v>Construction in Progress</v>
      </c>
      <c r="N645" s="246">
        <f t="shared" si="81"/>
        <v>0</v>
      </c>
      <c r="R645" s="246">
        <f t="shared" si="80"/>
        <v>0</v>
      </c>
      <c r="S645" s="246">
        <f t="shared" si="80"/>
        <v>0</v>
      </c>
      <c r="T645" s="246">
        <f t="shared" si="80"/>
        <v>0</v>
      </c>
      <c r="U645" s="246">
        <f t="shared" si="80"/>
        <v>0</v>
      </c>
    </row>
    <row r="646" spans="6:21" x14ac:dyDescent="0.3">
      <c r="I646" s="277"/>
      <c r="L646" s="279" t="s">
        <v>1520</v>
      </c>
      <c r="M646" s="279"/>
      <c r="N646" s="280">
        <f>SUM(N628:N645)</f>
        <v>39448894.558400005</v>
      </c>
      <c r="R646" s="280">
        <f t="shared" ref="R646:U646" si="82">SUM(R628:R645)</f>
        <v>96382348.218891308</v>
      </c>
      <c r="S646" s="280">
        <f t="shared" si="82"/>
        <v>172841118.99698803</v>
      </c>
      <c r="T646" s="280">
        <f t="shared" si="82"/>
        <v>34508514.727757335</v>
      </c>
      <c r="U646" s="280">
        <f t="shared" si="82"/>
        <v>19366905.603502389</v>
      </c>
    </row>
    <row r="647" spans="6:21" x14ac:dyDescent="0.3">
      <c r="I647" s="277"/>
      <c r="L647" s="647"/>
      <c r="M647" s="647"/>
      <c r="R647" s="772">
        <f>R646/$R$671</f>
        <v>0.24984200857606606</v>
      </c>
      <c r="S647" s="246"/>
      <c r="T647" s="246"/>
      <c r="U647" s="246"/>
    </row>
    <row r="648" spans="6:21" x14ac:dyDescent="0.3">
      <c r="L648" s="450" t="s">
        <v>1590</v>
      </c>
      <c r="M648" s="647"/>
      <c r="R648" s="246"/>
      <c r="S648" s="246"/>
      <c r="T648" s="246"/>
      <c r="U648" s="246"/>
    </row>
    <row r="649" spans="6:21" x14ac:dyDescent="0.3">
      <c r="L649" s="447" t="s">
        <v>361</v>
      </c>
      <c r="M649" s="279"/>
      <c r="N649" s="448"/>
      <c r="R649" s="246"/>
      <c r="S649" s="246"/>
      <c r="T649" s="246"/>
      <c r="U649" s="246"/>
    </row>
    <row r="650" spans="6:21" x14ac:dyDescent="0.3">
      <c r="L650" s="641">
        <v>10</v>
      </c>
      <c r="M650" s="647" t="str">
        <f>VLOOKUP(L650,'Cost Escalators'!$C$313:$D$330,2,FALSE)</f>
        <v>Land</v>
      </c>
      <c r="N650" s="246">
        <f>SUMPRODUCT(($D$6:$D$597)*($J$6:$J$597=L650)*(N$6:N$597))</f>
        <v>0</v>
      </c>
      <c r="R650" s="246">
        <f>SUMPRODUCT(($D$6:$D$597)*($J$6:$J$597=$L650)*(R$6:R$597))</f>
        <v>0</v>
      </c>
      <c r="S650" s="246">
        <f>SUMPRODUCT(($D$6:$D$597)*($J$6:$J$597=$L650)*(S$6:S$597))</f>
        <v>0</v>
      </c>
      <c r="T650" s="246">
        <f>SUMPRODUCT(($D$6:$D$597)*($J$6:$J$597=$L650)*(T$6:T$597))</f>
        <v>0</v>
      </c>
      <c r="U650" s="246">
        <f>SUMPRODUCT(($D$6:$D$597)*($J$6:$J$597=$L650)*(U$6:U$597))</f>
        <v>0</v>
      </c>
    </row>
    <row r="651" spans="6:21" x14ac:dyDescent="0.3">
      <c r="L651" s="383">
        <v>110</v>
      </c>
      <c r="M651" s="647" t="str">
        <f>VLOOKUP(L651,'Cost Escalators'!$C$313:$D$330,2,FALSE)</f>
        <v>Land Improvements</v>
      </c>
      <c r="N651" s="246">
        <f t="shared" ref="N651:N667" si="83">SUMPRODUCT(($D$6:$D$597)*($J$6:$J$597=L651)*(N$6:N$597))</f>
        <v>5989601.1600000001</v>
      </c>
      <c r="R651" s="246">
        <f t="shared" ref="R651:U667" si="84">SUMPRODUCT(($D$6:$D$597)*($J$6:$J$597=$L651)*(R$6:R$597))</f>
        <v>7486121.3645600285</v>
      </c>
      <c r="S651" s="246">
        <f t="shared" si="84"/>
        <v>10569132.079475148</v>
      </c>
      <c r="T651" s="246">
        <f t="shared" si="84"/>
        <v>4530199.1413577748</v>
      </c>
      <c r="U651" s="246">
        <f t="shared" si="84"/>
        <v>2350429.889</v>
      </c>
    </row>
    <row r="652" spans="6:21" x14ac:dyDescent="0.3">
      <c r="L652" s="383">
        <v>150</v>
      </c>
      <c r="M652" s="647" t="str">
        <f>VLOOKUP(L652,'Cost Escalators'!$C$313:$D$330,2,FALSE)</f>
        <v>Below Ground Piping (See 335)</v>
      </c>
      <c r="N652" s="246">
        <f t="shared" si="83"/>
        <v>56304.65</v>
      </c>
      <c r="R652" s="246">
        <f t="shared" si="84"/>
        <v>95464.914511824332</v>
      </c>
      <c r="S652" s="246">
        <f t="shared" si="84"/>
        <v>103993.04567596433</v>
      </c>
      <c r="T652" s="246">
        <f t="shared" si="84"/>
        <v>13715.50314209823</v>
      </c>
      <c r="U652" s="246">
        <f t="shared" si="84"/>
        <v>47858.952499999999</v>
      </c>
    </row>
    <row r="653" spans="6:21" x14ac:dyDescent="0.3">
      <c r="L653" s="383">
        <v>210</v>
      </c>
      <c r="M653" s="647" t="str">
        <f>VLOOKUP(L653,'Cost Escalators'!$C$313:$D$330,2,FALSE)</f>
        <v>Building</v>
      </c>
      <c r="N653" s="246">
        <f t="shared" si="83"/>
        <v>0</v>
      </c>
      <c r="R653" s="246">
        <f t="shared" si="84"/>
        <v>0</v>
      </c>
      <c r="S653" s="246">
        <f t="shared" si="84"/>
        <v>0</v>
      </c>
      <c r="T653" s="246">
        <f t="shared" si="84"/>
        <v>0</v>
      </c>
      <c r="U653" s="246">
        <f t="shared" si="84"/>
        <v>0</v>
      </c>
    </row>
    <row r="654" spans="6:21" x14ac:dyDescent="0.3">
      <c r="L654" s="383">
        <v>211</v>
      </c>
      <c r="M654" s="647" t="str">
        <f>VLOOKUP(L654,'Cost Escalators'!$C$313:$D$330,2,FALSE)</f>
        <v>Pump Houses</v>
      </c>
      <c r="N654" s="246">
        <f t="shared" si="83"/>
        <v>0</v>
      </c>
      <c r="R654" s="246">
        <f t="shared" si="84"/>
        <v>0</v>
      </c>
      <c r="S654" s="246">
        <f t="shared" si="84"/>
        <v>0</v>
      </c>
      <c r="T654" s="246">
        <f t="shared" si="84"/>
        <v>0</v>
      </c>
      <c r="U654" s="246">
        <f t="shared" si="84"/>
        <v>0</v>
      </c>
    </row>
    <row r="655" spans="6:21" x14ac:dyDescent="0.3">
      <c r="L655" s="383">
        <v>212</v>
      </c>
      <c r="M655" s="647" t="str">
        <f>VLOOKUP(L655,'Cost Escalators'!$C$313:$D$330,2,FALSE)</f>
        <v>Lift Stations</v>
      </c>
      <c r="N655" s="246">
        <f t="shared" si="83"/>
        <v>0</v>
      </c>
      <c r="R655" s="246">
        <f t="shared" si="84"/>
        <v>0</v>
      </c>
      <c r="S655" s="246">
        <f t="shared" si="84"/>
        <v>0</v>
      </c>
      <c r="T655" s="246">
        <f t="shared" si="84"/>
        <v>0</v>
      </c>
      <c r="U655" s="246">
        <f t="shared" si="84"/>
        <v>0</v>
      </c>
    </row>
    <row r="656" spans="6:21" x14ac:dyDescent="0.3">
      <c r="L656" s="383">
        <v>310</v>
      </c>
      <c r="M656" s="647" t="str">
        <f>VLOOKUP(L656,'Cost Escalators'!$C$313:$D$330,2,FALSE)</f>
        <v>Towers</v>
      </c>
      <c r="N656" s="246">
        <f t="shared" si="83"/>
        <v>0</v>
      </c>
      <c r="R656" s="246">
        <f t="shared" si="84"/>
        <v>0</v>
      </c>
      <c r="S656" s="246">
        <f t="shared" si="84"/>
        <v>0</v>
      </c>
      <c r="T656" s="246">
        <f t="shared" si="84"/>
        <v>0</v>
      </c>
      <c r="U656" s="246">
        <f t="shared" si="84"/>
        <v>0</v>
      </c>
    </row>
    <row r="657" spans="1:22" x14ac:dyDescent="0.3">
      <c r="L657" s="383">
        <v>320</v>
      </c>
      <c r="M657" s="647" t="str">
        <f>VLOOKUP(L657,'Cost Escalators'!$C$313:$D$330,2,FALSE)</f>
        <v>Foundations</v>
      </c>
      <c r="N657" s="246">
        <f t="shared" si="83"/>
        <v>0</v>
      </c>
      <c r="R657" s="246">
        <f t="shared" si="84"/>
        <v>0</v>
      </c>
      <c r="S657" s="246">
        <f t="shared" si="84"/>
        <v>0</v>
      </c>
      <c r="T657" s="246">
        <f t="shared" si="84"/>
        <v>0</v>
      </c>
      <c r="U657" s="246">
        <f t="shared" si="84"/>
        <v>0</v>
      </c>
    </row>
    <row r="658" spans="1:22" x14ac:dyDescent="0.3">
      <c r="L658" s="383">
        <v>330</v>
      </c>
      <c r="M658" s="647" t="str">
        <f>VLOOKUP(L658,'Cost Escalators'!$C$313:$D$330,2,FALSE)</f>
        <v>Reservoir</v>
      </c>
      <c r="N658" s="246">
        <f t="shared" si="83"/>
        <v>0</v>
      </c>
      <c r="R658" s="246">
        <f t="shared" si="84"/>
        <v>0</v>
      </c>
      <c r="S658" s="246">
        <f t="shared" si="84"/>
        <v>0</v>
      </c>
      <c r="T658" s="246">
        <f t="shared" si="84"/>
        <v>0</v>
      </c>
      <c r="U658" s="246">
        <f t="shared" si="84"/>
        <v>0</v>
      </c>
    </row>
    <row r="659" spans="1:22" x14ac:dyDescent="0.3">
      <c r="L659" s="383">
        <v>335</v>
      </c>
      <c r="M659" s="647" t="str">
        <f>VLOOKUP(L659,'Cost Escalators'!$C$313:$D$330,2,FALSE)</f>
        <v>Below Ground Piping (See 150)</v>
      </c>
      <c r="N659" s="246">
        <f t="shared" si="83"/>
        <v>1111631.27</v>
      </c>
      <c r="R659" s="246">
        <f t="shared" si="84"/>
        <v>1829738.5049476495</v>
      </c>
      <c r="S659" s="246">
        <f t="shared" si="84"/>
        <v>3547438.5520326039</v>
      </c>
      <c r="T659" s="246">
        <f t="shared" si="84"/>
        <v>855900.66989948298</v>
      </c>
      <c r="U659" s="246">
        <f t="shared" si="84"/>
        <v>573076.2183999999</v>
      </c>
    </row>
    <row r="660" spans="1:22" x14ac:dyDescent="0.3">
      <c r="L660" s="383">
        <v>340</v>
      </c>
      <c r="M660" s="647" t="str">
        <f>VLOOKUP(L660,'Cost Escalators'!$C$313:$D$330,2,FALSE)</f>
        <v>Sanitation Sewer System</v>
      </c>
      <c r="N660" s="246">
        <f t="shared" si="83"/>
        <v>0</v>
      </c>
      <c r="R660" s="246">
        <f t="shared" si="84"/>
        <v>0</v>
      </c>
      <c r="S660" s="246">
        <f t="shared" si="84"/>
        <v>0</v>
      </c>
      <c r="T660" s="246">
        <f t="shared" si="84"/>
        <v>0</v>
      </c>
      <c r="U660" s="246">
        <f t="shared" si="84"/>
        <v>0</v>
      </c>
    </row>
    <row r="661" spans="1:22" x14ac:dyDescent="0.3">
      <c r="L661" s="383">
        <v>350</v>
      </c>
      <c r="M661" s="647" t="str">
        <f>VLOOKUP(L661,'Cost Escalators'!$C$313:$D$330,2,FALSE)</f>
        <v>Storm Water System</v>
      </c>
      <c r="N661" s="246">
        <f t="shared" si="83"/>
        <v>40695401.779999994</v>
      </c>
      <c r="R661" s="246">
        <f t="shared" si="84"/>
        <v>86114131.008563995</v>
      </c>
      <c r="S661" s="246">
        <f t="shared" si="84"/>
        <v>184209560.66539609</v>
      </c>
      <c r="T661" s="246">
        <f t="shared" si="84"/>
        <v>39775283.06512548</v>
      </c>
      <c r="U661" s="246">
        <f t="shared" si="84"/>
        <v>16190694.451399997</v>
      </c>
    </row>
    <row r="662" spans="1:22" s="240" customFormat="1" x14ac:dyDescent="0.3">
      <c r="A662" s="237"/>
      <c r="B662" s="237"/>
      <c r="C662" s="237"/>
      <c r="D662" s="237"/>
      <c r="E662" s="238"/>
      <c r="F662" s="238"/>
      <c r="G662" s="238"/>
      <c r="H662" s="238"/>
      <c r="I662" s="239"/>
      <c r="J662" s="277"/>
      <c r="K662" s="277"/>
      <c r="L662" s="383">
        <v>360</v>
      </c>
      <c r="M662" s="647" t="str">
        <f>VLOOKUP(L662,'Cost Escalators'!$C$313:$D$330,2,FALSE)</f>
        <v>Water Distribution System</v>
      </c>
      <c r="N662" s="246">
        <f t="shared" si="83"/>
        <v>2452</v>
      </c>
      <c r="O662" s="241"/>
      <c r="Q662" s="239"/>
      <c r="R662" s="246">
        <f t="shared" si="84"/>
        <v>2521.8848579552728</v>
      </c>
      <c r="S662" s="246">
        <f t="shared" si="84"/>
        <v>10201.880830227583</v>
      </c>
      <c r="T662" s="246">
        <f t="shared" si="84"/>
        <v>2472.4833638048444</v>
      </c>
      <c r="U662" s="246">
        <f t="shared" si="84"/>
        <v>49.04</v>
      </c>
      <c r="V662" s="241"/>
    </row>
    <row r="663" spans="1:22" s="240" customFormat="1" x14ac:dyDescent="0.3">
      <c r="A663" s="237"/>
      <c r="B663" s="237"/>
      <c r="C663" s="237"/>
      <c r="D663" s="237"/>
      <c r="E663" s="238"/>
      <c r="F663" s="238"/>
      <c r="G663" s="238"/>
      <c r="H663" s="238"/>
      <c r="I663" s="239"/>
      <c r="J663" s="277"/>
      <c r="K663" s="277"/>
      <c r="L663" s="383">
        <v>370</v>
      </c>
      <c r="M663" s="647" t="str">
        <f>VLOOKUP(L663,'Cost Escalators'!$C$313:$D$330,2,FALSE)</f>
        <v>Chicago Water Connection</v>
      </c>
      <c r="N663" s="246">
        <f t="shared" si="83"/>
        <v>0</v>
      </c>
      <c r="O663" s="241"/>
      <c r="Q663" s="239"/>
      <c r="R663" s="246">
        <f t="shared" si="84"/>
        <v>0</v>
      </c>
      <c r="S663" s="246">
        <f t="shared" si="84"/>
        <v>0</v>
      </c>
      <c r="T663" s="246">
        <f t="shared" si="84"/>
        <v>0</v>
      </c>
      <c r="U663" s="246">
        <f t="shared" si="84"/>
        <v>0</v>
      </c>
      <c r="V663" s="241"/>
    </row>
    <row r="664" spans="1:22" s="240" customFormat="1" x14ac:dyDescent="0.3">
      <c r="A664" s="237"/>
      <c r="B664" s="237"/>
      <c r="C664" s="237"/>
      <c r="D664" s="237"/>
      <c r="E664" s="238"/>
      <c r="F664" s="238"/>
      <c r="G664" s="238"/>
      <c r="H664" s="238"/>
      <c r="I664" s="239"/>
      <c r="J664" s="277"/>
      <c r="K664" s="277"/>
      <c r="L664" s="383">
        <v>380</v>
      </c>
      <c r="M664" s="647" t="str">
        <f>VLOOKUP(L664,'Cost Escalators'!$C$313:$D$330,2,FALSE)</f>
        <v>Above Ground Piping</v>
      </c>
      <c r="N664" s="246">
        <f t="shared" si="83"/>
        <v>0</v>
      </c>
      <c r="O664" s="241"/>
      <c r="Q664" s="239"/>
      <c r="R664" s="246">
        <f t="shared" si="84"/>
        <v>0</v>
      </c>
      <c r="S664" s="246">
        <f t="shared" si="84"/>
        <v>0</v>
      </c>
      <c r="T664" s="246">
        <f t="shared" si="84"/>
        <v>0</v>
      </c>
      <c r="U664" s="246">
        <f t="shared" si="84"/>
        <v>0</v>
      </c>
      <c r="V664" s="241"/>
    </row>
    <row r="665" spans="1:22" s="240" customFormat="1" x14ac:dyDescent="0.3">
      <c r="A665" s="237"/>
      <c r="B665" s="237"/>
      <c r="C665" s="237"/>
      <c r="D665" s="237"/>
      <c r="E665" s="238"/>
      <c r="F665" s="238"/>
      <c r="G665" s="238"/>
      <c r="H665" s="238"/>
      <c r="I665" s="239"/>
      <c r="J665" s="277"/>
      <c r="K665" s="277"/>
      <c r="L665" s="383">
        <v>410</v>
      </c>
      <c r="M665" s="647" t="str">
        <f>VLOOKUP(L665,'Cost Escalators'!$C$313:$D$330,2,FALSE)</f>
        <v>Machinery &amp; Equipment</v>
      </c>
      <c r="N665" s="246">
        <f t="shared" si="83"/>
        <v>40356.299999999988</v>
      </c>
      <c r="O665" s="241"/>
      <c r="Q665" s="239"/>
      <c r="R665" s="246">
        <f t="shared" si="84"/>
        <v>65937.983169195577</v>
      </c>
      <c r="S665" s="246">
        <f t="shared" si="84"/>
        <v>65937.983169195577</v>
      </c>
      <c r="T665" s="246">
        <f t="shared" si="84"/>
        <v>0</v>
      </c>
      <c r="U665" s="246">
        <f t="shared" si="84"/>
        <v>40356.299999999988</v>
      </c>
      <c r="V665" s="241"/>
    </row>
    <row r="666" spans="1:22" s="240" customFormat="1" x14ac:dyDescent="0.3">
      <c r="A666" s="237"/>
      <c r="B666" s="237"/>
      <c r="C666" s="237"/>
      <c r="D666" s="237"/>
      <c r="E666" s="238"/>
      <c r="F666" s="238"/>
      <c r="G666" s="238"/>
      <c r="H666" s="238"/>
      <c r="I666" s="239"/>
      <c r="J666" s="277"/>
      <c r="K666" s="277"/>
      <c r="L666" s="383">
        <v>610</v>
      </c>
      <c r="M666" s="647" t="str">
        <f>VLOOKUP(L666,'Cost Escalators'!$C$313:$D$330,2,FALSE)</f>
        <v>Autos &amp; Trucks</v>
      </c>
      <c r="N666" s="246">
        <f t="shared" si="83"/>
        <v>383765.13319999981</v>
      </c>
      <c r="O666" s="241"/>
      <c r="Q666" s="239"/>
      <c r="R666" s="246">
        <f t="shared" si="84"/>
        <v>476976.04853467911</v>
      </c>
      <c r="S666" s="246">
        <f t="shared" si="84"/>
        <v>531301.46072190767</v>
      </c>
      <c r="T666" s="246">
        <f t="shared" si="84"/>
        <v>168159.19809905224</v>
      </c>
      <c r="U666" s="246">
        <f t="shared" si="84"/>
        <v>223841.96900952377</v>
      </c>
      <c r="V666" s="241"/>
    </row>
    <row r="667" spans="1:22" s="240" customFormat="1" x14ac:dyDescent="0.3">
      <c r="A667" s="237"/>
      <c r="B667" s="237"/>
      <c r="C667" s="237"/>
      <c r="D667" s="237"/>
      <c r="E667" s="238"/>
      <c r="F667" s="238"/>
      <c r="G667" s="238"/>
      <c r="H667" s="238"/>
      <c r="I667" s="239"/>
      <c r="J667" s="277"/>
      <c r="K667" s="277"/>
      <c r="L667" s="383">
        <v>900</v>
      </c>
      <c r="M667" s="647" t="str">
        <f>VLOOKUP(L667,'Cost Escalators'!$C$313:$D$330,2,FALSE)</f>
        <v>Construction in Progress</v>
      </c>
      <c r="N667" s="246">
        <f t="shared" si="83"/>
        <v>0</v>
      </c>
      <c r="O667" s="241"/>
      <c r="Q667" s="239"/>
      <c r="R667" s="246">
        <f t="shared" si="84"/>
        <v>0</v>
      </c>
      <c r="S667" s="246">
        <f t="shared" si="84"/>
        <v>0</v>
      </c>
      <c r="T667" s="246">
        <f t="shared" si="84"/>
        <v>0</v>
      </c>
      <c r="U667" s="246">
        <f t="shared" si="84"/>
        <v>0</v>
      </c>
      <c r="V667" s="241"/>
    </row>
    <row r="668" spans="1:22" s="240" customFormat="1" x14ac:dyDescent="0.3">
      <c r="A668" s="237"/>
      <c r="B668" s="237"/>
      <c r="C668" s="237"/>
      <c r="D668" s="237"/>
      <c r="E668" s="238"/>
      <c r="F668" s="238"/>
      <c r="G668" s="238"/>
      <c r="H668" s="238"/>
      <c r="I668" s="239"/>
      <c r="J668" s="277"/>
      <c r="K668" s="277"/>
      <c r="L668" s="279" t="s">
        <v>1571</v>
      </c>
      <c r="M668" s="279"/>
      <c r="N668" s="280">
        <f>SUM(N650:N667)</f>
        <v>48279512.293199986</v>
      </c>
      <c r="O668" s="241"/>
      <c r="Q668" s="239"/>
      <c r="R668" s="280">
        <f t="shared" ref="R668:U668" si="85">SUM(R650:R667)</f>
        <v>96070891.709145322</v>
      </c>
      <c r="S668" s="280">
        <f t="shared" si="85"/>
        <v>199037565.66730115</v>
      </c>
      <c r="T668" s="280">
        <f t="shared" si="85"/>
        <v>45345730.060987696</v>
      </c>
      <c r="U668" s="280">
        <f t="shared" si="85"/>
        <v>19426306.82030952</v>
      </c>
    </row>
    <row r="669" spans="1:22" s="240" customFormat="1" x14ac:dyDescent="0.3">
      <c r="A669" s="237"/>
      <c r="B669" s="237"/>
      <c r="C669" s="237"/>
      <c r="D669" s="237"/>
      <c r="E669" s="238"/>
      <c r="F669" s="238"/>
      <c r="G669" s="238"/>
      <c r="H669" s="238"/>
      <c r="I669" s="239"/>
      <c r="J669" s="277"/>
      <c r="K669" s="277"/>
      <c r="L669" s="647"/>
      <c r="M669" s="647"/>
      <c r="O669" s="241"/>
      <c r="Q669" s="239"/>
      <c r="R669" s="772">
        <f>R668/$R$671</f>
        <v>0.24903465202772482</v>
      </c>
      <c r="U669" s="241"/>
    </row>
    <row r="670" spans="1:22" s="240" customFormat="1" x14ac:dyDescent="0.3">
      <c r="A670" s="237"/>
      <c r="B670" s="237"/>
      <c r="C670" s="237"/>
      <c r="D670" s="237"/>
      <c r="E670" s="238"/>
      <c r="F670" s="238"/>
      <c r="G670" s="238"/>
      <c r="H670" s="238"/>
      <c r="I670" s="239"/>
      <c r="J670" s="277"/>
      <c r="K670" s="277"/>
      <c r="L670" s="647"/>
      <c r="M670" s="647"/>
      <c r="N670" s="647"/>
      <c r="O670" s="241"/>
      <c r="Q670" s="239"/>
      <c r="R670" s="239"/>
      <c r="S670" s="239"/>
      <c r="T670" s="239"/>
      <c r="U670" s="239"/>
    </row>
    <row r="671" spans="1:22" s="240" customFormat="1" x14ac:dyDescent="0.3">
      <c r="A671" s="237"/>
      <c r="B671" s="237"/>
      <c r="C671" s="237"/>
      <c r="D671" s="237"/>
      <c r="E671" s="238"/>
      <c r="F671" s="238"/>
      <c r="G671" s="238"/>
      <c r="H671" s="238"/>
      <c r="I671" s="239"/>
      <c r="J671" s="277"/>
      <c r="K671" s="277"/>
      <c r="L671" s="647"/>
      <c r="M671" s="648"/>
      <c r="N671" s="248">
        <f>N668+N646+N624</f>
        <v>184458411.81</v>
      </c>
      <c r="O671" s="241"/>
      <c r="Q671" s="239"/>
      <c r="R671" s="248">
        <f>R668+R646+R624</f>
        <v>385773188.29690349</v>
      </c>
      <c r="S671" s="239"/>
      <c r="T671" s="239"/>
      <c r="U671" s="239"/>
    </row>
    <row r="672" spans="1:22" s="240" customFormat="1" x14ac:dyDescent="0.3">
      <c r="A672" s="237"/>
      <c r="B672" s="237"/>
      <c r="C672" s="237"/>
      <c r="D672" s="237"/>
      <c r="E672" s="238"/>
      <c r="F672" s="238"/>
      <c r="G672" s="238"/>
      <c r="H672" s="238"/>
      <c r="I672" s="239"/>
      <c r="J672" s="277"/>
      <c r="K672" s="277"/>
      <c r="L672" s="647"/>
      <c r="M672" s="647"/>
      <c r="N672" s="248">
        <f>N671*0.02</f>
        <v>3689168.2362000002</v>
      </c>
      <c r="O672" s="241"/>
      <c r="Q672" s="239"/>
      <c r="R672" s="248">
        <f>R671*0.02</f>
        <v>7715463.7659380697</v>
      </c>
      <c r="U672" s="241"/>
    </row>
    <row r="673" spans="1:21" s="240" customFormat="1" x14ac:dyDescent="0.3">
      <c r="A673" s="237"/>
      <c r="B673" s="237"/>
      <c r="C673" s="237"/>
      <c r="D673" s="237"/>
      <c r="E673" s="238"/>
      <c r="F673" s="238"/>
      <c r="G673" s="238"/>
      <c r="H673" s="238"/>
      <c r="I673" s="239"/>
      <c r="J673" s="277"/>
      <c r="K673" s="277"/>
      <c r="L673" s="647"/>
      <c r="M673" s="647"/>
      <c r="N673" s="772"/>
      <c r="O673" s="241"/>
      <c r="Q673" s="239"/>
      <c r="R673" s="772"/>
      <c r="U673" s="241"/>
    </row>
    <row r="674" spans="1:21" s="240" customFormat="1" x14ac:dyDescent="0.3">
      <c r="A674" s="237"/>
      <c r="B674" s="237"/>
      <c r="C674" s="237"/>
      <c r="D674" s="237"/>
      <c r="E674" s="238"/>
      <c r="F674" s="238"/>
      <c r="G674" s="238"/>
      <c r="H674" s="238"/>
      <c r="I674" s="239"/>
      <c r="J674" s="277"/>
      <c r="K674" s="277"/>
      <c r="L674" s="647"/>
      <c r="M674" s="647"/>
      <c r="O674" s="241"/>
      <c r="Q674" s="239"/>
      <c r="R674" s="772"/>
      <c r="U674" s="241"/>
    </row>
    <row r="675" spans="1:21" s="240" customFormat="1" x14ac:dyDescent="0.3">
      <c r="A675" s="237"/>
      <c r="B675" s="237"/>
      <c r="C675" s="237"/>
      <c r="D675" s="237"/>
      <c r="E675" s="238"/>
      <c r="F675" s="238"/>
      <c r="G675" s="238"/>
      <c r="H675" s="238"/>
      <c r="I675" s="239"/>
      <c r="J675" s="277"/>
      <c r="K675" s="277"/>
      <c r="L675" s="647"/>
      <c r="M675" s="647"/>
      <c r="O675" s="241"/>
      <c r="Q675" s="239"/>
      <c r="U675" s="241"/>
    </row>
    <row r="676" spans="1:21" s="240" customFormat="1" x14ac:dyDescent="0.3">
      <c r="A676" s="237"/>
      <c r="B676" s="237"/>
      <c r="C676" s="237"/>
      <c r="D676" s="237"/>
      <c r="E676" s="238"/>
      <c r="F676" s="238"/>
      <c r="G676" s="238"/>
      <c r="H676" s="238"/>
      <c r="I676" s="239"/>
      <c r="J676" s="277"/>
      <c r="K676" s="277"/>
      <c r="L676" s="647"/>
      <c r="M676" s="647"/>
      <c r="O676" s="241"/>
      <c r="Q676" s="239"/>
      <c r="U676" s="241"/>
    </row>
    <row r="677" spans="1:21" s="240" customFormat="1" x14ac:dyDescent="0.3">
      <c r="A677" s="237"/>
      <c r="B677" s="237"/>
      <c r="C677" s="237"/>
      <c r="D677" s="237"/>
      <c r="E677" s="238"/>
      <c r="F677" s="238"/>
      <c r="G677" s="238"/>
      <c r="H677" s="238"/>
      <c r="I677" s="239"/>
      <c r="J677" s="277"/>
      <c r="K677" s="277"/>
      <c r="L677" s="647"/>
      <c r="M677" s="647"/>
      <c r="O677" s="241"/>
      <c r="Q677" s="239"/>
      <c r="U677" s="241"/>
    </row>
    <row r="678" spans="1:21" s="240" customFormat="1" x14ac:dyDescent="0.3">
      <c r="A678" s="237"/>
      <c r="B678" s="237"/>
      <c r="C678" s="237"/>
      <c r="D678" s="237"/>
      <c r="E678" s="238"/>
      <c r="F678" s="238"/>
      <c r="G678" s="238"/>
      <c r="H678" s="238"/>
      <c r="I678" s="239"/>
      <c r="J678" s="277"/>
      <c r="K678" s="277"/>
      <c r="L678" s="647"/>
      <c r="M678" s="647"/>
      <c r="O678" s="241"/>
      <c r="Q678" s="239"/>
      <c r="U678" s="241"/>
    </row>
    <row r="679" spans="1:21" s="240" customFormat="1" x14ac:dyDescent="0.3">
      <c r="A679" s="237"/>
      <c r="B679" s="237"/>
      <c r="C679" s="237"/>
      <c r="D679" s="237"/>
      <c r="E679" s="238"/>
      <c r="F679" s="238"/>
      <c r="G679" s="238"/>
      <c r="H679" s="238"/>
      <c r="I679" s="239"/>
      <c r="J679" s="277"/>
      <c r="K679" s="277"/>
      <c r="L679" s="647"/>
      <c r="M679" s="647"/>
      <c r="O679" s="241"/>
      <c r="Q679" s="239"/>
      <c r="U679" s="241"/>
    </row>
    <row r="680" spans="1:21" s="240" customFormat="1" x14ac:dyDescent="0.3">
      <c r="A680" s="237"/>
      <c r="B680" s="237"/>
      <c r="C680" s="237"/>
      <c r="D680" s="237"/>
      <c r="E680" s="238"/>
      <c r="F680" s="238"/>
      <c r="G680" s="238"/>
      <c r="H680" s="238"/>
      <c r="I680" s="239"/>
      <c r="J680" s="277"/>
      <c r="K680" s="277"/>
      <c r="L680" s="647"/>
      <c r="M680" s="647"/>
      <c r="O680" s="241"/>
      <c r="Q680" s="239"/>
      <c r="U680" s="241"/>
    </row>
    <row r="681" spans="1:21" s="240" customFormat="1" x14ac:dyDescent="0.3">
      <c r="A681" s="237"/>
      <c r="B681" s="237"/>
      <c r="C681" s="237"/>
      <c r="D681" s="237"/>
      <c r="E681" s="238"/>
      <c r="F681" s="238"/>
      <c r="G681" s="238"/>
      <c r="H681" s="238"/>
      <c r="I681" s="239"/>
      <c r="J681" s="277"/>
      <c r="K681" s="277"/>
      <c r="L681" s="647"/>
      <c r="M681" s="647"/>
      <c r="O681" s="241"/>
      <c r="Q681" s="239"/>
      <c r="U681" s="241"/>
    </row>
    <row r="682" spans="1:21" s="240" customFormat="1" x14ac:dyDescent="0.3">
      <c r="A682" s="237"/>
      <c r="B682" s="237"/>
      <c r="C682" s="237"/>
      <c r="D682" s="237"/>
      <c r="E682" s="238"/>
      <c r="F682" s="238"/>
      <c r="G682" s="238"/>
      <c r="H682" s="238"/>
      <c r="I682" s="239"/>
      <c r="J682" s="277"/>
      <c r="K682" s="277"/>
      <c r="L682" s="647"/>
      <c r="M682" s="647"/>
      <c r="O682" s="241"/>
      <c r="Q682" s="239"/>
      <c r="U682" s="241"/>
    </row>
    <row r="683" spans="1:21" s="240" customFormat="1" x14ac:dyDescent="0.3">
      <c r="A683" s="237"/>
      <c r="B683" s="237"/>
      <c r="C683" s="237"/>
      <c r="D683" s="237"/>
      <c r="E683" s="238"/>
      <c r="F683" s="238"/>
      <c r="G683" s="238"/>
      <c r="H683" s="238"/>
      <c r="I683" s="239"/>
      <c r="J683" s="277"/>
      <c r="K683" s="277"/>
      <c r="L683" s="647"/>
      <c r="M683" s="647"/>
      <c r="O683" s="241"/>
      <c r="Q683" s="239"/>
      <c r="U683" s="241"/>
    </row>
    <row r="684" spans="1:21" s="240" customFormat="1" x14ac:dyDescent="0.3">
      <c r="A684" s="237"/>
      <c r="B684" s="237"/>
      <c r="C684" s="237"/>
      <c r="D684" s="237"/>
      <c r="E684" s="238"/>
      <c r="F684" s="238"/>
      <c r="G684" s="238"/>
      <c r="H684" s="238"/>
      <c r="I684" s="239"/>
      <c r="J684" s="277"/>
      <c r="K684" s="277"/>
      <c r="L684" s="647"/>
      <c r="M684" s="647"/>
      <c r="O684" s="241"/>
      <c r="Q684" s="239"/>
      <c r="U684" s="241"/>
    </row>
    <row r="685" spans="1:21" s="240" customFormat="1" x14ac:dyDescent="0.3">
      <c r="A685" s="237"/>
      <c r="B685" s="237"/>
      <c r="C685" s="237"/>
      <c r="D685" s="237"/>
      <c r="E685" s="238"/>
      <c r="F685" s="238"/>
      <c r="G685" s="238"/>
      <c r="H685" s="238"/>
      <c r="I685" s="239"/>
      <c r="J685" s="277"/>
      <c r="K685" s="277"/>
      <c r="L685" s="647"/>
      <c r="M685" s="647"/>
      <c r="O685" s="241"/>
      <c r="Q685" s="239"/>
      <c r="U685" s="241"/>
    </row>
    <row r="686" spans="1:21" s="240" customFormat="1" x14ac:dyDescent="0.3">
      <c r="A686" s="237"/>
      <c r="B686" s="237"/>
      <c r="C686" s="237"/>
      <c r="D686" s="237"/>
      <c r="E686" s="238"/>
      <c r="F686" s="238"/>
      <c r="G686" s="238"/>
      <c r="H686" s="238"/>
      <c r="I686" s="239"/>
      <c r="J686" s="277"/>
      <c r="K686" s="277"/>
      <c r="L686" s="647"/>
      <c r="M686" s="647"/>
      <c r="O686" s="241"/>
      <c r="Q686" s="239"/>
      <c r="U686" s="241"/>
    </row>
    <row r="687" spans="1:21" s="240" customFormat="1" x14ac:dyDescent="0.3">
      <c r="A687" s="237"/>
      <c r="B687" s="237"/>
      <c r="C687" s="237"/>
      <c r="D687" s="237"/>
      <c r="E687" s="238"/>
      <c r="F687" s="238"/>
      <c r="G687" s="238"/>
      <c r="H687" s="238"/>
      <c r="I687" s="239"/>
      <c r="J687" s="277"/>
      <c r="K687" s="277"/>
      <c r="L687" s="647"/>
      <c r="M687" s="647"/>
      <c r="O687" s="241"/>
      <c r="Q687" s="239"/>
      <c r="U687" s="241"/>
    </row>
    <row r="688" spans="1:21" s="240" customFormat="1" x14ac:dyDescent="0.3">
      <c r="A688" s="237"/>
      <c r="B688" s="237"/>
      <c r="C688" s="237"/>
      <c r="D688" s="237"/>
      <c r="E688" s="238"/>
      <c r="F688" s="238"/>
      <c r="G688" s="238"/>
      <c r="H688" s="238"/>
      <c r="I688" s="239"/>
      <c r="J688" s="277"/>
      <c r="K688" s="277"/>
      <c r="L688" s="647"/>
      <c r="M688" s="647"/>
      <c r="O688" s="241"/>
      <c r="Q688" s="239"/>
      <c r="U688" s="241"/>
    </row>
    <row r="689" spans="1:21" s="240" customFormat="1" x14ac:dyDescent="0.3">
      <c r="A689" s="237"/>
      <c r="B689" s="237"/>
      <c r="C689" s="237"/>
      <c r="D689" s="237"/>
      <c r="E689" s="238"/>
      <c r="F689" s="238"/>
      <c r="G689" s="238"/>
      <c r="H689" s="238"/>
      <c r="I689" s="239"/>
      <c r="J689" s="277"/>
      <c r="K689" s="277"/>
      <c r="L689" s="647"/>
      <c r="M689" s="647"/>
      <c r="O689" s="241"/>
      <c r="Q689" s="239"/>
      <c r="U689" s="241"/>
    </row>
    <row r="690" spans="1:21" s="240" customFormat="1" x14ac:dyDescent="0.3">
      <c r="A690" s="237"/>
      <c r="B690" s="237"/>
      <c r="C690" s="237"/>
      <c r="D690" s="237"/>
      <c r="E690" s="238"/>
      <c r="F690" s="238"/>
      <c r="G690" s="238"/>
      <c r="H690" s="238"/>
      <c r="I690" s="239"/>
      <c r="J690" s="277"/>
      <c r="K690" s="277"/>
      <c r="L690" s="647"/>
      <c r="M690" s="647"/>
      <c r="O690" s="241"/>
      <c r="Q690" s="239"/>
      <c r="U690" s="241"/>
    </row>
    <row r="691" spans="1:21" s="240" customFormat="1" x14ac:dyDescent="0.3">
      <c r="A691" s="237"/>
      <c r="B691" s="237"/>
      <c r="C691" s="237"/>
      <c r="D691" s="237"/>
      <c r="E691" s="238"/>
      <c r="F691" s="238"/>
      <c r="G691" s="238"/>
      <c r="H691" s="238"/>
      <c r="I691" s="239"/>
      <c r="J691" s="277"/>
      <c r="K691" s="277"/>
      <c r="L691" s="647"/>
      <c r="M691" s="647"/>
      <c r="O691" s="241"/>
      <c r="Q691" s="239"/>
      <c r="U691" s="241"/>
    </row>
    <row r="692" spans="1:21" s="240" customFormat="1" x14ac:dyDescent="0.3">
      <c r="A692" s="237"/>
      <c r="B692" s="237"/>
      <c r="C692" s="237"/>
      <c r="D692" s="237"/>
      <c r="E692" s="238"/>
      <c r="F692" s="238"/>
      <c r="G692" s="238"/>
      <c r="H692" s="238"/>
      <c r="I692" s="239"/>
      <c r="J692" s="277"/>
      <c r="K692" s="277"/>
      <c r="L692" s="647"/>
      <c r="M692" s="647"/>
      <c r="O692" s="241"/>
      <c r="Q692" s="239"/>
      <c r="U692" s="241"/>
    </row>
    <row r="693" spans="1:21" s="240" customFormat="1" x14ac:dyDescent="0.3">
      <c r="A693" s="237"/>
      <c r="B693" s="237"/>
      <c r="C693" s="237"/>
      <c r="D693" s="237"/>
      <c r="E693" s="238"/>
      <c r="F693" s="238"/>
      <c r="G693" s="238"/>
      <c r="H693" s="238"/>
      <c r="I693" s="239"/>
      <c r="J693" s="277"/>
      <c r="K693" s="277"/>
      <c r="L693" s="647"/>
      <c r="M693" s="647"/>
      <c r="O693" s="241"/>
      <c r="Q693" s="239"/>
      <c r="U693" s="241"/>
    </row>
    <row r="694" spans="1:21" s="240" customFormat="1" x14ac:dyDescent="0.3">
      <c r="A694" s="237"/>
      <c r="B694" s="237"/>
      <c r="C694" s="237"/>
      <c r="D694" s="237"/>
      <c r="E694" s="238"/>
      <c r="F694" s="238"/>
      <c r="G694" s="238"/>
      <c r="H694" s="238"/>
      <c r="I694" s="239"/>
      <c r="J694" s="277"/>
      <c r="K694" s="277"/>
      <c r="L694" s="647"/>
      <c r="M694" s="647"/>
      <c r="O694" s="241"/>
      <c r="Q694" s="239"/>
      <c r="U694" s="241"/>
    </row>
    <row r="695" spans="1:21" s="240" customFormat="1" x14ac:dyDescent="0.3">
      <c r="A695" s="237"/>
      <c r="B695" s="237"/>
      <c r="C695" s="237"/>
      <c r="D695" s="237"/>
      <c r="E695" s="238"/>
      <c r="F695" s="238"/>
      <c r="G695" s="238"/>
      <c r="H695" s="238"/>
      <c r="I695" s="239"/>
      <c r="J695" s="277"/>
      <c r="K695" s="277"/>
      <c r="L695" s="647"/>
      <c r="M695" s="647"/>
      <c r="O695" s="241"/>
      <c r="Q695" s="239"/>
      <c r="U695" s="241"/>
    </row>
    <row r="696" spans="1:21" s="240" customFormat="1" x14ac:dyDescent="0.3">
      <c r="A696" s="237"/>
      <c r="B696" s="237"/>
      <c r="C696" s="237"/>
      <c r="D696" s="237"/>
      <c r="E696" s="238"/>
      <c r="F696" s="238"/>
      <c r="G696" s="238"/>
      <c r="H696" s="238"/>
      <c r="I696" s="239"/>
      <c r="J696" s="277"/>
      <c r="K696" s="277"/>
      <c r="L696" s="647"/>
      <c r="M696" s="647"/>
      <c r="O696" s="241"/>
      <c r="Q696" s="239"/>
      <c r="U696" s="241"/>
    </row>
    <row r="697" spans="1:21" s="240" customFormat="1" x14ac:dyDescent="0.3">
      <c r="A697" s="237"/>
      <c r="B697" s="237"/>
      <c r="C697" s="237"/>
      <c r="D697" s="237"/>
      <c r="E697" s="238"/>
      <c r="F697" s="238"/>
      <c r="G697" s="238"/>
      <c r="H697" s="238"/>
      <c r="I697" s="239"/>
      <c r="J697" s="277"/>
      <c r="K697" s="277"/>
      <c r="L697" s="647"/>
      <c r="M697" s="647"/>
      <c r="O697" s="241"/>
      <c r="Q697" s="239"/>
      <c r="U697" s="241"/>
    </row>
    <row r="698" spans="1:21" s="240" customFormat="1" x14ac:dyDescent="0.3">
      <c r="A698" s="237"/>
      <c r="B698" s="237"/>
      <c r="C698" s="237"/>
      <c r="D698" s="237"/>
      <c r="E698" s="238"/>
      <c r="F698" s="238"/>
      <c r="G698" s="238"/>
      <c r="H698" s="238"/>
      <c r="I698" s="239"/>
      <c r="J698" s="277"/>
      <c r="K698" s="277"/>
      <c r="L698" s="647"/>
      <c r="M698" s="647"/>
      <c r="O698" s="241"/>
      <c r="Q698" s="239"/>
      <c r="U698" s="241"/>
    </row>
    <row r="699" spans="1:21" s="240" customFormat="1" x14ac:dyDescent="0.3">
      <c r="A699" s="237"/>
      <c r="B699" s="237"/>
      <c r="C699" s="237"/>
      <c r="D699" s="237"/>
      <c r="E699" s="238"/>
      <c r="F699" s="238"/>
      <c r="G699" s="238"/>
      <c r="H699" s="238"/>
      <c r="I699" s="239"/>
      <c r="J699" s="277"/>
      <c r="K699" s="277"/>
      <c r="L699" s="647"/>
      <c r="M699" s="647"/>
      <c r="O699" s="241"/>
      <c r="Q699" s="239"/>
      <c r="U699" s="241"/>
    </row>
    <row r="700" spans="1:21" s="240" customFormat="1" x14ac:dyDescent="0.3">
      <c r="A700" s="237"/>
      <c r="B700" s="237"/>
      <c r="C700" s="237"/>
      <c r="D700" s="237"/>
      <c r="E700" s="238"/>
      <c r="F700" s="238"/>
      <c r="G700" s="238"/>
      <c r="H700" s="238"/>
      <c r="I700" s="239"/>
      <c r="J700" s="277"/>
      <c r="K700" s="277"/>
      <c r="L700" s="647"/>
      <c r="M700" s="647"/>
      <c r="O700" s="241"/>
      <c r="Q700" s="239"/>
      <c r="U700" s="241"/>
    </row>
    <row r="701" spans="1:21" s="240" customFormat="1" x14ac:dyDescent="0.3">
      <c r="A701" s="237"/>
      <c r="B701" s="237"/>
      <c r="C701" s="237"/>
      <c r="D701" s="237"/>
      <c r="E701" s="238"/>
      <c r="F701" s="238"/>
      <c r="G701" s="238"/>
      <c r="H701" s="238"/>
      <c r="I701" s="239"/>
      <c r="J701" s="277"/>
      <c r="K701" s="277"/>
      <c r="L701" s="647"/>
      <c r="M701" s="647"/>
      <c r="O701" s="241"/>
      <c r="Q701" s="239"/>
      <c r="U701" s="241"/>
    </row>
    <row r="702" spans="1:21" s="240" customFormat="1" x14ac:dyDescent="0.3">
      <c r="A702" s="237"/>
      <c r="B702" s="237"/>
      <c r="C702" s="237"/>
      <c r="D702" s="237"/>
      <c r="E702" s="238"/>
      <c r="F702" s="238"/>
      <c r="G702" s="238"/>
      <c r="H702" s="238"/>
      <c r="I702" s="239"/>
      <c r="J702" s="277"/>
      <c r="K702" s="277"/>
      <c r="L702" s="647"/>
      <c r="M702" s="647"/>
      <c r="O702" s="241"/>
      <c r="Q702" s="239"/>
      <c r="U702" s="241"/>
    </row>
    <row r="703" spans="1:21" s="240" customFormat="1" x14ac:dyDescent="0.3">
      <c r="A703" s="237"/>
      <c r="B703" s="237"/>
      <c r="C703" s="237"/>
      <c r="D703" s="237"/>
      <c r="E703" s="238"/>
      <c r="F703" s="238"/>
      <c r="G703" s="238"/>
      <c r="H703" s="238"/>
      <c r="I703" s="239"/>
      <c r="J703" s="277"/>
      <c r="K703" s="277"/>
      <c r="L703" s="647"/>
      <c r="M703" s="647"/>
      <c r="O703" s="241"/>
      <c r="Q703" s="239"/>
      <c r="U703" s="241"/>
    </row>
    <row r="704" spans="1:21" s="240" customFormat="1" x14ac:dyDescent="0.3">
      <c r="A704" s="237"/>
      <c r="B704" s="237"/>
      <c r="C704" s="237"/>
      <c r="D704" s="237"/>
      <c r="E704" s="238"/>
      <c r="F704" s="238"/>
      <c r="G704" s="238"/>
      <c r="H704" s="238"/>
      <c r="I704" s="239"/>
      <c r="J704" s="277"/>
      <c r="K704" s="277"/>
      <c r="L704" s="647"/>
      <c r="M704" s="647"/>
      <c r="O704" s="241"/>
      <c r="Q704" s="239"/>
      <c r="U704" s="241"/>
    </row>
    <row r="705" spans="1:21" s="240" customFormat="1" x14ac:dyDescent="0.3">
      <c r="A705" s="237"/>
      <c r="B705" s="237"/>
      <c r="C705" s="237"/>
      <c r="D705" s="237"/>
      <c r="E705" s="238"/>
      <c r="F705" s="238"/>
      <c r="G705" s="238"/>
      <c r="H705" s="238"/>
      <c r="I705" s="239"/>
      <c r="J705" s="277"/>
      <c r="K705" s="277"/>
      <c r="L705" s="647"/>
      <c r="M705" s="647"/>
      <c r="O705" s="241"/>
      <c r="Q705" s="239"/>
      <c r="U705" s="241"/>
    </row>
    <row r="706" spans="1:21" s="240" customFormat="1" x14ac:dyDescent="0.3">
      <c r="A706" s="237"/>
      <c r="B706" s="237"/>
      <c r="C706" s="237"/>
      <c r="D706" s="237"/>
      <c r="E706" s="238"/>
      <c r="F706" s="238"/>
      <c r="G706" s="238"/>
      <c r="H706" s="238"/>
      <c r="I706" s="239"/>
      <c r="J706" s="277"/>
      <c r="K706" s="277"/>
      <c r="L706" s="647"/>
      <c r="M706" s="647"/>
      <c r="O706" s="241"/>
      <c r="Q706" s="239"/>
      <c r="U706" s="241"/>
    </row>
    <row r="707" spans="1:21" s="240" customFormat="1" x14ac:dyDescent="0.3">
      <c r="A707" s="237"/>
      <c r="B707" s="237"/>
      <c r="C707" s="237"/>
      <c r="D707" s="237"/>
      <c r="E707" s="238"/>
      <c r="F707" s="238"/>
      <c r="G707" s="238"/>
      <c r="H707" s="238"/>
      <c r="I707" s="239"/>
      <c r="J707" s="277"/>
      <c r="K707" s="277"/>
      <c r="L707" s="647"/>
      <c r="M707" s="647"/>
      <c r="O707" s="241"/>
      <c r="Q707" s="239"/>
      <c r="U707" s="241"/>
    </row>
    <row r="708" spans="1:21" s="240" customFormat="1" x14ac:dyDescent="0.3">
      <c r="A708" s="237"/>
      <c r="B708" s="237"/>
      <c r="C708" s="237"/>
      <c r="D708" s="237"/>
      <c r="E708" s="238"/>
      <c r="F708" s="238"/>
      <c r="G708" s="238"/>
      <c r="H708" s="238"/>
      <c r="I708" s="239"/>
      <c r="J708" s="277"/>
      <c r="K708" s="277"/>
      <c r="L708" s="647"/>
      <c r="M708" s="647"/>
      <c r="O708" s="241"/>
      <c r="Q708" s="239"/>
      <c r="U708" s="241"/>
    </row>
    <row r="709" spans="1:21" s="240" customFormat="1" x14ac:dyDescent="0.3">
      <c r="A709" s="237"/>
      <c r="B709" s="237"/>
      <c r="C709" s="237"/>
      <c r="D709" s="237"/>
      <c r="E709" s="238"/>
      <c r="F709" s="238"/>
      <c r="G709" s="238"/>
      <c r="H709" s="238"/>
      <c r="I709" s="239"/>
      <c r="J709" s="277"/>
      <c r="K709" s="277"/>
      <c r="L709" s="647"/>
      <c r="M709" s="647"/>
      <c r="O709" s="241"/>
      <c r="Q709" s="239"/>
      <c r="U709" s="241"/>
    </row>
    <row r="710" spans="1:21" s="240" customFormat="1" x14ac:dyDescent="0.3">
      <c r="A710" s="237"/>
      <c r="B710" s="237"/>
      <c r="C710" s="237"/>
      <c r="D710" s="237"/>
      <c r="E710" s="238"/>
      <c r="F710" s="238"/>
      <c r="G710" s="238"/>
      <c r="H710" s="238"/>
      <c r="I710" s="239"/>
      <c r="J710" s="277"/>
      <c r="K710" s="277"/>
      <c r="L710" s="647"/>
      <c r="M710" s="647"/>
      <c r="O710" s="241"/>
      <c r="Q710" s="239"/>
      <c r="U710" s="241"/>
    </row>
    <row r="711" spans="1:21" s="240" customFormat="1" x14ac:dyDescent="0.3">
      <c r="A711" s="237"/>
      <c r="B711" s="237"/>
      <c r="C711" s="237"/>
      <c r="D711" s="237"/>
      <c r="E711" s="238"/>
      <c r="F711" s="238"/>
      <c r="G711" s="238"/>
      <c r="H711" s="238"/>
      <c r="I711" s="239"/>
      <c r="J711" s="277"/>
      <c r="K711" s="277"/>
      <c r="L711" s="647"/>
      <c r="M711" s="647"/>
      <c r="O711" s="241"/>
      <c r="Q711" s="239"/>
      <c r="U711" s="241"/>
    </row>
    <row r="712" spans="1:21" s="240" customFormat="1" x14ac:dyDescent="0.3">
      <c r="A712" s="237"/>
      <c r="B712" s="237"/>
      <c r="C712" s="237"/>
      <c r="D712" s="237"/>
      <c r="E712" s="238"/>
      <c r="F712" s="238"/>
      <c r="G712" s="238"/>
      <c r="H712" s="238"/>
      <c r="I712" s="239"/>
      <c r="J712" s="277"/>
      <c r="K712" s="277"/>
      <c r="L712" s="647"/>
      <c r="M712" s="647"/>
      <c r="O712" s="241"/>
      <c r="Q712" s="239"/>
      <c r="U712" s="241"/>
    </row>
    <row r="713" spans="1:21" s="240" customFormat="1" x14ac:dyDescent="0.3">
      <c r="A713" s="237"/>
      <c r="B713" s="237"/>
      <c r="C713" s="237"/>
      <c r="D713" s="237"/>
      <c r="E713" s="238"/>
      <c r="F713" s="238"/>
      <c r="G713" s="238"/>
      <c r="H713" s="238"/>
      <c r="I713" s="239"/>
      <c r="J713" s="277"/>
      <c r="K713" s="277"/>
      <c r="L713" s="647"/>
      <c r="M713" s="647"/>
      <c r="O713" s="241"/>
      <c r="Q713" s="239"/>
      <c r="U713" s="241"/>
    </row>
    <row r="714" spans="1:21" s="240" customFormat="1" x14ac:dyDescent="0.3">
      <c r="A714" s="237"/>
      <c r="B714" s="237"/>
      <c r="C714" s="237"/>
      <c r="D714" s="237"/>
      <c r="E714" s="238"/>
      <c r="F714" s="238"/>
      <c r="G714" s="238"/>
      <c r="H714" s="238"/>
      <c r="I714" s="239"/>
      <c r="J714" s="277"/>
      <c r="K714" s="277"/>
      <c r="L714" s="647"/>
      <c r="M714" s="647"/>
      <c r="O714" s="241"/>
      <c r="Q714" s="239"/>
      <c r="U714" s="241"/>
    </row>
    <row r="715" spans="1:21" s="240" customFormat="1" x14ac:dyDescent="0.3">
      <c r="A715" s="237"/>
      <c r="B715" s="237"/>
      <c r="C715" s="237"/>
      <c r="D715" s="237"/>
      <c r="E715" s="238"/>
      <c r="F715" s="238"/>
      <c r="G715" s="238"/>
      <c r="H715" s="238"/>
      <c r="I715" s="239"/>
      <c r="J715" s="277"/>
      <c r="K715" s="277"/>
      <c r="L715" s="647"/>
      <c r="M715" s="647"/>
      <c r="O715" s="241"/>
      <c r="Q715" s="239"/>
      <c r="U715" s="241"/>
    </row>
    <row r="716" spans="1:21" s="240" customFormat="1" x14ac:dyDescent="0.3">
      <c r="A716" s="237"/>
      <c r="B716" s="237"/>
      <c r="C716" s="237"/>
      <c r="D716" s="237"/>
      <c r="E716" s="238"/>
      <c r="F716" s="238"/>
      <c r="G716" s="238"/>
      <c r="H716" s="238"/>
      <c r="I716" s="239"/>
      <c r="J716" s="277"/>
      <c r="K716" s="277"/>
      <c r="L716" s="647"/>
      <c r="M716" s="647"/>
      <c r="O716" s="241"/>
      <c r="Q716" s="239"/>
      <c r="U716" s="241"/>
    </row>
    <row r="717" spans="1:21" s="240" customFormat="1" x14ac:dyDescent="0.3">
      <c r="A717" s="237"/>
      <c r="B717" s="237"/>
      <c r="C717" s="237"/>
      <c r="D717" s="237"/>
      <c r="E717" s="238"/>
      <c r="F717" s="238"/>
      <c r="G717" s="238"/>
      <c r="H717" s="238"/>
      <c r="I717" s="239"/>
      <c r="J717" s="277"/>
      <c r="K717" s="277"/>
      <c r="L717" s="647"/>
      <c r="M717" s="647"/>
      <c r="O717" s="241"/>
      <c r="Q717" s="239"/>
      <c r="U717" s="241"/>
    </row>
    <row r="718" spans="1:21" s="240" customFormat="1" x14ac:dyDescent="0.3">
      <c r="A718" s="237"/>
      <c r="B718" s="237"/>
      <c r="C718" s="237"/>
      <c r="D718" s="237"/>
      <c r="E718" s="238"/>
      <c r="F718" s="238"/>
      <c r="G718" s="238"/>
      <c r="H718" s="238"/>
      <c r="I718" s="239"/>
      <c r="J718" s="277"/>
      <c r="K718" s="277"/>
      <c r="L718" s="647"/>
      <c r="M718" s="647"/>
      <c r="O718" s="241"/>
      <c r="Q718" s="239"/>
      <c r="U718" s="241"/>
    </row>
    <row r="719" spans="1:21" s="240" customFormat="1" x14ac:dyDescent="0.3">
      <c r="A719" s="237"/>
      <c r="B719" s="237"/>
      <c r="C719" s="237"/>
      <c r="D719" s="237"/>
      <c r="E719" s="238"/>
      <c r="F719" s="238"/>
      <c r="G719" s="238"/>
      <c r="H719" s="238"/>
      <c r="I719" s="239"/>
      <c r="J719" s="277"/>
      <c r="K719" s="277"/>
      <c r="L719" s="647"/>
      <c r="M719" s="647"/>
      <c r="O719" s="241"/>
      <c r="Q719" s="239"/>
      <c r="U719" s="241"/>
    </row>
    <row r="720" spans="1:21" s="240" customFormat="1" x14ac:dyDescent="0.3">
      <c r="A720" s="237"/>
      <c r="B720" s="237"/>
      <c r="C720" s="237"/>
      <c r="D720" s="237"/>
      <c r="E720" s="238"/>
      <c r="F720" s="238"/>
      <c r="G720" s="238"/>
      <c r="H720" s="238"/>
      <c r="I720" s="239"/>
      <c r="J720" s="277"/>
      <c r="K720" s="277"/>
      <c r="L720" s="647"/>
      <c r="M720" s="647"/>
      <c r="O720" s="241"/>
      <c r="Q720" s="239"/>
      <c r="U720" s="241"/>
    </row>
    <row r="721" spans="1:21" s="240" customFormat="1" x14ac:dyDescent="0.3">
      <c r="A721" s="237"/>
      <c r="B721" s="237"/>
      <c r="C721" s="237"/>
      <c r="D721" s="237"/>
      <c r="E721" s="238"/>
      <c r="F721" s="238"/>
      <c r="G721" s="238"/>
      <c r="H721" s="238"/>
      <c r="I721" s="239"/>
      <c r="J721" s="277"/>
      <c r="K721" s="277"/>
      <c r="L721" s="647"/>
      <c r="M721" s="647"/>
      <c r="O721" s="241"/>
      <c r="Q721" s="239"/>
      <c r="U721" s="241"/>
    </row>
    <row r="722" spans="1:21" s="240" customFormat="1" x14ac:dyDescent="0.3">
      <c r="A722" s="237"/>
      <c r="B722" s="237"/>
      <c r="C722" s="237"/>
      <c r="D722" s="237"/>
      <c r="E722" s="238"/>
      <c r="F722" s="238"/>
      <c r="G722" s="238"/>
      <c r="H722" s="238"/>
      <c r="I722" s="239"/>
      <c r="J722" s="277"/>
      <c r="K722" s="277"/>
      <c r="L722" s="647"/>
      <c r="M722" s="647"/>
      <c r="O722" s="241"/>
      <c r="Q722" s="239"/>
      <c r="U722" s="241"/>
    </row>
    <row r="723" spans="1:21" s="240" customFormat="1" x14ac:dyDescent="0.3">
      <c r="A723" s="237"/>
      <c r="B723" s="237"/>
      <c r="C723" s="237"/>
      <c r="D723" s="237"/>
      <c r="E723" s="238"/>
      <c r="F723" s="238"/>
      <c r="G723" s="238"/>
      <c r="H723" s="238"/>
      <c r="I723" s="239"/>
      <c r="J723" s="277"/>
      <c r="K723" s="277"/>
      <c r="L723" s="647"/>
      <c r="M723" s="647"/>
      <c r="O723" s="241"/>
      <c r="Q723" s="239"/>
      <c r="U723" s="241"/>
    </row>
    <row r="724" spans="1:21" s="240" customFormat="1" x14ac:dyDescent="0.3">
      <c r="A724" s="237"/>
      <c r="B724" s="237"/>
      <c r="C724" s="237"/>
      <c r="D724" s="237"/>
      <c r="E724" s="238"/>
      <c r="F724" s="238"/>
      <c r="G724" s="238"/>
      <c r="H724" s="238"/>
      <c r="I724" s="239"/>
      <c r="J724" s="277"/>
      <c r="K724" s="277"/>
      <c r="L724" s="647"/>
      <c r="M724" s="647"/>
      <c r="O724" s="241"/>
      <c r="Q724" s="239"/>
      <c r="U724" s="241"/>
    </row>
    <row r="725" spans="1:21" s="240" customFormat="1" x14ac:dyDescent="0.3">
      <c r="A725" s="237"/>
      <c r="B725" s="237"/>
      <c r="C725" s="237"/>
      <c r="D725" s="237"/>
      <c r="E725" s="238"/>
      <c r="F725" s="238"/>
      <c r="G725" s="238"/>
      <c r="H725" s="238"/>
      <c r="I725" s="239"/>
      <c r="J725" s="277"/>
      <c r="K725" s="277"/>
      <c r="L725" s="647"/>
      <c r="M725" s="647"/>
      <c r="O725" s="241"/>
      <c r="Q725" s="239"/>
      <c r="U725" s="241"/>
    </row>
    <row r="726" spans="1:21" s="240" customFormat="1" x14ac:dyDescent="0.3">
      <c r="A726" s="237"/>
      <c r="B726" s="237"/>
      <c r="C726" s="237"/>
      <c r="D726" s="237"/>
      <c r="E726" s="238"/>
      <c r="F726" s="238"/>
      <c r="G726" s="238"/>
      <c r="H726" s="238"/>
      <c r="I726" s="239"/>
      <c r="J726" s="277"/>
      <c r="K726" s="277"/>
      <c r="L726" s="647"/>
      <c r="M726" s="647"/>
      <c r="O726" s="241"/>
      <c r="Q726" s="239"/>
      <c r="U726" s="241"/>
    </row>
    <row r="727" spans="1:21" s="240" customFormat="1" x14ac:dyDescent="0.3">
      <c r="A727" s="237"/>
      <c r="B727" s="237"/>
      <c r="C727" s="237"/>
      <c r="D727" s="237"/>
      <c r="E727" s="238"/>
      <c r="F727" s="238"/>
      <c r="G727" s="238"/>
      <c r="H727" s="238"/>
      <c r="I727" s="239"/>
      <c r="J727" s="277"/>
      <c r="K727" s="277"/>
      <c r="L727" s="647"/>
      <c r="M727" s="647"/>
      <c r="O727" s="241"/>
      <c r="Q727" s="239"/>
      <c r="U727" s="241"/>
    </row>
    <row r="728" spans="1:21" s="240" customFormat="1" x14ac:dyDescent="0.3">
      <c r="A728" s="237"/>
      <c r="B728" s="237"/>
      <c r="C728" s="237"/>
      <c r="D728" s="237"/>
      <c r="E728" s="238"/>
      <c r="F728" s="238"/>
      <c r="G728" s="238"/>
      <c r="H728" s="238"/>
      <c r="I728" s="239"/>
      <c r="J728" s="277"/>
      <c r="K728" s="277"/>
      <c r="L728" s="647"/>
      <c r="M728" s="647"/>
      <c r="O728" s="241"/>
      <c r="Q728" s="239"/>
      <c r="U728" s="241"/>
    </row>
    <row r="729" spans="1:21" s="240" customFormat="1" x14ac:dyDescent="0.3">
      <c r="A729" s="237"/>
      <c r="B729" s="237"/>
      <c r="C729" s="237"/>
      <c r="D729" s="237"/>
      <c r="E729" s="238"/>
      <c r="F729" s="238"/>
      <c r="G729" s="238"/>
      <c r="H729" s="238"/>
      <c r="I729" s="239"/>
      <c r="J729" s="277"/>
      <c r="K729" s="277"/>
      <c r="L729" s="647"/>
      <c r="M729" s="647"/>
      <c r="O729" s="241"/>
      <c r="Q729" s="239"/>
      <c r="U729" s="241"/>
    </row>
    <row r="730" spans="1:21" s="240" customFormat="1" x14ac:dyDescent="0.3">
      <c r="A730" s="237"/>
      <c r="B730" s="237"/>
      <c r="C730" s="237"/>
      <c r="D730" s="237"/>
      <c r="E730" s="238"/>
      <c r="F730" s="238"/>
      <c r="G730" s="238"/>
      <c r="H730" s="238"/>
      <c r="I730" s="239"/>
      <c r="J730" s="277"/>
      <c r="K730" s="277"/>
      <c r="L730" s="647"/>
      <c r="M730" s="647"/>
      <c r="O730" s="241"/>
      <c r="Q730" s="239"/>
      <c r="U730" s="241"/>
    </row>
    <row r="731" spans="1:21" s="240" customFormat="1" x14ac:dyDescent="0.3">
      <c r="A731" s="237"/>
      <c r="B731" s="237"/>
      <c r="C731" s="237"/>
      <c r="D731" s="237"/>
      <c r="E731" s="238"/>
      <c r="F731" s="238"/>
      <c r="G731" s="238"/>
      <c r="H731" s="238"/>
      <c r="I731" s="239"/>
      <c r="J731" s="277"/>
      <c r="K731" s="277"/>
      <c r="L731" s="647"/>
      <c r="M731" s="647"/>
      <c r="O731" s="241"/>
      <c r="Q731" s="239"/>
      <c r="U731" s="241"/>
    </row>
    <row r="732" spans="1:21" s="240" customFormat="1" x14ac:dyDescent="0.3">
      <c r="A732" s="237"/>
      <c r="B732" s="237"/>
      <c r="C732" s="237"/>
      <c r="D732" s="237"/>
      <c r="E732" s="238"/>
      <c r="F732" s="238"/>
      <c r="G732" s="238"/>
      <c r="H732" s="238"/>
      <c r="I732" s="239"/>
      <c r="J732" s="277"/>
      <c r="K732" s="277"/>
      <c r="L732" s="647"/>
      <c r="M732" s="647"/>
      <c r="O732" s="241"/>
      <c r="Q732" s="239"/>
      <c r="U732" s="241"/>
    </row>
    <row r="733" spans="1:21" s="240" customFormat="1" x14ac:dyDescent="0.3">
      <c r="A733" s="237"/>
      <c r="B733" s="237"/>
      <c r="C733" s="237"/>
      <c r="D733" s="237"/>
      <c r="E733" s="238"/>
      <c r="F733" s="238"/>
      <c r="G733" s="238"/>
      <c r="H733" s="238"/>
      <c r="I733" s="239"/>
      <c r="J733" s="277"/>
      <c r="K733" s="277"/>
      <c r="L733" s="647"/>
      <c r="M733" s="647"/>
      <c r="O733" s="241"/>
      <c r="Q733" s="239"/>
      <c r="U733" s="241"/>
    </row>
    <row r="734" spans="1:21" s="240" customFormat="1" x14ac:dyDescent="0.3">
      <c r="A734" s="237"/>
      <c r="B734" s="237"/>
      <c r="C734" s="237"/>
      <c r="D734" s="237"/>
      <c r="E734" s="238"/>
      <c r="F734" s="238"/>
      <c r="G734" s="238"/>
      <c r="H734" s="238"/>
      <c r="I734" s="239"/>
      <c r="J734" s="277"/>
      <c r="K734" s="277"/>
      <c r="L734" s="647"/>
      <c r="M734" s="647"/>
      <c r="O734" s="241"/>
      <c r="Q734" s="239"/>
      <c r="U734" s="241"/>
    </row>
    <row r="735" spans="1:21" s="240" customFormat="1" x14ac:dyDescent="0.3">
      <c r="A735" s="237"/>
      <c r="B735" s="237"/>
      <c r="C735" s="237"/>
      <c r="D735" s="237"/>
      <c r="E735" s="238"/>
      <c r="F735" s="238"/>
      <c r="G735" s="238"/>
      <c r="H735" s="238"/>
      <c r="I735" s="239"/>
      <c r="J735" s="277"/>
      <c r="K735" s="277"/>
      <c r="L735" s="647"/>
      <c r="M735" s="647"/>
      <c r="O735" s="241"/>
      <c r="Q735" s="239"/>
      <c r="U735" s="241"/>
    </row>
    <row r="736" spans="1:21" s="240" customFormat="1" x14ac:dyDescent="0.3">
      <c r="A736" s="237"/>
      <c r="B736" s="237"/>
      <c r="C736" s="237"/>
      <c r="D736" s="237"/>
      <c r="E736" s="238"/>
      <c r="F736" s="238"/>
      <c r="G736" s="238"/>
      <c r="H736" s="238"/>
      <c r="I736" s="239"/>
      <c r="J736" s="277"/>
      <c r="K736" s="277"/>
      <c r="L736" s="647"/>
      <c r="M736" s="647"/>
      <c r="O736" s="241"/>
      <c r="Q736" s="239"/>
      <c r="U736" s="241"/>
    </row>
    <row r="737" spans="1:21" s="240" customFormat="1" x14ac:dyDescent="0.3">
      <c r="A737" s="237"/>
      <c r="B737" s="237"/>
      <c r="C737" s="237"/>
      <c r="D737" s="237"/>
      <c r="E737" s="238"/>
      <c r="F737" s="238"/>
      <c r="G737" s="238"/>
      <c r="H737" s="238"/>
      <c r="I737" s="239"/>
      <c r="J737" s="277"/>
      <c r="K737" s="277"/>
      <c r="L737" s="647"/>
      <c r="M737" s="647"/>
      <c r="O737" s="241"/>
      <c r="Q737" s="239"/>
      <c r="U737" s="241"/>
    </row>
    <row r="738" spans="1:21" s="240" customFormat="1" x14ac:dyDescent="0.3">
      <c r="A738" s="237"/>
      <c r="B738" s="237"/>
      <c r="C738" s="237"/>
      <c r="D738" s="237"/>
      <c r="E738" s="238"/>
      <c r="F738" s="238"/>
      <c r="G738" s="238"/>
      <c r="H738" s="238"/>
      <c r="I738" s="239"/>
      <c r="J738" s="277"/>
      <c r="K738" s="277"/>
      <c r="L738" s="647"/>
      <c r="M738" s="647"/>
      <c r="O738" s="241"/>
      <c r="Q738" s="239"/>
      <c r="U738" s="241"/>
    </row>
    <row r="739" spans="1:21" s="240" customFormat="1" x14ac:dyDescent="0.3">
      <c r="A739" s="237"/>
      <c r="B739" s="237"/>
      <c r="C739" s="237"/>
      <c r="D739" s="237"/>
      <c r="E739" s="238"/>
      <c r="F739" s="238"/>
      <c r="G739" s="238"/>
      <c r="H739" s="238"/>
      <c r="I739" s="239"/>
      <c r="J739" s="277"/>
      <c r="K739" s="277"/>
      <c r="L739" s="647"/>
      <c r="M739" s="647"/>
      <c r="O739" s="241"/>
      <c r="Q739" s="239"/>
      <c r="U739" s="241"/>
    </row>
    <row r="740" spans="1:21" s="240" customFormat="1" x14ac:dyDescent="0.3">
      <c r="A740" s="237"/>
      <c r="B740" s="237"/>
      <c r="C740" s="237"/>
      <c r="D740" s="237"/>
      <c r="E740" s="238"/>
      <c r="F740" s="238"/>
      <c r="G740" s="238"/>
      <c r="H740" s="238"/>
      <c r="I740" s="239"/>
      <c r="J740" s="277"/>
      <c r="K740" s="277"/>
      <c r="L740" s="647"/>
      <c r="M740" s="647"/>
      <c r="O740" s="241"/>
      <c r="Q740" s="239"/>
      <c r="U740" s="241"/>
    </row>
    <row r="741" spans="1:21" s="240" customFormat="1" x14ac:dyDescent="0.3">
      <c r="A741" s="237"/>
      <c r="B741" s="237"/>
      <c r="C741" s="237"/>
      <c r="D741" s="237"/>
      <c r="E741" s="238"/>
      <c r="F741" s="238"/>
      <c r="G741" s="238"/>
      <c r="H741" s="238"/>
      <c r="I741" s="239"/>
      <c r="J741" s="277"/>
      <c r="K741" s="277"/>
      <c r="L741" s="647"/>
      <c r="M741" s="647"/>
      <c r="O741" s="241"/>
      <c r="Q741" s="239"/>
      <c r="U741" s="241"/>
    </row>
    <row r="742" spans="1:21" s="240" customFormat="1" x14ac:dyDescent="0.3">
      <c r="A742" s="237"/>
      <c r="B742" s="237"/>
      <c r="C742" s="237"/>
      <c r="D742" s="237"/>
      <c r="E742" s="238"/>
      <c r="F742" s="238"/>
      <c r="G742" s="238"/>
      <c r="H742" s="238"/>
      <c r="I742" s="239"/>
      <c r="J742" s="277"/>
      <c r="K742" s="277"/>
      <c r="L742" s="647"/>
      <c r="M742" s="647"/>
      <c r="O742" s="241"/>
      <c r="Q742" s="239"/>
      <c r="U742" s="241"/>
    </row>
    <row r="743" spans="1:21" s="240" customFormat="1" x14ac:dyDescent="0.3">
      <c r="A743" s="237"/>
      <c r="B743" s="237"/>
      <c r="C743" s="237"/>
      <c r="D743" s="237"/>
      <c r="E743" s="238"/>
      <c r="F743" s="238"/>
      <c r="G743" s="238"/>
      <c r="H743" s="238"/>
      <c r="I743" s="239"/>
      <c r="J743" s="277"/>
      <c r="K743" s="277"/>
      <c r="L743" s="647"/>
      <c r="M743" s="647"/>
      <c r="O743" s="241"/>
      <c r="Q743" s="239"/>
      <c r="U743" s="241"/>
    </row>
    <row r="744" spans="1:21" s="240" customFormat="1" x14ac:dyDescent="0.3">
      <c r="A744" s="237"/>
      <c r="B744" s="237"/>
      <c r="C744" s="237"/>
      <c r="D744" s="237"/>
      <c r="E744" s="238"/>
      <c r="F744" s="238"/>
      <c r="G744" s="238"/>
      <c r="H744" s="238"/>
      <c r="I744" s="239"/>
      <c r="J744" s="277"/>
      <c r="K744" s="277"/>
      <c r="L744" s="647"/>
      <c r="M744" s="647"/>
      <c r="O744" s="241"/>
      <c r="Q744" s="239"/>
      <c r="U744" s="241"/>
    </row>
    <row r="745" spans="1:21" s="240" customFormat="1" x14ac:dyDescent="0.3">
      <c r="A745" s="237"/>
      <c r="B745" s="237"/>
      <c r="C745" s="237"/>
      <c r="D745" s="237"/>
      <c r="E745" s="238"/>
      <c r="F745" s="238"/>
      <c r="G745" s="238"/>
      <c r="H745" s="238"/>
      <c r="I745" s="239"/>
      <c r="J745" s="277"/>
      <c r="K745" s="277"/>
      <c r="L745" s="647"/>
      <c r="M745" s="647"/>
      <c r="O745" s="241"/>
      <c r="Q745" s="239"/>
      <c r="U745" s="241"/>
    </row>
    <row r="746" spans="1:21" s="240" customFormat="1" x14ac:dyDescent="0.3">
      <c r="A746" s="237"/>
      <c r="B746" s="237"/>
      <c r="C746" s="237"/>
      <c r="D746" s="237"/>
      <c r="E746" s="238"/>
      <c r="F746" s="238"/>
      <c r="G746" s="238"/>
      <c r="H746" s="238"/>
      <c r="I746" s="239"/>
      <c r="J746" s="277"/>
      <c r="K746" s="277"/>
      <c r="L746" s="647"/>
      <c r="M746" s="647"/>
      <c r="O746" s="241"/>
      <c r="Q746" s="239"/>
      <c r="U746" s="241"/>
    </row>
    <row r="747" spans="1:21" s="240" customFormat="1" x14ac:dyDescent="0.3">
      <c r="A747" s="237"/>
      <c r="B747" s="237"/>
      <c r="C747" s="237"/>
      <c r="D747" s="237"/>
      <c r="E747" s="238"/>
      <c r="F747" s="238"/>
      <c r="G747" s="238"/>
      <c r="H747" s="238"/>
      <c r="I747" s="239"/>
      <c r="J747" s="277"/>
      <c r="K747" s="277"/>
      <c r="L747" s="647"/>
      <c r="M747" s="647"/>
      <c r="O747" s="241"/>
      <c r="Q747" s="239"/>
      <c r="U747" s="241"/>
    </row>
    <row r="748" spans="1:21" s="240" customFormat="1" x14ac:dyDescent="0.3">
      <c r="A748" s="237"/>
      <c r="B748" s="237"/>
      <c r="C748" s="237"/>
      <c r="D748" s="237"/>
      <c r="E748" s="238"/>
      <c r="F748" s="238"/>
      <c r="G748" s="238"/>
      <c r="H748" s="238"/>
      <c r="I748" s="239"/>
      <c r="J748" s="277"/>
      <c r="K748" s="277"/>
      <c r="L748" s="647"/>
      <c r="M748" s="647"/>
      <c r="O748" s="241"/>
      <c r="Q748" s="239"/>
      <c r="U748" s="241"/>
    </row>
    <row r="749" spans="1:21" s="240" customFormat="1" x14ac:dyDescent="0.3">
      <c r="A749" s="237"/>
      <c r="B749" s="237"/>
      <c r="C749" s="237"/>
      <c r="D749" s="237"/>
      <c r="E749" s="238"/>
      <c r="F749" s="238"/>
      <c r="G749" s="238"/>
      <c r="H749" s="238"/>
      <c r="I749" s="239"/>
      <c r="J749" s="277"/>
      <c r="K749" s="277"/>
      <c r="L749" s="647"/>
      <c r="M749" s="647"/>
      <c r="O749" s="241"/>
      <c r="Q749" s="239"/>
      <c r="U749" s="241"/>
    </row>
    <row r="750" spans="1:21" s="240" customFormat="1" x14ac:dyDescent="0.3">
      <c r="A750" s="237"/>
      <c r="B750" s="237"/>
      <c r="C750" s="237"/>
      <c r="D750" s="237"/>
      <c r="E750" s="238"/>
      <c r="F750" s="238"/>
      <c r="G750" s="238"/>
      <c r="H750" s="238"/>
      <c r="I750" s="239"/>
      <c r="J750" s="277"/>
      <c r="K750" s="277"/>
      <c r="L750" s="647"/>
      <c r="M750" s="647"/>
      <c r="O750" s="241"/>
      <c r="Q750" s="239"/>
      <c r="U750" s="241"/>
    </row>
    <row r="751" spans="1:21" s="240" customFormat="1" x14ac:dyDescent="0.3">
      <c r="A751" s="237"/>
      <c r="B751" s="237"/>
      <c r="C751" s="237"/>
      <c r="D751" s="237"/>
      <c r="E751" s="238"/>
      <c r="F751" s="238"/>
      <c r="G751" s="238"/>
      <c r="H751" s="238"/>
      <c r="I751" s="239"/>
      <c r="J751" s="277"/>
      <c r="K751" s="277"/>
      <c r="L751" s="647"/>
      <c r="M751" s="647"/>
      <c r="O751" s="241"/>
      <c r="Q751" s="239"/>
      <c r="U751" s="241"/>
    </row>
    <row r="752" spans="1:21" s="240" customFormat="1" x14ac:dyDescent="0.3">
      <c r="A752" s="237"/>
      <c r="B752" s="237"/>
      <c r="C752" s="237"/>
      <c r="D752" s="237"/>
      <c r="E752" s="238"/>
      <c r="F752" s="238"/>
      <c r="G752" s="238"/>
      <c r="H752" s="238"/>
      <c r="I752" s="239"/>
      <c r="J752" s="277"/>
      <c r="K752" s="277"/>
      <c r="L752" s="647"/>
      <c r="M752" s="647"/>
      <c r="O752" s="241"/>
      <c r="Q752" s="239"/>
      <c r="U752" s="241"/>
    </row>
    <row r="753" spans="1:21" s="240" customFormat="1" x14ac:dyDescent="0.3">
      <c r="A753" s="237"/>
      <c r="B753" s="237"/>
      <c r="C753" s="237"/>
      <c r="D753" s="237"/>
      <c r="E753" s="238"/>
      <c r="F753" s="238"/>
      <c r="G753" s="238"/>
      <c r="H753" s="238"/>
      <c r="I753" s="239"/>
      <c r="J753" s="277"/>
      <c r="K753" s="277"/>
      <c r="L753" s="647"/>
      <c r="M753" s="647"/>
      <c r="O753" s="241"/>
      <c r="Q753" s="239"/>
      <c r="U753" s="241"/>
    </row>
    <row r="754" spans="1:21" s="240" customFormat="1" x14ac:dyDescent="0.3">
      <c r="A754" s="237"/>
      <c r="B754" s="237"/>
      <c r="C754" s="237"/>
      <c r="D754" s="237"/>
      <c r="E754" s="238"/>
      <c r="F754" s="238"/>
      <c r="G754" s="238"/>
      <c r="H754" s="238"/>
      <c r="I754" s="239"/>
      <c r="J754" s="277"/>
      <c r="K754" s="277"/>
      <c r="L754" s="647"/>
      <c r="M754" s="647"/>
      <c r="O754" s="241"/>
      <c r="Q754" s="239"/>
      <c r="U754" s="241"/>
    </row>
    <row r="755" spans="1:21" s="240" customFormat="1" x14ac:dyDescent="0.3">
      <c r="A755" s="237"/>
      <c r="B755" s="237"/>
      <c r="C755" s="237"/>
      <c r="D755" s="237"/>
      <c r="E755" s="238"/>
      <c r="F755" s="238"/>
      <c r="G755" s="238"/>
      <c r="H755" s="238"/>
      <c r="I755" s="239"/>
      <c r="J755" s="277"/>
      <c r="K755" s="277"/>
      <c r="L755" s="647"/>
      <c r="M755" s="647"/>
      <c r="O755" s="241"/>
      <c r="Q755" s="239"/>
      <c r="U755" s="241"/>
    </row>
    <row r="756" spans="1:21" s="240" customFormat="1" x14ac:dyDescent="0.3">
      <c r="A756" s="237"/>
      <c r="B756" s="237"/>
      <c r="C756" s="237"/>
      <c r="D756" s="237"/>
      <c r="E756" s="238"/>
      <c r="F756" s="238"/>
      <c r="G756" s="238"/>
      <c r="H756" s="238"/>
      <c r="I756" s="239"/>
      <c r="J756" s="277"/>
      <c r="K756" s="277"/>
      <c r="L756" s="647"/>
      <c r="M756" s="647"/>
      <c r="O756" s="241"/>
      <c r="Q756" s="239"/>
      <c r="U756" s="241"/>
    </row>
    <row r="757" spans="1:21" s="240" customFormat="1" x14ac:dyDescent="0.3">
      <c r="A757" s="237"/>
      <c r="B757" s="237"/>
      <c r="C757" s="237"/>
      <c r="D757" s="237"/>
      <c r="E757" s="238"/>
      <c r="F757" s="238"/>
      <c r="G757" s="238"/>
      <c r="H757" s="238"/>
      <c r="I757" s="239"/>
      <c r="J757" s="277"/>
      <c r="K757" s="277"/>
      <c r="L757" s="647"/>
      <c r="M757" s="647"/>
      <c r="O757" s="241"/>
      <c r="Q757" s="239"/>
      <c r="U757" s="241"/>
    </row>
    <row r="758" spans="1:21" s="240" customFormat="1" x14ac:dyDescent="0.3">
      <c r="A758" s="237"/>
      <c r="B758" s="237"/>
      <c r="C758" s="237"/>
      <c r="D758" s="237"/>
      <c r="E758" s="238"/>
      <c r="F758" s="238"/>
      <c r="G758" s="238"/>
      <c r="H758" s="238"/>
      <c r="I758" s="239"/>
      <c r="J758" s="277"/>
      <c r="K758" s="277"/>
      <c r="L758" s="647"/>
      <c r="M758" s="647"/>
      <c r="O758" s="241"/>
      <c r="Q758" s="239"/>
      <c r="U758" s="241"/>
    </row>
    <row r="759" spans="1:21" s="240" customFormat="1" x14ac:dyDescent="0.3">
      <c r="A759" s="237"/>
      <c r="B759" s="237"/>
      <c r="C759" s="237"/>
      <c r="D759" s="237"/>
      <c r="E759" s="238"/>
      <c r="F759" s="238"/>
      <c r="G759" s="238"/>
      <c r="H759" s="238"/>
      <c r="I759" s="239"/>
      <c r="J759" s="277"/>
      <c r="K759" s="277"/>
      <c r="L759" s="647"/>
      <c r="M759" s="647"/>
      <c r="O759" s="241"/>
      <c r="Q759" s="239"/>
      <c r="U759" s="241"/>
    </row>
    <row r="760" spans="1:21" s="240" customFormat="1" x14ac:dyDescent="0.3">
      <c r="A760" s="237"/>
      <c r="B760" s="237"/>
      <c r="C760" s="237"/>
      <c r="D760" s="237"/>
      <c r="E760" s="238"/>
      <c r="F760" s="238"/>
      <c r="G760" s="238"/>
      <c r="H760" s="238"/>
      <c r="I760" s="239"/>
      <c r="J760" s="277"/>
      <c r="K760" s="277"/>
      <c r="L760" s="647"/>
      <c r="M760" s="647"/>
      <c r="O760" s="241"/>
      <c r="Q760" s="239"/>
      <c r="U760" s="241"/>
    </row>
    <row r="761" spans="1:21" s="240" customFormat="1" x14ac:dyDescent="0.3">
      <c r="A761" s="237"/>
      <c r="B761" s="237"/>
      <c r="C761" s="237"/>
      <c r="D761" s="237"/>
      <c r="E761" s="238"/>
      <c r="F761" s="238"/>
      <c r="G761" s="238"/>
      <c r="H761" s="238"/>
      <c r="I761" s="239"/>
      <c r="J761" s="277"/>
      <c r="K761" s="277"/>
      <c r="L761" s="647"/>
      <c r="M761" s="647"/>
      <c r="O761" s="241"/>
      <c r="Q761" s="239"/>
      <c r="U761" s="241"/>
    </row>
    <row r="762" spans="1:21" s="240" customFormat="1" x14ac:dyDescent="0.3">
      <c r="A762" s="237"/>
      <c r="B762" s="237"/>
      <c r="C762" s="237"/>
      <c r="D762" s="237"/>
      <c r="E762" s="238"/>
      <c r="F762" s="238"/>
      <c r="G762" s="238"/>
      <c r="H762" s="238"/>
      <c r="I762" s="239"/>
      <c r="J762" s="277"/>
      <c r="K762" s="277"/>
      <c r="L762" s="647"/>
      <c r="M762" s="647"/>
      <c r="O762" s="241"/>
      <c r="Q762" s="239"/>
      <c r="U762" s="241"/>
    </row>
    <row r="763" spans="1:21" s="240" customFormat="1" x14ac:dyDescent="0.3">
      <c r="A763" s="237"/>
      <c r="B763" s="237"/>
      <c r="C763" s="237"/>
      <c r="D763" s="237"/>
      <c r="E763" s="238"/>
      <c r="F763" s="238"/>
      <c r="G763" s="238"/>
      <c r="H763" s="238"/>
      <c r="I763" s="239"/>
      <c r="J763" s="277"/>
      <c r="K763" s="277"/>
      <c r="L763" s="647"/>
      <c r="M763" s="647"/>
      <c r="O763" s="241"/>
      <c r="Q763" s="239"/>
      <c r="U763" s="241"/>
    </row>
    <row r="764" spans="1:21" s="240" customFormat="1" x14ac:dyDescent="0.3">
      <c r="A764" s="237"/>
      <c r="B764" s="237"/>
      <c r="C764" s="237"/>
      <c r="D764" s="237"/>
      <c r="E764" s="238"/>
      <c r="F764" s="238"/>
      <c r="G764" s="238"/>
      <c r="H764" s="238"/>
      <c r="I764" s="239"/>
      <c r="J764" s="277"/>
      <c r="K764" s="277"/>
      <c r="L764" s="647"/>
      <c r="M764" s="647"/>
      <c r="O764" s="241"/>
      <c r="Q764" s="239"/>
      <c r="U764" s="241"/>
    </row>
    <row r="765" spans="1:21" s="240" customFormat="1" x14ac:dyDescent="0.3">
      <c r="A765" s="237"/>
      <c r="B765" s="237"/>
      <c r="C765" s="237"/>
      <c r="D765" s="237"/>
      <c r="E765" s="238"/>
      <c r="F765" s="238"/>
      <c r="G765" s="238"/>
      <c r="H765" s="238"/>
      <c r="I765" s="239"/>
      <c r="J765" s="277"/>
      <c r="K765" s="277"/>
      <c r="L765" s="647"/>
      <c r="M765" s="647"/>
      <c r="O765" s="241"/>
      <c r="Q765" s="239"/>
      <c r="U765" s="241"/>
    </row>
    <row r="766" spans="1:21" s="240" customFormat="1" x14ac:dyDescent="0.3">
      <c r="A766" s="237"/>
      <c r="B766" s="237"/>
      <c r="C766" s="237"/>
      <c r="D766" s="237"/>
      <c r="E766" s="238"/>
      <c r="F766" s="238"/>
      <c r="G766" s="238"/>
      <c r="H766" s="238"/>
      <c r="I766" s="239"/>
      <c r="J766" s="277"/>
      <c r="K766" s="277"/>
      <c r="L766" s="647"/>
      <c r="M766" s="647"/>
      <c r="O766" s="241"/>
      <c r="Q766" s="239"/>
      <c r="U766" s="241"/>
    </row>
    <row r="767" spans="1:21" s="240" customFormat="1" x14ac:dyDescent="0.3">
      <c r="A767" s="237"/>
      <c r="B767" s="237"/>
      <c r="C767" s="237"/>
      <c r="D767" s="237"/>
      <c r="E767" s="238"/>
      <c r="F767" s="238"/>
      <c r="G767" s="238"/>
      <c r="H767" s="238"/>
      <c r="I767" s="239"/>
      <c r="J767" s="277"/>
      <c r="K767" s="277"/>
      <c r="L767" s="647"/>
      <c r="M767" s="647"/>
      <c r="O767" s="241"/>
      <c r="Q767" s="239"/>
      <c r="U767" s="241"/>
    </row>
    <row r="768" spans="1:21" s="240" customFormat="1" x14ac:dyDescent="0.3">
      <c r="A768" s="237"/>
      <c r="B768" s="237"/>
      <c r="C768" s="237"/>
      <c r="D768" s="237"/>
      <c r="E768" s="238"/>
      <c r="F768" s="238"/>
      <c r="G768" s="238"/>
      <c r="H768" s="238"/>
      <c r="I768" s="239"/>
      <c r="J768" s="277"/>
      <c r="K768" s="277"/>
      <c r="L768" s="647"/>
      <c r="M768" s="647"/>
      <c r="O768" s="241"/>
      <c r="Q768" s="239"/>
      <c r="U768" s="241"/>
    </row>
    <row r="769" spans="1:21" s="240" customFormat="1" x14ac:dyDescent="0.3">
      <c r="A769" s="237"/>
      <c r="B769" s="237"/>
      <c r="C769" s="237"/>
      <c r="D769" s="237"/>
      <c r="E769" s="238"/>
      <c r="F769" s="238"/>
      <c r="G769" s="238"/>
      <c r="H769" s="238"/>
      <c r="I769" s="239"/>
      <c r="J769" s="277"/>
      <c r="K769" s="277"/>
      <c r="L769" s="647"/>
      <c r="M769" s="647"/>
      <c r="O769" s="241"/>
      <c r="Q769" s="239"/>
      <c r="U769" s="241"/>
    </row>
    <row r="770" spans="1:21" s="240" customFormat="1" x14ac:dyDescent="0.3">
      <c r="A770" s="237"/>
      <c r="B770" s="237"/>
      <c r="C770" s="237"/>
      <c r="D770" s="237"/>
      <c r="E770" s="238"/>
      <c r="F770" s="238"/>
      <c r="G770" s="238"/>
      <c r="H770" s="238"/>
      <c r="I770" s="239"/>
      <c r="J770" s="277"/>
      <c r="K770" s="277"/>
      <c r="L770" s="647"/>
      <c r="M770" s="647"/>
      <c r="O770" s="241"/>
      <c r="Q770" s="239"/>
      <c r="U770" s="241"/>
    </row>
  </sheetData>
  <autoFilter ref="A5:U597">
    <sortState ref="A6:U597">
      <sortCondition ref="J5:J597"/>
    </sortState>
  </autoFilter>
  <mergeCells count="1">
    <mergeCell ref="B4:C4"/>
  </mergeCells>
  <printOptions horizontalCentered="1"/>
  <pageMargins left="0.17" right="0.17" top="0.3" bottom="0.3" header="0.17" footer="0.17"/>
  <pageSetup scale="47" fitToHeight="0" orientation="landscape" cellComments="asDisplayed" r:id="rId1"/>
  <headerFooter alignWithMargins="0">
    <oddHeader>&amp;C&amp;"Calibri,Regular"&amp;F&amp;R&amp;"Calibri,Regular"&amp;D</oddHeader>
    <oddFooter>&amp;C&amp;"Calibri,Regular"Page &amp;P of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6"/>
  <sheetViews>
    <sheetView showGridLines="0" workbookViewId="0">
      <selection activeCell="D4" sqref="D4"/>
    </sheetView>
  </sheetViews>
  <sheetFormatPr defaultColWidth="9" defaultRowHeight="15.6" x14ac:dyDescent="0.3"/>
  <cols>
    <col min="1" max="1" width="9" style="656"/>
    <col min="2" max="2" width="15.69921875" style="657" bestFit="1" customWidth="1"/>
    <col min="3" max="3" width="9.8984375" style="656" bestFit="1" customWidth="1"/>
    <col min="4" max="6" width="19.59765625" style="656" bestFit="1" customWidth="1"/>
    <col min="7" max="7" width="11.09765625" style="657" customWidth="1"/>
    <col min="8" max="8" width="9.8984375" style="657" bestFit="1" customWidth="1"/>
    <col min="9" max="9" width="17.69921875" style="656" customWidth="1"/>
    <col min="10" max="11" width="9.8984375" style="656" bestFit="1" customWidth="1"/>
    <col min="12" max="12" width="8.3984375" style="656" bestFit="1" customWidth="1"/>
    <col min="13" max="13" width="9.8984375" style="656" bestFit="1" customWidth="1"/>
    <col min="14" max="14" width="8.3984375" style="656" bestFit="1" customWidth="1"/>
    <col min="15" max="15" width="9" style="656"/>
    <col min="16" max="16" width="4.8984375" style="656" bestFit="1" customWidth="1"/>
    <col min="17" max="17" width="9.8984375" style="656" bestFit="1" customWidth="1"/>
    <col min="18" max="18" width="8.3984375" style="656" bestFit="1" customWidth="1"/>
    <col min="19" max="22" width="9.8984375" style="656" bestFit="1" customWidth="1"/>
    <col min="23" max="23" width="8.3984375" style="656" bestFit="1" customWidth="1"/>
    <col min="24" max="16384" width="9" style="656"/>
  </cols>
  <sheetData>
    <row r="1" spans="2:9" x14ac:dyDescent="0.3">
      <c r="I1" s="658"/>
    </row>
    <row r="2" spans="2:9" ht="31.2" x14ac:dyDescent="0.3">
      <c r="B2" s="676" t="s">
        <v>1863</v>
      </c>
      <c r="C2" s="676" t="s">
        <v>1777</v>
      </c>
      <c r="D2" s="677" t="s">
        <v>1855</v>
      </c>
      <c r="E2" s="677" t="s">
        <v>1856</v>
      </c>
      <c r="F2" s="677" t="s">
        <v>1857</v>
      </c>
    </row>
    <row r="3" spans="2:9" x14ac:dyDescent="0.3">
      <c r="B3" s="657">
        <v>1992</v>
      </c>
      <c r="C3" s="668">
        <f>SUMIFS('Fixed Assets'!$S$6:$S$597,'Fixed Assets'!$K$6:$K$597,"Land",'Fixed Assets'!$P$6:$P$597,'Assets in Arrears Calculation'!B3)</f>
        <v>468480</v>
      </c>
      <c r="D3" s="668">
        <f>SUMPRODUCT(('Fixed Assets'!$B$6:$B$597)*('Fixed Assets'!$P$6:$P$597=B3)*('Fixed Assets'!$R$6:$R$597))</f>
        <v>27226.375926982313</v>
      </c>
      <c r="E3" s="668">
        <f>SUMPRODUCT(('Fixed Assets'!$C$6:$C$597)*('Fixed Assets'!$P$6:$P$597=B3)*('Fixed Assets'!$R$6:$R$597))</f>
        <v>0</v>
      </c>
      <c r="F3" s="668">
        <f>SUMPRODUCT(('Fixed Assets'!$D$6:$D$597)*('Fixed Assets'!$P$6:$P$597=B3)*('Fixed Assets'!$R$6:$R$597))</f>
        <v>0</v>
      </c>
      <c r="I3" s="658"/>
    </row>
    <row r="4" spans="2:9" x14ac:dyDescent="0.3">
      <c r="B4" s="657">
        <v>1993</v>
      </c>
      <c r="C4" s="668">
        <f>SUMIFS('Fixed Assets'!$S$6:$S$597,'Fixed Assets'!$K$6:$K$597,"Land",'Fixed Assets'!$P$6:$P$597,'Assets in Arrears Calculation'!B4)</f>
        <v>435277.3</v>
      </c>
      <c r="D4" s="668">
        <f>SUMPRODUCT(('Fixed Assets'!$B$6:$B$597)*('Fixed Assets'!$P$6:$P$597=B4)*('Fixed Assets'!$R$6:$R$597))</f>
        <v>0</v>
      </c>
      <c r="E4" s="668">
        <f>SUMPRODUCT(('Fixed Assets'!$C$6:$C$597)*('Fixed Assets'!$P$6:$P$597=B4)*('Fixed Assets'!$R$6:$R$597))</f>
        <v>0</v>
      </c>
      <c r="F4" s="668">
        <f>SUMPRODUCT(('Fixed Assets'!$D$6:$D$597)*('Fixed Assets'!$P$6:$P$597=B4)*('Fixed Assets'!$R$6:$R$597))</f>
        <v>0</v>
      </c>
      <c r="I4" s="658"/>
    </row>
    <row r="5" spans="2:9" x14ac:dyDescent="0.3">
      <c r="B5" s="657">
        <v>1994</v>
      </c>
      <c r="C5" s="668">
        <f>SUMIFS('Fixed Assets'!$S$6:$S$597,'Fixed Assets'!$K$6:$K$597,"Land",'Fixed Assets'!$P$6:$P$597,'Assets in Arrears Calculation'!B5)</f>
        <v>96000</v>
      </c>
      <c r="D5" s="668">
        <f>SUMPRODUCT(('Fixed Assets'!$B$6:$B$597)*('Fixed Assets'!$P$6:$P$597=B5)*('Fixed Assets'!$R$6:$R$597))</f>
        <v>0</v>
      </c>
      <c r="E5" s="668">
        <f>SUMPRODUCT(('Fixed Assets'!$C$6:$C$597)*('Fixed Assets'!$P$6:$P$597=B5)*('Fixed Assets'!$R$6:$R$597))</f>
        <v>0</v>
      </c>
      <c r="F5" s="668">
        <f>SUMPRODUCT(('Fixed Assets'!$D$6:$D$597)*('Fixed Assets'!$P$6:$P$597=B5)*('Fixed Assets'!$R$6:$R$597))</f>
        <v>0</v>
      </c>
      <c r="I5" s="658"/>
    </row>
    <row r="6" spans="2:9" x14ac:dyDescent="0.3">
      <c r="B6" s="657">
        <v>1995</v>
      </c>
      <c r="C6" s="668">
        <f>SUMIFS('Fixed Assets'!$S$6:$S$597,'Fixed Assets'!$K$6:$K$597,"Land",'Fixed Assets'!$P$6:$P$597,'Assets in Arrears Calculation'!B6)</f>
        <v>24000</v>
      </c>
      <c r="D6" s="668">
        <f>SUMPRODUCT(('Fixed Assets'!$B$6:$B$597)*('Fixed Assets'!$P$6:$P$597=B6)*('Fixed Assets'!$R$6:$R$597))</f>
        <v>0</v>
      </c>
      <c r="E6" s="668">
        <f>SUMPRODUCT(('Fixed Assets'!$C$6:$C$597)*('Fixed Assets'!$P$6:$P$597=B6)*('Fixed Assets'!$R$6:$R$597))</f>
        <v>0</v>
      </c>
      <c r="F6" s="668">
        <f>SUMPRODUCT(('Fixed Assets'!$D$6:$D$597)*('Fixed Assets'!$P$6:$P$597=B6)*('Fixed Assets'!$R$6:$R$597))</f>
        <v>0</v>
      </c>
      <c r="I6" s="658"/>
    </row>
    <row r="7" spans="2:9" x14ac:dyDescent="0.3">
      <c r="B7" s="657">
        <v>1996</v>
      </c>
      <c r="C7" s="668">
        <f>SUMIFS('Fixed Assets'!$S$6:$S$597,'Fixed Assets'!$K$6:$K$597,"Land",'Fixed Assets'!$P$6:$P$597,'Assets in Arrears Calculation'!B7)</f>
        <v>1332000</v>
      </c>
      <c r="D7" s="668">
        <f>SUMPRODUCT(('Fixed Assets'!$B$6:$B$597)*('Fixed Assets'!$P$6:$P$597=B7)*('Fixed Assets'!$R$6:$R$597))</f>
        <v>0</v>
      </c>
      <c r="E7" s="668">
        <f>SUMPRODUCT(('Fixed Assets'!$C$6:$C$597)*('Fixed Assets'!$P$6:$P$597=B7)*('Fixed Assets'!$R$6:$R$597))</f>
        <v>0</v>
      </c>
      <c r="F7" s="668">
        <f>SUMPRODUCT(('Fixed Assets'!$D$6:$D$597)*('Fixed Assets'!$P$6:$P$597=B7)*('Fixed Assets'!$R$6:$R$597))</f>
        <v>0</v>
      </c>
    </row>
    <row r="8" spans="2:9" x14ac:dyDescent="0.3">
      <c r="B8" s="657">
        <v>1997</v>
      </c>
      <c r="C8" s="668">
        <f>SUMIFS('Fixed Assets'!$S$6:$S$597,'Fixed Assets'!$K$6:$K$597,"Land",'Fixed Assets'!$P$6:$P$597,'Assets in Arrears Calculation'!B8)</f>
        <v>1442070</v>
      </c>
      <c r="D8" s="668">
        <f>SUMPRODUCT(('Fixed Assets'!$B$6:$B$597)*('Fixed Assets'!$P$6:$P$597=B8)*('Fixed Assets'!$R$6:$R$597))</f>
        <v>0</v>
      </c>
      <c r="E8" s="668">
        <f>SUMPRODUCT(('Fixed Assets'!$C$6:$C$597)*('Fixed Assets'!$P$6:$P$597=B8)*('Fixed Assets'!$R$6:$R$597))</f>
        <v>0</v>
      </c>
      <c r="F8" s="668">
        <f>SUMPRODUCT(('Fixed Assets'!$D$6:$D$597)*('Fixed Assets'!$P$6:$P$597=B8)*('Fixed Assets'!$R$6:$R$597))</f>
        <v>0</v>
      </c>
    </row>
    <row r="9" spans="2:9" x14ac:dyDescent="0.3">
      <c r="B9" s="657">
        <v>1998</v>
      </c>
      <c r="C9" s="668">
        <f>SUMIFS('Fixed Assets'!$S$6:$S$597,'Fixed Assets'!$K$6:$K$597,"Land",'Fixed Assets'!$P$6:$P$597,'Assets in Arrears Calculation'!B9)</f>
        <v>386488.58999999997</v>
      </c>
      <c r="D9" s="668">
        <f>SUMPRODUCT(('Fixed Assets'!$B$6:$B$597)*('Fixed Assets'!$P$6:$P$597=B9)*('Fixed Assets'!$R$6:$R$597))</f>
        <v>0</v>
      </c>
      <c r="E9" s="668">
        <f>SUMPRODUCT(('Fixed Assets'!$C$6:$C$597)*('Fixed Assets'!$P$6:$P$597=B9)*('Fixed Assets'!$R$6:$R$597))</f>
        <v>0</v>
      </c>
      <c r="F9" s="668">
        <f>SUMPRODUCT(('Fixed Assets'!$D$6:$D$597)*('Fixed Assets'!$P$6:$P$597=B9)*('Fixed Assets'!$R$6:$R$597))</f>
        <v>0</v>
      </c>
    </row>
    <row r="10" spans="2:9" x14ac:dyDescent="0.3">
      <c r="B10" s="657">
        <v>1999</v>
      </c>
      <c r="C10" s="668">
        <f>SUMIFS('Fixed Assets'!$S$6:$S$597,'Fixed Assets'!$K$6:$K$597,"Land",'Fixed Assets'!$P$6:$P$597,'Assets in Arrears Calculation'!B10)</f>
        <v>1402497.21</v>
      </c>
      <c r="D10" s="668">
        <f>SUMPRODUCT(('Fixed Assets'!$B$6:$B$597)*('Fixed Assets'!$P$6:$P$597=B10)*('Fixed Assets'!$R$6:$R$597))</f>
        <v>258540.69095947902</v>
      </c>
      <c r="E10" s="668">
        <f>SUMPRODUCT(('Fixed Assets'!$C$6:$C$597)*('Fixed Assets'!$P$6:$P$597=B10)*('Fixed Assets'!$R$6:$R$597))</f>
        <v>853401.80316497828</v>
      </c>
      <c r="F10" s="668">
        <f>SUMPRODUCT(('Fixed Assets'!$D$6:$D$597)*('Fixed Assets'!$P$6:$P$597=B10)*('Fixed Assets'!$R$6:$R$597))</f>
        <v>0</v>
      </c>
    </row>
    <row r="11" spans="2:9" x14ac:dyDescent="0.3">
      <c r="B11" s="657">
        <v>2000</v>
      </c>
      <c r="C11" s="668">
        <f>SUMIFS('Fixed Assets'!$S$6:$S$597,'Fixed Assets'!$K$6:$K$597,"Land",'Fixed Assets'!$P$6:$P$597,'Assets in Arrears Calculation'!B11)</f>
        <v>497489.33999999997</v>
      </c>
      <c r="D11" s="668">
        <f>SUMPRODUCT(('Fixed Assets'!$B$6:$B$597)*('Fixed Assets'!$P$6:$P$597=B11)*('Fixed Assets'!$R$6:$R$597))</f>
        <v>0</v>
      </c>
      <c r="E11" s="668">
        <f>SUMPRODUCT(('Fixed Assets'!$C$6:$C$597)*('Fixed Assets'!$P$6:$P$597=B11)*('Fixed Assets'!$R$6:$R$597))</f>
        <v>0</v>
      </c>
      <c r="F11" s="668">
        <f>SUMPRODUCT(('Fixed Assets'!$D$6:$D$597)*('Fixed Assets'!$P$6:$P$597=B11)*('Fixed Assets'!$R$6:$R$597))</f>
        <v>0</v>
      </c>
    </row>
    <row r="12" spans="2:9" x14ac:dyDescent="0.3">
      <c r="B12" s="657">
        <v>2001</v>
      </c>
      <c r="C12" s="668">
        <f>SUMIFS('Fixed Assets'!$S$6:$S$597,'Fixed Assets'!$K$6:$K$597,"Land",'Fixed Assets'!$P$6:$P$597,'Assets in Arrears Calculation'!B12)</f>
        <v>369210.03</v>
      </c>
      <c r="D12" s="668">
        <f>SUMPRODUCT(('Fixed Assets'!$B$6:$B$597)*('Fixed Assets'!$P$6:$P$597=B12)*('Fixed Assets'!$R$6:$R$597))</f>
        <v>6121.8303051035509</v>
      </c>
      <c r="E12" s="668">
        <f>SUMPRODUCT(('Fixed Assets'!$C$6:$C$597)*('Fixed Assets'!$P$6:$P$597=B12)*('Fixed Assets'!$R$6:$R$597))</f>
        <v>6121.8303051035509</v>
      </c>
      <c r="F12" s="668">
        <f>SUMPRODUCT(('Fixed Assets'!$D$6:$D$597)*('Fixed Assets'!$P$6:$P$597=B12)*('Fixed Assets'!$R$6:$R$597))</f>
        <v>6307.3403143491114</v>
      </c>
    </row>
    <row r="13" spans="2:9" x14ac:dyDescent="0.3">
      <c r="B13" s="657">
        <v>2002</v>
      </c>
      <c r="C13" s="668">
        <f>SUMIFS('Fixed Assets'!$S$6:$S$597,'Fixed Assets'!$K$6:$K$597,"Land",'Fixed Assets'!$P$6:$P$597,'Assets in Arrears Calculation'!B13)</f>
        <v>0</v>
      </c>
      <c r="D13" s="668">
        <f>SUMPRODUCT(('Fixed Assets'!$B$6:$B$597)*('Fixed Assets'!$P$6:$P$597=B13)*('Fixed Assets'!$R$6:$R$597))</f>
        <v>0</v>
      </c>
      <c r="E13" s="668">
        <f>SUMPRODUCT(('Fixed Assets'!$C$6:$C$597)*('Fixed Assets'!$P$6:$P$597=B13)*('Fixed Assets'!$R$6:$R$597))</f>
        <v>0</v>
      </c>
      <c r="F13" s="668">
        <f>SUMPRODUCT(('Fixed Assets'!$D$6:$D$597)*('Fixed Assets'!$P$6:$P$597=B13)*('Fixed Assets'!$R$6:$R$597))</f>
        <v>0</v>
      </c>
    </row>
    <row r="14" spans="2:9" x14ac:dyDescent="0.3">
      <c r="B14" s="657">
        <v>2003</v>
      </c>
      <c r="C14" s="668">
        <f>SUMIFS('Fixed Assets'!$S$6:$S$597,'Fixed Assets'!$K$6:$K$597,"Land",'Fixed Assets'!$P$6:$P$597,'Assets in Arrears Calculation'!B14)</f>
        <v>3707465.4699999993</v>
      </c>
      <c r="D14" s="668">
        <f>SUMPRODUCT(('Fixed Assets'!$B$6:$B$597)*('Fixed Assets'!$P$6:$P$597=B14)*('Fixed Assets'!$R$6:$R$597))</f>
        <v>0</v>
      </c>
      <c r="E14" s="668">
        <f>SUMPRODUCT(('Fixed Assets'!$C$6:$C$597)*('Fixed Assets'!$P$6:$P$597=B14)*('Fixed Assets'!$R$6:$R$597))</f>
        <v>0</v>
      </c>
      <c r="F14" s="668">
        <f>SUMPRODUCT(('Fixed Assets'!$D$6:$D$597)*('Fixed Assets'!$P$6:$P$597=B14)*('Fixed Assets'!$R$6:$R$597))</f>
        <v>0</v>
      </c>
    </row>
    <row r="15" spans="2:9" x14ac:dyDescent="0.3">
      <c r="B15" s="657">
        <v>2004</v>
      </c>
      <c r="C15" s="668">
        <f>SUMIFS('Fixed Assets'!$S$6:$S$597,'Fixed Assets'!$K$6:$K$597,"Land",'Fixed Assets'!$P$6:$P$597,'Assets in Arrears Calculation'!B15)</f>
        <v>354589.31</v>
      </c>
      <c r="D15" s="668">
        <f>SUMPRODUCT(('Fixed Assets'!$B$6:$B$597)*('Fixed Assets'!$P$6:$P$597=B15)*('Fixed Assets'!$R$6:$R$597))</f>
        <v>0</v>
      </c>
      <c r="E15" s="668">
        <f>SUMPRODUCT(('Fixed Assets'!$C$6:$C$597)*('Fixed Assets'!$P$6:$P$597=B15)*('Fixed Assets'!$R$6:$R$597))</f>
        <v>0</v>
      </c>
      <c r="F15" s="668">
        <f>SUMPRODUCT(('Fixed Assets'!$D$6:$D$597)*('Fixed Assets'!$P$6:$P$597=B15)*('Fixed Assets'!$R$6:$R$597))</f>
        <v>0</v>
      </c>
    </row>
    <row r="16" spans="2:9" x14ac:dyDescent="0.3">
      <c r="B16" s="657">
        <v>2005</v>
      </c>
      <c r="C16" s="668">
        <f>SUMIFS('Fixed Assets'!$S$6:$S$597,'Fixed Assets'!$K$6:$K$597,"Land",'Fixed Assets'!$P$6:$P$597,'Assets in Arrears Calculation'!B16)</f>
        <v>2484418.7200000002</v>
      </c>
      <c r="D16" s="668">
        <f>SUMPRODUCT(('Fixed Assets'!$B$6:$B$597)*('Fixed Assets'!$P$6:$P$597=B16)*('Fixed Assets'!$R$6:$R$597))</f>
        <v>66355.039963054616</v>
      </c>
      <c r="E16" s="668">
        <f>SUMPRODUCT(('Fixed Assets'!$C$6:$C$597)*('Fixed Assets'!$P$6:$P$597=B16)*('Fixed Assets'!$R$6:$R$597))</f>
        <v>66355.039963054616</v>
      </c>
      <c r="F16" s="668">
        <f>SUMPRODUCT(('Fixed Assets'!$D$6:$D$597)*('Fixed Assets'!$P$6:$P$597=B16)*('Fixed Assets'!$R$6:$R$597))</f>
        <v>68365.79874981381</v>
      </c>
    </row>
    <row r="17" spans="2:6" x14ac:dyDescent="0.3">
      <c r="B17" s="657">
        <v>2006</v>
      </c>
      <c r="C17" s="668">
        <f>SUMIFS('Fixed Assets'!$S$6:$S$597,'Fixed Assets'!$K$6:$K$597,"Land",'Fixed Assets'!$P$6:$P$597,'Assets in Arrears Calculation'!B17)</f>
        <v>2634074.1100000003</v>
      </c>
      <c r="D17" s="668">
        <f>SUMPRODUCT(('Fixed Assets'!$B$6:$B$597)*('Fixed Assets'!$P$6:$P$597=B17)*('Fixed Assets'!$R$6:$R$597))</f>
        <v>53932.036903376022</v>
      </c>
      <c r="E17" s="668">
        <f>SUMPRODUCT(('Fixed Assets'!$C$6:$C$597)*('Fixed Assets'!$P$6:$P$597=B17)*('Fixed Assets'!$R$6:$R$597))</f>
        <v>2315693.9428967647</v>
      </c>
      <c r="F17" s="668">
        <f>SUMPRODUCT(('Fixed Assets'!$D$6:$D$597)*('Fixed Assets'!$P$6:$P$597=B17)*('Fixed Assets'!$R$6:$R$597))</f>
        <v>0</v>
      </c>
    </row>
    <row r="18" spans="2:6" x14ac:dyDescent="0.3">
      <c r="B18" s="657">
        <v>2007</v>
      </c>
      <c r="C18" s="668">
        <f>SUMIFS('Fixed Assets'!$S$6:$S$597,'Fixed Assets'!$K$6:$K$597,"Land",'Fixed Assets'!$P$6:$P$597,'Assets in Arrears Calculation'!B18)</f>
        <v>2724372.4799999995</v>
      </c>
      <c r="D18" s="668">
        <f>SUMPRODUCT(('Fixed Assets'!$B$6:$B$597)*('Fixed Assets'!$P$6:$P$597=B18)*('Fixed Assets'!$R$6:$R$597))</f>
        <v>2688894.3676587311</v>
      </c>
      <c r="E18" s="668">
        <f>SUMPRODUCT(('Fixed Assets'!$C$6:$C$597)*('Fixed Assets'!$P$6:$P$597=B18)*('Fixed Assets'!$R$6:$R$597))</f>
        <v>16159.96340671811</v>
      </c>
      <c r="F18" s="668">
        <f>SUMPRODUCT(('Fixed Assets'!$D$6:$D$597)*('Fixed Assets'!$P$6:$P$597=B18)*('Fixed Assets'!$R$6:$R$597))</f>
        <v>0</v>
      </c>
    </row>
    <row r="19" spans="2:6" x14ac:dyDescent="0.3">
      <c r="B19" s="657">
        <v>2008</v>
      </c>
      <c r="C19" s="668">
        <f>SUMIFS('Fixed Assets'!$S$6:$S$597,'Fixed Assets'!$K$6:$K$597,"Land",'Fixed Assets'!$P$6:$P$597,'Assets in Arrears Calculation'!B19)</f>
        <v>2559665</v>
      </c>
      <c r="D19" s="668">
        <f>SUMPRODUCT(('Fixed Assets'!$B$6:$B$597)*('Fixed Assets'!$P$6:$P$597=B19)*('Fixed Assets'!$R$6:$R$597))</f>
        <v>0</v>
      </c>
      <c r="E19" s="668">
        <f>SUMPRODUCT(('Fixed Assets'!$C$6:$C$597)*('Fixed Assets'!$P$6:$P$597=B19)*('Fixed Assets'!$R$6:$R$597))</f>
        <v>499928.36137631896</v>
      </c>
      <c r="F19" s="668">
        <f>SUMPRODUCT(('Fixed Assets'!$D$6:$D$597)*('Fixed Assets'!$P$6:$P$597=B19)*('Fixed Assets'!$R$6:$R$597))</f>
        <v>0</v>
      </c>
    </row>
    <row r="20" spans="2:6" x14ac:dyDescent="0.3">
      <c r="B20" s="657">
        <v>2009</v>
      </c>
      <c r="C20" s="668">
        <f>SUMIFS('Fixed Assets'!$S$6:$S$597,'Fixed Assets'!$K$6:$K$597,"Land",'Fixed Assets'!$P$6:$P$597,'Assets in Arrears Calculation'!B20)</f>
        <v>714986</v>
      </c>
      <c r="D20" s="668">
        <f>SUMPRODUCT(('Fixed Assets'!$B$6:$B$597)*('Fixed Assets'!$P$6:$P$597=B20)*('Fixed Assets'!$R$6:$R$597))</f>
        <v>0</v>
      </c>
      <c r="E20" s="668">
        <f>SUMPRODUCT(('Fixed Assets'!$C$6:$C$597)*('Fixed Assets'!$P$6:$P$597=B20)*('Fixed Assets'!$R$6:$R$597))</f>
        <v>0</v>
      </c>
      <c r="F20" s="668">
        <f>SUMPRODUCT(('Fixed Assets'!$D$6:$D$597)*('Fixed Assets'!$P$6:$P$597=B20)*('Fixed Assets'!$R$6:$R$597))</f>
        <v>356913.31994981173</v>
      </c>
    </row>
    <row r="21" spans="2:6" x14ac:dyDescent="0.3">
      <c r="B21" s="657">
        <v>2010</v>
      </c>
      <c r="C21" s="668">
        <f>SUMIFS('Fixed Assets'!$S$6:$S$597,'Fixed Assets'!$K$6:$K$597,"Land",'Fixed Assets'!$P$6:$P$597,'Assets in Arrears Calculation'!B21)</f>
        <v>58211</v>
      </c>
      <c r="D21" s="668">
        <f>SUMPRODUCT(('Fixed Assets'!$B$6:$B$597)*('Fixed Assets'!$P$6:$P$597=B21)*('Fixed Assets'!$R$6:$R$597))</f>
        <v>4782454.663109296</v>
      </c>
      <c r="E21" s="668">
        <f>SUMPRODUCT(('Fixed Assets'!$C$6:$C$597)*('Fixed Assets'!$P$6:$P$597=B21)*('Fixed Assets'!$R$6:$R$597))</f>
        <v>6914839.3657273613</v>
      </c>
      <c r="F21" s="668">
        <f>SUMPRODUCT(('Fixed Assets'!$D$6:$D$597)*('Fixed Assets'!$P$6:$P$597=B21)*('Fixed Assets'!$R$6:$R$597))</f>
        <v>1759503.6615647997</v>
      </c>
    </row>
    <row r="22" spans="2:6" x14ac:dyDescent="0.3">
      <c r="B22" s="657">
        <v>2011</v>
      </c>
      <c r="C22" s="668">
        <f>SUMIFS('Fixed Assets'!$S$6:$S$597,'Fixed Assets'!$K$6:$K$597,"Land",'Fixed Assets'!$P$6:$P$597,'Assets in Arrears Calculation'!B22)</f>
        <v>648379</v>
      </c>
      <c r="D22" s="668">
        <f>SUMPRODUCT(('Fixed Assets'!$B$6:$B$597)*('Fixed Assets'!$P$6:$P$597=B22)*('Fixed Assets'!$R$6:$R$597))</f>
        <v>121671.43465727133</v>
      </c>
      <c r="E22" s="668">
        <f>SUMPRODUCT(('Fixed Assets'!$C$6:$C$597)*('Fixed Assets'!$P$6:$P$597=B22)*('Fixed Assets'!$R$6:$R$597))</f>
        <v>448585.40889290307</v>
      </c>
      <c r="F22" s="668">
        <f>SUMPRODUCT(('Fixed Assets'!$D$6:$D$597)*('Fixed Assets'!$P$6:$P$597=B22)*('Fixed Assets'!$R$6:$R$597))</f>
        <v>145438.79920858884</v>
      </c>
    </row>
    <row r="23" spans="2:6" x14ac:dyDescent="0.3">
      <c r="B23" s="657">
        <v>2012</v>
      </c>
      <c r="C23" s="668">
        <f>SUMIFS('Fixed Assets'!$S$6:$S$597,'Fixed Assets'!$K$6:$K$597,"Land",'Fixed Assets'!$P$6:$P$597,'Assets in Arrears Calculation'!B23)</f>
        <v>148316</v>
      </c>
      <c r="D23" s="668">
        <f>SUMPRODUCT(('Fixed Assets'!$B$6:$B$597)*('Fixed Assets'!$P$6:$P$597=B23)*('Fixed Assets'!$R$6:$R$597))</f>
        <v>73636.834985622787</v>
      </c>
      <c r="E23" s="668">
        <f>SUMPRODUCT(('Fixed Assets'!$C$6:$C$597)*('Fixed Assets'!$P$6:$P$597=B23)*('Fixed Assets'!$R$6:$R$597))</f>
        <v>131073.29803402649</v>
      </c>
      <c r="F23" s="668">
        <f>SUMPRODUCT(('Fixed Assets'!$D$6:$D$597)*('Fixed Assets'!$P$6:$P$597=B23)*('Fixed Assets'!$R$6:$R$597))</f>
        <v>45418.723821649008</v>
      </c>
    </row>
    <row r="24" spans="2:6" x14ac:dyDescent="0.3">
      <c r="B24" s="657">
        <v>2013</v>
      </c>
      <c r="C24" s="668">
        <f>SUMIFS('Fixed Assets'!$S$6:$S$597,'Fixed Assets'!$K$6:$K$597,"Land",'Fixed Assets'!$P$6:$P$597,'Assets in Arrears Calculation'!B24)</f>
        <v>921216</v>
      </c>
      <c r="D24" s="668">
        <f>SUMPRODUCT(('Fixed Assets'!$B$6:$B$597)*('Fixed Assets'!$P$6:$P$597=B24)*('Fixed Assets'!$R$6:$R$597))</f>
        <v>944807.88145131129</v>
      </c>
      <c r="E24" s="668">
        <f>SUMPRODUCT(('Fixed Assets'!$C$6:$C$597)*('Fixed Assets'!$P$6:$P$597=B24)*('Fixed Assets'!$R$6:$R$597))</f>
        <v>216317.0587256357</v>
      </c>
      <c r="F24" s="668">
        <f>SUMPRODUCT(('Fixed Assets'!$D$6:$D$597)*('Fixed Assets'!$P$6:$P$597=B24)*('Fixed Assets'!$R$6:$R$597))</f>
        <v>11266.959008066922</v>
      </c>
    </row>
    <row r="25" spans="2:6" x14ac:dyDescent="0.3">
      <c r="B25" s="657">
        <v>2014</v>
      </c>
      <c r="C25" s="668">
        <f>SUMIFS('Fixed Assets'!$S$6:$S$597,'Fixed Assets'!$K$6:$K$597,"Land",'Fixed Assets'!$P$6:$P$597,'Assets in Arrears Calculation'!B25)</f>
        <v>147651</v>
      </c>
      <c r="D25" s="668">
        <f>SUMPRODUCT(('Fixed Assets'!$B$6:$B$597)*('Fixed Assets'!$P$6:$P$597=B25)*('Fixed Assets'!$R$6:$R$597))</f>
        <v>2443173.9365384611</v>
      </c>
      <c r="E25" s="668">
        <f>SUMPRODUCT(('Fixed Assets'!$C$6:$C$597)*('Fixed Assets'!$P$6:$P$597=B25)*('Fixed Assets'!$R$6:$R$597))</f>
        <v>2706820.8317948715</v>
      </c>
      <c r="F25" s="668">
        <f>SUMPRODUCT(('Fixed Assets'!$D$6:$D$597)*('Fixed Assets'!$P$6:$P$597=B25)*('Fixed Assets'!$R$6:$R$597))</f>
        <v>0</v>
      </c>
    </row>
    <row r="26" spans="2:6" x14ac:dyDescent="0.3">
      <c r="B26" s="657">
        <v>2015</v>
      </c>
      <c r="C26" s="668">
        <f>SUMIFS('Fixed Assets'!$S$6:$S$597,'Fixed Assets'!$K$6:$K$597,"Land",'Fixed Assets'!$P$6:$P$597,'Assets in Arrears Calculation'!B26)</f>
        <v>0</v>
      </c>
      <c r="D26" s="668">
        <f>SUMPRODUCT(('Fixed Assets'!$B$6:$B$597)*('Fixed Assets'!$P$6:$P$597=B26)*('Fixed Assets'!$R$6:$R$597))</f>
        <v>80586.506216472524</v>
      </c>
      <c r="E26" s="668">
        <f>SUMPRODUCT(('Fixed Assets'!$C$6:$C$597)*('Fixed Assets'!$P$6:$P$597=B26)*('Fixed Assets'!$R$6:$R$597))</f>
        <v>80586.506216472524</v>
      </c>
      <c r="F26" s="668">
        <f>SUMPRODUCT(('Fixed Assets'!$D$6:$D$597)*('Fixed Assets'!$P$6:$P$597=B26)*('Fixed Assets'!$R$6:$R$597))</f>
        <v>21496.293530045019</v>
      </c>
    </row>
    <row r="27" spans="2:6" x14ac:dyDescent="0.3">
      <c r="B27" s="657">
        <v>2016</v>
      </c>
      <c r="C27" s="668">
        <f>SUMIFS('Fixed Assets'!$S$6:$S$597,'Fixed Assets'!$K$6:$K$597,"Land",'Fixed Assets'!$P$6:$P$597,'Assets in Arrears Calculation'!B27)</f>
        <v>0</v>
      </c>
      <c r="D27" s="668">
        <f>SUMPRODUCT(('Fixed Assets'!$B$6:$B$597)*('Fixed Assets'!$P$6:$P$597=B27)*('Fixed Assets'!$R$6:$R$597))</f>
        <v>81334.831161916183</v>
      </c>
      <c r="E27" s="668">
        <f>SUMPRODUCT(('Fixed Assets'!$C$6:$C$597)*('Fixed Assets'!$P$6:$P$597=B27)*('Fixed Assets'!$R$6:$R$597))</f>
        <v>138836.62080874736</v>
      </c>
      <c r="F27" s="668">
        <f>SUMPRODUCT(('Fixed Assets'!$D$6:$D$597)*('Fixed Assets'!$P$6:$P$597=B27)*('Fixed Assets'!$R$6:$R$597))</f>
        <v>12306.365196448884</v>
      </c>
    </row>
    <row r="28" spans="2:6" x14ac:dyDescent="0.3">
      <c r="B28" s="657">
        <v>2017</v>
      </c>
      <c r="C28" s="668">
        <f>SUMIFS('Fixed Assets'!$S$6:$S$597,'Fixed Assets'!$K$6:$K$597,"Land",'Fixed Assets'!$P$6:$P$597,'Assets in Arrears Calculation'!B28)</f>
        <v>0</v>
      </c>
      <c r="D28" s="668">
        <f>SUMPRODUCT(('Fixed Assets'!$B$6:$B$597)*('Fixed Assets'!$P$6:$P$597=B28)*('Fixed Assets'!$R$6:$R$597))</f>
        <v>58641.830904701375</v>
      </c>
      <c r="E28" s="668">
        <f>SUMPRODUCT(('Fixed Assets'!$C$6:$C$597)*('Fixed Assets'!$P$6:$P$597=B28)*('Fixed Assets'!$R$6:$R$597))</f>
        <v>58641.830904701375</v>
      </c>
      <c r="F28" s="668">
        <f>SUMPRODUCT(('Fixed Assets'!$D$6:$D$597)*('Fixed Assets'!$P$6:$P$597=B28)*('Fixed Assets'!$R$6:$R$597))</f>
        <v>22627.153576557717</v>
      </c>
    </row>
    <row r="29" spans="2:6" x14ac:dyDescent="0.3">
      <c r="B29" s="657">
        <v>2018</v>
      </c>
      <c r="C29" s="668">
        <f>SUMIFS('Fixed Assets'!$S$6:$S$597,'Fixed Assets'!$K$6:$K$597,"Land",'Fixed Assets'!$P$6:$P$597,'Assets in Arrears Calculation'!B29)</f>
        <v>0</v>
      </c>
      <c r="D29" s="668">
        <f>SUMPRODUCT(('Fixed Assets'!$B$6:$B$597)*('Fixed Assets'!$P$6:$P$597=B29)*('Fixed Assets'!$R$6:$R$597))</f>
        <v>842748.8245234295</v>
      </c>
      <c r="E29" s="668">
        <f>SUMPRODUCT(('Fixed Assets'!$C$6:$C$597)*('Fixed Assets'!$P$6:$P$597=B29)*('Fixed Assets'!$R$6:$R$597))</f>
        <v>513139.72738057224</v>
      </c>
      <c r="F29" s="668">
        <f>SUMPRODUCT(('Fixed Assets'!$D$6:$D$597)*('Fixed Assets'!$P$6:$P$597=B29)*('Fixed Assets'!$R$6:$R$597))</f>
        <v>129365.12958394174</v>
      </c>
    </row>
    <row r="30" spans="2:6" x14ac:dyDescent="0.3">
      <c r="B30" s="657">
        <v>2019</v>
      </c>
      <c r="C30" s="668">
        <f>SUMIFS('Fixed Assets'!$S$6:$S$597,'Fixed Assets'!$K$6:$K$597,"Land",'Fixed Assets'!$P$6:$P$597,'Assets in Arrears Calculation'!B30)</f>
        <v>0</v>
      </c>
      <c r="D30" s="668">
        <f>SUMPRODUCT(('Fixed Assets'!$B$6:$B$597)*('Fixed Assets'!$P$6:$P$597=B30)*('Fixed Assets'!$R$6:$R$597))</f>
        <v>9919961.1935777627</v>
      </c>
      <c r="E30" s="668">
        <f>SUMPRODUCT(('Fixed Assets'!$C$6:$C$597)*('Fixed Assets'!$P$6:$P$597=B30)*('Fixed Assets'!$R$6:$R$597))</f>
        <v>6723123.15446808</v>
      </c>
      <c r="F30" s="668">
        <f>SUMPRODUCT(('Fixed Assets'!$D$6:$D$597)*('Fixed Assets'!$P$6:$P$597=B30)*('Fixed Assets'!$R$6:$R$597))</f>
        <v>1430829.9933361823</v>
      </c>
    </row>
    <row r="31" spans="2:6" x14ac:dyDescent="0.3">
      <c r="B31" s="657">
        <v>2020</v>
      </c>
      <c r="C31" s="668">
        <f>SUMIFS('Fixed Assets'!$S$6:$S$597,'Fixed Assets'!$K$6:$K$597,"Land",'Fixed Assets'!$P$6:$P$597,'Assets in Arrears Calculation'!B31)</f>
        <v>0</v>
      </c>
      <c r="D31" s="668">
        <f>SUMPRODUCT(('Fixed Assets'!$B$6:$B$597)*('Fixed Assets'!$P$6:$P$597=B31)*('Fixed Assets'!$R$6:$R$597))</f>
        <v>40601.73990284749</v>
      </c>
      <c r="E31" s="668">
        <f>SUMPRODUCT(('Fixed Assets'!$C$6:$C$597)*('Fixed Assets'!$P$6:$P$597=B31)*('Fixed Assets'!$R$6:$R$597))</f>
        <v>1342057.2086589148</v>
      </c>
      <c r="F31" s="668">
        <f>SUMPRODUCT(('Fixed Assets'!$D$6:$D$597)*('Fixed Assets'!$P$6:$P$597=B31)*('Fixed Assets'!$R$6:$R$597))</f>
        <v>1047535.9725650764</v>
      </c>
    </row>
    <row r="32" spans="2:6" x14ac:dyDescent="0.3">
      <c r="B32" s="657">
        <v>2021</v>
      </c>
      <c r="C32" s="668">
        <f>SUMIFS('Fixed Assets'!$S$6:$S$597,'Fixed Assets'!$K$6:$K$597,"Land",'Fixed Assets'!$P$6:$P$597,'Assets in Arrears Calculation'!B32)</f>
        <v>0</v>
      </c>
      <c r="D32" s="668">
        <f>SUMPRODUCT(('Fixed Assets'!$B$6:$B$597)*('Fixed Assets'!$P$6:$P$597=B32)*('Fixed Assets'!$R$6:$R$597))</f>
        <v>56003.244951701694</v>
      </c>
      <c r="E32" s="668">
        <f>SUMPRODUCT(('Fixed Assets'!$C$6:$C$597)*('Fixed Assets'!$P$6:$P$597=B32)*('Fixed Assets'!$R$6:$R$597))</f>
        <v>198850.4935285518</v>
      </c>
      <c r="F32" s="668">
        <f>SUMPRODUCT(('Fixed Assets'!$D$6:$D$597)*('Fixed Assets'!$P$6:$P$597=B32)*('Fixed Assets'!$R$6:$R$597))</f>
        <v>714929.04677355685</v>
      </c>
    </row>
    <row r="33" spans="2:6" x14ac:dyDescent="0.3">
      <c r="B33" s="657">
        <v>2022</v>
      </c>
      <c r="C33" s="668">
        <f>SUMIFS('Fixed Assets'!$S$6:$S$597,'Fixed Assets'!$K$6:$K$597,"Land",'Fixed Assets'!$P$6:$P$597,'Assets in Arrears Calculation'!B33)</f>
        <v>0</v>
      </c>
      <c r="D33" s="668">
        <f>SUMPRODUCT(('Fixed Assets'!$B$6:$B$597)*('Fixed Assets'!$P$6:$P$597=B33)*('Fixed Assets'!$R$6:$R$597))</f>
        <v>180364.00456360524</v>
      </c>
      <c r="E33" s="668">
        <f>SUMPRODUCT(('Fixed Assets'!$C$6:$C$597)*('Fixed Assets'!$P$6:$P$597=B33)*('Fixed Assets'!$R$6:$R$597))</f>
        <v>0</v>
      </c>
      <c r="F33" s="668">
        <f>SUMPRODUCT(('Fixed Assets'!$D$6:$D$597)*('Fixed Assets'!$P$6:$P$597=B33)*('Fixed Assets'!$R$6:$R$597))</f>
        <v>2380804.8602395891</v>
      </c>
    </row>
    <row r="34" spans="2:6" ht="15.75" x14ac:dyDescent="0.25">
      <c r="B34" s="657">
        <v>2023</v>
      </c>
      <c r="C34" s="668">
        <f>SUMIFS('Fixed Assets'!$S$6:$S$597,'Fixed Assets'!$K$6:$K$597,"Land",'Fixed Assets'!$P$6:$P$597,'Assets in Arrears Calculation'!B34)</f>
        <v>0</v>
      </c>
      <c r="D34" s="668">
        <f>SUMPRODUCT(('Fixed Assets'!$B$6:$B$597)*('Fixed Assets'!$P$6:$P$597=B34)*('Fixed Assets'!$R$6:$R$597))</f>
        <v>5947622.9683377305</v>
      </c>
      <c r="E34" s="668">
        <f>SUMPRODUCT(('Fixed Assets'!$C$6:$C$597)*('Fixed Assets'!$P$6:$P$597=B34)*('Fixed Assets'!$R$6:$R$597))</f>
        <v>4871407.4198638704</v>
      </c>
      <c r="F34" s="668">
        <f>SUMPRODUCT(('Fixed Assets'!$D$6:$D$597)*('Fixed Assets'!$P$6:$P$597=B34)*('Fixed Assets'!$R$6:$R$597))</f>
        <v>1452593.0408071915</v>
      </c>
    </row>
    <row r="35" spans="2:6" ht="15.75" x14ac:dyDescent="0.25">
      <c r="B35" s="657">
        <v>2024</v>
      </c>
      <c r="C35" s="668">
        <f>SUMIFS('Fixed Assets'!$S$6:$S$597,'Fixed Assets'!$K$6:$K$597,"Land",'Fixed Assets'!$P$6:$P$597,'Assets in Arrears Calculation'!B35)</f>
        <v>0</v>
      </c>
      <c r="D35" s="668">
        <f>SUMPRODUCT(('Fixed Assets'!$B$6:$B$597)*('Fixed Assets'!$P$6:$P$597=B35)*('Fixed Assets'!$R$6:$R$597))</f>
        <v>1628424.0487128713</v>
      </c>
      <c r="E35" s="668">
        <f>SUMPRODUCT(('Fixed Assets'!$C$6:$C$597)*('Fixed Assets'!$P$6:$P$597=B35)*('Fixed Assets'!$R$6:$R$597))</f>
        <v>1237440.905928521</v>
      </c>
      <c r="F35" s="668">
        <f>SUMPRODUCT(('Fixed Assets'!$D$6:$D$597)*('Fixed Assets'!$P$6:$P$597=B35)*('Fixed Assets'!$R$6:$R$597))</f>
        <v>1519556.9482690061</v>
      </c>
    </row>
    <row r="36" spans="2:6" ht="15.75" x14ac:dyDescent="0.25">
      <c r="B36" s="657">
        <v>2025</v>
      </c>
      <c r="C36" s="668">
        <f>SUMIFS('Fixed Assets'!$S$6:$S$597,'Fixed Assets'!$K$6:$K$597,"Land",'Fixed Assets'!$P$6:$P$597,'Assets in Arrears Calculation'!B36)</f>
        <v>0</v>
      </c>
      <c r="D36" s="668">
        <f>SUMPRODUCT(('Fixed Assets'!$B$6:$B$597)*('Fixed Assets'!$P$6:$P$597=B36)*('Fixed Assets'!$R$6:$R$597))</f>
        <v>4325202.7839059671</v>
      </c>
      <c r="E36" s="668">
        <f>SUMPRODUCT(('Fixed Assets'!$C$6:$C$597)*('Fixed Assets'!$P$6:$P$597=B36)*('Fixed Assets'!$R$6:$R$597))</f>
        <v>1323359.7908947892</v>
      </c>
      <c r="F36" s="668">
        <f>SUMPRODUCT(('Fixed Assets'!$D$6:$D$597)*('Fixed Assets'!$P$6:$P$597=B36)*('Fixed Assets'!$R$6:$R$597))</f>
        <v>4269061.2364221709</v>
      </c>
    </row>
    <row r="37" spans="2:6" ht="15.75" x14ac:dyDescent="0.25">
      <c r="B37" s="657">
        <v>2026</v>
      </c>
      <c r="C37" s="668">
        <f>SUMIFS('Fixed Assets'!$S$6:$S$597,'Fixed Assets'!$K$6:$K$597,"Land",'Fixed Assets'!$P$6:$P$597,'Assets in Arrears Calculation'!B37)</f>
        <v>0</v>
      </c>
      <c r="D37" s="668">
        <f>SUMPRODUCT(('Fixed Assets'!$B$6:$B$597)*('Fixed Assets'!$P$6:$P$597=B37)*('Fixed Assets'!$R$6:$R$597))</f>
        <v>2459355.3033735943</v>
      </c>
      <c r="E37" s="668">
        <f>SUMPRODUCT(('Fixed Assets'!$C$6:$C$597)*('Fixed Assets'!$P$6:$P$597=B37)*('Fixed Assets'!$R$6:$R$597))</f>
        <v>5359932.3032236574</v>
      </c>
      <c r="F37" s="668">
        <f>SUMPRODUCT(('Fixed Assets'!$D$6:$D$597)*('Fixed Assets'!$P$6:$P$597=B37)*('Fixed Assets'!$R$6:$R$597))</f>
        <v>3511610.250733804</v>
      </c>
    </row>
    <row r="38" spans="2:6" ht="15.75" x14ac:dyDescent="0.25">
      <c r="B38" s="657">
        <v>2027</v>
      </c>
      <c r="C38" s="668">
        <f>SUMIFS('Fixed Assets'!$S$6:$S$597,'Fixed Assets'!$K$6:$K$597,"Land",'Fixed Assets'!$P$6:$P$597,'Assets in Arrears Calculation'!B38)</f>
        <v>0</v>
      </c>
      <c r="D38" s="668">
        <f>SUMPRODUCT(('Fixed Assets'!$B$6:$B$597)*('Fixed Assets'!$P$6:$P$597=B38)*('Fixed Assets'!$R$6:$R$597))</f>
        <v>427945.48416149069</v>
      </c>
      <c r="E38" s="668">
        <f>SUMPRODUCT(('Fixed Assets'!$C$6:$C$597)*('Fixed Assets'!$P$6:$P$597=B38)*('Fixed Assets'!$R$6:$R$597))</f>
        <v>452541.78996894404</v>
      </c>
      <c r="F38" s="668">
        <f>SUMPRODUCT(('Fixed Assets'!$D$6:$D$597)*('Fixed Assets'!$P$6:$P$597=B38)*('Fixed Assets'!$R$6:$R$597))</f>
        <v>4288553.1836180119</v>
      </c>
    </row>
    <row r="39" spans="2:6" ht="15.75" x14ac:dyDescent="0.25">
      <c r="B39" s="657">
        <v>2028</v>
      </c>
      <c r="C39" s="668">
        <f>SUMIFS('Fixed Assets'!$S$6:$S$597,'Fixed Assets'!$K$6:$K$597,"Land",'Fixed Assets'!$P$6:$P$597,'Assets in Arrears Calculation'!B39)</f>
        <v>0</v>
      </c>
      <c r="D39" s="668">
        <f>SUMPRODUCT(('Fixed Assets'!$B$6:$B$597)*('Fixed Assets'!$P$6:$P$597=B39)*('Fixed Assets'!$R$6:$R$597))</f>
        <v>3916097.3952449565</v>
      </c>
      <c r="E39" s="668">
        <f>SUMPRODUCT(('Fixed Assets'!$C$6:$C$597)*('Fixed Assets'!$P$6:$P$597=B39)*('Fixed Assets'!$R$6:$R$597))</f>
        <v>2151589.7287175795</v>
      </c>
      <c r="F39" s="668">
        <f>SUMPRODUCT(('Fixed Assets'!$D$6:$D$597)*('Fixed Assets'!$P$6:$P$597=B39)*('Fixed Assets'!$R$6:$R$597))</f>
        <v>9698551.8651990481</v>
      </c>
    </row>
    <row r="40" spans="2:6" ht="15.75" x14ac:dyDescent="0.25">
      <c r="B40" s="657">
        <v>2029</v>
      </c>
      <c r="C40" s="668">
        <f>SUMIFS('Fixed Assets'!$S$6:$S$597,'Fixed Assets'!$K$6:$K$597,"Land",'Fixed Assets'!$P$6:$P$597,'Assets in Arrears Calculation'!B40)</f>
        <v>0</v>
      </c>
      <c r="D40" s="668">
        <f>SUMPRODUCT(('Fixed Assets'!$B$6:$B$597)*('Fixed Assets'!$P$6:$P$597=B40)*('Fixed Assets'!$R$6:$R$597))</f>
        <v>1752179.6026055047</v>
      </c>
      <c r="E40" s="668">
        <f>SUMPRODUCT(('Fixed Assets'!$C$6:$C$597)*('Fixed Assets'!$P$6:$P$597=B40)*('Fixed Assets'!$R$6:$R$597))</f>
        <v>903388.58086724288</v>
      </c>
      <c r="F40" s="668">
        <f>SUMPRODUCT(('Fixed Assets'!$D$6:$D$597)*('Fixed Assets'!$P$6:$P$597=B40)*('Fixed Assets'!$R$6:$R$597))</f>
        <v>3595111.8941201749</v>
      </c>
    </row>
    <row r="41" spans="2:6" ht="15.75" x14ac:dyDescent="0.25">
      <c r="B41" s="657">
        <v>2030</v>
      </c>
      <c r="C41" s="668">
        <f>SUMIFS('Fixed Assets'!$S$6:$S$597,'Fixed Assets'!$K$6:$K$597,"Land",'Fixed Assets'!$P$6:$P$597,'Assets in Arrears Calculation'!B41)</f>
        <v>0</v>
      </c>
      <c r="D41" s="668">
        <f>SUMPRODUCT(('Fixed Assets'!$B$6:$B$597)*('Fixed Assets'!$P$6:$P$597=B41)*('Fixed Assets'!$R$6:$R$597))</f>
        <v>2114185.9032437438</v>
      </c>
      <c r="E41" s="668">
        <f>SUMPRODUCT(('Fixed Assets'!$C$6:$C$597)*('Fixed Assets'!$P$6:$P$597=B41)*('Fixed Assets'!$R$6:$R$597))</f>
        <v>2141156.1830861908</v>
      </c>
      <c r="F41" s="668">
        <f>SUMPRODUCT(('Fixed Assets'!$D$6:$D$597)*('Fixed Assets'!$P$6:$P$597=B41)*('Fixed Assets'!$R$6:$R$597))</f>
        <v>1689182.4798887859</v>
      </c>
    </row>
    <row r="42" spans="2:6" ht="15.75" x14ac:dyDescent="0.25">
      <c r="B42" s="657">
        <v>2031</v>
      </c>
      <c r="C42" s="668">
        <f>SUMIFS('Fixed Assets'!$S$6:$S$597,'Fixed Assets'!$K$6:$K$597,"Land",'Fixed Assets'!$P$6:$P$597,'Assets in Arrears Calculation'!B42)</f>
        <v>0</v>
      </c>
      <c r="D42" s="668">
        <f>SUMPRODUCT(('Fixed Assets'!$B$6:$B$597)*('Fixed Assets'!$P$6:$P$597=B42)*('Fixed Assets'!$R$6:$R$597))</f>
        <v>620353.05968316831</v>
      </c>
      <c r="E42" s="668">
        <f>SUMPRODUCT(('Fixed Assets'!$C$6:$C$597)*('Fixed Assets'!$P$6:$P$597=B42)*('Fixed Assets'!$R$6:$R$597))</f>
        <v>553587.45504950488</v>
      </c>
      <c r="F42" s="668">
        <f>SUMPRODUCT(('Fixed Assets'!$D$6:$D$597)*('Fixed Assets'!$P$6:$P$597=B42)*('Fixed Assets'!$R$6:$R$597))</f>
        <v>365154.08130127296</v>
      </c>
    </row>
    <row r="43" spans="2:6" ht="15.75" x14ac:dyDescent="0.25">
      <c r="B43" s="657">
        <v>2032</v>
      </c>
      <c r="C43" s="668">
        <f>SUMIFS('Fixed Assets'!$S$6:$S$597,'Fixed Assets'!$K$6:$K$597,"Land",'Fixed Assets'!$P$6:$P$597,'Assets in Arrears Calculation'!B43)</f>
        <v>0</v>
      </c>
      <c r="D43" s="668">
        <f>SUMPRODUCT(('Fixed Assets'!$B$6:$B$597)*('Fixed Assets'!$P$6:$P$597=B43)*('Fixed Assets'!$R$6:$R$597))</f>
        <v>783329.19262745092</v>
      </c>
      <c r="E43" s="668">
        <f>SUMPRODUCT(('Fixed Assets'!$C$6:$C$597)*('Fixed Assets'!$P$6:$P$597=B43)*('Fixed Assets'!$R$6:$R$597))</f>
        <v>1477818.8801909918</v>
      </c>
      <c r="F43" s="668">
        <f>SUMPRODUCT(('Fixed Assets'!$D$6:$D$597)*('Fixed Assets'!$P$6:$P$597=B43)*('Fixed Assets'!$R$6:$R$597))</f>
        <v>501932.97976470581</v>
      </c>
    </row>
    <row r="44" spans="2:6" ht="15.75" x14ac:dyDescent="0.25">
      <c r="B44" s="657">
        <v>2033</v>
      </c>
      <c r="C44" s="668">
        <f>SUMIFS('Fixed Assets'!$S$6:$S$597,'Fixed Assets'!$K$6:$K$597,"Land",'Fixed Assets'!$P$6:$P$597,'Assets in Arrears Calculation'!B44)</f>
        <v>0</v>
      </c>
      <c r="D44" s="668">
        <f>SUMPRODUCT(('Fixed Assets'!$B$6:$B$597)*('Fixed Assets'!$P$6:$P$597=B44)*('Fixed Assets'!$R$6:$R$597))</f>
        <v>1409709.1354648301</v>
      </c>
      <c r="E44" s="668">
        <f>SUMPRODUCT(('Fixed Assets'!$C$6:$C$597)*('Fixed Assets'!$P$6:$P$597=B44)*('Fixed Assets'!$R$6:$R$597))</f>
        <v>1945846.8250184252</v>
      </c>
      <c r="F44" s="668">
        <f>SUMPRODUCT(('Fixed Assets'!$D$6:$D$597)*('Fixed Assets'!$P$6:$P$597=B44)*('Fixed Assets'!$R$6:$R$597))</f>
        <v>1243798.8871003443</v>
      </c>
    </row>
    <row r="45" spans="2:6" ht="15.75" x14ac:dyDescent="0.25">
      <c r="B45" s="657">
        <v>2034</v>
      </c>
      <c r="C45" s="668">
        <f>SUMIFS('Fixed Assets'!$S$6:$S$597,'Fixed Assets'!$K$6:$K$597,"Land",'Fixed Assets'!$P$6:$P$597,'Assets in Arrears Calculation'!B45)</f>
        <v>0</v>
      </c>
      <c r="D45" s="668">
        <f>SUMPRODUCT(('Fixed Assets'!$B$6:$B$597)*('Fixed Assets'!$P$6:$P$597=B45)*('Fixed Assets'!$R$6:$R$597))</f>
        <v>27746123.063201159</v>
      </c>
      <c r="E45" s="668">
        <f>SUMPRODUCT(('Fixed Assets'!$C$6:$C$597)*('Fixed Assets'!$P$6:$P$597=B45)*('Fixed Assets'!$R$6:$R$597))</f>
        <v>2090586.8780176407</v>
      </c>
      <c r="F45" s="668">
        <f>SUMPRODUCT(('Fixed Assets'!$D$6:$D$597)*('Fixed Assets'!$P$6:$P$597=B45)*('Fixed Assets'!$R$6:$R$597))</f>
        <v>1269128.2749638206</v>
      </c>
    </row>
    <row r="46" spans="2:6" ht="15.75" x14ac:dyDescent="0.25">
      <c r="B46" s="657">
        <v>2035</v>
      </c>
      <c r="C46" s="668">
        <f>SUMIFS('Fixed Assets'!$S$6:$S$597,'Fixed Assets'!$K$6:$K$597,"Land",'Fixed Assets'!$P$6:$P$597,'Assets in Arrears Calculation'!B46)</f>
        <v>0</v>
      </c>
      <c r="D46" s="668">
        <f>SUMPRODUCT(('Fixed Assets'!$B$6:$B$597)*('Fixed Assets'!$P$6:$P$597=B46)*('Fixed Assets'!$R$6:$R$597))</f>
        <v>976516.95047422126</v>
      </c>
      <c r="E46" s="668">
        <f>SUMPRODUCT(('Fixed Assets'!$C$6:$C$597)*('Fixed Assets'!$P$6:$P$597=B46)*('Fixed Assets'!$R$6:$R$597))</f>
        <v>2509200.0145814223</v>
      </c>
      <c r="F46" s="668">
        <f>SUMPRODUCT(('Fixed Assets'!$D$6:$D$597)*('Fixed Assets'!$P$6:$P$597=B46)*('Fixed Assets'!$R$6:$R$597))</f>
        <v>1435805.2067699642</v>
      </c>
    </row>
    <row r="47" spans="2:6" ht="15.75" x14ac:dyDescent="0.25">
      <c r="B47" s="657">
        <v>2036</v>
      </c>
      <c r="C47" s="668">
        <f>SUMIFS('Fixed Assets'!$S$6:$S$597,'Fixed Assets'!$K$6:$K$597,"Land",'Fixed Assets'!$P$6:$P$597,'Assets in Arrears Calculation'!B47)</f>
        <v>0</v>
      </c>
      <c r="D47" s="668">
        <f>SUMPRODUCT(('Fixed Assets'!$B$6:$B$597)*('Fixed Assets'!$P$6:$P$597=B47)*('Fixed Assets'!$R$6:$R$597))</f>
        <v>6579357.0098249214</v>
      </c>
      <c r="E47" s="668">
        <f>SUMPRODUCT(('Fixed Assets'!$C$6:$C$597)*('Fixed Assets'!$P$6:$P$597=B47)*('Fixed Assets'!$R$6:$R$597))</f>
        <v>3619646.0515249288</v>
      </c>
      <c r="F47" s="668">
        <f>SUMPRODUCT(('Fixed Assets'!$D$6:$D$597)*('Fixed Assets'!$P$6:$P$597=B47)*('Fixed Assets'!$R$6:$R$597))</f>
        <v>2150853.5672409781</v>
      </c>
    </row>
    <row r="48" spans="2:6" ht="15.75" x14ac:dyDescent="0.25">
      <c r="B48" s="657">
        <v>2037</v>
      </c>
      <c r="C48" s="668">
        <f>SUMIFS('Fixed Assets'!$S$6:$S$597,'Fixed Assets'!$K$6:$K$597,"Land",'Fixed Assets'!$P$6:$P$597,'Assets in Arrears Calculation'!B48)</f>
        <v>0</v>
      </c>
      <c r="D48" s="668">
        <f>SUMPRODUCT(('Fixed Assets'!$B$6:$B$597)*('Fixed Assets'!$P$6:$P$597=B48)*('Fixed Assets'!$R$6:$R$597))</f>
        <v>9393787.1725587826</v>
      </c>
      <c r="E48" s="668">
        <f>SUMPRODUCT(('Fixed Assets'!$C$6:$C$597)*('Fixed Assets'!$P$6:$P$597=B48)*('Fixed Assets'!$R$6:$R$597))</f>
        <v>6052838.0813722191</v>
      </c>
      <c r="F48" s="668">
        <f>SUMPRODUCT(('Fixed Assets'!$D$6:$D$597)*('Fixed Assets'!$P$6:$P$597=B48)*('Fixed Assets'!$R$6:$R$597))</f>
        <v>2689009.4362687245</v>
      </c>
    </row>
    <row r="49" spans="2:6" ht="15.75" x14ac:dyDescent="0.25">
      <c r="B49" s="657">
        <v>2038</v>
      </c>
      <c r="C49" s="668">
        <f>SUMIFS('Fixed Assets'!$S$6:$S$597,'Fixed Assets'!$K$6:$K$597,"Land",'Fixed Assets'!$P$6:$P$597,'Assets in Arrears Calculation'!B49)</f>
        <v>0</v>
      </c>
      <c r="D49" s="668">
        <f>SUMPRODUCT(('Fixed Assets'!$B$6:$B$597)*('Fixed Assets'!$P$6:$P$597=B49)*('Fixed Assets'!$R$6:$R$597))</f>
        <v>2595824.0112414248</v>
      </c>
      <c r="E49" s="668">
        <f>SUMPRODUCT(('Fixed Assets'!$C$6:$C$597)*('Fixed Assets'!$P$6:$P$597=B49)*('Fixed Assets'!$R$6:$R$597))</f>
        <v>3654773.324995257</v>
      </c>
      <c r="F49" s="668">
        <f>SUMPRODUCT(('Fixed Assets'!$D$6:$D$597)*('Fixed Assets'!$P$6:$P$597=B49)*('Fixed Assets'!$R$6:$R$597))</f>
        <v>1345775.6773622483</v>
      </c>
    </row>
    <row r="50" spans="2:6" ht="15.75" x14ac:dyDescent="0.25">
      <c r="B50" s="657">
        <v>2039</v>
      </c>
      <c r="C50" s="668">
        <f>SUMIFS('Fixed Assets'!$S$6:$S$597,'Fixed Assets'!$K$6:$K$597,"Land",'Fixed Assets'!$P$6:$P$597,'Assets in Arrears Calculation'!B50)</f>
        <v>0</v>
      </c>
      <c r="D50" s="668">
        <f>SUMPRODUCT(('Fixed Assets'!$B$6:$B$597)*('Fixed Assets'!$P$6:$P$597=B50)*('Fixed Assets'!$R$6:$R$597))</f>
        <v>3297173.8900108342</v>
      </c>
      <c r="E50" s="668">
        <f>SUMPRODUCT(('Fixed Assets'!$C$6:$C$597)*('Fixed Assets'!$P$6:$P$597=B50)*('Fixed Assets'!$R$6:$R$597))</f>
        <v>4643683.4006834235</v>
      </c>
      <c r="F50" s="668">
        <f>SUMPRODUCT(('Fixed Assets'!$D$6:$D$597)*('Fixed Assets'!$P$6:$P$597=B50)*('Fixed Assets'!$R$6:$R$597))</f>
        <v>3028980.6518743229</v>
      </c>
    </row>
    <row r="51" spans="2:6" ht="15.75" x14ac:dyDescent="0.25">
      <c r="B51" s="657">
        <v>2040</v>
      </c>
      <c r="C51" s="668">
        <f>SUMIFS('Fixed Assets'!$S$6:$S$597,'Fixed Assets'!$K$6:$K$597,"Land",'Fixed Assets'!$P$6:$P$597,'Assets in Arrears Calculation'!B51)</f>
        <v>0</v>
      </c>
      <c r="D51" s="668">
        <f>SUMPRODUCT(('Fixed Assets'!$B$6:$B$597)*('Fixed Assets'!$P$6:$P$597=B51)*('Fixed Assets'!$R$6:$R$597))</f>
        <v>3886947.0900253593</v>
      </c>
      <c r="E51" s="668">
        <f>SUMPRODUCT(('Fixed Assets'!$C$6:$C$597)*('Fixed Assets'!$P$6:$P$597=B51)*('Fixed Assets'!$R$6:$R$597))</f>
        <v>3498835.7041420122</v>
      </c>
      <c r="F51" s="668">
        <f>SUMPRODUCT(('Fixed Assets'!$D$6:$D$597)*('Fixed Assets'!$P$6:$P$597=B51)*('Fixed Assets'!$R$6:$R$597))</f>
        <v>4038145.5031065089</v>
      </c>
    </row>
    <row r="52" spans="2:6" ht="15.75" x14ac:dyDescent="0.25">
      <c r="B52" s="657">
        <v>2041</v>
      </c>
      <c r="C52" s="668">
        <f>SUMIFS('Fixed Assets'!$S$6:$S$597,'Fixed Assets'!$K$6:$K$597,"Land",'Fixed Assets'!$P$6:$P$597,'Assets in Arrears Calculation'!B52)</f>
        <v>0</v>
      </c>
      <c r="D52" s="668">
        <f>SUMPRODUCT(('Fixed Assets'!$B$6:$B$597)*('Fixed Assets'!$P$6:$P$597=B52)*('Fixed Assets'!$R$6:$R$597))</f>
        <v>1790659.7040744568</v>
      </c>
      <c r="E52" s="668">
        <f>SUMPRODUCT(('Fixed Assets'!$C$6:$C$597)*('Fixed Assets'!$P$6:$P$597=B52)*('Fixed Assets'!$R$6:$R$597))</f>
        <v>254333.39168562563</v>
      </c>
      <c r="F52" s="668">
        <f>SUMPRODUCT(('Fixed Assets'!$D$6:$D$597)*('Fixed Assets'!$P$6:$P$597=B52)*('Fixed Assets'!$R$6:$R$597))</f>
        <v>396816.72397104447</v>
      </c>
    </row>
    <row r="53" spans="2:6" ht="15.75" x14ac:dyDescent="0.25">
      <c r="B53" s="657">
        <v>2042</v>
      </c>
      <c r="C53" s="668">
        <f>SUMIFS('Fixed Assets'!$S$6:$S$597,'Fixed Assets'!$K$6:$K$597,"Land",'Fixed Assets'!$P$6:$P$597,'Assets in Arrears Calculation'!B53)</f>
        <v>0</v>
      </c>
      <c r="D53" s="668">
        <f>SUMPRODUCT(('Fixed Assets'!$B$6:$B$597)*('Fixed Assets'!$P$6:$P$597=B53)*('Fixed Assets'!$R$6:$R$597))</f>
        <v>1481854.4844132396</v>
      </c>
      <c r="E53" s="668">
        <f>SUMPRODUCT(('Fixed Assets'!$C$6:$C$597)*('Fixed Assets'!$P$6:$P$597=B53)*('Fixed Assets'!$R$6:$R$597))</f>
        <v>1086467.5057973922</v>
      </c>
      <c r="F53" s="668">
        <f>SUMPRODUCT(('Fixed Assets'!$D$6:$D$597)*('Fixed Assets'!$P$6:$P$597=B53)*('Fixed Assets'!$R$6:$R$597))</f>
        <v>1666237.5960481444</v>
      </c>
    </row>
    <row r="54" spans="2:6" ht="15.75" x14ac:dyDescent="0.25">
      <c r="B54" s="657">
        <v>2043</v>
      </c>
      <c r="C54" s="668">
        <f>SUMIFS('Fixed Assets'!$S$6:$S$597,'Fixed Assets'!$K$6:$K$597,"Land",'Fixed Assets'!$P$6:$P$597,'Assets in Arrears Calculation'!B54)</f>
        <v>0</v>
      </c>
      <c r="D54" s="668">
        <f>SUMPRODUCT(('Fixed Assets'!$B$6:$B$597)*('Fixed Assets'!$P$6:$P$597=B54)*('Fixed Assets'!$R$6:$R$597))</f>
        <v>1468564.0950863725</v>
      </c>
      <c r="E54" s="668">
        <f>SUMPRODUCT(('Fixed Assets'!$C$6:$C$597)*('Fixed Assets'!$P$6:$P$597=B54)*('Fixed Assets'!$R$6:$R$597))</f>
        <v>1059533.3021113244</v>
      </c>
      <c r="F54" s="668">
        <f>SUMPRODUCT(('Fixed Assets'!$D$6:$D$597)*('Fixed Assets'!$P$6:$P$597=B54)*('Fixed Assets'!$R$6:$R$597))</f>
        <v>1802022.5135700577</v>
      </c>
    </row>
    <row r="55" spans="2:6" ht="15.75" x14ac:dyDescent="0.25">
      <c r="B55" s="657">
        <v>2044</v>
      </c>
      <c r="C55" s="668">
        <f>SUMIFS('Fixed Assets'!$S$6:$S$597,'Fixed Assets'!$K$6:$K$597,"Land",'Fixed Assets'!$P$6:$P$597,'Assets in Arrears Calculation'!B55)</f>
        <v>0</v>
      </c>
      <c r="D55" s="668">
        <f>SUMPRODUCT(('Fixed Assets'!$B$6:$B$597)*('Fixed Assets'!$P$6:$P$597=B55)*('Fixed Assets'!$R$6:$R$597))</f>
        <v>2801674.1112503698</v>
      </c>
      <c r="E55" s="668">
        <f>SUMPRODUCT(('Fixed Assets'!$C$6:$C$597)*('Fixed Assets'!$P$6:$P$597=B55)*('Fixed Assets'!$R$6:$R$597))</f>
        <v>2580916.1794326925</v>
      </c>
      <c r="F55" s="668">
        <f>SUMPRODUCT(('Fixed Assets'!$D$6:$D$597)*('Fixed Assets'!$P$6:$P$597=B55)*('Fixed Assets'!$R$6:$R$597))</f>
        <v>3471674.5888313614</v>
      </c>
    </row>
    <row r="56" spans="2:6" ht="15.75" x14ac:dyDescent="0.25">
      <c r="B56" s="657">
        <v>2045</v>
      </c>
      <c r="C56" s="668">
        <f>SUMIFS('Fixed Assets'!$S$6:$S$597,'Fixed Assets'!$K$6:$K$597,"Land",'Fixed Assets'!$P$6:$P$597,'Assets in Arrears Calculation'!B56)</f>
        <v>0</v>
      </c>
      <c r="D56" s="668">
        <f>SUMPRODUCT(('Fixed Assets'!$B$6:$B$597)*('Fixed Assets'!$P$6:$P$597=B56)*('Fixed Assets'!$R$6:$R$597))</f>
        <v>2547353.1631957595</v>
      </c>
      <c r="E56" s="668">
        <f>SUMPRODUCT(('Fixed Assets'!$C$6:$C$597)*('Fixed Assets'!$P$6:$P$597=B56)*('Fixed Assets'!$R$6:$R$597))</f>
        <v>1664601.2418205081</v>
      </c>
      <c r="F56" s="668">
        <f>SUMPRODUCT(('Fixed Assets'!$D$6:$D$597)*('Fixed Assets'!$P$6:$P$597=B56)*('Fixed Assets'!$R$6:$R$597))</f>
        <v>2489156.5895247669</v>
      </c>
    </row>
    <row r="57" spans="2:6" ht="15.75" x14ac:dyDescent="0.25">
      <c r="B57" s="657">
        <v>2046</v>
      </c>
      <c r="C57" s="668">
        <f>SUMIFS('Fixed Assets'!$S$6:$S$597,'Fixed Assets'!$K$6:$K$597,"Land",'Fixed Assets'!$P$6:$P$597,'Assets in Arrears Calculation'!B57)</f>
        <v>0</v>
      </c>
      <c r="D57" s="668">
        <f>SUMPRODUCT(('Fixed Assets'!$B$6:$B$597)*('Fixed Assets'!$P$6:$P$597=B57)*('Fixed Assets'!$R$6:$R$597))</f>
        <v>2478737.3409512457</v>
      </c>
      <c r="E57" s="668">
        <f>SUMPRODUCT(('Fixed Assets'!$C$6:$C$597)*('Fixed Assets'!$P$6:$P$597=B57)*('Fixed Assets'!$R$6:$R$597))</f>
        <v>2951779.2494658362</v>
      </c>
      <c r="F57" s="668">
        <f>SUMPRODUCT(('Fixed Assets'!$D$6:$D$597)*('Fixed Assets'!$P$6:$P$597=B57)*('Fixed Assets'!$R$6:$R$597))</f>
        <v>660109.0751957295</v>
      </c>
    </row>
    <row r="58" spans="2:6" ht="15.75" x14ac:dyDescent="0.25">
      <c r="B58" s="657">
        <v>2047</v>
      </c>
      <c r="C58" s="668">
        <f>SUMIFS('Fixed Assets'!$S$6:$S$597,'Fixed Assets'!$K$6:$K$597,"Land",'Fixed Assets'!$P$6:$P$597,'Assets in Arrears Calculation'!B58)</f>
        <v>0</v>
      </c>
      <c r="D58" s="668">
        <f>SUMPRODUCT(('Fixed Assets'!$B$6:$B$597)*('Fixed Assets'!$P$6:$P$597=B58)*('Fixed Assets'!$R$6:$R$597))</f>
        <v>2144857.1352523169</v>
      </c>
      <c r="E58" s="668">
        <f>SUMPRODUCT(('Fixed Assets'!$C$6:$C$597)*('Fixed Assets'!$P$6:$P$597=B58)*('Fixed Assets'!$R$6:$R$597))</f>
        <v>1000162.4749227599</v>
      </c>
      <c r="F58" s="668">
        <f>SUMPRODUCT(('Fixed Assets'!$D$6:$D$597)*('Fixed Assets'!$P$6:$P$597=B58)*('Fixed Assets'!$R$6:$R$597))</f>
        <v>2034895.9193614828</v>
      </c>
    </row>
    <row r="59" spans="2:6" ht="15.75" x14ac:dyDescent="0.25">
      <c r="B59" s="657">
        <v>2048</v>
      </c>
      <c r="C59" s="668">
        <f>SUMIFS('Fixed Assets'!$S$6:$S$597,'Fixed Assets'!$K$6:$K$597,"Land",'Fixed Assets'!$P$6:$P$597,'Assets in Arrears Calculation'!B59)</f>
        <v>0</v>
      </c>
      <c r="D59" s="668">
        <f>SUMPRODUCT(('Fixed Assets'!$B$6:$B$597)*('Fixed Assets'!$P$6:$P$597=B59)*('Fixed Assets'!$R$6:$R$597))</f>
        <v>927858.866731419</v>
      </c>
      <c r="E59" s="668">
        <f>SUMPRODUCT(('Fixed Assets'!$C$6:$C$597)*('Fixed Assets'!$P$6:$P$597=B59)*('Fixed Assets'!$R$6:$R$597))</f>
        <v>405049.78216216218</v>
      </c>
      <c r="F59" s="668">
        <f>SUMPRODUCT(('Fixed Assets'!$D$6:$D$597)*('Fixed Assets'!$P$6:$P$597=B59)*('Fixed Assets'!$R$6:$R$597))</f>
        <v>1732511.2086780407</v>
      </c>
    </row>
    <row r="60" spans="2:6" ht="15.75" x14ac:dyDescent="0.25">
      <c r="B60" s="657">
        <v>2049</v>
      </c>
      <c r="C60" s="668">
        <f>SUMIFS('Fixed Assets'!$S$6:$S$597,'Fixed Assets'!$K$6:$K$597,"Land",'Fixed Assets'!$P$6:$P$597,'Assets in Arrears Calculation'!B60)</f>
        <v>0</v>
      </c>
      <c r="D60" s="668">
        <f>SUMPRODUCT(('Fixed Assets'!$B$6:$B$597)*('Fixed Assets'!$P$6:$P$597=B60)*('Fixed Assets'!$R$6:$R$597))</f>
        <v>1098415.0959333221</v>
      </c>
      <c r="E60" s="668">
        <f>SUMPRODUCT(('Fixed Assets'!$C$6:$C$597)*('Fixed Assets'!$P$6:$P$597=B60)*('Fixed Assets'!$R$6:$R$597))</f>
        <v>737881.79325433227</v>
      </c>
      <c r="F60" s="668">
        <f>SUMPRODUCT(('Fixed Assets'!$D$6:$D$597)*('Fixed Assets'!$P$6:$P$597=B60)*('Fixed Assets'!$R$6:$R$597))</f>
        <v>1061177.6837874237</v>
      </c>
    </row>
    <row r="61" spans="2:6" ht="15.75" x14ac:dyDescent="0.25">
      <c r="B61" s="657">
        <v>2050</v>
      </c>
      <c r="C61" s="668">
        <f>SUMIFS('Fixed Assets'!$S$6:$S$597,'Fixed Assets'!$K$6:$K$597,"Land",'Fixed Assets'!$P$6:$P$597,'Assets in Arrears Calculation'!B61)</f>
        <v>0</v>
      </c>
      <c r="D61" s="668">
        <f>SUMPRODUCT(('Fixed Assets'!$B$6:$B$597)*('Fixed Assets'!$P$6:$P$597=B61)*('Fixed Assets'!$R$6:$R$597))</f>
        <v>4340360.810338852</v>
      </c>
      <c r="E61" s="668">
        <f>SUMPRODUCT(('Fixed Assets'!$C$6:$C$597)*('Fixed Assets'!$P$6:$P$597=B61)*('Fixed Assets'!$R$6:$R$597))</f>
        <v>2706385.0816781865</v>
      </c>
      <c r="F61" s="668">
        <f>SUMPRODUCT(('Fixed Assets'!$D$6:$D$597)*('Fixed Assets'!$P$6:$P$597=B61)*('Fixed Assets'!$R$6:$R$597))</f>
        <v>1034583.1021379199</v>
      </c>
    </row>
    <row r="62" spans="2:6" ht="15.75" x14ac:dyDescent="0.25">
      <c r="B62" s="657">
        <v>2051</v>
      </c>
      <c r="C62" s="668">
        <f>SUMIFS('Fixed Assets'!$S$6:$S$597,'Fixed Assets'!$K$6:$K$597,"Land",'Fixed Assets'!$P$6:$P$597,'Assets in Arrears Calculation'!B62)</f>
        <v>0</v>
      </c>
      <c r="D62" s="668">
        <f>SUMPRODUCT(('Fixed Assets'!$B$6:$B$597)*('Fixed Assets'!$P$6:$P$597=B62)*('Fixed Assets'!$R$6:$R$597))</f>
        <v>1718294.324798991</v>
      </c>
      <c r="E62" s="668">
        <f>SUMPRODUCT(('Fixed Assets'!$C$6:$C$597)*('Fixed Assets'!$P$6:$P$597=B62)*('Fixed Assets'!$R$6:$R$597))</f>
        <v>893953.66274633456</v>
      </c>
      <c r="F62" s="668">
        <f>SUMPRODUCT(('Fixed Assets'!$D$6:$D$597)*('Fixed Assets'!$P$6:$P$597=B62)*('Fixed Assets'!$R$6:$R$597))</f>
        <v>1693749.930553366</v>
      </c>
    </row>
    <row r="63" spans="2:6" ht="15.75" x14ac:dyDescent="0.25">
      <c r="B63" s="657">
        <v>2052</v>
      </c>
      <c r="C63" s="668">
        <f>SUMIFS('Fixed Assets'!$S$6:$S$597,'Fixed Assets'!$K$6:$K$597,"Land",'Fixed Assets'!$P$6:$P$597,'Assets in Arrears Calculation'!B63)</f>
        <v>0</v>
      </c>
      <c r="D63" s="668">
        <f>SUMPRODUCT(('Fixed Assets'!$B$6:$B$597)*('Fixed Assets'!$P$6:$P$597=B63)*('Fixed Assets'!$R$6:$R$597))</f>
        <v>1548793.1577439583</v>
      </c>
      <c r="E63" s="668">
        <f>SUMPRODUCT(('Fixed Assets'!$C$6:$C$597)*('Fixed Assets'!$P$6:$P$597=B63)*('Fixed Assets'!$R$6:$R$597))</f>
        <v>1305481.4693943101</v>
      </c>
      <c r="F63" s="668">
        <f>SUMPRODUCT(('Fixed Assets'!$D$6:$D$597)*('Fixed Assets'!$P$6:$P$597=B63)*('Fixed Assets'!$R$6:$R$597))</f>
        <v>1924112.8528770264</v>
      </c>
    </row>
    <row r="64" spans="2:6" ht="15.75" x14ac:dyDescent="0.25">
      <c r="B64" s="657">
        <v>2053</v>
      </c>
      <c r="C64" s="668">
        <f>SUMIFS('Fixed Assets'!$S$6:$S$597,'Fixed Assets'!$K$6:$K$597,"Land",'Fixed Assets'!$P$6:$P$597,'Assets in Arrears Calculation'!B64)</f>
        <v>0</v>
      </c>
      <c r="D64" s="668">
        <f>SUMPRODUCT(('Fixed Assets'!$B$6:$B$597)*('Fixed Assets'!$P$6:$P$597=B64)*('Fixed Assets'!$R$6:$R$597))</f>
        <v>2065906.5448162532</v>
      </c>
      <c r="E64" s="668">
        <f>SUMPRODUCT(('Fixed Assets'!$C$6:$C$597)*('Fixed Assets'!$P$6:$P$597=B64)*('Fixed Assets'!$R$6:$R$597))</f>
        <v>1015453.7987451449</v>
      </c>
      <c r="F64" s="668">
        <f>SUMPRODUCT(('Fixed Assets'!$D$6:$D$597)*('Fixed Assets'!$P$6:$P$597=B64)*('Fixed Assets'!$R$6:$R$597))</f>
        <v>2662850.6956528234</v>
      </c>
    </row>
    <row r="65" spans="2:6" ht="15.75" x14ac:dyDescent="0.25">
      <c r="B65" s="657">
        <v>2054</v>
      </c>
      <c r="C65" s="668">
        <f>SUMIFS('Fixed Assets'!$S$6:$S$597,'Fixed Assets'!$K$6:$K$597,"Land",'Fixed Assets'!$P$6:$P$597,'Assets in Arrears Calculation'!B65)</f>
        <v>0</v>
      </c>
      <c r="D65" s="668">
        <f>SUMPRODUCT(('Fixed Assets'!$B$6:$B$597)*('Fixed Assets'!$P$6:$P$597=B65)*('Fixed Assets'!$R$6:$R$597))</f>
        <v>1354479.4851187631</v>
      </c>
      <c r="E65" s="668">
        <f>SUMPRODUCT(('Fixed Assets'!$C$6:$C$597)*('Fixed Assets'!$P$6:$P$597=B65)*('Fixed Assets'!$R$6:$R$597))</f>
        <v>1047369.7069484188</v>
      </c>
      <c r="F65" s="668">
        <f>SUMPRODUCT(('Fixed Assets'!$D$6:$D$597)*('Fixed Assets'!$P$6:$P$597=B65)*('Fixed Assets'!$R$6:$R$597))</f>
        <v>1184571.9080112437</v>
      </c>
    </row>
    <row r="66" spans="2:6" ht="15.75" x14ac:dyDescent="0.25">
      <c r="B66" s="657">
        <v>2055</v>
      </c>
      <c r="C66" s="668">
        <f>SUMIFS('Fixed Assets'!$S$6:$S$597,'Fixed Assets'!$K$6:$K$597,"Land",'Fixed Assets'!$P$6:$P$597,'Assets in Arrears Calculation'!B66)</f>
        <v>0</v>
      </c>
      <c r="D66" s="668">
        <f>SUMPRODUCT(('Fixed Assets'!$B$6:$B$597)*('Fixed Assets'!$P$6:$P$597=B66)*('Fixed Assets'!$R$6:$R$597))</f>
        <v>2343980.5452922229</v>
      </c>
      <c r="E66" s="668">
        <f>SUMPRODUCT(('Fixed Assets'!$C$6:$C$597)*('Fixed Assets'!$P$6:$P$597=B66)*('Fixed Assets'!$R$6:$R$597))</f>
        <v>1412855.7023707768</v>
      </c>
      <c r="F66" s="668">
        <f>SUMPRODUCT(('Fixed Assets'!$D$6:$D$597)*('Fixed Assets'!$P$6:$P$597=B66)*('Fixed Assets'!$R$6:$R$597))</f>
        <v>6598289.8291899329</v>
      </c>
    </row>
    <row r="67" spans="2:6" ht="15.75" x14ac:dyDescent="0.25">
      <c r="B67" s="657">
        <v>2056</v>
      </c>
      <c r="C67" s="668">
        <f>SUMIFS('Fixed Assets'!$S$6:$S$597,'Fixed Assets'!$K$6:$K$597,"Land",'Fixed Assets'!$P$6:$P$597,'Assets in Arrears Calculation'!B67)</f>
        <v>0</v>
      </c>
      <c r="D67" s="668">
        <f>SUMPRODUCT(('Fixed Assets'!$B$6:$B$597)*('Fixed Assets'!$P$6:$P$597=B67)*('Fixed Assets'!$R$6:$R$597))</f>
        <v>10429204.180511273</v>
      </c>
      <c r="E67" s="668">
        <f>SUMPRODUCT(('Fixed Assets'!$C$6:$C$597)*('Fixed Assets'!$P$6:$P$597=B67)*('Fixed Assets'!$R$6:$R$597))</f>
        <v>1170605.9073052735</v>
      </c>
      <c r="F67" s="668">
        <f>SUMPRODUCT(('Fixed Assets'!$D$6:$D$597)*('Fixed Assets'!$P$6:$P$597=B67)*('Fixed Assets'!$R$6:$R$597))</f>
        <v>4111048.8897161107</v>
      </c>
    </row>
    <row r="68" spans="2:6" ht="15.75" x14ac:dyDescent="0.25">
      <c r="B68" s="657">
        <v>2057</v>
      </c>
      <c r="C68" s="668">
        <f>SUMIFS('Fixed Assets'!$S$6:$S$597,'Fixed Assets'!$K$6:$K$597,"Land",'Fixed Assets'!$P$6:$P$597,'Assets in Arrears Calculation'!B68)</f>
        <v>0</v>
      </c>
      <c r="D68" s="668">
        <f>SUMPRODUCT(('Fixed Assets'!$B$6:$B$597)*('Fixed Assets'!$P$6:$P$597=B68)*('Fixed Assets'!$R$6:$R$597))</f>
        <v>3668642.4237718089</v>
      </c>
      <c r="E68" s="668">
        <f>SUMPRODUCT(('Fixed Assets'!$C$6:$C$597)*('Fixed Assets'!$P$6:$P$597=B68)*('Fixed Assets'!$R$6:$R$597))</f>
        <v>1347732.2935232834</v>
      </c>
      <c r="F68" s="668">
        <f>SUMPRODUCT(('Fixed Assets'!$D$6:$D$597)*('Fixed Assets'!$P$6:$P$597=B68)*('Fixed Assets'!$R$6:$R$597))</f>
        <v>1288630.9937938997</v>
      </c>
    </row>
    <row r="69" spans="2:6" ht="15.75" x14ac:dyDescent="0.25">
      <c r="B69" s="657">
        <v>2058</v>
      </c>
      <c r="C69" s="668">
        <f>SUMIFS('Fixed Assets'!$S$6:$S$597,'Fixed Assets'!$K$6:$K$597,"Land",'Fixed Assets'!$P$6:$P$597,'Assets in Arrears Calculation'!B69)</f>
        <v>0</v>
      </c>
      <c r="D69" s="668">
        <f>SUMPRODUCT(('Fixed Assets'!$B$6:$B$597)*('Fixed Assets'!$P$6:$P$597=B69)*('Fixed Assets'!$R$6:$R$597))</f>
        <v>4839553.3415910704</v>
      </c>
      <c r="E69" s="668">
        <f>SUMPRODUCT(('Fixed Assets'!$C$6:$C$597)*('Fixed Assets'!$P$6:$P$597=B69)*('Fixed Assets'!$R$6:$R$597))</f>
        <v>842618.58702955302</v>
      </c>
      <c r="F69" s="668">
        <f>SUMPRODUCT(('Fixed Assets'!$D$6:$D$597)*('Fixed Assets'!$P$6:$P$597=B69)*('Fixed Assets'!$R$6:$R$597))</f>
        <v>1098974.6627703847</v>
      </c>
    </row>
    <row r="70" spans="2:6" ht="15.75" x14ac:dyDescent="0.25">
      <c r="B70" s="657">
        <v>2059</v>
      </c>
      <c r="C70" s="668">
        <f>SUMIFS('Fixed Assets'!$S$6:$S$597,'Fixed Assets'!$K$6:$K$597,"Land",'Fixed Assets'!$P$6:$P$597,'Assets in Arrears Calculation'!B70)</f>
        <v>0</v>
      </c>
      <c r="D70" s="668">
        <f>SUMPRODUCT(('Fixed Assets'!$B$6:$B$597)*('Fixed Assets'!$P$6:$P$597=B70)*('Fixed Assets'!$R$6:$R$597))</f>
        <v>12718009.244922081</v>
      </c>
      <c r="E70" s="668">
        <f>SUMPRODUCT(('Fixed Assets'!$C$6:$C$597)*('Fixed Assets'!$P$6:$P$597=B70)*('Fixed Assets'!$R$6:$R$597))</f>
        <v>125846.92447564685</v>
      </c>
      <c r="F70" s="668">
        <f>SUMPRODUCT(('Fixed Assets'!$D$6:$D$597)*('Fixed Assets'!$P$6:$P$597=B70)*('Fixed Assets'!$R$6:$R$597))</f>
        <v>642205.81538491452</v>
      </c>
    </row>
    <row r="71" spans="2:6" ht="15.75" x14ac:dyDescent="0.25">
      <c r="B71" s="657">
        <v>2060</v>
      </c>
      <c r="C71" s="668">
        <f>SUMIFS('Fixed Assets'!$S$6:$S$597,'Fixed Assets'!$K$6:$K$597,"Land",'Fixed Assets'!$P$6:$P$597,'Assets in Arrears Calculation'!B71)</f>
        <v>0</v>
      </c>
      <c r="D71" s="668">
        <f>SUMPRODUCT(('Fixed Assets'!$B$6:$B$597)*('Fixed Assets'!$P$6:$P$597=B71)*('Fixed Assets'!$R$6:$R$597))</f>
        <v>4548654.1866707075</v>
      </c>
      <c r="E71" s="668">
        <f>SUMPRODUCT(('Fixed Assets'!$C$6:$C$597)*('Fixed Assets'!$P$6:$P$597=B71)*('Fixed Assets'!$R$6:$R$597))</f>
        <v>34222.622103099813</v>
      </c>
      <c r="F71" s="668">
        <f>SUMPRODUCT(('Fixed Assets'!$D$6:$D$597)*('Fixed Assets'!$P$6:$P$597=B71)*('Fixed Assets'!$R$6:$R$597))</f>
        <v>0</v>
      </c>
    </row>
    <row r="72" spans="2:6" ht="15.75" x14ac:dyDescent="0.25">
      <c r="B72" s="657">
        <v>2061</v>
      </c>
      <c r="C72" s="668">
        <f>SUMIFS('Fixed Assets'!$S$6:$S$597,'Fixed Assets'!$K$6:$K$597,"Land",'Fixed Assets'!$P$6:$P$597,'Assets in Arrears Calculation'!B72)</f>
        <v>0</v>
      </c>
      <c r="D72" s="668">
        <f>SUMPRODUCT(('Fixed Assets'!$B$6:$B$597)*('Fixed Assets'!$P$6:$P$597=B72)*('Fixed Assets'!$R$6:$R$597))</f>
        <v>1063572.2665098587</v>
      </c>
      <c r="E72" s="668">
        <f>SUMPRODUCT(('Fixed Assets'!$C$6:$C$597)*('Fixed Assets'!$P$6:$P$597=B72)*('Fixed Assets'!$R$6:$R$597))</f>
        <v>442112.98770649958</v>
      </c>
      <c r="F72" s="668">
        <f>SUMPRODUCT(('Fixed Assets'!$D$6:$D$597)*('Fixed Assets'!$P$6:$P$597=B72)*('Fixed Assets'!$R$6:$R$597))</f>
        <v>488331.25002664508</v>
      </c>
    </row>
    <row r="73" spans="2:6" ht="15.75" x14ac:dyDescent="0.25">
      <c r="B73" s="657">
        <v>2062</v>
      </c>
      <c r="C73" s="668">
        <f>SUMIFS('Fixed Assets'!$S$6:$S$597,'Fixed Assets'!$K$6:$K$597,"Land",'Fixed Assets'!$P$6:$P$597,'Assets in Arrears Calculation'!B73)</f>
        <v>0</v>
      </c>
      <c r="D73" s="668">
        <f>SUMPRODUCT(('Fixed Assets'!$B$6:$B$597)*('Fixed Assets'!$P$6:$P$597=B73)*('Fixed Assets'!$R$6:$R$597))</f>
        <v>1051589.6907017136</v>
      </c>
      <c r="E73" s="668">
        <f>SUMPRODUCT(('Fixed Assets'!$C$6:$C$597)*('Fixed Assets'!$P$6:$P$597=B73)*('Fixed Assets'!$R$6:$R$597))</f>
        <v>416564.05163924157</v>
      </c>
      <c r="F73" s="668">
        <f>SUMPRODUCT(('Fixed Assets'!$D$6:$D$597)*('Fixed Assets'!$P$6:$P$597=B73)*('Fixed Assets'!$R$6:$R$597))</f>
        <v>1056695.6466543716</v>
      </c>
    </row>
    <row r="74" spans="2:6" ht="15.75" x14ac:dyDescent="0.25">
      <c r="B74" s="657">
        <v>2063</v>
      </c>
      <c r="C74" s="668">
        <f>SUMIFS('Fixed Assets'!$S$6:$S$597,'Fixed Assets'!$K$6:$K$597,"Land",'Fixed Assets'!$P$6:$P$597,'Assets in Arrears Calculation'!B74)</f>
        <v>0</v>
      </c>
      <c r="D74" s="668">
        <f>SUMPRODUCT(('Fixed Assets'!$B$6:$B$597)*('Fixed Assets'!$P$6:$P$597=B74)*('Fixed Assets'!$R$6:$R$597))</f>
        <v>5436295.0924022347</v>
      </c>
      <c r="E74" s="668">
        <f>SUMPRODUCT(('Fixed Assets'!$C$6:$C$597)*('Fixed Assets'!$P$6:$P$597=B74)*('Fixed Assets'!$R$6:$R$597))</f>
        <v>66501.279678770952</v>
      </c>
      <c r="F74" s="668">
        <f>SUMPRODUCT(('Fixed Assets'!$D$6:$D$597)*('Fixed Assets'!$P$6:$P$597=B74)*('Fixed Assets'!$R$6:$R$597))</f>
        <v>344447.16840628494</v>
      </c>
    </row>
    <row r="75" spans="2:6" ht="15.75" x14ac:dyDescent="0.25">
      <c r="B75" s="657">
        <v>2064</v>
      </c>
      <c r="C75" s="668">
        <f>SUMIFS('Fixed Assets'!$S$6:$S$597,'Fixed Assets'!$K$6:$K$597,"Land",'Fixed Assets'!$P$6:$P$597,'Assets in Arrears Calculation'!B75)</f>
        <v>0</v>
      </c>
      <c r="D75" s="668">
        <f>SUMPRODUCT(('Fixed Assets'!$B$6:$B$597)*('Fixed Assets'!$P$6:$P$597=B75)*('Fixed Assets'!$R$6:$R$597))</f>
        <v>216005.81479109559</v>
      </c>
      <c r="E75" s="668">
        <f>SUMPRODUCT(('Fixed Assets'!$C$6:$C$597)*('Fixed Assets'!$P$6:$P$597=B75)*('Fixed Assets'!$R$6:$R$597))</f>
        <v>95753.458513717749</v>
      </c>
      <c r="F75" s="668">
        <f>SUMPRODUCT(('Fixed Assets'!$D$6:$D$597)*('Fixed Assets'!$P$6:$P$597=B75)*('Fixed Assets'!$R$6:$R$597))</f>
        <v>381882.48277275398</v>
      </c>
    </row>
    <row r="76" spans="2:6" ht="15.75" x14ac:dyDescent="0.25">
      <c r="B76" s="657">
        <v>2065</v>
      </c>
      <c r="C76" s="668">
        <f>SUMIFS('Fixed Assets'!$S$6:$S$597,'Fixed Assets'!$K$6:$K$597,"Land",'Fixed Assets'!$P$6:$P$597,'Assets in Arrears Calculation'!B76)</f>
        <v>0</v>
      </c>
      <c r="D76" s="668">
        <f>SUMPRODUCT(('Fixed Assets'!$B$6:$B$597)*('Fixed Assets'!$P$6:$P$597=B76)*('Fixed Assets'!$R$6:$R$597))</f>
        <v>0</v>
      </c>
      <c r="E76" s="668">
        <f>SUMPRODUCT(('Fixed Assets'!$C$6:$C$597)*('Fixed Assets'!$P$6:$P$597=B76)*('Fixed Assets'!$R$6:$R$597))</f>
        <v>0</v>
      </c>
      <c r="F76" s="668">
        <f>SUMPRODUCT(('Fixed Assets'!$D$6:$D$597)*('Fixed Assets'!$P$6:$P$597=B76)*('Fixed Assets'!$R$6:$R$597))</f>
        <v>0</v>
      </c>
    </row>
    <row r="77" spans="2:6" ht="15.75" x14ac:dyDescent="0.25">
      <c r="B77" s="657">
        <v>2066</v>
      </c>
      <c r="C77" s="668">
        <f>SUMIFS('Fixed Assets'!$S$6:$S$597,'Fixed Assets'!$K$6:$K$597,"Land",'Fixed Assets'!$P$6:$P$597,'Assets in Arrears Calculation'!B77)</f>
        <v>0</v>
      </c>
      <c r="D77" s="668">
        <f>SUMPRODUCT(('Fixed Assets'!$B$6:$B$597)*('Fixed Assets'!$P$6:$P$597=B77)*('Fixed Assets'!$R$6:$R$597))</f>
        <v>0</v>
      </c>
      <c r="E77" s="668">
        <f>SUMPRODUCT(('Fixed Assets'!$C$6:$C$597)*('Fixed Assets'!$P$6:$P$597=B77)*('Fixed Assets'!$R$6:$R$597))</f>
        <v>0</v>
      </c>
      <c r="F77" s="668">
        <f>SUMPRODUCT(('Fixed Assets'!$D$6:$D$597)*('Fixed Assets'!$P$6:$P$597=B77)*('Fixed Assets'!$R$6:$R$597))</f>
        <v>0</v>
      </c>
    </row>
    <row r="78" spans="2:6" ht="15.75" x14ac:dyDescent="0.25">
      <c r="B78" s="657">
        <v>2067</v>
      </c>
      <c r="C78" s="668">
        <f>SUMIFS('Fixed Assets'!$S$6:$S$597,'Fixed Assets'!$K$6:$K$597,"Land",'Fixed Assets'!$P$6:$P$597,'Assets in Arrears Calculation'!B78)</f>
        <v>0</v>
      </c>
      <c r="D78" s="668">
        <f>SUMPRODUCT(('Fixed Assets'!$B$6:$B$597)*('Fixed Assets'!$P$6:$P$597=B78)*('Fixed Assets'!$R$6:$R$597))</f>
        <v>0</v>
      </c>
      <c r="E78" s="668">
        <f>SUMPRODUCT(('Fixed Assets'!$C$6:$C$597)*('Fixed Assets'!$P$6:$P$597=B78)*('Fixed Assets'!$R$6:$R$597))</f>
        <v>0</v>
      </c>
      <c r="F78" s="668">
        <f>SUMPRODUCT(('Fixed Assets'!$D$6:$D$597)*('Fixed Assets'!$P$6:$P$597=B78)*('Fixed Assets'!$R$6:$R$597))</f>
        <v>0</v>
      </c>
    </row>
    <row r="79" spans="2:6" ht="15.75" x14ac:dyDescent="0.25">
      <c r="B79" s="657">
        <v>2068</v>
      </c>
      <c r="C79" s="668">
        <f>SUMIFS('Fixed Assets'!$S$6:$S$597,'Fixed Assets'!$K$6:$K$597,"Land",'Fixed Assets'!$P$6:$P$597,'Assets in Arrears Calculation'!B79)</f>
        <v>0</v>
      </c>
      <c r="D79" s="668">
        <f>SUMPRODUCT(('Fixed Assets'!$B$6:$B$597)*('Fixed Assets'!$P$6:$P$597=B79)*('Fixed Assets'!$R$6:$R$597))</f>
        <v>0</v>
      </c>
      <c r="E79" s="668">
        <f>SUMPRODUCT(('Fixed Assets'!$C$6:$C$597)*('Fixed Assets'!$P$6:$P$597=B79)*('Fixed Assets'!$R$6:$R$597))</f>
        <v>0</v>
      </c>
      <c r="F79" s="668">
        <f>SUMPRODUCT(('Fixed Assets'!$D$6:$D$597)*('Fixed Assets'!$P$6:$P$597=B79)*('Fixed Assets'!$R$6:$R$597))</f>
        <v>0</v>
      </c>
    </row>
    <row r="80" spans="2:6" ht="15.75" x14ac:dyDescent="0.25">
      <c r="B80" s="657">
        <v>2069</v>
      </c>
      <c r="C80" s="668">
        <f>SUMIFS('Fixed Assets'!$S$6:$S$597,'Fixed Assets'!$K$6:$K$597,"Land",'Fixed Assets'!$P$6:$P$597,'Assets in Arrears Calculation'!B80)</f>
        <v>0</v>
      </c>
      <c r="D80" s="668">
        <f>SUMPRODUCT(('Fixed Assets'!$B$6:$B$597)*('Fixed Assets'!$P$6:$P$597=B80)*('Fixed Assets'!$R$6:$R$597))</f>
        <v>0</v>
      </c>
      <c r="E80" s="668">
        <f>SUMPRODUCT(('Fixed Assets'!$C$6:$C$597)*('Fixed Assets'!$P$6:$P$597=B80)*('Fixed Assets'!$R$6:$R$597))</f>
        <v>0</v>
      </c>
      <c r="F80" s="668">
        <f>SUMPRODUCT(('Fixed Assets'!$D$6:$D$597)*('Fixed Assets'!$P$6:$P$597=B80)*('Fixed Assets'!$R$6:$R$597))</f>
        <v>0</v>
      </c>
    </row>
    <row r="81" spans="2:6" ht="15.75" x14ac:dyDescent="0.25">
      <c r="B81" s="657">
        <v>2070</v>
      </c>
      <c r="C81" s="668">
        <f>SUMIFS('Fixed Assets'!$S$6:$S$597,'Fixed Assets'!$K$6:$K$597,"Land",'Fixed Assets'!$P$6:$P$597,'Assets in Arrears Calculation'!B81)</f>
        <v>0</v>
      </c>
      <c r="D81" s="668">
        <f>SUMPRODUCT(('Fixed Assets'!$B$6:$B$597)*('Fixed Assets'!$P$6:$P$597=B81)*('Fixed Assets'!$R$6:$R$597))</f>
        <v>0</v>
      </c>
      <c r="E81" s="668">
        <f>SUMPRODUCT(('Fixed Assets'!$C$6:$C$597)*('Fixed Assets'!$P$6:$P$597=B81)*('Fixed Assets'!$R$6:$R$597))</f>
        <v>0</v>
      </c>
      <c r="F81" s="668">
        <f>SUMPRODUCT(('Fixed Assets'!$D$6:$D$597)*('Fixed Assets'!$P$6:$P$597=B81)*('Fixed Assets'!$R$6:$R$597))</f>
        <v>0</v>
      </c>
    </row>
    <row r="82" spans="2:6" ht="15.75" x14ac:dyDescent="0.25">
      <c r="B82" s="657">
        <v>2071</v>
      </c>
      <c r="C82" s="668">
        <f>SUMIFS('Fixed Assets'!$S$6:$S$597,'Fixed Assets'!$K$6:$K$597,"Land",'Fixed Assets'!$P$6:$P$597,'Assets in Arrears Calculation'!B82)</f>
        <v>0</v>
      </c>
      <c r="D82" s="668">
        <f>SUMPRODUCT(('Fixed Assets'!$B$6:$B$597)*('Fixed Assets'!$P$6:$P$597=B82)*('Fixed Assets'!$R$6:$R$597))</f>
        <v>0</v>
      </c>
      <c r="E82" s="668">
        <f>SUMPRODUCT(('Fixed Assets'!$C$6:$C$597)*('Fixed Assets'!$P$6:$P$597=B82)*('Fixed Assets'!$R$6:$R$597))</f>
        <v>0</v>
      </c>
      <c r="F82" s="668">
        <f>SUMPRODUCT(('Fixed Assets'!$D$6:$D$597)*('Fixed Assets'!$P$6:$P$597=B82)*('Fixed Assets'!$R$6:$R$597))</f>
        <v>0</v>
      </c>
    </row>
    <row r="83" spans="2:6" ht="15.75" x14ac:dyDescent="0.25">
      <c r="B83" s="657">
        <v>2072</v>
      </c>
      <c r="C83" s="668">
        <f>SUMIFS('Fixed Assets'!$S$6:$S$597,'Fixed Assets'!$K$6:$K$597,"Land",'Fixed Assets'!$P$6:$P$597,'Assets in Arrears Calculation'!B83)</f>
        <v>0</v>
      </c>
      <c r="D83" s="668">
        <f>SUMPRODUCT(('Fixed Assets'!$B$6:$B$597)*('Fixed Assets'!$P$6:$P$597=B83)*('Fixed Assets'!$R$6:$R$597))</f>
        <v>1404606.1574443812</v>
      </c>
      <c r="E83" s="668">
        <f>SUMPRODUCT(('Fixed Assets'!$C$6:$C$597)*('Fixed Assets'!$P$6:$P$597=B83)*('Fixed Assets'!$R$6:$R$597))</f>
        <v>0</v>
      </c>
      <c r="F83" s="668">
        <f>SUMPRODUCT(('Fixed Assets'!$D$6:$D$597)*('Fixed Assets'!$P$6:$P$597=B83)*('Fixed Assets'!$R$6:$R$597))</f>
        <v>0</v>
      </c>
    </row>
    <row r="84" spans="2:6" ht="15.75" x14ac:dyDescent="0.25">
      <c r="B84" s="657">
        <v>2073</v>
      </c>
      <c r="C84" s="668">
        <f>SUMIFS('Fixed Assets'!$S$6:$S$597,'Fixed Assets'!$K$6:$K$597,"Land",'Fixed Assets'!$P$6:$P$597,'Assets in Arrears Calculation'!B84)</f>
        <v>0</v>
      </c>
      <c r="D84" s="668">
        <f>SUMPRODUCT(('Fixed Assets'!$B$6:$B$597)*('Fixed Assets'!$P$6:$P$597=B84)*('Fixed Assets'!$R$6:$R$597))</f>
        <v>0</v>
      </c>
      <c r="E84" s="668">
        <f>SUMPRODUCT(('Fixed Assets'!$C$6:$C$597)*('Fixed Assets'!$P$6:$P$597=B84)*('Fixed Assets'!$R$6:$R$597))</f>
        <v>0</v>
      </c>
      <c r="F84" s="668">
        <f>SUMPRODUCT(('Fixed Assets'!$D$6:$D$597)*('Fixed Assets'!$P$6:$P$597=B84)*('Fixed Assets'!$R$6:$R$597))</f>
        <v>0</v>
      </c>
    </row>
    <row r="85" spans="2:6" ht="15.75" x14ac:dyDescent="0.25">
      <c r="B85" s="657">
        <v>2074</v>
      </c>
      <c r="C85" s="668">
        <f>SUMIFS('Fixed Assets'!$S$6:$S$597,'Fixed Assets'!$K$6:$K$597,"Land",'Fixed Assets'!$P$6:$P$597,'Assets in Arrears Calculation'!B85)</f>
        <v>0</v>
      </c>
      <c r="D85" s="668">
        <f>SUMPRODUCT(('Fixed Assets'!$B$6:$B$597)*('Fixed Assets'!$P$6:$P$597=B85)*('Fixed Assets'!$R$6:$R$597))</f>
        <v>0</v>
      </c>
      <c r="E85" s="668">
        <f>SUMPRODUCT(('Fixed Assets'!$C$6:$C$597)*('Fixed Assets'!$P$6:$P$597=B85)*('Fixed Assets'!$R$6:$R$597))</f>
        <v>0</v>
      </c>
      <c r="F85" s="668">
        <f>SUMPRODUCT(('Fixed Assets'!$D$6:$D$597)*('Fixed Assets'!$P$6:$P$597=B85)*('Fixed Assets'!$R$6:$R$597))</f>
        <v>0</v>
      </c>
    </row>
    <row r="86" spans="2:6" ht="15.75" x14ac:dyDescent="0.25">
      <c r="B86" s="657">
        <v>2075</v>
      </c>
      <c r="C86" s="668">
        <f>SUMIFS('Fixed Assets'!$S$6:$S$597,'Fixed Assets'!$K$6:$K$597,"Land",'Fixed Assets'!$P$6:$P$597,'Assets in Arrears Calculation'!B86)</f>
        <v>0</v>
      </c>
      <c r="D86" s="668">
        <f>SUMPRODUCT(('Fixed Assets'!$B$6:$B$597)*('Fixed Assets'!$P$6:$P$597=B86)*('Fixed Assets'!$R$6:$R$597))</f>
        <v>0</v>
      </c>
      <c r="E86" s="668">
        <f>SUMPRODUCT(('Fixed Assets'!$C$6:$C$597)*('Fixed Assets'!$P$6:$P$597=B86)*('Fixed Assets'!$R$6:$R$597))</f>
        <v>0</v>
      </c>
      <c r="F86" s="668">
        <f>SUMPRODUCT(('Fixed Assets'!$D$6:$D$597)*('Fixed Assets'!$P$6:$P$597=B86)*('Fixed Assets'!$R$6:$R$597))</f>
        <v>0</v>
      </c>
    </row>
    <row r="87" spans="2:6" ht="15.75" x14ac:dyDescent="0.25">
      <c r="B87" s="657">
        <v>2076</v>
      </c>
      <c r="C87" s="668">
        <f>SUMIFS('Fixed Assets'!$S$6:$S$597,'Fixed Assets'!$K$6:$K$597,"Land",'Fixed Assets'!$P$6:$P$597,'Assets in Arrears Calculation'!B87)</f>
        <v>0</v>
      </c>
      <c r="D87" s="668">
        <f>SUMPRODUCT(('Fixed Assets'!$B$6:$B$597)*('Fixed Assets'!$P$6:$P$597=B87)*('Fixed Assets'!$R$6:$R$597))</f>
        <v>0</v>
      </c>
      <c r="E87" s="668">
        <f>SUMPRODUCT(('Fixed Assets'!$C$6:$C$597)*('Fixed Assets'!$P$6:$P$597=B87)*('Fixed Assets'!$R$6:$R$597))</f>
        <v>0</v>
      </c>
      <c r="F87" s="668">
        <f>SUMPRODUCT(('Fixed Assets'!$D$6:$D$597)*('Fixed Assets'!$P$6:$P$597=B87)*('Fixed Assets'!$R$6:$R$597))</f>
        <v>0</v>
      </c>
    </row>
    <row r="88" spans="2:6" ht="15.75" x14ac:dyDescent="0.25">
      <c r="B88" s="657">
        <v>2077</v>
      </c>
      <c r="C88" s="668">
        <f>SUMIFS('Fixed Assets'!$S$6:$S$597,'Fixed Assets'!$K$6:$K$597,"Land",'Fixed Assets'!$P$6:$P$597,'Assets in Arrears Calculation'!B88)</f>
        <v>0</v>
      </c>
      <c r="D88" s="668">
        <f>SUMPRODUCT(('Fixed Assets'!$B$6:$B$597)*('Fixed Assets'!$P$6:$P$597=B88)*('Fixed Assets'!$R$6:$R$597))</f>
        <v>798004.47204968939</v>
      </c>
      <c r="E88" s="668">
        <f>SUMPRODUCT(('Fixed Assets'!$C$6:$C$597)*('Fixed Assets'!$P$6:$P$597=B88)*('Fixed Assets'!$R$6:$R$597))</f>
        <v>0</v>
      </c>
      <c r="F88" s="668">
        <f>SUMPRODUCT(('Fixed Assets'!$D$6:$D$597)*('Fixed Assets'!$P$6:$P$597=B88)*('Fixed Assets'!$R$6:$R$597))</f>
        <v>0</v>
      </c>
    </row>
    <row r="89" spans="2:6" ht="15.75" x14ac:dyDescent="0.25">
      <c r="B89" s="657">
        <v>2078</v>
      </c>
      <c r="C89" s="668">
        <f>SUMIFS('Fixed Assets'!$S$6:$S$597,'Fixed Assets'!$K$6:$K$597,"Land",'Fixed Assets'!$P$6:$P$597,'Assets in Arrears Calculation'!B89)</f>
        <v>0</v>
      </c>
      <c r="D89" s="668">
        <f>SUMPRODUCT(('Fixed Assets'!$B$6:$B$597)*('Fixed Assets'!$P$6:$P$597=B89)*('Fixed Assets'!$R$6:$R$597))</f>
        <v>0</v>
      </c>
      <c r="E89" s="668">
        <f>SUMPRODUCT(('Fixed Assets'!$C$6:$C$597)*('Fixed Assets'!$P$6:$P$597=B89)*('Fixed Assets'!$R$6:$R$597))</f>
        <v>0</v>
      </c>
      <c r="F89" s="668">
        <f>SUMPRODUCT(('Fixed Assets'!$D$6:$D$597)*('Fixed Assets'!$P$6:$P$597=B89)*('Fixed Assets'!$R$6:$R$597))</f>
        <v>0</v>
      </c>
    </row>
    <row r="90" spans="2:6" ht="15.75" x14ac:dyDescent="0.25">
      <c r="B90" s="657">
        <v>2079</v>
      </c>
      <c r="C90" s="668">
        <f>SUMIFS('Fixed Assets'!$S$6:$S$597,'Fixed Assets'!$K$6:$K$597,"Land",'Fixed Assets'!$P$6:$P$597,'Assets in Arrears Calculation'!B90)</f>
        <v>0</v>
      </c>
      <c r="D90" s="668">
        <f>SUMPRODUCT(('Fixed Assets'!$B$6:$B$597)*('Fixed Assets'!$P$6:$P$597=B90)*('Fixed Assets'!$R$6:$R$597))</f>
        <v>0</v>
      </c>
      <c r="E90" s="668">
        <f>SUMPRODUCT(('Fixed Assets'!$C$6:$C$597)*('Fixed Assets'!$P$6:$P$597=B90)*('Fixed Assets'!$R$6:$R$597))</f>
        <v>0</v>
      </c>
      <c r="F90" s="668">
        <f>SUMPRODUCT(('Fixed Assets'!$D$6:$D$597)*('Fixed Assets'!$P$6:$P$597=B90)*('Fixed Assets'!$R$6:$R$597))</f>
        <v>0</v>
      </c>
    </row>
    <row r="91" spans="2:6" ht="15.75" x14ac:dyDescent="0.25">
      <c r="B91" s="657">
        <v>2080</v>
      </c>
      <c r="C91" s="668">
        <f>SUMIFS('Fixed Assets'!$S$6:$S$597,'Fixed Assets'!$K$6:$K$597,"Land",'Fixed Assets'!$P$6:$P$597,'Assets in Arrears Calculation'!B91)</f>
        <v>0</v>
      </c>
      <c r="D91" s="668">
        <f>SUMPRODUCT(('Fixed Assets'!$B$6:$B$597)*('Fixed Assets'!$P$6:$P$597=B91)*('Fixed Assets'!$R$6:$R$597))</f>
        <v>2021960.8952734014</v>
      </c>
      <c r="E91" s="668">
        <f>SUMPRODUCT(('Fixed Assets'!$C$6:$C$597)*('Fixed Assets'!$P$6:$P$597=B91)*('Fixed Assets'!$R$6:$R$597))</f>
        <v>0</v>
      </c>
      <c r="F91" s="668">
        <f>SUMPRODUCT(('Fixed Assets'!$D$6:$D$597)*('Fixed Assets'!$P$6:$P$597=B91)*('Fixed Assets'!$R$6:$R$597))</f>
        <v>0</v>
      </c>
    </row>
    <row r="92" spans="2:6" ht="15.75" x14ac:dyDescent="0.25">
      <c r="B92" s="657">
        <v>2081</v>
      </c>
      <c r="C92" s="668">
        <f>SUMIFS('Fixed Assets'!$S$6:$S$597,'Fixed Assets'!$K$6:$K$597,"Land",'Fixed Assets'!$P$6:$P$597,'Assets in Arrears Calculation'!B92)</f>
        <v>0</v>
      </c>
      <c r="D92" s="668">
        <f>SUMPRODUCT(('Fixed Assets'!$B$6:$B$597)*('Fixed Assets'!$P$6:$P$597=B92)*('Fixed Assets'!$R$6:$R$597))</f>
        <v>0</v>
      </c>
      <c r="E92" s="668">
        <f>SUMPRODUCT(('Fixed Assets'!$C$6:$C$597)*('Fixed Assets'!$P$6:$P$597=B92)*('Fixed Assets'!$R$6:$R$597))</f>
        <v>0</v>
      </c>
      <c r="F92" s="668">
        <f>SUMPRODUCT(('Fixed Assets'!$D$6:$D$597)*('Fixed Assets'!$P$6:$P$597=B92)*('Fixed Assets'!$R$6:$R$597))</f>
        <v>0</v>
      </c>
    </row>
    <row r="93" spans="2:6" ht="15.75" x14ac:dyDescent="0.25">
      <c r="B93" s="657">
        <v>2082</v>
      </c>
      <c r="C93" s="668">
        <f>SUMIFS('Fixed Assets'!$S$6:$S$597,'Fixed Assets'!$K$6:$K$597,"Land",'Fixed Assets'!$P$6:$P$597,'Assets in Arrears Calculation'!B93)</f>
        <v>0</v>
      </c>
      <c r="D93" s="668">
        <f>SUMPRODUCT(('Fixed Assets'!$B$6:$B$597)*('Fixed Assets'!$P$6:$P$597=B93)*('Fixed Assets'!$R$6:$R$597))</f>
        <v>0</v>
      </c>
      <c r="E93" s="668">
        <f>SUMPRODUCT(('Fixed Assets'!$C$6:$C$597)*('Fixed Assets'!$P$6:$P$597=B93)*('Fixed Assets'!$R$6:$R$597))</f>
        <v>0</v>
      </c>
      <c r="F93" s="668">
        <f>SUMPRODUCT(('Fixed Assets'!$D$6:$D$597)*('Fixed Assets'!$P$6:$P$597=B93)*('Fixed Assets'!$R$6:$R$597))</f>
        <v>0</v>
      </c>
    </row>
    <row r="94" spans="2:6" ht="15.75" x14ac:dyDescent="0.25">
      <c r="B94" s="657">
        <v>2083</v>
      </c>
      <c r="C94" s="668">
        <f>SUMIFS('Fixed Assets'!$S$6:$S$597,'Fixed Assets'!$K$6:$K$597,"Land",'Fixed Assets'!$P$6:$P$597,'Assets in Arrears Calculation'!B94)</f>
        <v>0</v>
      </c>
      <c r="D94" s="668">
        <f>SUMPRODUCT(('Fixed Assets'!$B$6:$B$597)*('Fixed Assets'!$P$6:$P$597=B94)*('Fixed Assets'!$R$6:$R$597))</f>
        <v>0</v>
      </c>
      <c r="E94" s="668">
        <f>SUMPRODUCT(('Fixed Assets'!$C$6:$C$597)*('Fixed Assets'!$P$6:$P$597=B94)*('Fixed Assets'!$R$6:$R$597))</f>
        <v>0</v>
      </c>
      <c r="F94" s="668">
        <f>SUMPRODUCT(('Fixed Assets'!$D$6:$D$597)*('Fixed Assets'!$P$6:$P$597=B94)*('Fixed Assets'!$R$6:$R$597))</f>
        <v>0</v>
      </c>
    </row>
    <row r="95" spans="2:6" ht="15.75" x14ac:dyDescent="0.25">
      <c r="B95" s="657">
        <v>2084</v>
      </c>
      <c r="C95" s="668">
        <f>SUMIFS('Fixed Assets'!$S$6:$S$597,'Fixed Assets'!$K$6:$K$597,"Land",'Fixed Assets'!$P$6:$P$597,'Assets in Arrears Calculation'!B95)</f>
        <v>0</v>
      </c>
      <c r="D95" s="668">
        <f>SUMPRODUCT(('Fixed Assets'!$B$6:$B$597)*('Fixed Assets'!$P$6:$P$597=B95)*('Fixed Assets'!$R$6:$R$597))</f>
        <v>0</v>
      </c>
      <c r="E95" s="668">
        <f>SUMPRODUCT(('Fixed Assets'!$C$6:$C$597)*('Fixed Assets'!$P$6:$P$597=B95)*('Fixed Assets'!$R$6:$R$597))</f>
        <v>0</v>
      </c>
      <c r="F95" s="668">
        <f>SUMPRODUCT(('Fixed Assets'!$D$6:$D$597)*('Fixed Assets'!$P$6:$P$597=B95)*('Fixed Assets'!$R$6:$R$597))</f>
        <v>0</v>
      </c>
    </row>
    <row r="96" spans="2:6" ht="15.75" x14ac:dyDescent="0.25">
      <c r="B96" s="657">
        <v>2085</v>
      </c>
      <c r="C96" s="668">
        <f>SUMIFS('Fixed Assets'!$S$6:$S$597,'Fixed Assets'!$K$6:$K$597,"Land",'Fixed Assets'!$P$6:$P$597,'Assets in Arrears Calculation'!B96)</f>
        <v>0</v>
      </c>
      <c r="D96" s="668">
        <f>SUMPRODUCT(('Fixed Assets'!$B$6:$B$597)*('Fixed Assets'!$P$6:$P$597=B96)*('Fixed Assets'!$R$6:$R$597))</f>
        <v>0</v>
      </c>
      <c r="E96" s="668">
        <f>SUMPRODUCT(('Fixed Assets'!$C$6:$C$597)*('Fixed Assets'!$P$6:$P$597=B96)*('Fixed Assets'!$R$6:$R$597))</f>
        <v>0</v>
      </c>
      <c r="F96" s="668">
        <f>SUMPRODUCT(('Fixed Assets'!$D$6:$D$597)*('Fixed Assets'!$P$6:$P$597=B96)*('Fixed Assets'!$R$6:$R$597))</f>
        <v>0</v>
      </c>
    </row>
    <row r="97" spans="2:6" ht="15.75" x14ac:dyDescent="0.25">
      <c r="B97" s="657">
        <v>2086</v>
      </c>
      <c r="C97" s="668">
        <f>SUMIFS('Fixed Assets'!$S$6:$S$597,'Fixed Assets'!$K$6:$K$597,"Land",'Fixed Assets'!$P$6:$P$597,'Assets in Arrears Calculation'!B97)</f>
        <v>0</v>
      </c>
      <c r="D97" s="668">
        <f>SUMPRODUCT(('Fixed Assets'!$B$6:$B$597)*('Fixed Assets'!$P$6:$P$597=B97)*('Fixed Assets'!$R$6:$R$597))</f>
        <v>0</v>
      </c>
      <c r="E97" s="668">
        <f>SUMPRODUCT(('Fixed Assets'!$C$6:$C$597)*('Fixed Assets'!$P$6:$P$597=B97)*('Fixed Assets'!$R$6:$R$597))</f>
        <v>0</v>
      </c>
      <c r="F97" s="668">
        <f>SUMPRODUCT(('Fixed Assets'!$D$6:$D$597)*('Fixed Assets'!$P$6:$P$597=B97)*('Fixed Assets'!$R$6:$R$597))</f>
        <v>0</v>
      </c>
    </row>
    <row r="98" spans="2:6" ht="15.75" x14ac:dyDescent="0.25">
      <c r="B98" s="657">
        <v>2087</v>
      </c>
      <c r="C98" s="668">
        <f>SUMIFS('Fixed Assets'!$S$6:$S$597,'Fixed Assets'!$K$6:$K$597,"Land",'Fixed Assets'!$P$6:$P$597,'Assets in Arrears Calculation'!B98)</f>
        <v>0</v>
      </c>
      <c r="D98" s="668">
        <f>SUMPRODUCT(('Fixed Assets'!$B$6:$B$597)*('Fixed Assets'!$P$6:$P$597=B98)*('Fixed Assets'!$R$6:$R$597))</f>
        <v>1214057.519561507</v>
      </c>
      <c r="E98" s="668">
        <f>SUMPRODUCT(('Fixed Assets'!$C$6:$C$597)*('Fixed Assets'!$P$6:$P$597=B98)*('Fixed Assets'!$R$6:$R$597))</f>
        <v>0</v>
      </c>
      <c r="F98" s="668">
        <f>SUMPRODUCT(('Fixed Assets'!$D$6:$D$597)*('Fixed Assets'!$P$6:$P$597=B98)*('Fixed Assets'!$R$6:$R$597))</f>
        <v>0</v>
      </c>
    </row>
    <row r="99" spans="2:6" ht="15.75" x14ac:dyDescent="0.25">
      <c r="B99" s="657">
        <v>2088</v>
      </c>
      <c r="C99" s="668">
        <f>SUMIFS('Fixed Assets'!$S$6:$S$597,'Fixed Assets'!$K$6:$K$597,"Land",'Fixed Assets'!$P$6:$P$597,'Assets in Arrears Calculation'!B99)</f>
        <v>0</v>
      </c>
      <c r="D99" s="668">
        <f>SUMPRODUCT(('Fixed Assets'!$B$6:$B$597)*('Fixed Assets'!$P$6:$P$597=B99)*('Fixed Assets'!$R$6:$R$597))</f>
        <v>8361043.4087824738</v>
      </c>
      <c r="E99" s="668">
        <f>SUMPRODUCT(('Fixed Assets'!$C$6:$C$597)*('Fixed Assets'!$P$6:$P$597=B99)*('Fixed Assets'!$R$6:$R$597))</f>
        <v>0</v>
      </c>
      <c r="F99" s="668">
        <f>SUMPRODUCT(('Fixed Assets'!$D$6:$D$597)*('Fixed Assets'!$P$6:$P$597=B99)*('Fixed Assets'!$R$6:$R$597))</f>
        <v>0</v>
      </c>
    </row>
    <row r="100" spans="2:6" ht="15.75" x14ac:dyDescent="0.25">
      <c r="B100" s="657">
        <v>2089</v>
      </c>
      <c r="C100" s="668">
        <f>SUMIFS('Fixed Assets'!$S$6:$S$597,'Fixed Assets'!$K$6:$K$597,"Land",'Fixed Assets'!$P$6:$P$597,'Assets in Arrears Calculation'!B100)</f>
        <v>0</v>
      </c>
      <c r="D100" s="668">
        <f>SUMPRODUCT(('Fixed Assets'!$B$6:$B$597)*('Fixed Assets'!$P$6:$P$597=B100)*('Fixed Assets'!$R$6:$R$597))</f>
        <v>0</v>
      </c>
      <c r="E100" s="668">
        <f>SUMPRODUCT(('Fixed Assets'!$C$6:$C$597)*('Fixed Assets'!$P$6:$P$597=B100)*('Fixed Assets'!$R$6:$R$597))</f>
        <v>0</v>
      </c>
      <c r="F100" s="668">
        <f>SUMPRODUCT(('Fixed Assets'!$D$6:$D$597)*('Fixed Assets'!$P$6:$P$597=B100)*('Fixed Assets'!$R$6:$R$597))</f>
        <v>0</v>
      </c>
    </row>
    <row r="101" spans="2:6" ht="15.75" x14ac:dyDescent="0.25">
      <c r="B101" s="657">
        <v>2090</v>
      </c>
      <c r="C101" s="668">
        <f>SUMIFS('Fixed Assets'!$S$6:$S$597,'Fixed Assets'!$K$6:$K$597,"Land",'Fixed Assets'!$P$6:$P$597,'Assets in Arrears Calculation'!B101)</f>
        <v>0</v>
      </c>
      <c r="D101" s="668">
        <f>SUMPRODUCT(('Fixed Assets'!$B$6:$B$597)*('Fixed Assets'!$P$6:$P$597=B101)*('Fixed Assets'!$R$6:$R$597))</f>
        <v>0</v>
      </c>
      <c r="E101" s="668">
        <f>SUMPRODUCT(('Fixed Assets'!$C$6:$C$597)*('Fixed Assets'!$P$6:$P$597=B101)*('Fixed Assets'!$R$6:$R$597))</f>
        <v>0</v>
      </c>
      <c r="F101" s="668">
        <f>SUMPRODUCT(('Fixed Assets'!$D$6:$D$597)*('Fixed Assets'!$P$6:$P$597=B101)*('Fixed Assets'!$R$6:$R$597))</f>
        <v>0</v>
      </c>
    </row>
    <row r="102" spans="2:6" ht="15.75" x14ac:dyDescent="0.25">
      <c r="B102" s="657">
        <v>2091</v>
      </c>
      <c r="C102" s="668">
        <f>SUMIFS('Fixed Assets'!$S$6:$S$597,'Fixed Assets'!$K$6:$K$597,"Land",'Fixed Assets'!$P$6:$P$597,'Assets in Arrears Calculation'!B102)</f>
        <v>0</v>
      </c>
      <c r="D102" s="668">
        <f>SUMPRODUCT(('Fixed Assets'!$B$6:$B$597)*('Fixed Assets'!$P$6:$P$597=B102)*('Fixed Assets'!$R$6:$R$597))</f>
        <v>0</v>
      </c>
      <c r="E102" s="668">
        <f>SUMPRODUCT(('Fixed Assets'!$C$6:$C$597)*('Fixed Assets'!$P$6:$P$597=B102)*('Fixed Assets'!$R$6:$R$597))</f>
        <v>0</v>
      </c>
      <c r="F102" s="668">
        <f>SUMPRODUCT(('Fixed Assets'!$D$6:$D$597)*('Fixed Assets'!$P$6:$P$597=B102)*('Fixed Assets'!$R$6:$R$597))</f>
        <v>0</v>
      </c>
    </row>
    <row r="103" spans="2:6" ht="15.75" x14ac:dyDescent="0.25">
      <c r="B103" s="657">
        <v>2092</v>
      </c>
      <c r="C103" s="668">
        <f>SUMIFS('Fixed Assets'!$S$6:$S$597,'Fixed Assets'!$K$6:$K$597,"Land",'Fixed Assets'!$P$6:$P$597,'Assets in Arrears Calculation'!B103)</f>
        <v>0</v>
      </c>
      <c r="D103" s="668">
        <f>SUMPRODUCT(('Fixed Assets'!$B$6:$B$597)*('Fixed Assets'!$P$6:$P$597=B103)*('Fixed Assets'!$R$6:$R$597))</f>
        <v>0</v>
      </c>
      <c r="E103" s="668">
        <f>SUMPRODUCT(('Fixed Assets'!$C$6:$C$597)*('Fixed Assets'!$P$6:$P$597=B103)*('Fixed Assets'!$R$6:$R$597))</f>
        <v>0</v>
      </c>
      <c r="F103" s="668">
        <f>SUMPRODUCT(('Fixed Assets'!$D$6:$D$597)*('Fixed Assets'!$P$6:$P$597=B103)*('Fixed Assets'!$R$6:$R$597))</f>
        <v>0</v>
      </c>
    </row>
    <row r="104" spans="2:6" ht="15.75" x14ac:dyDescent="0.25">
      <c r="B104" s="657">
        <v>2093</v>
      </c>
      <c r="C104" s="668">
        <f>SUMIFS('Fixed Assets'!$S$6:$S$597,'Fixed Assets'!$K$6:$K$597,"Land",'Fixed Assets'!$P$6:$P$597,'Assets in Arrears Calculation'!B104)</f>
        <v>0</v>
      </c>
      <c r="D104" s="668">
        <f>SUMPRODUCT(('Fixed Assets'!$B$6:$B$597)*('Fixed Assets'!$P$6:$P$597=B104)*('Fixed Assets'!$R$6:$R$597))</f>
        <v>0</v>
      </c>
      <c r="E104" s="668">
        <f>SUMPRODUCT(('Fixed Assets'!$C$6:$C$597)*('Fixed Assets'!$P$6:$P$597=B104)*('Fixed Assets'!$R$6:$R$597))</f>
        <v>0</v>
      </c>
      <c r="F104" s="668">
        <f>SUMPRODUCT(('Fixed Assets'!$D$6:$D$597)*('Fixed Assets'!$P$6:$P$597=B104)*('Fixed Assets'!$R$6:$R$597))</f>
        <v>0</v>
      </c>
    </row>
    <row r="105" spans="2:6" ht="15.75" x14ac:dyDescent="0.25">
      <c r="B105" s="657">
        <v>2094</v>
      </c>
      <c r="C105" s="668">
        <f>SUMIFS('Fixed Assets'!$S$6:$S$597,'Fixed Assets'!$K$6:$K$597,"Land",'Fixed Assets'!$P$6:$P$597,'Assets in Arrears Calculation'!B105)</f>
        <v>0</v>
      </c>
      <c r="D105" s="668">
        <f>SUMPRODUCT(('Fixed Assets'!$B$6:$B$597)*('Fixed Assets'!$P$6:$P$597=B105)*('Fixed Assets'!$R$6:$R$597))</f>
        <v>0</v>
      </c>
      <c r="E105" s="668">
        <f>SUMPRODUCT(('Fixed Assets'!$C$6:$C$597)*('Fixed Assets'!$P$6:$P$597=B105)*('Fixed Assets'!$R$6:$R$597))</f>
        <v>0</v>
      </c>
      <c r="F105" s="668">
        <f>SUMPRODUCT(('Fixed Assets'!$D$6:$D$597)*('Fixed Assets'!$P$6:$P$597=B105)*('Fixed Assets'!$R$6:$R$597))</f>
        <v>0</v>
      </c>
    </row>
    <row r="106" spans="2:6" ht="15.75" x14ac:dyDescent="0.25">
      <c r="B106" s="657">
        <v>2095</v>
      </c>
      <c r="C106" s="668">
        <f>SUMIFS('Fixed Assets'!$S$6:$S$597,'Fixed Assets'!$K$6:$K$597,"Land",'Fixed Assets'!$P$6:$P$597,'Assets in Arrears Calculation'!B106)</f>
        <v>0</v>
      </c>
      <c r="D106" s="668">
        <f>SUMPRODUCT(('Fixed Assets'!$B$6:$B$597)*('Fixed Assets'!$P$6:$P$597=B106)*('Fixed Assets'!$R$6:$R$597))</f>
        <v>2849769.4759268872</v>
      </c>
      <c r="E106" s="668">
        <f>SUMPRODUCT(('Fixed Assets'!$C$6:$C$597)*('Fixed Assets'!$P$6:$P$597=B106)*('Fixed Assets'!$R$6:$R$597))</f>
        <v>0</v>
      </c>
      <c r="F106" s="668">
        <f>SUMPRODUCT(('Fixed Assets'!$D$6:$D$597)*('Fixed Assets'!$P$6:$P$597=B106)*('Fixed Assets'!$R$6:$R$597))</f>
        <v>0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109"/>
  <sheetViews>
    <sheetView showGridLines="0" topLeftCell="A4" zoomScale="80" zoomScaleNormal="80" workbookViewId="0">
      <pane ySplit="2" topLeftCell="A75" activePane="bottomLeft" state="frozen"/>
      <selection activeCell="B113" sqref="B113"/>
      <selection pane="bottomLeft" activeCell="F100" sqref="F100"/>
    </sheetView>
  </sheetViews>
  <sheetFormatPr defaultColWidth="9" defaultRowHeight="15.6" outlineLevelRow="1" x14ac:dyDescent="0.3"/>
  <cols>
    <col min="1" max="1" width="7" style="1181" customWidth="1"/>
    <col min="2" max="2" width="20.19921875" style="656" customWidth="1"/>
    <col min="3" max="3" width="25.5" style="656" bestFit="1" customWidth="1"/>
    <col min="4" max="4" width="8.09765625" style="656" bestFit="1" customWidth="1"/>
    <col min="5" max="5" width="8.09765625" style="656" hidden="1" customWidth="1"/>
    <col min="6" max="6" width="8.3984375" style="656" bestFit="1" customWidth="1"/>
    <col min="7" max="15" width="9.59765625" style="656" bestFit="1" customWidth="1"/>
    <col min="16" max="16" width="9" style="656"/>
    <col min="17" max="17" width="7" style="656" bestFit="1" customWidth="1"/>
    <col min="18" max="18" width="13.5" style="656" customWidth="1"/>
    <col min="19" max="16384" width="9" style="656"/>
  </cols>
  <sheetData>
    <row r="2" spans="2:15" x14ac:dyDescent="0.3">
      <c r="B2" s="151" t="s">
        <v>1938</v>
      </c>
    </row>
    <row r="3" spans="2:15" x14ac:dyDescent="0.3">
      <c r="B3" s="151"/>
    </row>
    <row r="4" spans="2:15" x14ac:dyDescent="0.3">
      <c r="B4" s="604"/>
      <c r="C4" s="604"/>
      <c r="D4" s="604"/>
      <c r="E4" s="604" t="s">
        <v>2315</v>
      </c>
      <c r="F4" s="604" t="s">
        <v>2</v>
      </c>
      <c r="G4" s="604" t="s">
        <v>2</v>
      </c>
      <c r="H4" s="604" t="s">
        <v>2</v>
      </c>
      <c r="I4" s="604" t="s">
        <v>2</v>
      </c>
      <c r="J4" s="604" t="s">
        <v>2</v>
      </c>
      <c r="K4" s="604" t="s">
        <v>2</v>
      </c>
      <c r="L4" s="604" t="s">
        <v>2</v>
      </c>
      <c r="M4" s="604" t="s">
        <v>2</v>
      </c>
      <c r="N4" s="604" t="s">
        <v>2</v>
      </c>
      <c r="O4" s="604" t="s">
        <v>2</v>
      </c>
    </row>
    <row r="5" spans="2:15" x14ac:dyDescent="0.3">
      <c r="B5" s="604"/>
      <c r="C5" s="604"/>
      <c r="D5" s="604">
        <v>2015</v>
      </c>
      <c r="E5" s="604" t="s">
        <v>1596</v>
      </c>
      <c r="F5" s="604">
        <v>2016</v>
      </c>
      <c r="G5" s="604">
        <v>2017</v>
      </c>
      <c r="H5" s="604">
        <v>2018</v>
      </c>
      <c r="I5" s="604">
        <v>2019</v>
      </c>
      <c r="J5" s="604">
        <v>2020</v>
      </c>
      <c r="K5" s="604">
        <v>2021</v>
      </c>
      <c r="L5" s="604">
        <v>2022</v>
      </c>
      <c r="M5" s="604">
        <v>2023</v>
      </c>
      <c r="N5" s="604">
        <v>2024</v>
      </c>
      <c r="O5" s="604">
        <v>2025</v>
      </c>
    </row>
    <row r="6" spans="2:15" outlineLevel="1" x14ac:dyDescent="0.3">
      <c r="C6" s="660" t="s">
        <v>1842</v>
      </c>
    </row>
    <row r="7" spans="2:15" outlineLevel="1" x14ac:dyDescent="0.3">
      <c r="B7" s="970"/>
      <c r="C7" s="970" t="s">
        <v>1700</v>
      </c>
    </row>
    <row r="8" spans="2:15" outlineLevel="1" x14ac:dyDescent="0.3">
      <c r="B8" s="970"/>
      <c r="C8" s="970" t="str">
        <f>'Water Rate Projections'!B8</f>
        <v>Incorporated Rates</v>
      </c>
    </row>
    <row r="9" spans="2:15" outlineLevel="1" x14ac:dyDescent="0.3">
      <c r="B9" s="970"/>
      <c r="C9" s="970" t="str">
        <f>'Water Rate Projections'!B9</f>
        <v>Service Charge</v>
      </c>
      <c r="D9" s="661">
        <f>'Water Rate Projections'!F9</f>
        <v>9</v>
      </c>
      <c r="E9" s="661">
        <v>9</v>
      </c>
      <c r="F9" s="661">
        <f>'Water Rate Projections'!G9</f>
        <v>9</v>
      </c>
      <c r="G9" s="661">
        <f>'Water Rate Projections'!H9</f>
        <v>9.4500000000000011</v>
      </c>
      <c r="H9" s="661">
        <f>'Water Rate Projections'!I9</f>
        <v>9.9225000000000012</v>
      </c>
      <c r="I9" s="661">
        <f>'Water Rate Projections'!J9</f>
        <v>10.418625000000002</v>
      </c>
      <c r="J9" s="661">
        <f>'Water Rate Projections'!K9</f>
        <v>10.939556250000003</v>
      </c>
      <c r="K9" s="661">
        <f>'Water Rate Projections'!L9</f>
        <v>10.939556250000003</v>
      </c>
      <c r="L9" s="661">
        <f>'Water Rate Projections'!M9</f>
        <v>10.939556250000003</v>
      </c>
      <c r="M9" s="661">
        <f>'Water Rate Projections'!N9</f>
        <v>10.939556250000003</v>
      </c>
      <c r="N9" s="661">
        <f>'Water Rate Projections'!O9</f>
        <v>10.939556250000003</v>
      </c>
      <c r="O9" s="661">
        <f>'Water Rate Projections'!P9</f>
        <v>10.939556250000003</v>
      </c>
    </row>
    <row r="10" spans="2:15" outlineLevel="1" x14ac:dyDescent="0.3">
      <c r="B10" s="970"/>
      <c r="C10" s="970"/>
      <c r="D10" s="661"/>
      <c r="E10" s="661"/>
      <c r="F10" s="661"/>
      <c r="G10" s="661"/>
      <c r="H10" s="661"/>
      <c r="I10" s="661"/>
      <c r="J10" s="661"/>
      <c r="K10" s="661"/>
      <c r="L10" s="661"/>
      <c r="M10" s="661"/>
      <c r="N10" s="661"/>
      <c r="O10" s="661"/>
    </row>
    <row r="11" spans="2:15" outlineLevel="1" x14ac:dyDescent="0.3">
      <c r="B11" s="970"/>
      <c r="C11" s="970" t="str">
        <f>'Water Rate Projections'!B11</f>
        <v>Tier 1: 0 - 9,000 Gal</v>
      </c>
      <c r="D11" s="661">
        <f>'Water Rate Projections'!F11</f>
        <v>5.85</v>
      </c>
      <c r="E11" s="661">
        <v>6.01</v>
      </c>
      <c r="F11" s="661">
        <f>'Water Rate Projections'!G11</f>
        <v>6.3179999999999996</v>
      </c>
      <c r="G11" s="661">
        <f>'Water Rate Projections'!H11</f>
        <v>6.6338999999999997</v>
      </c>
      <c r="H11" s="661">
        <f>'Water Rate Projections'!I11</f>
        <v>6.9655949999999995</v>
      </c>
      <c r="I11" s="661">
        <f>'Water Rate Projections'!J11</f>
        <v>7.3138747500000001</v>
      </c>
      <c r="J11" s="661">
        <f>'Water Rate Projections'!K11</f>
        <v>7.6795684875000001</v>
      </c>
      <c r="K11" s="661">
        <f>'Water Rate Projections'!L11</f>
        <v>7.6795684875000001</v>
      </c>
      <c r="L11" s="661">
        <f>'Water Rate Projections'!M11</f>
        <v>7.6795684875000001</v>
      </c>
      <c r="M11" s="661">
        <f>'Water Rate Projections'!N11</f>
        <v>7.6795684875000001</v>
      </c>
      <c r="N11" s="661">
        <f>'Water Rate Projections'!O11</f>
        <v>7.6795684875000001</v>
      </c>
      <c r="O11" s="661">
        <f>'Water Rate Projections'!P11</f>
        <v>7.6795684875000001</v>
      </c>
    </row>
    <row r="12" spans="2:15" outlineLevel="1" x14ac:dyDescent="0.3">
      <c r="B12" s="970"/>
      <c r="C12" s="970" t="str">
        <f>'Water Rate Projections'!B12</f>
        <v>Tier 2: 9,000 - 18,000 Gal</v>
      </c>
      <c r="D12" s="661">
        <f>'Water Rate Projections'!F12</f>
        <v>7.23</v>
      </c>
      <c r="E12" s="661">
        <v>7.43</v>
      </c>
      <c r="F12" s="661">
        <f>'Water Rate Projections'!G12</f>
        <v>7.8084000000000007</v>
      </c>
      <c r="G12" s="661">
        <f>'Water Rate Projections'!H12</f>
        <v>8.1988200000000013</v>
      </c>
      <c r="H12" s="661">
        <f>'Water Rate Projections'!I12</f>
        <v>8.6087610000000012</v>
      </c>
      <c r="I12" s="661">
        <f>'Water Rate Projections'!J12</f>
        <v>9.0391990500000023</v>
      </c>
      <c r="J12" s="661">
        <f>'Water Rate Projections'!K12</f>
        <v>9.4911590025000034</v>
      </c>
      <c r="K12" s="661">
        <f>'Water Rate Projections'!L12</f>
        <v>9.4911590025000034</v>
      </c>
      <c r="L12" s="661">
        <f>'Water Rate Projections'!M12</f>
        <v>9.4911590025000034</v>
      </c>
      <c r="M12" s="661">
        <f>'Water Rate Projections'!N12</f>
        <v>9.4911590025000034</v>
      </c>
      <c r="N12" s="661">
        <f>'Water Rate Projections'!O12</f>
        <v>9.4911590025000034</v>
      </c>
      <c r="O12" s="661">
        <f>'Water Rate Projections'!P12</f>
        <v>9.4911590025000034</v>
      </c>
    </row>
    <row r="13" spans="2:15" outlineLevel="1" x14ac:dyDescent="0.3">
      <c r="B13" s="970"/>
      <c r="C13" s="970" t="str">
        <f>'Water Rate Projections'!B13</f>
        <v>Teir 3: Over 18,000 Gal</v>
      </c>
      <c r="D13" s="661">
        <f>'Water Rate Projections'!F13</f>
        <v>8.6199999999999992</v>
      </c>
      <c r="E13" s="661">
        <v>8.85</v>
      </c>
      <c r="F13" s="661">
        <f>'Water Rate Projections'!G13</f>
        <v>9.3095999999999997</v>
      </c>
      <c r="G13" s="661">
        <f>'Water Rate Projections'!H13</f>
        <v>9.7750800000000009</v>
      </c>
      <c r="H13" s="661">
        <f>'Water Rate Projections'!I13</f>
        <v>10.263834000000001</v>
      </c>
      <c r="I13" s="661">
        <f>'Water Rate Projections'!J13</f>
        <v>10.777025700000001</v>
      </c>
      <c r="J13" s="661">
        <f>'Water Rate Projections'!K13</f>
        <v>11.315876985000001</v>
      </c>
      <c r="K13" s="661">
        <f>'Water Rate Projections'!L13</f>
        <v>11.315876985000001</v>
      </c>
      <c r="L13" s="661">
        <f>'Water Rate Projections'!M13</f>
        <v>11.315876985000001</v>
      </c>
      <c r="M13" s="661">
        <f>'Water Rate Projections'!N13</f>
        <v>11.315876985000001</v>
      </c>
      <c r="N13" s="661">
        <f>'Water Rate Projections'!O13</f>
        <v>11.315876985000001</v>
      </c>
      <c r="O13" s="661">
        <f>'Water Rate Projections'!P13</f>
        <v>11.315876985000001</v>
      </c>
    </row>
    <row r="14" spans="2:15" outlineLevel="1" x14ac:dyDescent="0.3">
      <c r="B14" s="970"/>
      <c r="C14" s="970"/>
      <c r="D14" s="661"/>
      <c r="E14" s="661"/>
      <c r="F14" s="661"/>
      <c r="G14" s="661"/>
      <c r="H14" s="661"/>
      <c r="I14" s="661"/>
      <c r="J14" s="661"/>
      <c r="K14" s="661"/>
      <c r="L14" s="661"/>
      <c r="M14" s="661"/>
      <c r="N14" s="661"/>
      <c r="O14" s="661"/>
    </row>
    <row r="15" spans="2:15" outlineLevel="1" x14ac:dyDescent="0.3">
      <c r="B15" s="970"/>
      <c r="C15" s="970"/>
      <c r="D15" s="661"/>
      <c r="E15" s="661"/>
      <c r="F15" s="661"/>
      <c r="G15" s="661"/>
      <c r="H15" s="661"/>
      <c r="I15" s="661"/>
      <c r="J15" s="661"/>
      <c r="K15" s="661"/>
      <c r="L15" s="661"/>
      <c r="M15" s="661"/>
      <c r="N15" s="661"/>
      <c r="O15" s="661"/>
    </row>
    <row r="16" spans="2:15" outlineLevel="1" x14ac:dyDescent="0.3">
      <c r="B16" s="970"/>
      <c r="C16" s="970" t="str">
        <f>'Water Rate Projections'!B16</f>
        <v>Unincorporated Rates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  <c r="N16" s="661"/>
      <c r="O16" s="661"/>
    </row>
    <row r="17" spans="1:17" outlineLevel="1" x14ac:dyDescent="0.3">
      <c r="B17" s="970"/>
      <c r="C17" s="970" t="str">
        <f>'Water Rate Projections'!B17</f>
        <v>Service Charge</v>
      </c>
      <c r="D17" s="661">
        <f>'Water Rate Projections'!F17</f>
        <v>9</v>
      </c>
      <c r="E17" s="661">
        <v>9</v>
      </c>
      <c r="F17" s="661">
        <f>'Water Rate Projections'!G17</f>
        <v>9.7200000000000006</v>
      </c>
      <c r="G17" s="661">
        <f>'Water Rate Projections'!H17</f>
        <v>10.206000000000001</v>
      </c>
      <c r="H17" s="661">
        <f>'Water Rate Projections'!I17</f>
        <v>10.716300000000002</v>
      </c>
      <c r="I17" s="661">
        <f>'Water Rate Projections'!J17</f>
        <v>11.252115000000003</v>
      </c>
      <c r="J17" s="661">
        <f>'Water Rate Projections'!K17</f>
        <v>11.814720750000005</v>
      </c>
      <c r="K17" s="661">
        <f>'Water Rate Projections'!L17</f>
        <v>11.814720750000005</v>
      </c>
      <c r="L17" s="661">
        <f>'Water Rate Projections'!M17</f>
        <v>11.814720750000005</v>
      </c>
      <c r="M17" s="661">
        <f>'Water Rate Projections'!N17</f>
        <v>11.814720750000005</v>
      </c>
      <c r="N17" s="661">
        <f>'Water Rate Projections'!O17</f>
        <v>11.814720750000005</v>
      </c>
      <c r="O17" s="661">
        <f>'Water Rate Projections'!P17</f>
        <v>11.814720750000005</v>
      </c>
    </row>
    <row r="18" spans="1:17" outlineLevel="1" x14ac:dyDescent="0.3">
      <c r="B18" s="970"/>
      <c r="C18" s="97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</row>
    <row r="19" spans="1:17" outlineLevel="1" x14ac:dyDescent="0.3">
      <c r="A19" s="1180">
        <v>9</v>
      </c>
      <c r="B19" s="971">
        <v>9</v>
      </c>
      <c r="C19" s="970" t="str">
        <f>'Water Rate Projections'!B19</f>
        <v>Tier 1: 0 - 9,000 Gal</v>
      </c>
      <c r="D19" s="661">
        <f>'Water Rate Projections'!F19</f>
        <v>8.3699999999999992</v>
      </c>
      <c r="E19" s="661">
        <v>8.59</v>
      </c>
      <c r="F19" s="661">
        <f>'Water Rate Projections'!G19</f>
        <v>9.0396000000000001</v>
      </c>
      <c r="G19" s="661">
        <f>'Water Rate Projections'!H19</f>
        <v>9.4915800000000008</v>
      </c>
      <c r="H19" s="661">
        <f>'Water Rate Projections'!I19</f>
        <v>9.9661590000000011</v>
      </c>
      <c r="I19" s="661">
        <f>'Water Rate Projections'!J19</f>
        <v>10.464466950000002</v>
      </c>
      <c r="J19" s="661">
        <f>'Water Rate Projections'!K19</f>
        <v>10.987690297500002</v>
      </c>
      <c r="K19" s="661">
        <f>'Water Rate Projections'!L19</f>
        <v>10.987690297500002</v>
      </c>
      <c r="L19" s="661">
        <f>'Water Rate Projections'!M19</f>
        <v>10.987690297500002</v>
      </c>
      <c r="M19" s="661">
        <f>'Water Rate Projections'!N19</f>
        <v>10.987690297500002</v>
      </c>
      <c r="N19" s="661">
        <f>'Water Rate Projections'!O19</f>
        <v>10.987690297500002</v>
      </c>
      <c r="O19" s="661">
        <f>'Water Rate Projections'!P19</f>
        <v>10.987690297500002</v>
      </c>
    </row>
    <row r="20" spans="1:17" outlineLevel="1" x14ac:dyDescent="0.3">
      <c r="A20" s="1180">
        <v>18</v>
      </c>
      <c r="B20" s="971">
        <v>18</v>
      </c>
      <c r="C20" s="970" t="str">
        <f>'Water Rate Projections'!B20</f>
        <v>Tier 2: 9,000 - 18,000 Gal</v>
      </c>
      <c r="D20" s="661">
        <f>'Water Rate Projections'!F20</f>
        <v>10.38</v>
      </c>
      <c r="E20" s="661">
        <v>10.66</v>
      </c>
      <c r="F20" s="661">
        <f>'Water Rate Projections'!G20</f>
        <v>11.210400000000002</v>
      </c>
      <c r="G20" s="661">
        <f>'Water Rate Projections'!H20</f>
        <v>11.770920000000002</v>
      </c>
      <c r="H20" s="661">
        <f>'Water Rate Projections'!I20</f>
        <v>12.359466000000003</v>
      </c>
      <c r="I20" s="661">
        <f>'Water Rate Projections'!J20</f>
        <v>12.977439300000004</v>
      </c>
      <c r="J20" s="661">
        <f>'Water Rate Projections'!K20</f>
        <v>13.626311265000005</v>
      </c>
      <c r="K20" s="661">
        <f>'Water Rate Projections'!L20</f>
        <v>13.626311265000005</v>
      </c>
      <c r="L20" s="661">
        <f>'Water Rate Projections'!M20</f>
        <v>13.626311265000005</v>
      </c>
      <c r="M20" s="661">
        <f>'Water Rate Projections'!N20</f>
        <v>13.626311265000005</v>
      </c>
      <c r="N20" s="661">
        <f>'Water Rate Projections'!O20</f>
        <v>13.626311265000005</v>
      </c>
      <c r="O20" s="661">
        <f>'Water Rate Projections'!P20</f>
        <v>13.626311265000005</v>
      </c>
    </row>
    <row r="21" spans="1:17" outlineLevel="1" x14ac:dyDescent="0.3">
      <c r="A21" s="1180">
        <v>18</v>
      </c>
      <c r="B21" s="971">
        <v>18</v>
      </c>
      <c r="C21" s="970" t="str">
        <f>'Water Rate Projections'!B21</f>
        <v>Teir 3: Over 18,000 Gal</v>
      </c>
      <c r="D21" s="661">
        <f>'Water Rate Projections'!F21</f>
        <v>12.39</v>
      </c>
      <c r="E21" s="661">
        <v>12.73</v>
      </c>
      <c r="F21" s="661">
        <f>'Water Rate Projections'!G21</f>
        <v>13.381200000000002</v>
      </c>
      <c r="G21" s="661">
        <f>'Water Rate Projections'!H21</f>
        <v>14.050260000000002</v>
      </c>
      <c r="H21" s="661">
        <f>'Water Rate Projections'!I21</f>
        <v>14.752773000000003</v>
      </c>
      <c r="I21" s="661">
        <f>'Water Rate Projections'!J21</f>
        <v>15.490411650000004</v>
      </c>
      <c r="J21" s="661">
        <f>'Water Rate Projections'!K21</f>
        <v>16.264932232500005</v>
      </c>
      <c r="K21" s="661">
        <f>'Water Rate Projections'!L21</f>
        <v>16.264932232500005</v>
      </c>
      <c r="L21" s="661">
        <f>'Water Rate Projections'!M21</f>
        <v>16.264932232500005</v>
      </c>
      <c r="M21" s="661">
        <f>'Water Rate Projections'!N21</f>
        <v>16.264932232500005</v>
      </c>
      <c r="N21" s="661">
        <f>'Water Rate Projections'!O21</f>
        <v>16.264932232500005</v>
      </c>
      <c r="O21" s="661">
        <f>'Water Rate Projections'!P21</f>
        <v>16.264932232500005</v>
      </c>
      <c r="Q21" s="1183"/>
    </row>
    <row r="22" spans="1:17" outlineLevel="1" x14ac:dyDescent="0.3">
      <c r="B22" s="972"/>
      <c r="C22" s="970"/>
      <c r="D22" s="661"/>
      <c r="E22" s="661"/>
      <c r="F22" s="661"/>
      <c r="G22" s="661"/>
      <c r="H22" s="661"/>
      <c r="I22" s="661"/>
      <c r="J22" s="661"/>
      <c r="K22" s="661"/>
      <c r="L22" s="661"/>
      <c r="M22" s="661"/>
      <c r="N22" s="661"/>
      <c r="O22" s="661"/>
    </row>
    <row r="23" spans="1:17" outlineLevel="1" x14ac:dyDescent="0.3">
      <c r="B23" s="972"/>
      <c r="C23" s="970" t="str">
        <f>'Water Rate Projections'!B23</f>
        <v>Citizens Utilities Bulk Rate</v>
      </c>
      <c r="D23" s="661">
        <f>'Water Rate Projections'!F23</f>
        <v>6.35</v>
      </c>
      <c r="E23" s="661">
        <v>6.52</v>
      </c>
      <c r="F23" s="661">
        <f>'Water Rate Projections'!G23</f>
        <v>6.8579999999999997</v>
      </c>
      <c r="G23" s="661">
        <f>'Water Rate Projections'!H23</f>
        <v>7.2008999999999999</v>
      </c>
      <c r="H23" s="661">
        <f>'Water Rate Projections'!I23</f>
        <v>7.5609450000000002</v>
      </c>
      <c r="I23" s="661">
        <f>'Water Rate Projections'!J23</f>
        <v>7.938992250000001</v>
      </c>
      <c r="J23" s="661">
        <f>'Water Rate Projections'!K23</f>
        <v>8.3359418625000021</v>
      </c>
      <c r="K23" s="661">
        <f>'Water Rate Projections'!L23</f>
        <v>8.3359418625000021</v>
      </c>
      <c r="L23" s="661">
        <f>'Water Rate Projections'!M23</f>
        <v>8.3359418625000021</v>
      </c>
      <c r="M23" s="661">
        <f>'Water Rate Projections'!N23</f>
        <v>8.3359418625000021</v>
      </c>
      <c r="N23" s="661">
        <f>'Water Rate Projections'!O23</f>
        <v>8.3359418625000021</v>
      </c>
      <c r="O23" s="661">
        <f>'Water Rate Projections'!P23</f>
        <v>8.3359418625000021</v>
      </c>
    </row>
    <row r="24" spans="1:17" outlineLevel="1" x14ac:dyDescent="0.3">
      <c r="B24" s="666"/>
    </row>
    <row r="25" spans="1:17" outlineLevel="1" x14ac:dyDescent="0.3">
      <c r="B25" s="968"/>
      <c r="C25" s="969" t="s">
        <v>1968</v>
      </c>
    </row>
    <row r="26" spans="1:17" outlineLevel="1" x14ac:dyDescent="0.3">
      <c r="B26" s="968"/>
      <c r="C26" s="963" t="str">
        <f>'Water Rate Projections'!B77</f>
        <v>Incorporated Rates</v>
      </c>
    </row>
    <row r="27" spans="1:17" outlineLevel="1" x14ac:dyDescent="0.3">
      <c r="B27" s="968"/>
      <c r="C27" s="963" t="str">
        <f>'Water Rate Projections'!B78</f>
        <v>Service Charge</v>
      </c>
      <c r="F27" s="661">
        <f>'Water Rate Projections'!G78</f>
        <v>9</v>
      </c>
      <c r="G27" s="661">
        <f>'Water Rate Projections'!H78</f>
        <v>9.4915568783611821</v>
      </c>
      <c r="H27" s="661">
        <f>'Water Rate Projections'!I78</f>
        <v>9.9659456652360525</v>
      </c>
      <c r="I27" s="661">
        <f>'Water Rate Projections'!J78</f>
        <v>10.464046151357293</v>
      </c>
      <c r="J27" s="661">
        <f>'Water Rate Projections'!K78</f>
        <v>10.987043597145117</v>
      </c>
      <c r="K27" s="661">
        <f>'Water Rate Projections'!L78</f>
        <v>10.987043597145117</v>
      </c>
      <c r="L27" s="661">
        <f>'Water Rate Projections'!M78</f>
        <v>10.987043597145117</v>
      </c>
      <c r="M27" s="661">
        <f>'Water Rate Projections'!N78</f>
        <v>10.987043597145117</v>
      </c>
      <c r="N27" s="661">
        <f>'Water Rate Projections'!O78</f>
        <v>10.987043597145117</v>
      </c>
      <c r="O27" s="661">
        <f>'Water Rate Projections'!P78</f>
        <v>10.987043597145117</v>
      </c>
      <c r="Q27" s="661"/>
    </row>
    <row r="28" spans="1:17" outlineLevel="1" x14ac:dyDescent="0.3">
      <c r="B28" s="968"/>
      <c r="C28" s="963"/>
      <c r="F28" s="661"/>
      <c r="G28" s="661"/>
      <c r="H28" s="661"/>
      <c r="I28" s="661"/>
      <c r="J28" s="661"/>
      <c r="K28" s="661"/>
      <c r="L28" s="661"/>
      <c r="M28" s="661"/>
      <c r="N28" s="661"/>
      <c r="O28" s="661"/>
    </row>
    <row r="29" spans="1:17" outlineLevel="1" x14ac:dyDescent="0.3">
      <c r="B29" s="968"/>
      <c r="C29" s="963" t="str">
        <f>'Water Rate Projections'!B79</f>
        <v>Tier 1: 0 - 7000</v>
      </c>
      <c r="F29" s="661">
        <f>'Water Rate Projections'!G79</f>
        <v>5.6587589587394973</v>
      </c>
      <c r="G29" s="661">
        <f>'Water Rate Projections'!H79</f>
        <v>6.0154594152429359</v>
      </c>
      <c r="H29" s="661">
        <f>'Water Rate Projections'!I79</f>
        <v>6.3162427583804854</v>
      </c>
      <c r="I29" s="661">
        <f>'Water Rate Projections'!J79</f>
        <v>6.632065696582913</v>
      </c>
      <c r="J29" s="661">
        <f>'Water Rate Projections'!K79</f>
        <v>6.9636802276483447</v>
      </c>
      <c r="K29" s="661">
        <f>'Water Rate Projections'!L79</f>
        <v>6.9636802276483465</v>
      </c>
      <c r="L29" s="661">
        <f>'Water Rate Projections'!M79</f>
        <v>6.9636802276483438</v>
      </c>
      <c r="M29" s="661">
        <f>'Water Rate Projections'!N79</f>
        <v>6.9636802276483438</v>
      </c>
      <c r="N29" s="661">
        <f>'Water Rate Projections'!O79</f>
        <v>6.9636802276483456</v>
      </c>
      <c r="O29" s="661">
        <f>'Water Rate Projections'!P79</f>
        <v>6.9636802276483447</v>
      </c>
    </row>
    <row r="30" spans="1:17" outlineLevel="1" x14ac:dyDescent="0.3">
      <c r="B30" s="968">
        <f>'Water Rate Projections'!C79/1000</f>
        <v>7</v>
      </c>
      <c r="C30" s="963" t="str">
        <f>'Water Rate Projections'!B80</f>
        <v>Tier 2: 7000 - 12000</v>
      </c>
      <c r="F30" s="661">
        <f>'Water Rate Projections'!G80</f>
        <v>7.0734486984243716</v>
      </c>
      <c r="G30" s="661">
        <f>'Water Rate Projections'!H80</f>
        <v>7.5193242690536701</v>
      </c>
      <c r="H30" s="661">
        <f>'Water Rate Projections'!I80</f>
        <v>7.895303447975607</v>
      </c>
      <c r="I30" s="661">
        <f>'Water Rate Projections'!J80</f>
        <v>8.2900821207286413</v>
      </c>
      <c r="J30" s="661">
        <f>'Water Rate Projections'!K80</f>
        <v>8.7046002845604313</v>
      </c>
      <c r="K30" s="661">
        <f>'Water Rate Projections'!L80</f>
        <v>8.7046002845604331</v>
      </c>
      <c r="L30" s="661">
        <f>'Water Rate Projections'!M80</f>
        <v>8.7046002845604296</v>
      </c>
      <c r="M30" s="661">
        <f>'Water Rate Projections'!N80</f>
        <v>8.7046002845604296</v>
      </c>
      <c r="N30" s="661">
        <f>'Water Rate Projections'!O80</f>
        <v>8.7046002845604313</v>
      </c>
      <c r="O30" s="661">
        <f>'Water Rate Projections'!P80</f>
        <v>8.7046002845604313</v>
      </c>
    </row>
    <row r="31" spans="1:17" outlineLevel="1" x14ac:dyDescent="0.3">
      <c r="B31" s="968">
        <f>'Water Rate Projections'!C80/1000</f>
        <v>12</v>
      </c>
      <c r="C31" s="963" t="str">
        <f>'Water Rate Projections'!B81</f>
        <v>Tier 3: 12000 - 22000</v>
      </c>
      <c r="F31" s="661">
        <f>'Water Rate Projections'!G81</f>
        <v>8.488138438109246</v>
      </c>
      <c r="G31" s="661">
        <f>'Water Rate Projections'!H81</f>
        <v>9.0231891228644034</v>
      </c>
      <c r="H31" s="661">
        <f>'Water Rate Projections'!I81</f>
        <v>9.4743641375707277</v>
      </c>
      <c r="I31" s="661">
        <f>'Water Rate Projections'!J81</f>
        <v>9.9480985448743695</v>
      </c>
      <c r="J31" s="661">
        <f>'Water Rate Projections'!K81</f>
        <v>10.445520341472516</v>
      </c>
      <c r="K31" s="661">
        <f>'Water Rate Projections'!L81</f>
        <v>10.44552034147252</v>
      </c>
      <c r="L31" s="661">
        <f>'Water Rate Projections'!M81</f>
        <v>10.445520341472516</v>
      </c>
      <c r="M31" s="661">
        <f>'Water Rate Projections'!N81</f>
        <v>10.445520341472516</v>
      </c>
      <c r="N31" s="661">
        <f>'Water Rate Projections'!O81</f>
        <v>10.445520341472518</v>
      </c>
      <c r="O31" s="661">
        <f>'Water Rate Projections'!P81</f>
        <v>10.445520341472516</v>
      </c>
    </row>
    <row r="32" spans="1:17" outlineLevel="1" x14ac:dyDescent="0.3">
      <c r="B32" s="968">
        <f>'Water Rate Projections'!C81/1000</f>
        <v>22</v>
      </c>
      <c r="C32" s="963" t="str">
        <f>'Water Rate Projections'!B82</f>
        <v>Tier 4: Over 22000</v>
      </c>
      <c r="F32" s="661">
        <f>'Water Rate Projections'!G82</f>
        <v>9.9028281777941203</v>
      </c>
      <c r="G32" s="661">
        <f>'Water Rate Projections'!H82</f>
        <v>10.527053976675138</v>
      </c>
      <c r="H32" s="661">
        <f>'Water Rate Projections'!I82</f>
        <v>11.05342482716585</v>
      </c>
      <c r="I32" s="661">
        <f>'Water Rate Projections'!J82</f>
        <v>11.606114969020098</v>
      </c>
      <c r="J32" s="661">
        <f>'Water Rate Projections'!K82</f>
        <v>12.186440398384603</v>
      </c>
      <c r="K32" s="661">
        <f>'Water Rate Projections'!L82</f>
        <v>12.186440398384606</v>
      </c>
      <c r="L32" s="661">
        <f>'Water Rate Projections'!M82</f>
        <v>12.186440398384601</v>
      </c>
      <c r="M32" s="661">
        <f>'Water Rate Projections'!N82</f>
        <v>12.186440398384601</v>
      </c>
      <c r="N32" s="661">
        <f>'Water Rate Projections'!O82</f>
        <v>12.186440398384605</v>
      </c>
      <c r="O32" s="661">
        <f>'Water Rate Projections'!P82</f>
        <v>12.186440398384603</v>
      </c>
      <c r="Q32" s="661"/>
    </row>
    <row r="33" spans="2:18" outlineLevel="1" x14ac:dyDescent="0.3">
      <c r="B33" s="968"/>
      <c r="C33" s="963"/>
      <c r="F33" s="661"/>
      <c r="G33" s="661"/>
      <c r="H33" s="661"/>
      <c r="I33" s="661"/>
      <c r="J33" s="661"/>
      <c r="K33" s="661"/>
      <c r="L33" s="661"/>
      <c r="M33" s="661"/>
      <c r="N33" s="661"/>
      <c r="O33" s="661"/>
      <c r="Q33" s="1186"/>
    </row>
    <row r="34" spans="2:18" outlineLevel="1" x14ac:dyDescent="0.3">
      <c r="B34" s="968"/>
      <c r="C34" s="963" t="str">
        <f>'Water Rate Projections'!B84</f>
        <v>Unincorporated Rates</v>
      </c>
      <c r="F34" s="661"/>
      <c r="G34" s="661"/>
      <c r="H34" s="661"/>
      <c r="I34" s="661"/>
      <c r="J34" s="661"/>
      <c r="K34" s="661"/>
      <c r="L34" s="661"/>
      <c r="M34" s="661"/>
      <c r="N34" s="661"/>
      <c r="O34" s="661"/>
      <c r="Q34" s="1185"/>
    </row>
    <row r="35" spans="2:18" outlineLevel="1" x14ac:dyDescent="0.3">
      <c r="B35" s="968"/>
      <c r="C35" s="963" t="str">
        <f>'Water Rate Projections'!B85</f>
        <v>Service Charge</v>
      </c>
      <c r="F35" s="661">
        <f>'Water Rate Projections'!G85</f>
        <v>9</v>
      </c>
      <c r="G35" s="661">
        <f>'Water Rate Projections'!H85</f>
        <v>9.4915568783611821</v>
      </c>
      <c r="H35" s="661">
        <f>'Water Rate Projections'!I85</f>
        <v>9.9659456652360525</v>
      </c>
      <c r="I35" s="661">
        <f>'Water Rate Projections'!J85</f>
        <v>10.464046151357293</v>
      </c>
      <c r="J35" s="661">
        <f>'Water Rate Projections'!K85</f>
        <v>10.987043597145117</v>
      </c>
      <c r="K35" s="661">
        <f>'Water Rate Projections'!L85</f>
        <v>10.987043597145117</v>
      </c>
      <c r="L35" s="661">
        <f>'Water Rate Projections'!M85</f>
        <v>10.987043597145117</v>
      </c>
      <c r="M35" s="661">
        <f>'Water Rate Projections'!N85</f>
        <v>10.987043597145117</v>
      </c>
      <c r="N35" s="661">
        <f>'Water Rate Projections'!O85</f>
        <v>10.987043597145117</v>
      </c>
      <c r="O35" s="661">
        <f>'Water Rate Projections'!P85</f>
        <v>10.987043597145117</v>
      </c>
    </row>
    <row r="36" spans="2:18" outlineLevel="1" x14ac:dyDescent="0.3">
      <c r="B36" s="968"/>
      <c r="C36" s="963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R36" s="1186"/>
    </row>
    <row r="37" spans="2:18" outlineLevel="1" x14ac:dyDescent="0.3">
      <c r="B37" s="968"/>
      <c r="C37" s="963" t="str">
        <f>'Water Rate Projections'!B86</f>
        <v>Tier 1: 0 - 7000</v>
      </c>
      <c r="F37" s="661">
        <f>'Water Rate Projections'!G86</f>
        <v>8.2052004901722704</v>
      </c>
      <c r="G37" s="661">
        <f>'Water Rate Projections'!H86</f>
        <v>8.722416152102257</v>
      </c>
      <c r="H37" s="661">
        <f>'Water Rate Projections'!I86</f>
        <v>9.1585519996517029</v>
      </c>
      <c r="I37" s="661">
        <f>'Water Rate Projections'!J86</f>
        <v>9.6164952600452231</v>
      </c>
      <c r="J37" s="661">
        <f>'Water Rate Projections'!K86</f>
        <v>10.0973363300901</v>
      </c>
      <c r="K37" s="661">
        <f>'Water Rate Projections'!L86</f>
        <v>10.097336330090101</v>
      </c>
      <c r="L37" s="661">
        <f>'Water Rate Projections'!M86</f>
        <v>10.097336330090098</v>
      </c>
      <c r="M37" s="661">
        <f>'Water Rate Projections'!N86</f>
        <v>10.097336330090098</v>
      </c>
      <c r="N37" s="661">
        <f>'Water Rate Projections'!O86</f>
        <v>10.097336330090101</v>
      </c>
      <c r="O37" s="661">
        <f>'Water Rate Projections'!P86</f>
        <v>10.0973363300901</v>
      </c>
    </row>
    <row r="38" spans="2:18" outlineLevel="1" x14ac:dyDescent="0.3">
      <c r="B38" s="968">
        <f>B30</f>
        <v>7</v>
      </c>
      <c r="C38" s="963" t="str">
        <f>'Water Rate Projections'!B87</f>
        <v>Tier 2: 7000 - 12000</v>
      </c>
      <c r="F38" s="661">
        <f>'Water Rate Projections'!G87</f>
        <v>10.256500612715337</v>
      </c>
      <c r="G38" s="661">
        <f>'Water Rate Projections'!H87</f>
        <v>10.903020190127821</v>
      </c>
      <c r="H38" s="661">
        <f>'Water Rate Projections'!I87</f>
        <v>11.448189999564628</v>
      </c>
      <c r="I38" s="661">
        <f>'Water Rate Projections'!J87</f>
        <v>12.020619075056528</v>
      </c>
      <c r="J38" s="661">
        <f>'Water Rate Projections'!K87</f>
        <v>12.621670412612623</v>
      </c>
      <c r="K38" s="661">
        <f>'Water Rate Projections'!L87</f>
        <v>12.621670412612627</v>
      </c>
      <c r="L38" s="661">
        <f>'Water Rate Projections'!M87</f>
        <v>12.621670412612621</v>
      </c>
      <c r="M38" s="661">
        <f>'Water Rate Projections'!N87</f>
        <v>12.621670412612621</v>
      </c>
      <c r="N38" s="661">
        <f>'Water Rate Projections'!O87</f>
        <v>12.621670412612625</v>
      </c>
      <c r="O38" s="661">
        <f>'Water Rate Projections'!P87</f>
        <v>12.621670412612623</v>
      </c>
      <c r="Q38" s="1183"/>
    </row>
    <row r="39" spans="2:18" outlineLevel="1" x14ac:dyDescent="0.3">
      <c r="B39" s="968">
        <f>B31</f>
        <v>12</v>
      </c>
      <c r="C39" s="963" t="str">
        <f>'Water Rate Projections'!B88</f>
        <v>Tier 3: 12000 - 22000</v>
      </c>
      <c r="F39" s="661">
        <f>'Water Rate Projections'!G88</f>
        <v>12.307800735258406</v>
      </c>
      <c r="G39" s="661">
        <f>'Water Rate Projections'!H88</f>
        <v>13.083624228153385</v>
      </c>
      <c r="H39" s="661">
        <f>'Water Rate Projections'!I88</f>
        <v>13.737827999477554</v>
      </c>
      <c r="I39" s="661">
        <f>'Water Rate Projections'!J88</f>
        <v>14.424742890067835</v>
      </c>
      <c r="J39" s="661">
        <f>'Water Rate Projections'!K88</f>
        <v>15.146004495135148</v>
      </c>
      <c r="K39" s="661">
        <f>'Water Rate Projections'!L88</f>
        <v>15.146004495135152</v>
      </c>
      <c r="L39" s="661">
        <f>'Water Rate Projections'!M88</f>
        <v>15.146004495135147</v>
      </c>
      <c r="M39" s="661">
        <f>'Water Rate Projections'!N88</f>
        <v>15.146004495135147</v>
      </c>
      <c r="N39" s="661">
        <f>'Water Rate Projections'!O88</f>
        <v>15.14600449513515</v>
      </c>
      <c r="O39" s="661">
        <f>'Water Rate Projections'!P88</f>
        <v>15.146004495135148</v>
      </c>
    </row>
    <row r="40" spans="2:18" outlineLevel="1" x14ac:dyDescent="0.3">
      <c r="B40" s="968">
        <f>B32</f>
        <v>22</v>
      </c>
      <c r="C40" s="963" t="str">
        <f>'Water Rate Projections'!B89</f>
        <v>Tier 4: Over 22000</v>
      </c>
      <c r="F40" s="661">
        <f>'Water Rate Projections'!G89</f>
        <v>14.359100857801474</v>
      </c>
      <c r="G40" s="661">
        <f>'Water Rate Projections'!H89</f>
        <v>15.26422826617895</v>
      </c>
      <c r="H40" s="661">
        <f>'Water Rate Projections'!I89</f>
        <v>16.027465999390483</v>
      </c>
      <c r="I40" s="661">
        <f>'Water Rate Projections'!J89</f>
        <v>16.828866705079143</v>
      </c>
      <c r="J40" s="661">
        <f>'Water Rate Projections'!K89</f>
        <v>17.670338577657674</v>
      </c>
      <c r="K40" s="661">
        <f>'Water Rate Projections'!L89</f>
        <v>17.670338577657681</v>
      </c>
      <c r="L40" s="661">
        <f>'Water Rate Projections'!M89</f>
        <v>17.670338577657674</v>
      </c>
      <c r="M40" s="661">
        <f>'Water Rate Projections'!N89</f>
        <v>17.670338577657674</v>
      </c>
      <c r="N40" s="661">
        <f>'Water Rate Projections'!O89</f>
        <v>17.670338577657677</v>
      </c>
      <c r="O40" s="661">
        <f>'Water Rate Projections'!P89</f>
        <v>17.670338577657674</v>
      </c>
    </row>
    <row r="41" spans="2:18" outlineLevel="1" x14ac:dyDescent="0.3">
      <c r="B41" s="968"/>
      <c r="C41" s="963"/>
      <c r="F41" s="661"/>
      <c r="G41" s="661"/>
      <c r="H41" s="661"/>
      <c r="I41" s="661"/>
      <c r="J41" s="661"/>
      <c r="K41" s="661"/>
      <c r="L41" s="661"/>
      <c r="M41" s="661"/>
      <c r="N41" s="661"/>
      <c r="O41" s="661"/>
    </row>
    <row r="42" spans="2:18" outlineLevel="1" x14ac:dyDescent="0.3">
      <c r="B42" s="963"/>
      <c r="C42" s="963" t="str">
        <f>'Water Rate Projections'!B91</f>
        <v>Citizens Utilities Bulk Rate</v>
      </c>
      <c r="F42" s="661">
        <f>'Water Rate Projections'!G91</f>
        <v>6.8579999999999997</v>
      </c>
      <c r="G42" s="661">
        <f>'Water Rate Projections'!H91</f>
        <v>7.2008999999999999</v>
      </c>
      <c r="H42" s="661">
        <f>'Water Rate Projections'!I91</f>
        <v>7.5609450000000002</v>
      </c>
      <c r="I42" s="661">
        <f>'Water Rate Projections'!J91</f>
        <v>7.938992250000001</v>
      </c>
      <c r="J42" s="661">
        <f>'Water Rate Projections'!K91</f>
        <v>8.3359418625000021</v>
      </c>
      <c r="K42" s="661">
        <f>'Water Rate Projections'!L91</f>
        <v>8.3359418625000021</v>
      </c>
      <c r="L42" s="661">
        <f>'Water Rate Projections'!M91</f>
        <v>8.3359418625000021</v>
      </c>
      <c r="M42" s="661">
        <f>'Water Rate Projections'!N91</f>
        <v>8.3359418625000021</v>
      </c>
      <c r="N42" s="661">
        <f>'Water Rate Projections'!O91</f>
        <v>8.3359418625000021</v>
      </c>
      <c r="O42" s="661">
        <f>'Water Rate Projections'!P91</f>
        <v>8.3359418625000021</v>
      </c>
    </row>
    <row r="43" spans="2:18" outlineLevel="1" x14ac:dyDescent="0.3"/>
    <row r="44" spans="2:18" outlineLevel="1" x14ac:dyDescent="0.3">
      <c r="C44" s="660" t="s">
        <v>1843</v>
      </c>
    </row>
    <row r="45" spans="2:18" outlineLevel="1" x14ac:dyDescent="0.3">
      <c r="C45" s="656" t="str">
        <f>'Sewer Rate Projections'!B8</f>
        <v>Incorporated Rates</v>
      </c>
    </row>
    <row r="46" spans="2:18" outlineLevel="1" x14ac:dyDescent="0.3">
      <c r="C46" s="656" t="str">
        <f>'Sewer Rate Projections'!B9</f>
        <v>Sewer Rate</v>
      </c>
      <c r="D46" s="661">
        <f>'Sewer Rate Projections'!D9</f>
        <v>0.84</v>
      </c>
      <c r="E46" s="661">
        <v>0.86</v>
      </c>
      <c r="F46" s="661">
        <f>'Sewer Rate Projections'!E9</f>
        <v>1.008</v>
      </c>
      <c r="G46" s="661">
        <f>'Sewer Rate Projections'!F9</f>
        <v>1.0584</v>
      </c>
      <c r="H46" s="661">
        <f>'Sewer Rate Projections'!G9</f>
        <v>1.1113200000000001</v>
      </c>
      <c r="I46" s="661">
        <f>'Sewer Rate Projections'!H9</f>
        <v>1.1668860000000001</v>
      </c>
      <c r="J46" s="661">
        <f>'Sewer Rate Projections'!I9</f>
        <v>1.2252303000000002</v>
      </c>
      <c r="K46" s="661">
        <f>'Sewer Rate Projections'!J9</f>
        <v>1.2252303000000002</v>
      </c>
      <c r="L46" s="661">
        <f>'Sewer Rate Projections'!K9</f>
        <v>1.2252303000000002</v>
      </c>
      <c r="M46" s="661">
        <f>'Sewer Rate Projections'!L9</f>
        <v>1.2252303000000002</v>
      </c>
      <c r="N46" s="661">
        <f>'Sewer Rate Projections'!M9</f>
        <v>1.2252303000000002</v>
      </c>
      <c r="O46" s="661">
        <f>'Sewer Rate Projections'!N9</f>
        <v>1.2252303000000002</v>
      </c>
    </row>
    <row r="47" spans="2:18" outlineLevel="1" x14ac:dyDescent="0.3">
      <c r="D47" s="661"/>
      <c r="E47" s="661"/>
      <c r="F47" s="661"/>
      <c r="G47" s="661"/>
      <c r="H47" s="661"/>
      <c r="I47" s="661"/>
      <c r="J47" s="661"/>
      <c r="K47" s="661"/>
      <c r="L47" s="661"/>
      <c r="M47" s="661"/>
      <c r="N47" s="661"/>
      <c r="O47" s="661"/>
    </row>
    <row r="48" spans="2:18" outlineLevel="1" x14ac:dyDescent="0.3">
      <c r="C48" s="656" t="str">
        <f>'Sewer Rate Projections'!B11</f>
        <v>Unincorporated Rates</v>
      </c>
      <c r="D48" s="661"/>
      <c r="E48" s="661"/>
      <c r="F48" s="661"/>
      <c r="G48" s="661"/>
      <c r="H48" s="661"/>
      <c r="I48" s="661"/>
      <c r="J48" s="661"/>
      <c r="K48" s="661"/>
      <c r="L48" s="661"/>
      <c r="M48" s="661"/>
      <c r="N48" s="661"/>
      <c r="O48" s="661"/>
    </row>
    <row r="49" spans="1:18" outlineLevel="1" x14ac:dyDescent="0.3">
      <c r="C49" s="656" t="str">
        <f>'Sewer Rate Projections'!B12</f>
        <v>Sewer Rate</v>
      </c>
      <c r="D49" s="661">
        <f>'Sewer Rate Projections'!D12</f>
        <v>1.91</v>
      </c>
      <c r="E49" s="661">
        <v>1.96</v>
      </c>
      <c r="F49" s="661">
        <f>'Sewer Rate Projections'!E12</f>
        <v>2.2919999999999998</v>
      </c>
      <c r="G49" s="661">
        <f>'Sewer Rate Projections'!F12</f>
        <v>2.4066000000000001</v>
      </c>
      <c r="H49" s="661">
        <f>'Sewer Rate Projections'!G12</f>
        <v>2.5269300000000001</v>
      </c>
      <c r="I49" s="661">
        <f>'Sewer Rate Projections'!H12</f>
        <v>2.6532765</v>
      </c>
      <c r="J49" s="661">
        <f>'Sewer Rate Projections'!I12</f>
        <v>2.7859403250000003</v>
      </c>
      <c r="K49" s="661">
        <f>'Sewer Rate Projections'!J12</f>
        <v>2.7859403250000003</v>
      </c>
      <c r="L49" s="661">
        <f>'Sewer Rate Projections'!K12</f>
        <v>2.7859403250000003</v>
      </c>
      <c r="M49" s="661">
        <f>'Sewer Rate Projections'!L12</f>
        <v>2.7859403250000003</v>
      </c>
      <c r="N49" s="661">
        <f>'Sewer Rate Projections'!M12</f>
        <v>2.7859403250000003</v>
      </c>
      <c r="O49" s="661">
        <f>'Sewer Rate Projections'!N12</f>
        <v>2.7859403250000003</v>
      </c>
    </row>
    <row r="50" spans="1:18" outlineLevel="1" x14ac:dyDescent="0.3"/>
    <row r="51" spans="1:18" outlineLevel="1" x14ac:dyDescent="0.3">
      <c r="C51" s="656" t="s">
        <v>1844</v>
      </c>
    </row>
    <row r="52" spans="1:18" outlineLevel="1" x14ac:dyDescent="0.3">
      <c r="C52" s="656" t="str">
        <f>'Stormwater Rate Projections'!B8</f>
        <v>Incorporated Rates</v>
      </c>
    </row>
    <row r="53" spans="1:18" outlineLevel="1" x14ac:dyDescent="0.3">
      <c r="C53" s="656" t="str">
        <f>'Stormwater Rate Projections'!B9</f>
        <v>Stormwater Rate</v>
      </c>
      <c r="D53" s="661">
        <f>'Stormwater Rate Projections'!E9</f>
        <v>0.88</v>
      </c>
      <c r="E53" s="661">
        <v>0.9</v>
      </c>
      <c r="F53" s="661">
        <f>'Stormwater Rate Projections'!F9</f>
        <v>1.76</v>
      </c>
      <c r="G53" s="661">
        <f>'Stormwater Rate Projections'!G9</f>
        <v>1.8480000000000001</v>
      </c>
      <c r="H53" s="661">
        <f>'Stormwater Rate Projections'!H9</f>
        <v>1.9219200000000001</v>
      </c>
      <c r="I53" s="661">
        <f>'Stormwater Rate Projections'!I9</f>
        <v>1.9795776</v>
      </c>
      <c r="J53" s="661">
        <f>'Stormwater Rate Projections'!J9</f>
        <v>2.038964928</v>
      </c>
      <c r="K53" s="661">
        <f>'Stormwater Rate Projections'!K9</f>
        <v>2.038964928</v>
      </c>
      <c r="L53" s="661">
        <f>'Stormwater Rate Projections'!L9</f>
        <v>2.038964928</v>
      </c>
      <c r="M53" s="661">
        <f>'Stormwater Rate Projections'!M9</f>
        <v>2.038964928</v>
      </c>
      <c r="N53" s="661">
        <f>'Stormwater Rate Projections'!N9</f>
        <v>2.038964928</v>
      </c>
      <c r="O53" s="661">
        <f>'Stormwater Rate Projections'!O9</f>
        <v>2.038964928</v>
      </c>
    </row>
    <row r="54" spans="1:18" outlineLevel="1" x14ac:dyDescent="0.3">
      <c r="D54" s="661"/>
      <c r="E54" s="661"/>
      <c r="F54" s="661"/>
      <c r="G54" s="661"/>
      <c r="H54" s="661"/>
      <c r="I54" s="661"/>
      <c r="J54" s="661"/>
      <c r="K54" s="661"/>
      <c r="L54" s="661"/>
      <c r="M54" s="661"/>
      <c r="N54" s="661"/>
      <c r="O54" s="661"/>
    </row>
    <row r="55" spans="1:18" outlineLevel="1" x14ac:dyDescent="0.3">
      <c r="C55" s="656" t="str">
        <f>'Stormwater Rate Projections'!B11</f>
        <v>Unincorporated Rates</v>
      </c>
      <c r="D55" s="661"/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</row>
    <row r="56" spans="1:18" outlineLevel="1" x14ac:dyDescent="0.3">
      <c r="C56" s="656" t="str">
        <f>'Stormwater Rate Projections'!B12</f>
        <v>Stormwater Rate</v>
      </c>
      <c r="D56" s="661">
        <f>'Stormwater Rate Projections'!E12</f>
        <v>0.66</v>
      </c>
      <c r="E56" s="661">
        <v>0.68</v>
      </c>
      <c r="F56" s="661">
        <f>'Stormwater Rate Projections'!F12</f>
        <v>1.32</v>
      </c>
      <c r="G56" s="661">
        <f>'Stormwater Rate Projections'!G12</f>
        <v>1.3860000000000001</v>
      </c>
      <c r="H56" s="661">
        <f>'Stormwater Rate Projections'!H12</f>
        <v>1.4414400000000003</v>
      </c>
      <c r="I56" s="661">
        <f>'Stormwater Rate Projections'!I12</f>
        <v>1.4846832000000003</v>
      </c>
      <c r="J56" s="661">
        <f>'Stormwater Rate Projections'!J12</f>
        <v>1.5292236960000003</v>
      </c>
      <c r="K56" s="661">
        <f>'Stormwater Rate Projections'!K12</f>
        <v>1.5292236960000003</v>
      </c>
      <c r="L56" s="661">
        <f>'Stormwater Rate Projections'!L12</f>
        <v>1.5292236960000003</v>
      </c>
      <c r="M56" s="661">
        <f>'Stormwater Rate Projections'!M12</f>
        <v>1.5292236960000003</v>
      </c>
      <c r="N56" s="661">
        <f>'Stormwater Rate Projections'!N12</f>
        <v>1.5292236960000003</v>
      </c>
      <c r="O56" s="661">
        <f>'Stormwater Rate Projections'!O12</f>
        <v>1.5292236960000003</v>
      </c>
    </row>
    <row r="57" spans="1:18" outlineLevel="1" x14ac:dyDescent="0.3">
      <c r="R57" s="661"/>
    </row>
    <row r="58" spans="1:18" x14ac:dyDescent="0.3">
      <c r="C58" s="662" t="s">
        <v>1838</v>
      </c>
      <c r="D58" s="661"/>
      <c r="E58" s="661"/>
    </row>
    <row r="59" spans="1:18" x14ac:dyDescent="0.3">
      <c r="C59" s="664" t="s">
        <v>1841</v>
      </c>
      <c r="D59" s="661"/>
      <c r="E59" s="661"/>
    </row>
    <row r="60" spans="1:18" x14ac:dyDescent="0.3">
      <c r="B60" s="663" t="s">
        <v>1846</v>
      </c>
      <c r="C60" s="663" t="s">
        <v>1847</v>
      </c>
    </row>
    <row r="61" spans="1:18" x14ac:dyDescent="0.3">
      <c r="A61" s="1182" t="s">
        <v>1700</v>
      </c>
      <c r="B61" s="663" t="s">
        <v>1690</v>
      </c>
      <c r="C61" s="663">
        <v>8</v>
      </c>
      <c r="D61" s="661">
        <f>IF($B61=$A$64,D$9+IF($C61&gt;$A$21,$A$19*D$11+($A$20-$A$19)*D$12+($C61-$A$21)*D$13,IF($C61&gt;$A$19,$A$19*D$11+($C61-$A$19)*D$12,$C61*D$11)),D$17+IF($C61&gt;$A$21,$A$19*D$19+($A$20-$A$19)*D$20+($C61-$A$21)*D$21,IF($C61&gt;$A$19,$A$19*D$19+($C61-$A$19)*D$20,$C61*D$19)))</f>
        <v>55.8</v>
      </c>
      <c r="E61" s="661">
        <f>IF($B61=$A$64,E$9+IF($C61&gt;$A$21,$A$19*E$11+($A$20-$A$19)*E$12+($C61-$A$21)*E$13,IF($C61&gt;$A$19,$A$19*E$11+($C61-$A$19)*E$12,$C61*E$11)),E$17+IF($C61&gt;$A$21,$A$19*E$19+($A$20-$A$19)*E$20+($C61-$A$21)*E$21,IF($C61&gt;$A$19,$A$19*E$19+($C61-$A$19)*E$20,$C61*E$19)))</f>
        <v>57.08</v>
      </c>
      <c r="F61" s="661">
        <f>IF($B61=$A$64,F$9+IF($C61&gt;$A$21,$A$19*F$11+($A$20-$A$19)*F$12+($C61-$A$21)*F$13,IF($C61&gt;$A$19,$A$19*F$11+($C61-$A$19)*F$12,$C61*F$11)),F$17+IF($C61&gt;$A$21,$A$19*F$19+($A$20-$A$19)*F$20+($C61-$A$21)*F$21,IF($C61&gt;$A$19,$A$19*F$19+($C61-$A$19)*F$20,$C61*F$19)))</f>
        <v>59.543999999999997</v>
      </c>
      <c r="G61" s="661">
        <f t="shared" ref="G61:O61" si="0">IF($B61=$A$64,G$9+IF($C61&gt;$A$21,$A$19*G$11+($A$20-$A$19)*G$12+($C61-$A$21)*G$13,IF($C61&gt;$A$19,$A$19*G$11+($C61-$A$19)*G$12,$C61*G$11)),G$17+IF($C61&gt;$A$21,$A$19*G$19+($A$20-$A$19)*G$20+($C61-$A$21)*G$21,IF($C61&gt;$A$19,$A$19*G$19+($C61-$A$19)*G$20,$C61*G$19)))</f>
        <v>62.5212</v>
      </c>
      <c r="H61" s="661">
        <f t="shared" si="0"/>
        <v>65.647260000000003</v>
      </c>
      <c r="I61" s="661">
        <f t="shared" si="0"/>
        <v>68.929623000000007</v>
      </c>
      <c r="J61" s="661">
        <f t="shared" si="0"/>
        <v>72.376104150000003</v>
      </c>
      <c r="K61" s="661">
        <f t="shared" si="0"/>
        <v>72.376104150000003</v>
      </c>
      <c r="L61" s="661">
        <f t="shared" si="0"/>
        <v>72.376104150000003</v>
      </c>
      <c r="M61" s="661">
        <f t="shared" si="0"/>
        <v>72.376104150000003</v>
      </c>
      <c r="N61" s="661">
        <f t="shared" si="0"/>
        <v>72.376104150000003</v>
      </c>
      <c r="O61" s="661">
        <f t="shared" si="0"/>
        <v>72.376104150000003</v>
      </c>
    </row>
    <row r="62" spans="1:18" x14ac:dyDescent="0.3">
      <c r="A62" s="1182" t="s">
        <v>1968</v>
      </c>
      <c r="B62" s="663" t="s">
        <v>1690</v>
      </c>
      <c r="C62" s="663">
        <v>13</v>
      </c>
      <c r="D62" s="661">
        <f t="shared" ref="D62:O65" si="1">IF($B62=$A$64,D$9+IF($C62&gt;$A$21,$A$19*D$11+($A$20-$A$19)*D$12+($C62-$A$21)*D$13,IF($C62&gt;$A$19,$A$19*D$11+($C62-$A$19)*D$12,$C62*D$11)),D$17+IF($C62&gt;$A$21,$A$19*D$19+($A$20-$A$19)*D$20+($C62-$A$21)*D$21,IF($C62&gt;$A$19,$A$19*D$19+($C62-$A$19)*D$20,$C62*D$19)))</f>
        <v>90.57</v>
      </c>
      <c r="E62" s="661">
        <f>IF($B62=$A$64,E$9+IF($C62&gt;$A$21,$A$19*E$11+($A$20-$A$19)*E$12+($C62-$A$21)*E$13,IF($C62&gt;$A$19,$A$19*E$11+($C62-$A$19)*E$12,$C62*E$11)),E$17+IF($C62&gt;$A$21,$A$19*E$19+($A$20-$A$19)*E$20+($C62-$A$21)*E$21,IF($C62&gt;$A$19,$A$19*E$19+($C62-$A$19)*E$20,$C62*E$19)))</f>
        <v>92.81</v>
      </c>
      <c r="F62" s="661">
        <f>IF($B62=$A$64,F$9+IF($C62&gt;$A$21,$A$19*F$11+($A$20-$A$19)*F$12+($C62-$A$21)*F$13,IF($C62&gt;$A$19,$A$19*F$11+($C62-$A$19)*F$12,$C62*F$11)),F$17+IF($C62&gt;$A$21,$A$19*F$19+($A$20-$A$19)*F$20+($C62-$A$21)*F$21,IF($C62&gt;$A$19,$A$19*F$19+($C62-$A$19)*F$20,$C62*F$19)))</f>
        <v>97.09559999999999</v>
      </c>
      <c r="G62" s="661">
        <f t="shared" si="1"/>
        <v>101.95038000000001</v>
      </c>
      <c r="H62" s="661">
        <f t="shared" si="1"/>
        <v>107.047899</v>
      </c>
      <c r="I62" s="661">
        <f t="shared" si="1"/>
        <v>112.40029395000001</v>
      </c>
      <c r="J62" s="661">
        <f t="shared" si="1"/>
        <v>118.02030864750003</v>
      </c>
      <c r="K62" s="661">
        <f t="shared" si="1"/>
        <v>118.02030864750003</v>
      </c>
      <c r="L62" s="661">
        <f t="shared" si="1"/>
        <v>118.02030864750003</v>
      </c>
      <c r="M62" s="661">
        <f t="shared" si="1"/>
        <v>118.02030864750003</v>
      </c>
      <c r="N62" s="661">
        <f t="shared" si="1"/>
        <v>118.02030864750003</v>
      </c>
      <c r="O62" s="661">
        <f t="shared" si="1"/>
        <v>118.02030864750003</v>
      </c>
      <c r="R62" s="661"/>
    </row>
    <row r="63" spans="1:18" x14ac:dyDescent="0.3">
      <c r="A63" s="1182"/>
      <c r="B63" s="663" t="s">
        <v>1690</v>
      </c>
      <c r="C63" s="663">
        <v>20</v>
      </c>
      <c r="D63" s="661">
        <f t="shared" si="1"/>
        <v>143.96</v>
      </c>
      <c r="E63" s="661">
        <f t="shared" si="1"/>
        <v>147.66</v>
      </c>
      <c r="F63" s="661">
        <f t="shared" si="1"/>
        <v>154.7568</v>
      </c>
      <c r="G63" s="661">
        <f t="shared" si="1"/>
        <v>162.49464</v>
      </c>
      <c r="H63" s="661">
        <f t="shared" si="1"/>
        <v>170.61937200000003</v>
      </c>
      <c r="I63" s="661">
        <f t="shared" si="1"/>
        <v>179.15034060000002</v>
      </c>
      <c r="J63" s="661">
        <f t="shared" si="1"/>
        <v>188.10785763000004</v>
      </c>
      <c r="K63" s="661">
        <f t="shared" si="1"/>
        <v>188.10785763000004</v>
      </c>
      <c r="L63" s="661">
        <f t="shared" si="1"/>
        <v>188.10785763000004</v>
      </c>
      <c r="M63" s="661">
        <f t="shared" si="1"/>
        <v>188.10785763000004</v>
      </c>
      <c r="N63" s="661">
        <f t="shared" si="1"/>
        <v>188.10785763000004</v>
      </c>
      <c r="O63" s="661">
        <f t="shared" si="1"/>
        <v>188.10785763000004</v>
      </c>
    </row>
    <row r="64" spans="1:18" x14ac:dyDescent="0.3">
      <c r="A64" s="1182" t="s">
        <v>1690</v>
      </c>
      <c r="B64" s="663" t="s">
        <v>1690</v>
      </c>
      <c r="C64" s="663">
        <v>40</v>
      </c>
      <c r="D64" s="661">
        <f t="shared" si="1"/>
        <v>316.36</v>
      </c>
      <c r="E64" s="661">
        <f t="shared" si="1"/>
        <v>324.65999999999997</v>
      </c>
      <c r="F64" s="661">
        <f t="shared" si="1"/>
        <v>340.94880000000001</v>
      </c>
      <c r="G64" s="661">
        <f t="shared" si="1"/>
        <v>357.99624</v>
      </c>
      <c r="H64" s="661">
        <f t="shared" si="1"/>
        <v>375.89605200000005</v>
      </c>
      <c r="I64" s="661">
        <f t="shared" si="1"/>
        <v>394.69085460000008</v>
      </c>
      <c r="J64" s="661">
        <f t="shared" si="1"/>
        <v>414.42539733000007</v>
      </c>
      <c r="K64" s="661">
        <f t="shared" si="1"/>
        <v>414.42539733000007</v>
      </c>
      <c r="L64" s="661">
        <f t="shared" si="1"/>
        <v>414.42539733000007</v>
      </c>
      <c r="M64" s="661">
        <f t="shared" si="1"/>
        <v>414.42539733000007</v>
      </c>
      <c r="N64" s="661">
        <f t="shared" si="1"/>
        <v>414.42539733000007</v>
      </c>
      <c r="O64" s="661">
        <f t="shared" si="1"/>
        <v>414.42539733000007</v>
      </c>
    </row>
    <row r="65" spans="1:18" x14ac:dyDescent="0.3">
      <c r="A65" s="1182" t="s">
        <v>1845</v>
      </c>
      <c r="B65" s="663" t="s">
        <v>1690</v>
      </c>
      <c r="C65" s="663">
        <v>80</v>
      </c>
      <c r="D65" s="661">
        <f t="shared" si="1"/>
        <v>661.16</v>
      </c>
      <c r="E65" s="661">
        <f t="shared" si="1"/>
        <v>678.66</v>
      </c>
      <c r="F65" s="661">
        <f t="shared" si="1"/>
        <v>713.33280000000002</v>
      </c>
      <c r="G65" s="661">
        <f t="shared" si="1"/>
        <v>748.99944000000005</v>
      </c>
      <c r="H65" s="661">
        <f t="shared" si="1"/>
        <v>786.44941200000017</v>
      </c>
      <c r="I65" s="661">
        <f t="shared" si="1"/>
        <v>825.77188260000003</v>
      </c>
      <c r="J65" s="661">
        <f t="shared" si="1"/>
        <v>867.06047673000012</v>
      </c>
      <c r="K65" s="661">
        <f t="shared" si="1"/>
        <v>867.06047673000012</v>
      </c>
      <c r="L65" s="661">
        <f t="shared" si="1"/>
        <v>867.06047673000012</v>
      </c>
      <c r="M65" s="661">
        <f t="shared" si="1"/>
        <v>867.06047673000012</v>
      </c>
      <c r="N65" s="661">
        <f t="shared" si="1"/>
        <v>867.06047673000012</v>
      </c>
      <c r="O65" s="661">
        <f t="shared" si="1"/>
        <v>867.06047673000012</v>
      </c>
    </row>
    <row r="66" spans="1:18" x14ac:dyDescent="0.3">
      <c r="D66" s="661"/>
      <c r="E66" s="661"/>
      <c r="Q66" s="661"/>
    </row>
    <row r="67" spans="1:18" x14ac:dyDescent="0.3">
      <c r="F67" s="661"/>
    </row>
    <row r="68" spans="1:18" x14ac:dyDescent="0.3">
      <c r="B68" s="963"/>
      <c r="C68" s="966" t="s">
        <v>1969</v>
      </c>
      <c r="F68" s="661"/>
    </row>
    <row r="69" spans="1:18" x14ac:dyDescent="0.3">
      <c r="B69" s="964" t="str">
        <f>B61</f>
        <v>Incorporated</v>
      </c>
      <c r="C69" s="964">
        <f>C61</f>
        <v>8</v>
      </c>
      <c r="D69" s="1268">
        <f>D61</f>
        <v>55.8</v>
      </c>
      <c r="E69" s="665">
        <f>E61</f>
        <v>57.08</v>
      </c>
      <c r="F69" s="1184">
        <f>IF($B69=$A$64,F$27+IF($C69&gt;$B$32,$B$30*F$29+($B$31-$B$30)*F$30+($B$32-$B$31)*F$31+($C69-$B$32)*F$32,IF($C69&gt;$B$31,$B$30*F$29+($B$31-$B$30)*F$30+($C69-$B$31)*F$31,IF($C69&gt;$B$30,$B$30*F$29+($C69-$B$30)*F$30,$C69*F$29))),F$35+IF($C69&gt;$B$40,$B$38*F$37+($B$39-$B$38)*F$38+($B$40-$B$39)*F$39+($C69-$B$40)*F$40,IF($C69&gt;$B$39,$B$38*F$37+($B$39-$B$38)*F$38+($C69-$B$39)*F$39,IF($C69&gt;$B$38,$B$38*F$37+($C69-$B$38)*F$38,$C69*F$37))))</f>
        <v>55.684761409600853</v>
      </c>
      <c r="G69" s="1184">
        <f>IF($B69=$A$64,G$27+IF($C69&gt;$B$32,$B$30*G$29+($B$31-$B$30)*G$30+($B$32-$B$31)*G$31+($C69-$B$32)*G$32,IF($C69&gt;$B$31,$B$30*G$29+($B$31-$B$30)*G$30+($C69-$B$31)*G$31,IF($C69&gt;$B$30,$B$30*G$29+($C69-$B$30)*G$30,$C69*G$29))),G$35+IF($C69&gt;$B$40,$B$38*G$37+($B$39-$B$38)*G$38+($B$40-$B$39)*G$39+($C69-$B$40)*G$40,IF($C69&gt;$B$39,$B$38*G$37+($B$39-$B$38)*G$38+($C69-$B$39)*G$39,IF($C69&gt;$B$38,$B$38*G$37+($C69-$B$38)*G$38,$C69*G$37))))</f>
        <v>59.1190970541154</v>
      </c>
      <c r="H69" s="1184">
        <f t="shared" ref="H69:O70" si="2">IF($B69=$A$64,H$27+IF($C69&gt;$B$32,$B$30*H$29+($B$31-$B$30)*H$30+($B$32-$B$31)*H$31+($C69-$B$32)*H$32,IF($C69&gt;$B$31,$B$30*H$29+($B$31-$B$30)*H$30+($C69-$B$31)*H$31,IF($C69&gt;$B$30,$B$30*H$29+($C69-$B$30)*H$30,$C69*H$29))),H$35+IF($C69&gt;$B$40,$B$38*H$37+($B$39-$B$38)*H$38+($B$40-$B$39)*H$39+($C69-$B$40)*H$40,IF($C69&gt;$B$39,$B$38*H$37+($B$39-$B$38)*H$38+($C69-$B$39)*H$39,IF($C69&gt;$B$38,$B$38*H$37+($C69-$B$38)*H$38,$C69*H$37))))</f>
        <v>62.074948421875064</v>
      </c>
      <c r="I69" s="1184">
        <f t="shared" si="2"/>
        <v>65.178588148166327</v>
      </c>
      <c r="J69" s="1184">
        <f t="shared" si="2"/>
        <v>68.437405475243963</v>
      </c>
      <c r="K69" s="1184">
        <f t="shared" si="2"/>
        <v>68.437405475243978</v>
      </c>
      <c r="L69" s="1184">
        <f t="shared" si="2"/>
        <v>68.437405475243949</v>
      </c>
      <c r="M69" s="1184">
        <f t="shared" si="2"/>
        <v>68.437405475243949</v>
      </c>
      <c r="N69" s="1184">
        <f t="shared" si="2"/>
        <v>68.437405475243963</v>
      </c>
      <c r="O69" s="1184">
        <f t="shared" si="2"/>
        <v>68.437405475243963</v>
      </c>
    </row>
    <row r="70" spans="1:18" x14ac:dyDescent="0.3">
      <c r="B70" s="964" t="str">
        <f t="shared" ref="B70:D73" si="3">B62</f>
        <v>Incorporated</v>
      </c>
      <c r="C70" s="964">
        <f t="shared" si="3"/>
        <v>13</v>
      </c>
      <c r="D70" s="1268">
        <f>D62</f>
        <v>90.57</v>
      </c>
      <c r="E70" s="665">
        <f>E62</f>
        <v>92.81</v>
      </c>
      <c r="F70" s="1184">
        <f t="shared" ref="F70:F73" si="4">IF($B70=$A$64,F$27+IF($C70&gt;$B$32,$B$30*F$29+($B$31-$B$30)*F$30+($B$32-$B$31)*F$31+($C70-$B$32)*F$32,IF($C70&gt;$B$31,$B$30*F$29+($B$31-$B$30)*F$30+($C70-$B$31)*F$31,IF($C70&gt;$B$30,$B$30*F$29+($C70-$B$30)*F$30,$C70*F$29))),F$35+IF($C70&gt;$B$40,$B$38*F$37+($B$39-$B$38)*F$38+($B$40-$B$39)*F$39+($C70-$B$40)*F$40,IF($C70&gt;$B$39,$B$38*F$37+($B$39-$B$38)*F$38+($C70-$B$39)*F$39,IF($C70&gt;$B$38,$B$38*F$37+($C70-$B$38)*F$38,$C70*F$37))))</f>
        <v>92.466694641407585</v>
      </c>
      <c r="G70" s="1184">
        <f>IF($B70=$A$64,G$27+IF($C70&gt;$B$32,$B$30*G$29+($B$31-$B$30)*G$30+($B$32-$B$31)*G$31+($C70-$B$32)*G$32,IF($C70&gt;$B$31,$B$30*G$29+($B$31-$B$30)*G$30+($C70-$B$31)*G$31,IF($C70&gt;$B$30,$B$30*G$29+($C70-$B$30)*G$30,$C70*G$29))),G$35+IF($C70&gt;$B$40,$B$38*G$37+($B$39-$B$38)*G$38+($B$40-$B$39)*G$39+($C70-$B$40)*G$40,IF($C70&gt;$B$39,$B$38*G$37+($B$39-$B$38)*G$38+($C70-$B$39)*G$39,IF($C70&gt;$B$38,$B$38*G$37+($C70-$B$38)*G$38,$C70*G$37))))</f>
        <v>98.2195832531945</v>
      </c>
      <c r="H70" s="1184">
        <f t="shared" si="2"/>
        <v>103.13052635134821</v>
      </c>
      <c r="I70" s="1184">
        <f t="shared" si="2"/>
        <v>108.28701517595526</v>
      </c>
      <c r="J70" s="1184">
        <f t="shared" si="2"/>
        <v>113.70132695495819</v>
      </c>
      <c r="K70" s="1184">
        <f t="shared" si="2"/>
        <v>113.70132695495822</v>
      </c>
      <c r="L70" s="1184">
        <f t="shared" si="2"/>
        <v>113.70132695495819</v>
      </c>
      <c r="M70" s="1184">
        <f t="shared" si="2"/>
        <v>113.70132695495819</v>
      </c>
      <c r="N70" s="1184">
        <f t="shared" si="2"/>
        <v>113.7013269549582</v>
      </c>
      <c r="O70" s="1184">
        <f t="shared" si="2"/>
        <v>113.70132695495819</v>
      </c>
    </row>
    <row r="71" spans="1:18" x14ac:dyDescent="0.3">
      <c r="B71" s="964" t="str">
        <f t="shared" si="3"/>
        <v>Incorporated</v>
      </c>
      <c r="C71" s="964">
        <f t="shared" si="3"/>
        <v>20</v>
      </c>
      <c r="D71" s="1268">
        <f t="shared" si="3"/>
        <v>143.96</v>
      </c>
      <c r="E71" s="665">
        <f t="shared" ref="E71" si="5">E63</f>
        <v>147.66</v>
      </c>
      <c r="F71" s="1184">
        <f t="shared" si="4"/>
        <v>151.88366370817232</v>
      </c>
      <c r="G71" s="1184">
        <f t="shared" ref="G71:O73" si="6">IF($B71=$A$64,G$27+IF($C71&gt;$B$32,$B$30*G$29+($B$31-$B$30)*G$30+($B$32-$B$31)*G$31+($C71-$B$32)*G$32,IF($C71&gt;$B$31,$B$30*G$29+($B$31-$B$30)*G$30+($C71-$B$31)*G$31,IF($C71&gt;$B$30,$B$30*G$29+($C71-$B$30)*G$30,$C71*G$29))),G$35+IF($C71&gt;$B$40,$B$38*G$37+($B$39-$B$38)*G$38+($B$40-$B$39)*G$39+($C71-$B$40)*G$40,IF($C71&gt;$B$39,$B$38*G$37+($B$39-$B$38)*G$38+($C71-$B$39)*G$39,IF($C71&gt;$B$38,$B$38*G$37+($C71-$B$38)*G$38,$C71*G$37))))</f>
        <v>161.38190711324532</v>
      </c>
      <c r="H71" s="1184">
        <f t="shared" si="6"/>
        <v>169.45107531434331</v>
      </c>
      <c r="I71" s="1184">
        <f t="shared" si="6"/>
        <v>177.92370499007583</v>
      </c>
      <c r="J71" s="1184">
        <f t="shared" si="6"/>
        <v>186.8199693452658</v>
      </c>
      <c r="K71" s="1184">
        <f t="shared" si="6"/>
        <v>186.81996934526586</v>
      </c>
      <c r="L71" s="1184">
        <f t="shared" si="6"/>
        <v>186.8199693452658</v>
      </c>
      <c r="M71" s="1184">
        <f t="shared" si="6"/>
        <v>186.8199693452658</v>
      </c>
      <c r="N71" s="1184">
        <f t="shared" si="6"/>
        <v>186.81996934526583</v>
      </c>
      <c r="O71" s="1184">
        <f t="shared" si="6"/>
        <v>186.8199693452658</v>
      </c>
    </row>
    <row r="72" spans="1:18" x14ac:dyDescent="0.3">
      <c r="B72" s="964" t="str">
        <f t="shared" si="3"/>
        <v>Incorporated</v>
      </c>
      <c r="C72" s="964">
        <f t="shared" si="3"/>
        <v>40</v>
      </c>
      <c r="D72" s="1268">
        <f t="shared" si="3"/>
        <v>316.36</v>
      </c>
      <c r="E72" s="665">
        <f t="shared" ref="E72" si="7">E64</f>
        <v>324.65999999999997</v>
      </c>
      <c r="F72" s="1184">
        <f t="shared" si="4"/>
        <v>347.11084778468501</v>
      </c>
      <c r="G72" s="1184">
        <f t="shared" si="6"/>
        <v>368.91525693912661</v>
      </c>
      <c r="H72" s="1184">
        <f t="shared" si="6"/>
        <v>387.36145047847009</v>
      </c>
      <c r="I72" s="1184">
        <f t="shared" si="6"/>
        <v>406.72997152218636</v>
      </c>
      <c r="J72" s="1184">
        <f t="shared" si="6"/>
        <v>427.06693719913369</v>
      </c>
      <c r="K72" s="1184">
        <f t="shared" si="6"/>
        <v>427.0669371991338</v>
      </c>
      <c r="L72" s="1184">
        <f t="shared" si="6"/>
        <v>427.06693719913369</v>
      </c>
      <c r="M72" s="1184">
        <f t="shared" si="6"/>
        <v>427.06693719913369</v>
      </c>
      <c r="N72" s="1184">
        <f t="shared" si="6"/>
        <v>427.06693719913369</v>
      </c>
      <c r="O72" s="1184">
        <f t="shared" si="6"/>
        <v>427.06693719913369</v>
      </c>
    </row>
    <row r="73" spans="1:18" x14ac:dyDescent="0.3">
      <c r="B73" s="964" t="str">
        <f t="shared" si="3"/>
        <v>Incorporated</v>
      </c>
      <c r="C73" s="964">
        <f t="shared" si="3"/>
        <v>80</v>
      </c>
      <c r="D73" s="1268">
        <f t="shared" si="3"/>
        <v>661.16</v>
      </c>
      <c r="E73" s="665">
        <f t="shared" ref="E73" si="8">E65</f>
        <v>678.66</v>
      </c>
      <c r="F73" s="1184">
        <f t="shared" si="4"/>
        <v>743.22397489644982</v>
      </c>
      <c r="G73" s="1184">
        <f t="shared" si="6"/>
        <v>789.99741600613208</v>
      </c>
      <c r="H73" s="1184">
        <f t="shared" si="6"/>
        <v>829.49844356510414</v>
      </c>
      <c r="I73" s="1184">
        <f t="shared" si="6"/>
        <v>870.97457028299027</v>
      </c>
      <c r="J73" s="1184">
        <f t="shared" si="6"/>
        <v>914.52455313451776</v>
      </c>
      <c r="K73" s="1184">
        <f t="shared" si="6"/>
        <v>914.52455313451799</v>
      </c>
      <c r="L73" s="1184">
        <f t="shared" si="6"/>
        <v>914.52455313451765</v>
      </c>
      <c r="M73" s="1184">
        <f t="shared" si="6"/>
        <v>914.52455313451765</v>
      </c>
      <c r="N73" s="1184">
        <f t="shared" si="6"/>
        <v>914.52455313451787</v>
      </c>
      <c r="O73" s="1184">
        <f t="shared" si="6"/>
        <v>914.52455313451776</v>
      </c>
    </row>
    <row r="74" spans="1:18" x14ac:dyDescent="0.3">
      <c r="C74" s="657"/>
      <c r="F74" s="661"/>
    </row>
    <row r="75" spans="1:18" x14ac:dyDescent="0.3">
      <c r="F75" s="661"/>
    </row>
    <row r="76" spans="1:18" x14ac:dyDescent="0.3">
      <c r="C76" s="662" t="s">
        <v>1839</v>
      </c>
    </row>
    <row r="77" spans="1:18" x14ac:dyDescent="0.3">
      <c r="B77" s="657" t="str">
        <f t="shared" ref="B77:C81" si="9">B69</f>
        <v>Incorporated</v>
      </c>
      <c r="C77" s="657">
        <f t="shared" si="9"/>
        <v>8</v>
      </c>
      <c r="D77" s="661">
        <f>IF($B77=$A$64,$C77*D$46,$C77*D$49)</f>
        <v>6.72</v>
      </c>
      <c r="E77" s="661">
        <f>IF($B77=$A$64,$C77*E$46,$C77*E$49)</f>
        <v>6.88</v>
      </c>
      <c r="F77" s="661">
        <f t="shared" ref="D77:O81" si="10">IF($B77=$A$64,$C77*F$46,$C77*F$49)</f>
        <v>8.0640000000000001</v>
      </c>
      <c r="G77" s="661">
        <f t="shared" si="10"/>
        <v>8.4672000000000001</v>
      </c>
      <c r="H77" s="661">
        <f>IF($B77=$A$64,$C77*H$46,$C77*H$49)</f>
        <v>8.8905600000000007</v>
      </c>
      <c r="I77" s="661">
        <f t="shared" si="10"/>
        <v>9.3350880000000007</v>
      </c>
      <c r="J77" s="661">
        <f t="shared" si="10"/>
        <v>9.8018424000000017</v>
      </c>
      <c r="K77" s="661">
        <f t="shared" si="10"/>
        <v>9.8018424000000017</v>
      </c>
      <c r="L77" s="661">
        <f t="shared" si="10"/>
        <v>9.8018424000000017</v>
      </c>
      <c r="M77" s="661">
        <f t="shared" si="10"/>
        <v>9.8018424000000017</v>
      </c>
      <c r="N77" s="661">
        <f t="shared" si="10"/>
        <v>9.8018424000000017</v>
      </c>
      <c r="O77" s="661">
        <f t="shared" si="10"/>
        <v>9.8018424000000017</v>
      </c>
    </row>
    <row r="78" spans="1:18" x14ac:dyDescent="0.3">
      <c r="B78" s="657" t="str">
        <f t="shared" si="9"/>
        <v>Incorporated</v>
      </c>
      <c r="C78" s="657">
        <f t="shared" si="9"/>
        <v>13</v>
      </c>
      <c r="D78" s="661">
        <f t="shared" si="10"/>
        <v>10.92</v>
      </c>
      <c r="E78" s="661">
        <f t="shared" si="10"/>
        <v>11.18</v>
      </c>
      <c r="F78" s="661">
        <f>IF($B78=$A$64,$C78*F$46,$C78*F$49)</f>
        <v>13.103999999999999</v>
      </c>
      <c r="G78" s="661">
        <f t="shared" si="10"/>
        <v>13.7592</v>
      </c>
      <c r="H78" s="661">
        <f t="shared" si="10"/>
        <v>14.44716</v>
      </c>
      <c r="I78" s="661">
        <f t="shared" si="10"/>
        <v>15.169518000000002</v>
      </c>
      <c r="J78" s="661">
        <f t="shared" si="10"/>
        <v>15.927993900000002</v>
      </c>
      <c r="K78" s="661">
        <f t="shared" si="10"/>
        <v>15.927993900000002</v>
      </c>
      <c r="L78" s="661">
        <f t="shared" si="10"/>
        <v>15.927993900000002</v>
      </c>
      <c r="M78" s="661">
        <f t="shared" si="10"/>
        <v>15.927993900000002</v>
      </c>
      <c r="N78" s="661">
        <f t="shared" si="10"/>
        <v>15.927993900000002</v>
      </c>
      <c r="O78" s="661">
        <f t="shared" si="10"/>
        <v>15.927993900000002</v>
      </c>
      <c r="R78" s="661"/>
    </row>
    <row r="79" spans="1:18" x14ac:dyDescent="0.3">
      <c r="B79" s="657" t="str">
        <f t="shared" si="9"/>
        <v>Incorporated</v>
      </c>
      <c r="C79" s="657">
        <f t="shared" si="9"/>
        <v>20</v>
      </c>
      <c r="D79" s="661">
        <f t="shared" si="10"/>
        <v>16.8</v>
      </c>
      <c r="E79" s="661">
        <f t="shared" si="10"/>
        <v>17.2</v>
      </c>
      <c r="F79" s="661">
        <f t="shared" si="10"/>
        <v>20.16</v>
      </c>
      <c r="G79" s="661">
        <f t="shared" si="10"/>
        <v>21.167999999999999</v>
      </c>
      <c r="H79" s="661">
        <f t="shared" si="10"/>
        <v>22.226400000000002</v>
      </c>
      <c r="I79" s="661">
        <f t="shared" si="10"/>
        <v>23.337720000000001</v>
      </c>
      <c r="J79" s="661">
        <f t="shared" si="10"/>
        <v>24.504606000000003</v>
      </c>
      <c r="K79" s="661">
        <f t="shared" si="10"/>
        <v>24.504606000000003</v>
      </c>
      <c r="L79" s="661">
        <f t="shared" si="10"/>
        <v>24.504606000000003</v>
      </c>
      <c r="M79" s="661">
        <f t="shared" si="10"/>
        <v>24.504606000000003</v>
      </c>
      <c r="N79" s="661">
        <f t="shared" si="10"/>
        <v>24.504606000000003</v>
      </c>
      <c r="O79" s="661">
        <f t="shared" si="10"/>
        <v>24.504606000000003</v>
      </c>
    </row>
    <row r="80" spans="1:18" x14ac:dyDescent="0.3">
      <c r="B80" s="657" t="str">
        <f t="shared" si="9"/>
        <v>Incorporated</v>
      </c>
      <c r="C80" s="657">
        <f t="shared" si="9"/>
        <v>40</v>
      </c>
      <c r="D80" s="661">
        <f t="shared" si="10"/>
        <v>33.6</v>
      </c>
      <c r="E80" s="661">
        <f t="shared" si="10"/>
        <v>34.4</v>
      </c>
      <c r="F80" s="661">
        <f t="shared" si="10"/>
        <v>40.32</v>
      </c>
      <c r="G80" s="661">
        <f t="shared" si="10"/>
        <v>42.335999999999999</v>
      </c>
      <c r="H80" s="661">
        <f t="shared" si="10"/>
        <v>44.452800000000003</v>
      </c>
      <c r="I80" s="661">
        <f t="shared" si="10"/>
        <v>46.675440000000002</v>
      </c>
      <c r="J80" s="661">
        <f t="shared" si="10"/>
        <v>49.009212000000005</v>
      </c>
      <c r="K80" s="661">
        <f t="shared" si="10"/>
        <v>49.009212000000005</v>
      </c>
      <c r="L80" s="661">
        <f t="shared" si="10"/>
        <v>49.009212000000005</v>
      </c>
      <c r="M80" s="661">
        <f t="shared" si="10"/>
        <v>49.009212000000005</v>
      </c>
      <c r="N80" s="661">
        <f t="shared" si="10"/>
        <v>49.009212000000005</v>
      </c>
      <c r="O80" s="661">
        <f t="shared" si="10"/>
        <v>49.009212000000005</v>
      </c>
    </row>
    <row r="81" spans="2:18" x14ac:dyDescent="0.3">
      <c r="B81" s="657" t="str">
        <f t="shared" si="9"/>
        <v>Incorporated</v>
      </c>
      <c r="C81" s="657">
        <f t="shared" si="9"/>
        <v>80</v>
      </c>
      <c r="D81" s="661">
        <f t="shared" si="10"/>
        <v>67.2</v>
      </c>
      <c r="E81" s="661">
        <f t="shared" si="10"/>
        <v>68.8</v>
      </c>
      <c r="F81" s="661">
        <f t="shared" si="10"/>
        <v>80.64</v>
      </c>
      <c r="G81" s="661">
        <f t="shared" si="10"/>
        <v>84.671999999999997</v>
      </c>
      <c r="H81" s="661">
        <f t="shared" si="10"/>
        <v>88.905600000000007</v>
      </c>
      <c r="I81" s="661">
        <f t="shared" si="10"/>
        <v>93.350880000000004</v>
      </c>
      <c r="J81" s="661">
        <f t="shared" si="10"/>
        <v>98.01842400000001</v>
      </c>
      <c r="K81" s="661">
        <f t="shared" si="10"/>
        <v>98.01842400000001</v>
      </c>
      <c r="L81" s="661">
        <f t="shared" si="10"/>
        <v>98.01842400000001</v>
      </c>
      <c r="M81" s="661">
        <f t="shared" si="10"/>
        <v>98.01842400000001</v>
      </c>
      <c r="N81" s="661">
        <f t="shared" si="10"/>
        <v>98.01842400000001</v>
      </c>
      <c r="O81" s="661">
        <f t="shared" si="10"/>
        <v>98.01842400000001</v>
      </c>
    </row>
    <row r="83" spans="2:18" x14ac:dyDescent="0.3">
      <c r="C83" s="662" t="s">
        <v>1840</v>
      </c>
    </row>
    <row r="84" spans="2:18" x14ac:dyDescent="0.3">
      <c r="B84" s="657" t="str">
        <f>B77</f>
        <v>Incorporated</v>
      </c>
      <c r="C84" s="657">
        <f>C77</f>
        <v>8</v>
      </c>
      <c r="D84" s="661">
        <f t="shared" ref="D84:O88" si="11">IF($B84=$A$64,$C84*D$53,$C84*D$56)</f>
        <v>7.04</v>
      </c>
      <c r="E84" s="661">
        <f t="shared" si="11"/>
        <v>7.2</v>
      </c>
      <c r="F84" s="661">
        <f t="shared" si="11"/>
        <v>14.08</v>
      </c>
      <c r="G84" s="661">
        <f>IF($B84=$A$64,$C84*G$53,$C84*G$56)</f>
        <v>14.784000000000001</v>
      </c>
      <c r="H84" s="661">
        <f>IF($B84=$A$64,$C84*H$53,$C84*H$56)</f>
        <v>15.375360000000001</v>
      </c>
      <c r="I84" s="661">
        <f t="shared" si="11"/>
        <v>15.8366208</v>
      </c>
      <c r="J84" s="661">
        <f t="shared" si="11"/>
        <v>16.311719424</v>
      </c>
      <c r="K84" s="661">
        <f t="shared" si="11"/>
        <v>16.311719424</v>
      </c>
      <c r="L84" s="661">
        <f t="shared" si="11"/>
        <v>16.311719424</v>
      </c>
      <c r="M84" s="661">
        <f t="shared" si="11"/>
        <v>16.311719424</v>
      </c>
      <c r="N84" s="661">
        <f t="shared" si="11"/>
        <v>16.311719424</v>
      </c>
      <c r="O84" s="661">
        <f t="shared" si="11"/>
        <v>16.311719424</v>
      </c>
    </row>
    <row r="85" spans="2:18" x14ac:dyDescent="0.3">
      <c r="B85" s="657" t="str">
        <f t="shared" ref="B85:C88" si="12">B78</f>
        <v>Incorporated</v>
      </c>
      <c r="C85" s="657">
        <f t="shared" si="12"/>
        <v>13</v>
      </c>
      <c r="D85" s="661">
        <f t="shared" si="11"/>
        <v>11.44</v>
      </c>
      <c r="E85" s="661">
        <f t="shared" si="11"/>
        <v>11.700000000000001</v>
      </c>
      <c r="F85" s="661">
        <f t="shared" si="11"/>
        <v>22.88</v>
      </c>
      <c r="G85" s="661">
        <f t="shared" si="11"/>
        <v>24.024000000000001</v>
      </c>
      <c r="H85" s="661">
        <f t="shared" si="11"/>
        <v>24.984960000000001</v>
      </c>
      <c r="I85" s="661">
        <f t="shared" si="11"/>
        <v>25.7345088</v>
      </c>
      <c r="J85" s="661">
        <f t="shared" si="11"/>
        <v>26.506544064</v>
      </c>
      <c r="K85" s="661">
        <f t="shared" si="11"/>
        <v>26.506544064</v>
      </c>
      <c r="L85" s="661">
        <f t="shared" si="11"/>
        <v>26.506544064</v>
      </c>
      <c r="M85" s="661">
        <f t="shared" si="11"/>
        <v>26.506544064</v>
      </c>
      <c r="N85" s="661">
        <f t="shared" si="11"/>
        <v>26.506544064</v>
      </c>
      <c r="O85" s="661">
        <f t="shared" si="11"/>
        <v>26.506544064</v>
      </c>
      <c r="R85" s="661"/>
    </row>
    <row r="86" spans="2:18" x14ac:dyDescent="0.3">
      <c r="B86" s="657" t="str">
        <f t="shared" si="12"/>
        <v>Incorporated</v>
      </c>
      <c r="C86" s="657">
        <f t="shared" si="12"/>
        <v>20</v>
      </c>
      <c r="D86" s="661">
        <f t="shared" si="11"/>
        <v>17.600000000000001</v>
      </c>
      <c r="E86" s="661">
        <f t="shared" si="11"/>
        <v>18</v>
      </c>
      <c r="F86" s="661">
        <f t="shared" si="11"/>
        <v>35.200000000000003</v>
      </c>
      <c r="G86" s="661">
        <f t="shared" si="11"/>
        <v>36.96</v>
      </c>
      <c r="H86" s="661">
        <f t="shared" si="11"/>
        <v>38.438400000000001</v>
      </c>
      <c r="I86" s="661">
        <f t="shared" si="11"/>
        <v>39.591552</v>
      </c>
      <c r="J86" s="661">
        <f t="shared" si="11"/>
        <v>40.779298560000001</v>
      </c>
      <c r="K86" s="661">
        <f t="shared" si="11"/>
        <v>40.779298560000001</v>
      </c>
      <c r="L86" s="661">
        <f t="shared" si="11"/>
        <v>40.779298560000001</v>
      </c>
      <c r="M86" s="661">
        <f t="shared" si="11"/>
        <v>40.779298560000001</v>
      </c>
      <c r="N86" s="661">
        <f t="shared" si="11"/>
        <v>40.779298560000001</v>
      </c>
      <c r="O86" s="661">
        <f t="shared" si="11"/>
        <v>40.779298560000001</v>
      </c>
    </row>
    <row r="87" spans="2:18" x14ac:dyDescent="0.3">
      <c r="B87" s="657" t="str">
        <f t="shared" si="12"/>
        <v>Incorporated</v>
      </c>
      <c r="C87" s="657">
        <f t="shared" si="12"/>
        <v>40</v>
      </c>
      <c r="D87" s="661">
        <f t="shared" si="11"/>
        <v>35.200000000000003</v>
      </c>
      <c r="E87" s="661">
        <f t="shared" si="11"/>
        <v>36</v>
      </c>
      <c r="F87" s="661">
        <f t="shared" si="11"/>
        <v>70.400000000000006</v>
      </c>
      <c r="G87" s="661">
        <f t="shared" si="11"/>
        <v>73.92</v>
      </c>
      <c r="H87" s="661">
        <f t="shared" si="11"/>
        <v>76.876800000000003</v>
      </c>
      <c r="I87" s="661">
        <f t="shared" si="11"/>
        <v>79.183104</v>
      </c>
      <c r="J87" s="661">
        <f t="shared" si="11"/>
        <v>81.558597120000002</v>
      </c>
      <c r="K87" s="661">
        <f t="shared" si="11"/>
        <v>81.558597120000002</v>
      </c>
      <c r="L87" s="661">
        <f t="shared" si="11"/>
        <v>81.558597120000002</v>
      </c>
      <c r="M87" s="661">
        <f t="shared" si="11"/>
        <v>81.558597120000002</v>
      </c>
      <c r="N87" s="661">
        <f t="shared" si="11"/>
        <v>81.558597120000002</v>
      </c>
      <c r="O87" s="661">
        <f t="shared" si="11"/>
        <v>81.558597120000002</v>
      </c>
    </row>
    <row r="88" spans="2:18" x14ac:dyDescent="0.3">
      <c r="B88" s="657" t="str">
        <f t="shared" si="12"/>
        <v>Incorporated</v>
      </c>
      <c r="C88" s="657">
        <f t="shared" si="12"/>
        <v>80</v>
      </c>
      <c r="D88" s="661">
        <f t="shared" si="11"/>
        <v>70.400000000000006</v>
      </c>
      <c r="E88" s="661">
        <f t="shared" si="11"/>
        <v>72</v>
      </c>
      <c r="F88" s="661">
        <f t="shared" si="11"/>
        <v>140.80000000000001</v>
      </c>
      <c r="G88" s="661">
        <f t="shared" si="11"/>
        <v>147.84</v>
      </c>
      <c r="H88" s="661">
        <f t="shared" si="11"/>
        <v>153.75360000000001</v>
      </c>
      <c r="I88" s="661">
        <f t="shared" si="11"/>
        <v>158.366208</v>
      </c>
      <c r="J88" s="661">
        <f t="shared" si="11"/>
        <v>163.11719424</v>
      </c>
      <c r="K88" s="661">
        <f t="shared" si="11"/>
        <v>163.11719424</v>
      </c>
      <c r="L88" s="661">
        <f t="shared" si="11"/>
        <v>163.11719424</v>
      </c>
      <c r="M88" s="661">
        <f t="shared" si="11"/>
        <v>163.11719424</v>
      </c>
      <c r="N88" s="661">
        <f t="shared" si="11"/>
        <v>163.11719424</v>
      </c>
      <c r="O88" s="661">
        <f t="shared" si="11"/>
        <v>163.11719424</v>
      </c>
    </row>
    <row r="91" spans="2:18" x14ac:dyDescent="0.3">
      <c r="B91" s="663" t="s">
        <v>1700</v>
      </c>
      <c r="C91" s="965" t="s">
        <v>1848</v>
      </c>
    </row>
    <row r="92" spans="2:18" x14ac:dyDescent="0.3">
      <c r="B92" s="663" t="str">
        <f>B84</f>
        <v>Incorporated</v>
      </c>
      <c r="C92" s="663">
        <f>C84</f>
        <v>8</v>
      </c>
      <c r="D92" s="661">
        <f>IF($B$91=$A$61,D61+D77+D84,IF($B$91=$A$62,D69+D77+D84,D77+D84))</f>
        <v>69.56</v>
      </c>
      <c r="E92" s="661">
        <f>IF($B$91=$A$61,E61+E77+E84,IF($B$91=$A$62,E69+E77+E84,E77+E84))</f>
        <v>71.16</v>
      </c>
      <c r="F92" s="661">
        <f t="shared" ref="F92:G92" si="13">IF($B$91=$A$61,F61+F77+F84,IF($B$91=$A$62,F69+F77+F84,F77+F84))</f>
        <v>81.688000000000002</v>
      </c>
      <c r="G92" s="661">
        <f t="shared" si="13"/>
        <v>85.772400000000005</v>
      </c>
      <c r="H92" s="661">
        <f t="shared" ref="H92:O92" si="14">IF($B$91=$A$61,H61+H77+H84,IF($B$91=$A$62,H69+H77+H84,H77+H84))</f>
        <v>89.913180000000011</v>
      </c>
      <c r="I92" s="661">
        <f t="shared" si="14"/>
        <v>94.101331800000011</v>
      </c>
      <c r="J92" s="661">
        <f t="shared" si="14"/>
        <v>98.489665974000005</v>
      </c>
      <c r="K92" s="661">
        <f t="shared" si="14"/>
        <v>98.489665974000005</v>
      </c>
      <c r="L92" s="661">
        <f t="shared" si="14"/>
        <v>98.489665974000005</v>
      </c>
      <c r="M92" s="661">
        <f t="shared" si="14"/>
        <v>98.489665974000005</v>
      </c>
      <c r="N92" s="661">
        <f t="shared" si="14"/>
        <v>98.489665974000005</v>
      </c>
      <c r="O92" s="661">
        <f t="shared" si="14"/>
        <v>98.489665974000005</v>
      </c>
    </row>
    <row r="93" spans="2:18" x14ac:dyDescent="0.3">
      <c r="B93" s="663" t="str">
        <f t="shared" ref="B93:C96" si="15">B85</f>
        <v>Incorporated</v>
      </c>
      <c r="C93" s="663">
        <f t="shared" si="15"/>
        <v>13</v>
      </c>
      <c r="D93" s="661">
        <f>IF($B$91=$A$61,D62+D78+D85,IF($B$91=$A$62,D70+D78+D85,D78+D85))</f>
        <v>112.92999999999999</v>
      </c>
      <c r="E93" s="661">
        <f>IF($B$91=$A$61,E62+E78+E85,IF($B$91=$A$62,E70+E78+E85,E78+E85))</f>
        <v>115.69000000000001</v>
      </c>
      <c r="F93" s="661">
        <f t="shared" ref="F93:G93" si="16">IF($B$91=$A$61,F62+F78+F85,IF($B$91=$A$62,F70+F78+F85,F78+F85))</f>
        <v>133.0796</v>
      </c>
      <c r="G93" s="661">
        <f t="shared" si="16"/>
        <v>139.73358000000002</v>
      </c>
      <c r="H93" s="661">
        <f t="shared" ref="H93:O93" si="17">IF($B$91=$A$61,H62+H78+H85,IF($B$91=$A$62,H70+H78+H85,H78+H85))</f>
        <v>146.480019</v>
      </c>
      <c r="I93" s="661">
        <f t="shared" si="17"/>
        <v>153.30432074999999</v>
      </c>
      <c r="J93" s="661">
        <f t="shared" si="17"/>
        <v>160.45484661150002</v>
      </c>
      <c r="K93" s="661">
        <f t="shared" si="17"/>
        <v>160.45484661150002</v>
      </c>
      <c r="L93" s="661">
        <f t="shared" si="17"/>
        <v>160.45484661150002</v>
      </c>
      <c r="M93" s="661">
        <f t="shared" si="17"/>
        <v>160.45484661150002</v>
      </c>
      <c r="N93" s="661">
        <f t="shared" si="17"/>
        <v>160.45484661150002</v>
      </c>
      <c r="O93" s="661">
        <f t="shared" si="17"/>
        <v>160.45484661150002</v>
      </c>
    </row>
    <row r="94" spans="2:18" x14ac:dyDescent="0.3">
      <c r="B94" s="663" t="str">
        <f t="shared" si="15"/>
        <v>Incorporated</v>
      </c>
      <c r="C94" s="663">
        <f t="shared" si="15"/>
        <v>20</v>
      </c>
      <c r="D94" s="661">
        <f t="shared" ref="D94:G96" si="18">IF($B$91=$A$61,D63+D79+D86,IF($B$91=$A$62,D71+D79+D86,D79+D86))</f>
        <v>178.36</v>
      </c>
      <c r="E94" s="661">
        <f t="shared" ref="E94" si="19">IF($B$91=$A$61,E63+E79+E86,IF($B$91=$A$62,E71+E79+E86,E79+E86))</f>
        <v>182.85999999999999</v>
      </c>
      <c r="F94" s="661">
        <f t="shared" si="18"/>
        <v>210.11680000000001</v>
      </c>
      <c r="G94" s="661">
        <f t="shared" si="18"/>
        <v>220.62264000000002</v>
      </c>
      <c r="H94" s="661">
        <f t="shared" ref="H94:O94" si="20">IF($B$91=$A$61,H63+H79+H86,IF($B$91=$A$62,H71+H79+H86,H79+H86))</f>
        <v>231.28417200000004</v>
      </c>
      <c r="I94" s="661">
        <f>IF($B$91=$A$61,I63+I79+I86,IF($B$91=$A$62,I71+I79+I86,I79+I86))</f>
        <v>242.07961260000002</v>
      </c>
      <c r="J94" s="661">
        <f t="shared" si="20"/>
        <v>253.39176219000004</v>
      </c>
      <c r="K94" s="661">
        <f t="shared" si="20"/>
        <v>253.39176219000004</v>
      </c>
      <c r="L94" s="661">
        <f t="shared" si="20"/>
        <v>253.39176219000004</v>
      </c>
      <c r="M94" s="661">
        <f t="shared" si="20"/>
        <v>253.39176219000004</v>
      </c>
      <c r="N94" s="661">
        <f t="shared" si="20"/>
        <v>253.39176219000004</v>
      </c>
      <c r="O94" s="661">
        <f t="shared" si="20"/>
        <v>253.39176219000004</v>
      </c>
    </row>
    <row r="95" spans="2:18" x14ac:dyDescent="0.3">
      <c r="B95" s="663" t="str">
        <f t="shared" si="15"/>
        <v>Incorporated</v>
      </c>
      <c r="C95" s="663">
        <f t="shared" si="15"/>
        <v>40</v>
      </c>
      <c r="D95" s="661">
        <f t="shared" si="18"/>
        <v>385.16</v>
      </c>
      <c r="E95" s="661">
        <f t="shared" ref="E95" si="21">IF($B$91=$A$61,E64+E80+E87,IF($B$91=$A$62,E72+E80+E87,E80+E87))</f>
        <v>395.05999999999995</v>
      </c>
      <c r="F95" s="661">
        <f t="shared" si="18"/>
        <v>451.66880000000003</v>
      </c>
      <c r="G95" s="661">
        <f t="shared" si="18"/>
        <v>474.25224000000003</v>
      </c>
      <c r="H95" s="661">
        <f t="shared" ref="H95:O95" si="22">IF($B$91=$A$61,H64+H80+H87,IF($B$91=$A$62,H72+H80+H87,H80+H87))</f>
        <v>497.22565200000008</v>
      </c>
      <c r="I95" s="661">
        <f t="shared" si="22"/>
        <v>520.54939860000002</v>
      </c>
      <c r="J95" s="661">
        <f t="shared" si="22"/>
        <v>544.99320645000012</v>
      </c>
      <c r="K95" s="661">
        <f t="shared" si="22"/>
        <v>544.99320645000012</v>
      </c>
      <c r="L95" s="661">
        <f t="shared" si="22"/>
        <v>544.99320645000012</v>
      </c>
      <c r="M95" s="661">
        <f t="shared" si="22"/>
        <v>544.99320645000012</v>
      </c>
      <c r="N95" s="661">
        <f t="shared" si="22"/>
        <v>544.99320645000012</v>
      </c>
      <c r="O95" s="661">
        <f t="shared" si="22"/>
        <v>544.99320645000012</v>
      </c>
    </row>
    <row r="96" spans="2:18" x14ac:dyDescent="0.3">
      <c r="B96" s="663" t="str">
        <f t="shared" si="15"/>
        <v>Incorporated</v>
      </c>
      <c r="C96" s="663">
        <f t="shared" si="15"/>
        <v>80</v>
      </c>
      <c r="D96" s="661">
        <f t="shared" si="18"/>
        <v>798.76</v>
      </c>
      <c r="E96" s="661">
        <f t="shared" ref="E96" si="23">IF($B$91=$A$61,E65+E81+E88,IF($B$91=$A$62,E73+E81+E88,E81+E88))</f>
        <v>819.45999999999992</v>
      </c>
      <c r="F96" s="661">
        <f t="shared" si="18"/>
        <v>934.77279999999996</v>
      </c>
      <c r="G96" s="661">
        <f t="shared" si="18"/>
        <v>981.51144000000011</v>
      </c>
      <c r="H96" s="661">
        <f t="shared" ref="H96:O96" si="24">IF($B$91=$A$61,H65+H81+H88,IF($B$91=$A$62,H73+H81+H88,H81+H88))</f>
        <v>1029.1086120000002</v>
      </c>
      <c r="I96" s="661">
        <f t="shared" si="24"/>
        <v>1077.4889705999999</v>
      </c>
      <c r="J96" s="661">
        <f t="shared" si="24"/>
        <v>1128.1960949700001</v>
      </c>
      <c r="K96" s="661">
        <f t="shared" si="24"/>
        <v>1128.1960949700001</v>
      </c>
      <c r="L96" s="661">
        <f t="shared" si="24"/>
        <v>1128.1960949700001</v>
      </c>
      <c r="M96" s="661">
        <f t="shared" si="24"/>
        <v>1128.1960949700001</v>
      </c>
      <c r="N96" s="661">
        <f t="shared" si="24"/>
        <v>1128.1960949700001</v>
      </c>
      <c r="O96" s="661">
        <f t="shared" si="24"/>
        <v>1128.1960949700001</v>
      </c>
    </row>
    <row r="98" spans="2:15" x14ac:dyDescent="0.3">
      <c r="B98" s="967" t="s">
        <v>1968</v>
      </c>
      <c r="C98" s="964" t="str">
        <f>C91</f>
        <v>Total Bi-Monthly Bill</v>
      </c>
    </row>
    <row r="99" spans="2:15" x14ac:dyDescent="0.3">
      <c r="B99" s="964" t="str">
        <f t="shared" ref="B99:C99" si="25">B92</f>
        <v>Incorporated</v>
      </c>
      <c r="C99" s="964">
        <f t="shared" si="25"/>
        <v>8</v>
      </c>
      <c r="D99" s="661">
        <f t="shared" ref="D99:E99" si="26">IF($B$98=$A$61,D61+D77+D84,IF($B$98=$A$62,D69+D77+D84,D77+D84))</f>
        <v>69.56</v>
      </c>
      <c r="E99" s="661">
        <f t="shared" si="26"/>
        <v>71.16</v>
      </c>
      <c r="F99" s="661">
        <f t="shared" ref="F99:O99" si="27">IF($B$98=$A$61,F61+F77+F84,IF($B$98=$A$62,F69+F77+F84,F77+F84))</f>
        <v>77.828761409600858</v>
      </c>
      <c r="G99" s="661">
        <f t="shared" si="27"/>
        <v>82.370297054115412</v>
      </c>
      <c r="H99" s="661">
        <f t="shared" si="27"/>
        <v>86.340868421875058</v>
      </c>
      <c r="I99" s="661">
        <f t="shared" si="27"/>
        <v>90.350296948166331</v>
      </c>
      <c r="J99" s="661">
        <f t="shared" si="27"/>
        <v>94.550967299243965</v>
      </c>
      <c r="K99" s="661">
        <f t="shared" si="27"/>
        <v>94.550967299243979</v>
      </c>
      <c r="L99" s="661">
        <f t="shared" si="27"/>
        <v>94.55096729924395</v>
      </c>
      <c r="M99" s="661">
        <f t="shared" si="27"/>
        <v>94.55096729924395</v>
      </c>
      <c r="N99" s="661">
        <f t="shared" si="27"/>
        <v>94.550967299243965</v>
      </c>
      <c r="O99" s="661">
        <f t="shared" si="27"/>
        <v>94.550967299243965</v>
      </c>
    </row>
    <row r="100" spans="2:15" x14ac:dyDescent="0.3">
      <c r="B100" s="964" t="str">
        <f t="shared" ref="B100:C100" si="28">B93</f>
        <v>Incorporated</v>
      </c>
      <c r="C100" s="964">
        <f t="shared" si="28"/>
        <v>13</v>
      </c>
      <c r="D100" s="661">
        <f t="shared" ref="D100:E100" si="29">IF($B$98=$A$61,D62+D78+D85,IF($B$98=$A$62,D70+D78+D85,D78+D85))</f>
        <v>112.92999999999999</v>
      </c>
      <c r="E100" s="661">
        <f t="shared" si="29"/>
        <v>115.69000000000001</v>
      </c>
      <c r="F100" s="661">
        <f t="shared" ref="F100:O103" si="30">IF($B$98=$A$61,F62+F78+F85,IF($B$98=$A$62,F70+F78+F85,F78+F85))</f>
        <v>128.45069464140758</v>
      </c>
      <c r="G100" s="661">
        <f>IF($B$98=$A$61,G62+G78+G85,IF($B$98=$A$62,G70+G78+G85,G78+G85))</f>
        <v>136.00278325319451</v>
      </c>
      <c r="H100" s="661">
        <f t="shared" si="30"/>
        <v>142.56264635134821</v>
      </c>
      <c r="I100" s="661">
        <f t="shared" si="30"/>
        <v>149.19104197595527</v>
      </c>
      <c r="J100" s="661">
        <f t="shared" si="30"/>
        <v>156.13586491895819</v>
      </c>
      <c r="K100" s="661">
        <f t="shared" si="30"/>
        <v>156.13586491895822</v>
      </c>
      <c r="L100" s="661">
        <f t="shared" si="30"/>
        <v>156.13586491895819</v>
      </c>
      <c r="M100" s="661">
        <f t="shared" si="30"/>
        <v>156.13586491895819</v>
      </c>
      <c r="N100" s="661">
        <f t="shared" si="30"/>
        <v>156.13586491895819</v>
      </c>
      <c r="O100" s="661">
        <f>IF($B$98=$A$61,O62+O78+O85,IF($B$98=$A$62,O70+O78+O85,O78+O85))</f>
        <v>156.13586491895819</v>
      </c>
    </row>
    <row r="101" spans="2:15" x14ac:dyDescent="0.3">
      <c r="B101" s="964" t="str">
        <f t="shared" ref="B101:C101" si="31">B94</f>
        <v>Incorporated</v>
      </c>
      <c r="C101" s="964">
        <f t="shared" si="31"/>
        <v>20</v>
      </c>
      <c r="D101" s="661">
        <f t="shared" ref="D101:E101" si="32">IF($B$98=$A$61,D63+D79+D86,IF($B$98=$A$62,D71+D79+D86,D79+D86))</f>
        <v>178.36</v>
      </c>
      <c r="E101" s="661">
        <f t="shared" si="32"/>
        <v>182.85999999999999</v>
      </c>
      <c r="F101" s="661">
        <f t="shared" si="30"/>
        <v>207.24366370817233</v>
      </c>
      <c r="G101" s="661">
        <f>IF($B$98=$A$61,G63+G79+G86,IF($B$98=$A$62,G71+G79+G86,G79+G86))</f>
        <v>219.50990711324533</v>
      </c>
      <c r="H101" s="661">
        <f t="shared" si="30"/>
        <v>230.11587531434333</v>
      </c>
      <c r="I101" s="661">
        <f>IF($B$98=$A$61,I63+I79+I86,IF($B$98=$A$62,I71+I79+I86,I79+I86))</f>
        <v>240.85297699007583</v>
      </c>
      <c r="J101" s="661">
        <f t="shared" si="30"/>
        <v>252.1038739052658</v>
      </c>
      <c r="K101" s="661">
        <f t="shared" si="30"/>
        <v>252.10387390526586</v>
      </c>
      <c r="L101" s="661">
        <f t="shared" si="30"/>
        <v>252.1038739052658</v>
      </c>
      <c r="M101" s="661">
        <f t="shared" si="30"/>
        <v>252.1038739052658</v>
      </c>
      <c r="N101" s="661">
        <f t="shared" si="30"/>
        <v>252.10387390526583</v>
      </c>
      <c r="O101" s="661">
        <f t="shared" si="30"/>
        <v>252.1038739052658</v>
      </c>
    </row>
    <row r="102" spans="2:15" x14ac:dyDescent="0.3">
      <c r="B102" s="964" t="str">
        <f t="shared" ref="B102:C103" si="33">B95</f>
        <v>Incorporated</v>
      </c>
      <c r="C102" s="964">
        <f t="shared" si="33"/>
        <v>40</v>
      </c>
      <c r="D102" s="661">
        <f t="shared" ref="D102:E102" si="34">IF($B$98=$A$61,D64+D80+D87,IF($B$98=$A$62,D72+D80+D87,D80+D87))</f>
        <v>385.16</v>
      </c>
      <c r="E102" s="661">
        <f t="shared" si="34"/>
        <v>395.05999999999995</v>
      </c>
      <c r="F102" s="661">
        <f t="shared" si="30"/>
        <v>457.83084778468503</v>
      </c>
      <c r="G102" s="661">
        <f t="shared" si="30"/>
        <v>485.17125693912664</v>
      </c>
      <c r="H102" s="661">
        <f t="shared" si="30"/>
        <v>508.69105047847012</v>
      </c>
      <c r="I102" s="661">
        <f t="shared" si="30"/>
        <v>532.5885155221863</v>
      </c>
      <c r="J102" s="661">
        <f>IF($B$98=$A$61,J64+J80+J87,IF($B$98=$A$62,J72+J80+J87,J80+J87))</f>
        <v>557.63474631913368</v>
      </c>
      <c r="K102" s="661">
        <f t="shared" si="30"/>
        <v>557.6347463191338</v>
      </c>
      <c r="L102" s="661">
        <f t="shared" si="30"/>
        <v>557.63474631913368</v>
      </c>
      <c r="M102" s="661">
        <f t="shared" si="30"/>
        <v>557.63474631913368</v>
      </c>
      <c r="N102" s="661">
        <f t="shared" si="30"/>
        <v>557.63474631913368</v>
      </c>
      <c r="O102" s="661">
        <f t="shared" si="30"/>
        <v>557.63474631913368</v>
      </c>
    </row>
    <row r="103" spans="2:15" x14ac:dyDescent="0.3">
      <c r="B103" s="964" t="str">
        <f t="shared" si="33"/>
        <v>Incorporated</v>
      </c>
      <c r="C103" s="964">
        <f t="shared" si="33"/>
        <v>80</v>
      </c>
      <c r="D103" s="661">
        <f t="shared" ref="D103:E103" si="35">IF($B$98=$A$61,D65+D81+D88,IF($B$98=$A$62,D73+D81+D88,D81+D88))</f>
        <v>798.76</v>
      </c>
      <c r="E103" s="661">
        <f t="shared" si="35"/>
        <v>819.45999999999992</v>
      </c>
      <c r="F103" s="661">
        <f t="shared" si="30"/>
        <v>964.66397489644987</v>
      </c>
      <c r="G103" s="661">
        <f>IF($B$98=$A$61,G65+G81+G88,IF($B$98=$A$62,G73+G81+G88,G81+G88))</f>
        <v>1022.5094160061321</v>
      </c>
      <c r="H103" s="661">
        <f t="shared" si="30"/>
        <v>1072.1576435651041</v>
      </c>
      <c r="I103" s="661">
        <f t="shared" si="30"/>
        <v>1122.6916582829901</v>
      </c>
      <c r="J103" s="661">
        <f t="shared" si="30"/>
        <v>1175.6601713745176</v>
      </c>
      <c r="K103" s="661">
        <f t="shared" si="30"/>
        <v>1175.6601713745181</v>
      </c>
      <c r="L103" s="661">
        <f t="shared" si="30"/>
        <v>1175.6601713745176</v>
      </c>
      <c r="M103" s="661">
        <f t="shared" si="30"/>
        <v>1175.6601713745176</v>
      </c>
      <c r="N103" s="661">
        <f t="shared" si="30"/>
        <v>1175.6601713745179</v>
      </c>
      <c r="O103" s="661">
        <f t="shared" si="30"/>
        <v>1175.6601713745176</v>
      </c>
    </row>
    <row r="105" spans="2:15" x14ac:dyDescent="0.3">
      <c r="F105" s="661"/>
    </row>
    <row r="109" spans="2:15" x14ac:dyDescent="0.3">
      <c r="C109" s="1212"/>
    </row>
  </sheetData>
  <dataValidations disablePrompts="1" count="2">
    <dataValidation type="list" allowBlank="1" showInputMessage="1" showErrorMessage="1" sqref="B91">
      <formula1>$A$61:$A$63</formula1>
    </dataValidation>
    <dataValidation type="list" allowBlank="1" showInputMessage="1" showErrorMessage="1" sqref="B61:B65">
      <formula1>$A$64:$A$65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"/>
  <sheetViews>
    <sheetView showGridLines="0" zoomScale="115" zoomScaleNormal="115" workbookViewId="0">
      <selection activeCell="F15" sqref="F15"/>
    </sheetView>
  </sheetViews>
  <sheetFormatPr defaultColWidth="9" defaultRowHeight="14.4" x14ac:dyDescent="0.3"/>
  <cols>
    <col min="1" max="1" width="6.09765625" style="390" customWidth="1"/>
    <col min="2" max="2" width="46.5" style="390" bestFit="1" customWidth="1"/>
    <col min="3" max="3" width="13.19921875" style="390" bestFit="1" customWidth="1"/>
    <col min="4" max="4" width="14.5" style="390" bestFit="1" customWidth="1"/>
    <col min="5" max="5" width="9" style="390" bestFit="1" customWidth="1"/>
    <col min="6" max="13" width="8" style="390" bestFit="1" customWidth="1"/>
    <col min="14" max="14" width="11.69921875" style="390" bestFit="1" customWidth="1"/>
    <col min="15" max="17" width="12.69921875" style="390" bestFit="1" customWidth="1"/>
    <col min="18" max="18" width="12.69921875" style="390" customWidth="1"/>
    <col min="19" max="19" width="2.19921875" style="390" customWidth="1"/>
    <col min="20" max="16384" width="9" style="390"/>
  </cols>
  <sheetData>
    <row r="1" spans="1:14" s="386" customFormat="1" x14ac:dyDescent="0.3">
      <c r="A1" s="72"/>
    </row>
    <row r="2" spans="1:14" s="386" customFormat="1" ht="15" thickBot="1" x14ac:dyDescent="0.35">
      <c r="B2" s="387" t="s">
        <v>1465</v>
      </c>
      <c r="C2" s="388"/>
      <c r="D2" s="388"/>
      <c r="E2" s="388"/>
      <c r="F2" s="388"/>
      <c r="G2" s="388"/>
      <c r="H2" s="388"/>
      <c r="I2" s="388"/>
      <c r="J2" s="389"/>
      <c r="K2" s="389"/>
      <c r="L2" s="389"/>
      <c r="M2" s="1301" t="s">
        <v>1465</v>
      </c>
      <c r="N2" s="1301"/>
    </row>
    <row r="3" spans="1:14" ht="6" customHeight="1" x14ac:dyDescent="0.3">
      <c r="C3" s="391"/>
      <c r="D3" s="392"/>
      <c r="E3" s="393"/>
      <c r="F3" s="394"/>
      <c r="G3" s="394"/>
      <c r="H3" s="394"/>
      <c r="I3" s="394"/>
      <c r="J3" s="394"/>
      <c r="K3" s="394"/>
      <c r="L3" s="394"/>
      <c r="M3" s="394"/>
      <c r="N3" s="394"/>
    </row>
    <row r="4" spans="1:14" x14ac:dyDescent="0.3">
      <c r="B4" s="395" t="s">
        <v>1466</v>
      </c>
      <c r="C4" s="391"/>
      <c r="D4" s="392"/>
      <c r="E4" s="393"/>
      <c r="F4" s="394"/>
      <c r="G4" s="394"/>
      <c r="H4" s="394"/>
      <c r="I4" s="394"/>
      <c r="J4" s="394"/>
      <c r="K4" s="394"/>
      <c r="L4" s="394"/>
      <c r="M4" s="394"/>
      <c r="N4" s="394"/>
    </row>
    <row r="5" spans="1:14" x14ac:dyDescent="0.3">
      <c r="B5" s="396"/>
      <c r="C5" s="397"/>
      <c r="D5" s="397"/>
      <c r="E5" s="397" t="s">
        <v>1467</v>
      </c>
      <c r="F5" s="1302" t="s">
        <v>1468</v>
      </c>
      <c r="G5" s="1302"/>
      <c r="H5" s="1302"/>
      <c r="I5" s="1302"/>
      <c r="J5" s="1302"/>
      <c r="K5" s="1302"/>
      <c r="L5" s="1302"/>
      <c r="M5" s="1302"/>
      <c r="N5" s="1303"/>
    </row>
    <row r="6" spans="1:14" x14ac:dyDescent="0.3">
      <c r="B6" s="398"/>
      <c r="C6" s="399"/>
      <c r="D6" s="399" t="s">
        <v>1469</v>
      </c>
      <c r="E6" s="400">
        <v>2016</v>
      </c>
      <c r="F6" s="400">
        <v>2017</v>
      </c>
      <c r="G6" s="400">
        <v>2018</v>
      </c>
      <c r="H6" s="400">
        <v>2019</v>
      </c>
      <c r="I6" s="400">
        <v>2020</v>
      </c>
      <c r="J6" s="400">
        <v>2021</v>
      </c>
      <c r="K6" s="400">
        <v>2022</v>
      </c>
      <c r="L6" s="400">
        <v>2023</v>
      </c>
      <c r="M6" s="400">
        <v>2024</v>
      </c>
      <c r="N6" s="401">
        <v>2025</v>
      </c>
    </row>
    <row r="7" spans="1:14" x14ac:dyDescent="0.3">
      <c r="B7" s="402" t="s">
        <v>1470</v>
      </c>
      <c r="C7" s="404" t="s">
        <v>5</v>
      </c>
      <c r="D7" s="399"/>
      <c r="E7" s="405">
        <v>3.5000000000000003E-2</v>
      </c>
      <c r="F7" s="852">
        <v>3.5000000000000003E-2</v>
      </c>
      <c r="G7" s="852">
        <v>3.5000000000000003E-2</v>
      </c>
      <c r="H7" s="852">
        <v>3.5000000000000003E-2</v>
      </c>
      <c r="I7" s="852">
        <v>3.5000000000000003E-2</v>
      </c>
      <c r="J7" s="852">
        <v>3.5000000000000003E-2</v>
      </c>
      <c r="K7" s="852">
        <v>3.5000000000000003E-2</v>
      </c>
      <c r="L7" s="852">
        <v>3.5000000000000003E-2</v>
      </c>
      <c r="M7" s="852">
        <v>3.5000000000000003E-2</v>
      </c>
      <c r="N7" s="853">
        <v>3.5000000000000003E-2</v>
      </c>
    </row>
    <row r="8" spans="1:14" x14ac:dyDescent="0.3">
      <c r="B8" s="402" t="s">
        <v>1471</v>
      </c>
      <c r="C8" s="404" t="s">
        <v>6</v>
      </c>
      <c r="D8" s="399"/>
      <c r="E8" s="405">
        <v>0.06</v>
      </c>
      <c r="F8" s="852">
        <v>0.06</v>
      </c>
      <c r="G8" s="852">
        <v>0.06</v>
      </c>
      <c r="H8" s="852">
        <v>0.06</v>
      </c>
      <c r="I8" s="852">
        <v>0.06</v>
      </c>
      <c r="J8" s="852">
        <v>0.06</v>
      </c>
      <c r="K8" s="852">
        <v>0.06</v>
      </c>
      <c r="L8" s="852">
        <v>0.06</v>
      </c>
      <c r="M8" s="852">
        <v>0.06</v>
      </c>
      <c r="N8" s="853">
        <v>0.06</v>
      </c>
    </row>
    <row r="9" spans="1:14" x14ac:dyDescent="0.3">
      <c r="B9" s="402" t="s">
        <v>1472</v>
      </c>
      <c r="C9" s="404" t="s">
        <v>7</v>
      </c>
      <c r="D9" s="399"/>
      <c r="E9" s="405">
        <v>0.03</v>
      </c>
      <c r="F9" s="852">
        <v>0.03</v>
      </c>
      <c r="G9" s="852">
        <v>0.03</v>
      </c>
      <c r="H9" s="852">
        <v>0.03</v>
      </c>
      <c r="I9" s="852">
        <v>0.03</v>
      </c>
      <c r="J9" s="852">
        <v>0.03</v>
      </c>
      <c r="K9" s="852">
        <v>0.03</v>
      </c>
      <c r="L9" s="852">
        <v>0.03</v>
      </c>
      <c r="M9" s="852">
        <v>0.03</v>
      </c>
      <c r="N9" s="853">
        <v>0.03</v>
      </c>
    </row>
    <row r="10" spans="1:14" x14ac:dyDescent="0.3">
      <c r="B10" s="402" t="s">
        <v>1473</v>
      </c>
      <c r="C10" s="404" t="s">
        <v>1474</v>
      </c>
      <c r="D10" s="399" t="s">
        <v>1475</v>
      </c>
      <c r="E10" s="405">
        <v>0.04</v>
      </c>
      <c r="F10" s="852">
        <v>0.04</v>
      </c>
      <c r="G10" s="852">
        <v>0.04</v>
      </c>
      <c r="H10" s="852">
        <v>0.04</v>
      </c>
      <c r="I10" s="852">
        <v>0.04</v>
      </c>
      <c r="J10" s="852">
        <v>0.04</v>
      </c>
      <c r="K10" s="852">
        <v>0.04</v>
      </c>
      <c r="L10" s="852">
        <v>0.04</v>
      </c>
      <c r="M10" s="852">
        <v>0.04</v>
      </c>
      <c r="N10" s="853">
        <v>0.04</v>
      </c>
    </row>
    <row r="11" spans="1:14" x14ac:dyDescent="0.3">
      <c r="B11" s="402" t="s">
        <v>1476</v>
      </c>
      <c r="C11" s="404" t="s">
        <v>1477</v>
      </c>
      <c r="D11" s="399" t="s">
        <v>1475</v>
      </c>
      <c r="E11" s="405">
        <v>2.7034748381089709E-2</v>
      </c>
      <c r="F11" s="852">
        <v>2.7034748381089709E-2</v>
      </c>
      <c r="G11" s="852">
        <v>2.7034748381089709E-2</v>
      </c>
      <c r="H11" s="852">
        <v>2.7034748381089709E-2</v>
      </c>
      <c r="I11" s="852">
        <v>2.7034748381089709E-2</v>
      </c>
      <c r="J11" s="852">
        <v>2.7034748381089709E-2</v>
      </c>
      <c r="K11" s="852">
        <v>2.7034748381089709E-2</v>
      </c>
      <c r="L11" s="852">
        <v>2.7034748381089709E-2</v>
      </c>
      <c r="M11" s="852">
        <v>2.7034748381089709E-2</v>
      </c>
      <c r="N11" s="853">
        <v>2.7034748381089709E-2</v>
      </c>
    </row>
    <row r="12" spans="1:14" x14ac:dyDescent="0.3">
      <c r="B12" s="402" t="s">
        <v>1478</v>
      </c>
      <c r="C12" s="404" t="s">
        <v>8</v>
      </c>
      <c r="D12" s="399" t="s">
        <v>1475</v>
      </c>
      <c r="E12" s="405">
        <v>2.8840404751315222E-2</v>
      </c>
      <c r="F12" s="852">
        <v>2.8840404751315222E-2</v>
      </c>
      <c r="G12" s="852">
        <v>2.8840404751315222E-2</v>
      </c>
      <c r="H12" s="852">
        <v>2.8840404751315222E-2</v>
      </c>
      <c r="I12" s="852">
        <v>2.8840404751315222E-2</v>
      </c>
      <c r="J12" s="852">
        <v>2.8840404751315222E-2</v>
      </c>
      <c r="K12" s="852">
        <v>2.8840404751315222E-2</v>
      </c>
      <c r="L12" s="852">
        <v>2.8840404751315222E-2</v>
      </c>
      <c r="M12" s="852">
        <v>2.8840404751315222E-2</v>
      </c>
      <c r="N12" s="853">
        <v>2.8840404751315222E-2</v>
      </c>
    </row>
    <row r="13" spans="1:14" x14ac:dyDescent="0.3">
      <c r="B13" s="402" t="s">
        <v>1479</v>
      </c>
      <c r="C13" s="404" t="s">
        <v>1480</v>
      </c>
      <c r="D13" s="399" t="s">
        <v>1475</v>
      </c>
      <c r="E13" s="406">
        <v>2.1452829087813895E-2</v>
      </c>
      <c r="F13" s="854">
        <v>2.1452829087813895E-2</v>
      </c>
      <c r="G13" s="854">
        <v>2.1452829087813895E-2</v>
      </c>
      <c r="H13" s="854">
        <v>2.1452829087813895E-2</v>
      </c>
      <c r="I13" s="854">
        <v>2.1452829087813895E-2</v>
      </c>
      <c r="J13" s="854">
        <v>2.1452829087813895E-2</v>
      </c>
      <c r="K13" s="854">
        <v>2.1452829087813895E-2</v>
      </c>
      <c r="L13" s="854">
        <v>2.1452829087813895E-2</v>
      </c>
      <c r="M13" s="854">
        <v>2.1452829087813895E-2</v>
      </c>
      <c r="N13" s="855">
        <v>2.1452829087813895E-2</v>
      </c>
    </row>
    <row r="15" spans="1:14" x14ac:dyDescent="0.3">
      <c r="B15" s="407" t="s">
        <v>1919</v>
      </c>
      <c r="C15" s="761"/>
      <c r="D15" s="761" t="s">
        <v>1494</v>
      </c>
      <c r="E15" s="819">
        <v>0</v>
      </c>
      <c r="F15" s="856">
        <v>0.03</v>
      </c>
      <c r="G15" s="856">
        <v>0.03</v>
      </c>
      <c r="H15" s="856">
        <v>0.03</v>
      </c>
      <c r="I15" s="856">
        <v>0.03</v>
      </c>
      <c r="J15" s="856">
        <v>0.03</v>
      </c>
      <c r="K15" s="856">
        <v>0.03</v>
      </c>
      <c r="L15" s="856">
        <v>0.03</v>
      </c>
      <c r="M15" s="856">
        <v>0.03</v>
      </c>
      <c r="N15" s="857">
        <v>0.03</v>
      </c>
    </row>
    <row r="16" spans="1:14" x14ac:dyDescent="0.3">
      <c r="E16" s="820"/>
      <c r="F16" s="820"/>
      <c r="G16" s="820"/>
      <c r="H16" s="820"/>
      <c r="I16" s="820"/>
      <c r="J16" s="820"/>
      <c r="K16" s="820"/>
      <c r="L16" s="820"/>
      <c r="M16" s="820"/>
      <c r="N16" s="820"/>
    </row>
    <row r="17" spans="2:14" x14ac:dyDescent="0.3">
      <c r="B17" s="818" t="s">
        <v>1483</v>
      </c>
      <c r="C17" s="399" t="s">
        <v>1690</v>
      </c>
      <c r="D17" s="399" t="s">
        <v>1494</v>
      </c>
      <c r="E17" s="403">
        <v>-5.0000000000000001E-3</v>
      </c>
      <c r="F17" s="858">
        <v>-5.0000000000000001E-3</v>
      </c>
      <c r="G17" s="858">
        <v>-5.0000000000000001E-3</v>
      </c>
      <c r="H17" s="858">
        <v>-5.0000000000000001E-3</v>
      </c>
      <c r="I17" s="858">
        <v>-5.0000000000000001E-3</v>
      </c>
      <c r="J17" s="858">
        <v>-5.0000000000000001E-3</v>
      </c>
      <c r="K17" s="858">
        <v>-5.0000000000000001E-3</v>
      </c>
      <c r="L17" s="858">
        <v>-5.0000000000000001E-3</v>
      </c>
      <c r="M17" s="858">
        <v>-5.0000000000000001E-3</v>
      </c>
      <c r="N17" s="859">
        <v>-5.0000000000000001E-3</v>
      </c>
    </row>
    <row r="18" spans="2:14" x14ac:dyDescent="0.3">
      <c r="B18" s="818" t="s">
        <v>1483</v>
      </c>
      <c r="C18" s="399" t="s">
        <v>1695</v>
      </c>
      <c r="D18" s="399" t="s">
        <v>1494</v>
      </c>
      <c r="E18" s="405">
        <v>-5.0000000000000001E-3</v>
      </c>
      <c r="F18" s="852">
        <v>-5.0000000000000001E-3</v>
      </c>
      <c r="G18" s="852">
        <v>-5.0000000000000001E-3</v>
      </c>
      <c r="H18" s="852">
        <v>-5.0000000000000001E-3</v>
      </c>
      <c r="I18" s="852">
        <v>-5.0000000000000001E-3</v>
      </c>
      <c r="J18" s="852">
        <v>-5.0000000000000001E-3</v>
      </c>
      <c r="K18" s="852">
        <v>-5.0000000000000001E-3</v>
      </c>
      <c r="L18" s="852">
        <v>-5.0000000000000001E-3</v>
      </c>
      <c r="M18" s="852">
        <v>-5.0000000000000001E-3</v>
      </c>
      <c r="N18" s="853">
        <v>-5.0000000000000001E-3</v>
      </c>
    </row>
    <row r="19" spans="2:14" x14ac:dyDescent="0.3">
      <c r="B19" s="818" t="s">
        <v>1483</v>
      </c>
      <c r="C19" s="399" t="s">
        <v>1970</v>
      </c>
      <c r="D19" s="399" t="s">
        <v>1494</v>
      </c>
      <c r="E19" s="406">
        <v>-5.0000000000000001E-3</v>
      </c>
      <c r="F19" s="854">
        <v>-5.0000000000000001E-3</v>
      </c>
      <c r="G19" s="854">
        <v>-5.0000000000000001E-3</v>
      </c>
      <c r="H19" s="854">
        <v>-5.0000000000000001E-3</v>
      </c>
      <c r="I19" s="854">
        <v>-5.0000000000000001E-3</v>
      </c>
      <c r="J19" s="854">
        <v>-5.0000000000000001E-3</v>
      </c>
      <c r="K19" s="854">
        <v>-5.0000000000000001E-3</v>
      </c>
      <c r="L19" s="854">
        <v>-5.0000000000000001E-3</v>
      </c>
      <c r="M19" s="854">
        <v>-5.0000000000000001E-3</v>
      </c>
      <c r="N19" s="855">
        <v>-5.0000000000000001E-3</v>
      </c>
    </row>
    <row r="20" spans="2:14" ht="15" thickBot="1" x14ac:dyDescent="0.35">
      <c r="B20" s="388"/>
      <c r="C20" s="388"/>
      <c r="D20" s="388"/>
      <c r="E20" s="388"/>
      <c r="F20" s="388"/>
      <c r="G20" s="388"/>
      <c r="H20" s="388"/>
      <c r="I20" s="388"/>
      <c r="J20" s="388"/>
      <c r="K20" s="388"/>
      <c r="L20" s="388"/>
      <c r="M20" s="388"/>
      <c r="N20" s="388"/>
    </row>
    <row r="21" spans="2:14" s="408" customFormat="1" x14ac:dyDescent="0.3">
      <c r="B21" s="408" t="s">
        <v>1484</v>
      </c>
      <c r="N21" s="409">
        <f ca="1">NOW()</f>
        <v>44456.345775000002</v>
      </c>
    </row>
    <row r="25" spans="2:14" x14ac:dyDescent="0.3">
      <c r="B25" s="938" t="s">
        <v>1481</v>
      </c>
      <c r="C25" s="939" t="s">
        <v>1482</v>
      </c>
      <c r="D25" s="940" t="s">
        <v>1475</v>
      </c>
      <c r="E25" s="941">
        <v>3.0592818171296148E-2</v>
      </c>
      <c r="F25" s="942">
        <v>3.0592818171296148E-2</v>
      </c>
      <c r="G25" s="942">
        <v>3.0592818171296148E-2</v>
      </c>
      <c r="H25" s="942">
        <v>3.0592818171296148E-2</v>
      </c>
      <c r="I25" s="942">
        <v>3.0592818171296148E-2</v>
      </c>
      <c r="J25" s="942">
        <v>3.0592818171296148E-2</v>
      </c>
      <c r="K25" s="942">
        <v>3.0592818171296148E-2</v>
      </c>
      <c r="L25" s="942">
        <v>3.0592818171296148E-2</v>
      </c>
      <c r="M25" s="942">
        <v>3.0592818171296148E-2</v>
      </c>
      <c r="N25" s="943">
        <v>3.0592818171296148E-2</v>
      </c>
    </row>
  </sheetData>
  <mergeCells count="2">
    <mergeCell ref="M2:N2"/>
    <mergeCell ref="F5:N5"/>
  </mergeCells>
  <printOptions horizontalCentered="1"/>
  <pageMargins left="0.2" right="0.2" top="0.2" bottom="0.2" header="0.3" footer="0.3"/>
  <pageSetup scale="7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5"/>
  <sheetViews>
    <sheetView showGridLines="0" topLeftCell="A17" zoomScale="85" zoomScaleNormal="85" zoomScaleSheetLayoutView="75" workbookViewId="0">
      <selection activeCell="D14" sqref="D14"/>
    </sheetView>
  </sheetViews>
  <sheetFormatPr defaultRowHeight="15.6" x14ac:dyDescent="0.3"/>
  <cols>
    <col min="1" max="1" width="4.8984375" style="678" customWidth="1"/>
    <col min="2" max="2" width="52.59765625" style="678" bestFit="1" customWidth="1"/>
    <col min="3" max="3" width="6.59765625" style="678" bestFit="1" customWidth="1"/>
    <col min="4" max="4" width="12.59765625" style="678" bestFit="1" customWidth="1"/>
    <col min="5" max="5" width="8.59765625" style="678" bestFit="1" customWidth="1"/>
    <col min="6" max="6" width="10.69921875" style="678" bestFit="1" customWidth="1"/>
    <col min="7" max="7" width="10.09765625" style="678" bestFit="1" customWidth="1"/>
    <col min="8" max="8" width="14" style="678" customWidth="1"/>
    <col min="9" max="9" width="2" style="678" customWidth="1"/>
    <col min="10" max="10" width="15.3984375" style="678" bestFit="1" customWidth="1"/>
    <col min="11" max="250" width="9" style="678"/>
    <col min="251" max="251" width="7.59765625" style="678" customWidth="1"/>
    <col min="252" max="252" width="48.8984375" style="678" customWidth="1"/>
    <col min="253" max="253" width="14" style="678" bestFit="1" customWidth="1"/>
    <col min="254" max="258" width="14" style="678" customWidth="1"/>
    <col min="259" max="259" width="14.8984375" style="678" customWidth="1"/>
    <col min="260" max="264" width="14" style="678" customWidth="1"/>
    <col min="265" max="265" width="2" style="678" customWidth="1"/>
    <col min="266" max="506" width="9" style="678"/>
    <col min="507" max="507" width="7.59765625" style="678" customWidth="1"/>
    <col min="508" max="508" width="48.8984375" style="678" customWidth="1"/>
    <col min="509" max="509" width="14" style="678" bestFit="1" customWidth="1"/>
    <col min="510" max="514" width="14" style="678" customWidth="1"/>
    <col min="515" max="515" width="14.8984375" style="678" customWidth="1"/>
    <col min="516" max="520" width="14" style="678" customWidth="1"/>
    <col min="521" max="521" width="2" style="678" customWidth="1"/>
    <col min="522" max="762" width="9" style="678"/>
    <col min="763" max="763" width="7.59765625" style="678" customWidth="1"/>
    <col min="764" max="764" width="48.8984375" style="678" customWidth="1"/>
    <col min="765" max="765" width="14" style="678" bestFit="1" customWidth="1"/>
    <col min="766" max="770" width="14" style="678" customWidth="1"/>
    <col min="771" max="771" width="14.8984375" style="678" customWidth="1"/>
    <col min="772" max="776" width="14" style="678" customWidth="1"/>
    <col min="777" max="777" width="2" style="678" customWidth="1"/>
    <col min="778" max="1018" width="9" style="678"/>
    <col min="1019" max="1019" width="7.59765625" style="678" customWidth="1"/>
    <col min="1020" max="1020" width="48.8984375" style="678" customWidth="1"/>
    <col min="1021" max="1021" width="14" style="678" bestFit="1" customWidth="1"/>
    <col min="1022" max="1026" width="14" style="678" customWidth="1"/>
    <col min="1027" max="1027" width="14.8984375" style="678" customWidth="1"/>
    <col min="1028" max="1032" width="14" style="678" customWidth="1"/>
    <col min="1033" max="1033" width="2" style="678" customWidth="1"/>
    <col min="1034" max="1274" width="9" style="678"/>
    <col min="1275" max="1275" width="7.59765625" style="678" customWidth="1"/>
    <col min="1276" max="1276" width="48.8984375" style="678" customWidth="1"/>
    <col min="1277" max="1277" width="14" style="678" bestFit="1" customWidth="1"/>
    <col min="1278" max="1282" width="14" style="678" customWidth="1"/>
    <col min="1283" max="1283" width="14.8984375" style="678" customWidth="1"/>
    <col min="1284" max="1288" width="14" style="678" customWidth="1"/>
    <col min="1289" max="1289" width="2" style="678" customWidth="1"/>
    <col min="1290" max="1530" width="9" style="678"/>
    <col min="1531" max="1531" width="7.59765625" style="678" customWidth="1"/>
    <col min="1532" max="1532" width="48.8984375" style="678" customWidth="1"/>
    <col min="1533" max="1533" width="14" style="678" bestFit="1" customWidth="1"/>
    <col min="1534" max="1538" width="14" style="678" customWidth="1"/>
    <col min="1539" max="1539" width="14.8984375" style="678" customWidth="1"/>
    <col min="1540" max="1544" width="14" style="678" customWidth="1"/>
    <col min="1545" max="1545" width="2" style="678" customWidth="1"/>
    <col min="1546" max="1786" width="9" style="678"/>
    <col min="1787" max="1787" width="7.59765625" style="678" customWidth="1"/>
    <col min="1788" max="1788" width="48.8984375" style="678" customWidth="1"/>
    <col min="1789" max="1789" width="14" style="678" bestFit="1" customWidth="1"/>
    <col min="1790" max="1794" width="14" style="678" customWidth="1"/>
    <col min="1795" max="1795" width="14.8984375" style="678" customWidth="1"/>
    <col min="1796" max="1800" width="14" style="678" customWidth="1"/>
    <col min="1801" max="1801" width="2" style="678" customWidth="1"/>
    <col min="1802" max="2042" width="9" style="678"/>
    <col min="2043" max="2043" width="7.59765625" style="678" customWidth="1"/>
    <col min="2044" max="2044" width="48.8984375" style="678" customWidth="1"/>
    <col min="2045" max="2045" width="14" style="678" bestFit="1" customWidth="1"/>
    <col min="2046" max="2050" width="14" style="678" customWidth="1"/>
    <col min="2051" max="2051" width="14.8984375" style="678" customWidth="1"/>
    <col min="2052" max="2056" width="14" style="678" customWidth="1"/>
    <col min="2057" max="2057" width="2" style="678" customWidth="1"/>
    <col min="2058" max="2298" width="9" style="678"/>
    <col min="2299" max="2299" width="7.59765625" style="678" customWidth="1"/>
    <col min="2300" max="2300" width="48.8984375" style="678" customWidth="1"/>
    <col min="2301" max="2301" width="14" style="678" bestFit="1" customWidth="1"/>
    <col min="2302" max="2306" width="14" style="678" customWidth="1"/>
    <col min="2307" max="2307" width="14.8984375" style="678" customWidth="1"/>
    <col min="2308" max="2312" width="14" style="678" customWidth="1"/>
    <col min="2313" max="2313" width="2" style="678" customWidth="1"/>
    <col min="2314" max="2554" width="9" style="678"/>
    <col min="2555" max="2555" width="7.59765625" style="678" customWidth="1"/>
    <col min="2556" max="2556" width="48.8984375" style="678" customWidth="1"/>
    <col min="2557" max="2557" width="14" style="678" bestFit="1" customWidth="1"/>
    <col min="2558" max="2562" width="14" style="678" customWidth="1"/>
    <col min="2563" max="2563" width="14.8984375" style="678" customWidth="1"/>
    <col min="2564" max="2568" width="14" style="678" customWidth="1"/>
    <col min="2569" max="2569" width="2" style="678" customWidth="1"/>
    <col min="2570" max="2810" width="9" style="678"/>
    <col min="2811" max="2811" width="7.59765625" style="678" customWidth="1"/>
    <col min="2812" max="2812" width="48.8984375" style="678" customWidth="1"/>
    <col min="2813" max="2813" width="14" style="678" bestFit="1" customWidth="1"/>
    <col min="2814" max="2818" width="14" style="678" customWidth="1"/>
    <col min="2819" max="2819" width="14.8984375" style="678" customWidth="1"/>
    <col min="2820" max="2824" width="14" style="678" customWidth="1"/>
    <col min="2825" max="2825" width="2" style="678" customWidth="1"/>
    <col min="2826" max="3066" width="9" style="678"/>
    <col min="3067" max="3067" width="7.59765625" style="678" customWidth="1"/>
    <col min="3068" max="3068" width="48.8984375" style="678" customWidth="1"/>
    <col min="3069" max="3069" width="14" style="678" bestFit="1" customWidth="1"/>
    <col min="3070" max="3074" width="14" style="678" customWidth="1"/>
    <col min="3075" max="3075" width="14.8984375" style="678" customWidth="1"/>
    <col min="3076" max="3080" width="14" style="678" customWidth="1"/>
    <col min="3081" max="3081" width="2" style="678" customWidth="1"/>
    <col min="3082" max="3322" width="9" style="678"/>
    <col min="3323" max="3323" width="7.59765625" style="678" customWidth="1"/>
    <col min="3324" max="3324" width="48.8984375" style="678" customWidth="1"/>
    <col min="3325" max="3325" width="14" style="678" bestFit="1" customWidth="1"/>
    <col min="3326" max="3330" width="14" style="678" customWidth="1"/>
    <col min="3331" max="3331" width="14.8984375" style="678" customWidth="1"/>
    <col min="3332" max="3336" width="14" style="678" customWidth="1"/>
    <col min="3337" max="3337" width="2" style="678" customWidth="1"/>
    <col min="3338" max="3578" width="9" style="678"/>
    <col min="3579" max="3579" width="7.59765625" style="678" customWidth="1"/>
    <col min="3580" max="3580" width="48.8984375" style="678" customWidth="1"/>
    <col min="3581" max="3581" width="14" style="678" bestFit="1" customWidth="1"/>
    <col min="3582" max="3586" width="14" style="678" customWidth="1"/>
    <col min="3587" max="3587" width="14.8984375" style="678" customWidth="1"/>
    <col min="3588" max="3592" width="14" style="678" customWidth="1"/>
    <col min="3593" max="3593" width="2" style="678" customWidth="1"/>
    <col min="3594" max="3834" width="9" style="678"/>
    <col min="3835" max="3835" width="7.59765625" style="678" customWidth="1"/>
    <col min="3836" max="3836" width="48.8984375" style="678" customWidth="1"/>
    <col min="3837" max="3837" width="14" style="678" bestFit="1" customWidth="1"/>
    <col min="3838" max="3842" width="14" style="678" customWidth="1"/>
    <col min="3843" max="3843" width="14.8984375" style="678" customWidth="1"/>
    <col min="3844" max="3848" width="14" style="678" customWidth="1"/>
    <col min="3849" max="3849" width="2" style="678" customWidth="1"/>
    <col min="3850" max="4090" width="9" style="678"/>
    <col min="4091" max="4091" width="7.59765625" style="678" customWidth="1"/>
    <col min="4092" max="4092" width="48.8984375" style="678" customWidth="1"/>
    <col min="4093" max="4093" width="14" style="678" bestFit="1" customWidth="1"/>
    <col min="4094" max="4098" width="14" style="678" customWidth="1"/>
    <col min="4099" max="4099" width="14.8984375" style="678" customWidth="1"/>
    <col min="4100" max="4104" width="14" style="678" customWidth="1"/>
    <col min="4105" max="4105" width="2" style="678" customWidth="1"/>
    <col min="4106" max="4346" width="9" style="678"/>
    <col min="4347" max="4347" width="7.59765625" style="678" customWidth="1"/>
    <col min="4348" max="4348" width="48.8984375" style="678" customWidth="1"/>
    <col min="4349" max="4349" width="14" style="678" bestFit="1" customWidth="1"/>
    <col min="4350" max="4354" width="14" style="678" customWidth="1"/>
    <col min="4355" max="4355" width="14.8984375" style="678" customWidth="1"/>
    <col min="4356" max="4360" width="14" style="678" customWidth="1"/>
    <col min="4361" max="4361" width="2" style="678" customWidth="1"/>
    <col min="4362" max="4602" width="9" style="678"/>
    <col min="4603" max="4603" width="7.59765625" style="678" customWidth="1"/>
    <col min="4604" max="4604" width="48.8984375" style="678" customWidth="1"/>
    <col min="4605" max="4605" width="14" style="678" bestFit="1" customWidth="1"/>
    <col min="4606" max="4610" width="14" style="678" customWidth="1"/>
    <col min="4611" max="4611" width="14.8984375" style="678" customWidth="1"/>
    <col min="4612" max="4616" width="14" style="678" customWidth="1"/>
    <col min="4617" max="4617" width="2" style="678" customWidth="1"/>
    <col min="4618" max="4858" width="9" style="678"/>
    <col min="4859" max="4859" width="7.59765625" style="678" customWidth="1"/>
    <col min="4860" max="4860" width="48.8984375" style="678" customWidth="1"/>
    <col min="4861" max="4861" width="14" style="678" bestFit="1" customWidth="1"/>
    <col min="4862" max="4866" width="14" style="678" customWidth="1"/>
    <col min="4867" max="4867" width="14.8984375" style="678" customWidth="1"/>
    <col min="4868" max="4872" width="14" style="678" customWidth="1"/>
    <col min="4873" max="4873" width="2" style="678" customWidth="1"/>
    <col min="4874" max="5114" width="9" style="678"/>
    <col min="5115" max="5115" width="7.59765625" style="678" customWidth="1"/>
    <col min="5116" max="5116" width="48.8984375" style="678" customWidth="1"/>
    <col min="5117" max="5117" width="14" style="678" bestFit="1" customWidth="1"/>
    <col min="5118" max="5122" width="14" style="678" customWidth="1"/>
    <col min="5123" max="5123" width="14.8984375" style="678" customWidth="1"/>
    <col min="5124" max="5128" width="14" style="678" customWidth="1"/>
    <col min="5129" max="5129" width="2" style="678" customWidth="1"/>
    <col min="5130" max="5370" width="9" style="678"/>
    <col min="5371" max="5371" width="7.59765625" style="678" customWidth="1"/>
    <col min="5372" max="5372" width="48.8984375" style="678" customWidth="1"/>
    <col min="5373" max="5373" width="14" style="678" bestFit="1" customWidth="1"/>
    <col min="5374" max="5378" width="14" style="678" customWidth="1"/>
    <col min="5379" max="5379" width="14.8984375" style="678" customWidth="1"/>
    <col min="5380" max="5384" width="14" style="678" customWidth="1"/>
    <col min="5385" max="5385" width="2" style="678" customWidth="1"/>
    <col min="5386" max="5626" width="9" style="678"/>
    <col min="5627" max="5627" width="7.59765625" style="678" customWidth="1"/>
    <col min="5628" max="5628" width="48.8984375" style="678" customWidth="1"/>
    <col min="5629" max="5629" width="14" style="678" bestFit="1" customWidth="1"/>
    <col min="5630" max="5634" width="14" style="678" customWidth="1"/>
    <col min="5635" max="5635" width="14.8984375" style="678" customWidth="1"/>
    <col min="5636" max="5640" width="14" style="678" customWidth="1"/>
    <col min="5641" max="5641" width="2" style="678" customWidth="1"/>
    <col min="5642" max="5882" width="9" style="678"/>
    <col min="5883" max="5883" width="7.59765625" style="678" customWidth="1"/>
    <col min="5884" max="5884" width="48.8984375" style="678" customWidth="1"/>
    <col min="5885" max="5885" width="14" style="678" bestFit="1" customWidth="1"/>
    <col min="5886" max="5890" width="14" style="678" customWidth="1"/>
    <col min="5891" max="5891" width="14.8984375" style="678" customWidth="1"/>
    <col min="5892" max="5896" width="14" style="678" customWidth="1"/>
    <col min="5897" max="5897" width="2" style="678" customWidth="1"/>
    <col min="5898" max="6138" width="9" style="678"/>
    <col min="6139" max="6139" width="7.59765625" style="678" customWidth="1"/>
    <col min="6140" max="6140" width="48.8984375" style="678" customWidth="1"/>
    <col min="6141" max="6141" width="14" style="678" bestFit="1" customWidth="1"/>
    <col min="6142" max="6146" width="14" style="678" customWidth="1"/>
    <col min="6147" max="6147" width="14.8984375" style="678" customWidth="1"/>
    <col min="6148" max="6152" width="14" style="678" customWidth="1"/>
    <col min="6153" max="6153" width="2" style="678" customWidth="1"/>
    <col min="6154" max="6394" width="9" style="678"/>
    <col min="6395" max="6395" width="7.59765625" style="678" customWidth="1"/>
    <col min="6396" max="6396" width="48.8984375" style="678" customWidth="1"/>
    <col min="6397" max="6397" width="14" style="678" bestFit="1" customWidth="1"/>
    <col min="6398" max="6402" width="14" style="678" customWidth="1"/>
    <col min="6403" max="6403" width="14.8984375" style="678" customWidth="1"/>
    <col min="6404" max="6408" width="14" style="678" customWidth="1"/>
    <col min="6409" max="6409" width="2" style="678" customWidth="1"/>
    <col min="6410" max="6650" width="9" style="678"/>
    <col min="6651" max="6651" width="7.59765625" style="678" customWidth="1"/>
    <col min="6652" max="6652" width="48.8984375" style="678" customWidth="1"/>
    <col min="6653" max="6653" width="14" style="678" bestFit="1" customWidth="1"/>
    <col min="6654" max="6658" width="14" style="678" customWidth="1"/>
    <col min="6659" max="6659" width="14.8984375" style="678" customWidth="1"/>
    <col min="6660" max="6664" width="14" style="678" customWidth="1"/>
    <col min="6665" max="6665" width="2" style="678" customWidth="1"/>
    <col min="6666" max="6906" width="9" style="678"/>
    <col min="6907" max="6907" width="7.59765625" style="678" customWidth="1"/>
    <col min="6908" max="6908" width="48.8984375" style="678" customWidth="1"/>
    <col min="6909" max="6909" width="14" style="678" bestFit="1" customWidth="1"/>
    <col min="6910" max="6914" width="14" style="678" customWidth="1"/>
    <col min="6915" max="6915" width="14.8984375" style="678" customWidth="1"/>
    <col min="6916" max="6920" width="14" style="678" customWidth="1"/>
    <col min="6921" max="6921" width="2" style="678" customWidth="1"/>
    <col min="6922" max="7162" width="9" style="678"/>
    <col min="7163" max="7163" width="7.59765625" style="678" customWidth="1"/>
    <col min="7164" max="7164" width="48.8984375" style="678" customWidth="1"/>
    <col min="7165" max="7165" width="14" style="678" bestFit="1" customWidth="1"/>
    <col min="7166" max="7170" width="14" style="678" customWidth="1"/>
    <col min="7171" max="7171" width="14.8984375" style="678" customWidth="1"/>
    <col min="7172" max="7176" width="14" style="678" customWidth="1"/>
    <col min="7177" max="7177" width="2" style="678" customWidth="1"/>
    <col min="7178" max="7418" width="9" style="678"/>
    <col min="7419" max="7419" width="7.59765625" style="678" customWidth="1"/>
    <col min="7420" max="7420" width="48.8984375" style="678" customWidth="1"/>
    <col min="7421" max="7421" width="14" style="678" bestFit="1" customWidth="1"/>
    <col min="7422" max="7426" width="14" style="678" customWidth="1"/>
    <col min="7427" max="7427" width="14.8984375" style="678" customWidth="1"/>
    <col min="7428" max="7432" width="14" style="678" customWidth="1"/>
    <col min="7433" max="7433" width="2" style="678" customWidth="1"/>
    <col min="7434" max="7674" width="9" style="678"/>
    <col min="7675" max="7675" width="7.59765625" style="678" customWidth="1"/>
    <col min="7676" max="7676" width="48.8984375" style="678" customWidth="1"/>
    <col min="7677" max="7677" width="14" style="678" bestFit="1" customWidth="1"/>
    <col min="7678" max="7682" width="14" style="678" customWidth="1"/>
    <col min="7683" max="7683" width="14.8984375" style="678" customWidth="1"/>
    <col min="7684" max="7688" width="14" style="678" customWidth="1"/>
    <col min="7689" max="7689" width="2" style="678" customWidth="1"/>
    <col min="7690" max="7930" width="9" style="678"/>
    <col min="7931" max="7931" width="7.59765625" style="678" customWidth="1"/>
    <col min="7932" max="7932" width="48.8984375" style="678" customWidth="1"/>
    <col min="7933" max="7933" width="14" style="678" bestFit="1" customWidth="1"/>
    <col min="7934" max="7938" width="14" style="678" customWidth="1"/>
    <col min="7939" max="7939" width="14.8984375" style="678" customWidth="1"/>
    <col min="7940" max="7944" width="14" style="678" customWidth="1"/>
    <col min="7945" max="7945" width="2" style="678" customWidth="1"/>
    <col min="7946" max="8186" width="9" style="678"/>
    <col min="8187" max="8187" width="7.59765625" style="678" customWidth="1"/>
    <col min="8188" max="8188" width="48.8984375" style="678" customWidth="1"/>
    <col min="8189" max="8189" width="14" style="678" bestFit="1" customWidth="1"/>
    <col min="8190" max="8194" width="14" style="678" customWidth="1"/>
    <col min="8195" max="8195" width="14.8984375" style="678" customWidth="1"/>
    <col min="8196" max="8200" width="14" style="678" customWidth="1"/>
    <col min="8201" max="8201" width="2" style="678" customWidth="1"/>
    <col min="8202" max="8442" width="9" style="678"/>
    <col min="8443" max="8443" width="7.59765625" style="678" customWidth="1"/>
    <col min="8444" max="8444" width="48.8984375" style="678" customWidth="1"/>
    <col min="8445" max="8445" width="14" style="678" bestFit="1" customWidth="1"/>
    <col min="8446" max="8450" width="14" style="678" customWidth="1"/>
    <col min="8451" max="8451" width="14.8984375" style="678" customWidth="1"/>
    <col min="8452" max="8456" width="14" style="678" customWidth="1"/>
    <col min="8457" max="8457" width="2" style="678" customWidth="1"/>
    <col min="8458" max="8698" width="9" style="678"/>
    <col min="8699" max="8699" width="7.59765625" style="678" customWidth="1"/>
    <col min="8700" max="8700" width="48.8984375" style="678" customWidth="1"/>
    <col min="8701" max="8701" width="14" style="678" bestFit="1" customWidth="1"/>
    <col min="8702" max="8706" width="14" style="678" customWidth="1"/>
    <col min="8707" max="8707" width="14.8984375" style="678" customWidth="1"/>
    <col min="8708" max="8712" width="14" style="678" customWidth="1"/>
    <col min="8713" max="8713" width="2" style="678" customWidth="1"/>
    <col min="8714" max="8954" width="9" style="678"/>
    <col min="8955" max="8955" width="7.59765625" style="678" customWidth="1"/>
    <col min="8956" max="8956" width="48.8984375" style="678" customWidth="1"/>
    <col min="8957" max="8957" width="14" style="678" bestFit="1" customWidth="1"/>
    <col min="8958" max="8962" width="14" style="678" customWidth="1"/>
    <col min="8963" max="8963" width="14.8984375" style="678" customWidth="1"/>
    <col min="8964" max="8968" width="14" style="678" customWidth="1"/>
    <col min="8969" max="8969" width="2" style="678" customWidth="1"/>
    <col min="8970" max="9210" width="9" style="678"/>
    <col min="9211" max="9211" width="7.59765625" style="678" customWidth="1"/>
    <col min="9212" max="9212" width="48.8984375" style="678" customWidth="1"/>
    <col min="9213" max="9213" width="14" style="678" bestFit="1" customWidth="1"/>
    <col min="9214" max="9218" width="14" style="678" customWidth="1"/>
    <col min="9219" max="9219" width="14.8984375" style="678" customWidth="1"/>
    <col min="9220" max="9224" width="14" style="678" customWidth="1"/>
    <col min="9225" max="9225" width="2" style="678" customWidth="1"/>
    <col min="9226" max="9466" width="9" style="678"/>
    <col min="9467" max="9467" width="7.59765625" style="678" customWidth="1"/>
    <col min="9468" max="9468" width="48.8984375" style="678" customWidth="1"/>
    <col min="9469" max="9469" width="14" style="678" bestFit="1" customWidth="1"/>
    <col min="9470" max="9474" width="14" style="678" customWidth="1"/>
    <col min="9475" max="9475" width="14.8984375" style="678" customWidth="1"/>
    <col min="9476" max="9480" width="14" style="678" customWidth="1"/>
    <col min="9481" max="9481" width="2" style="678" customWidth="1"/>
    <col min="9482" max="9722" width="9" style="678"/>
    <col min="9723" max="9723" width="7.59765625" style="678" customWidth="1"/>
    <col min="9724" max="9724" width="48.8984375" style="678" customWidth="1"/>
    <col min="9725" max="9725" width="14" style="678" bestFit="1" customWidth="1"/>
    <col min="9726" max="9730" width="14" style="678" customWidth="1"/>
    <col min="9731" max="9731" width="14.8984375" style="678" customWidth="1"/>
    <col min="9732" max="9736" width="14" style="678" customWidth="1"/>
    <col min="9737" max="9737" width="2" style="678" customWidth="1"/>
    <col min="9738" max="9978" width="9" style="678"/>
    <col min="9979" max="9979" width="7.59765625" style="678" customWidth="1"/>
    <col min="9980" max="9980" width="48.8984375" style="678" customWidth="1"/>
    <col min="9981" max="9981" width="14" style="678" bestFit="1" customWidth="1"/>
    <col min="9982" max="9986" width="14" style="678" customWidth="1"/>
    <col min="9987" max="9987" width="14.8984375" style="678" customWidth="1"/>
    <col min="9988" max="9992" width="14" style="678" customWidth="1"/>
    <col min="9993" max="9993" width="2" style="678" customWidth="1"/>
    <col min="9994" max="10234" width="9" style="678"/>
    <col min="10235" max="10235" width="7.59765625" style="678" customWidth="1"/>
    <col min="10236" max="10236" width="48.8984375" style="678" customWidth="1"/>
    <col min="10237" max="10237" width="14" style="678" bestFit="1" customWidth="1"/>
    <col min="10238" max="10242" width="14" style="678" customWidth="1"/>
    <col min="10243" max="10243" width="14.8984375" style="678" customWidth="1"/>
    <col min="10244" max="10248" width="14" style="678" customWidth="1"/>
    <col min="10249" max="10249" width="2" style="678" customWidth="1"/>
    <col min="10250" max="10490" width="9" style="678"/>
    <col min="10491" max="10491" width="7.59765625" style="678" customWidth="1"/>
    <col min="10492" max="10492" width="48.8984375" style="678" customWidth="1"/>
    <col min="10493" max="10493" width="14" style="678" bestFit="1" customWidth="1"/>
    <col min="10494" max="10498" width="14" style="678" customWidth="1"/>
    <col min="10499" max="10499" width="14.8984375" style="678" customWidth="1"/>
    <col min="10500" max="10504" width="14" style="678" customWidth="1"/>
    <col min="10505" max="10505" width="2" style="678" customWidth="1"/>
    <col min="10506" max="10746" width="9" style="678"/>
    <col min="10747" max="10747" width="7.59765625" style="678" customWidth="1"/>
    <col min="10748" max="10748" width="48.8984375" style="678" customWidth="1"/>
    <col min="10749" max="10749" width="14" style="678" bestFit="1" customWidth="1"/>
    <col min="10750" max="10754" width="14" style="678" customWidth="1"/>
    <col min="10755" max="10755" width="14.8984375" style="678" customWidth="1"/>
    <col min="10756" max="10760" width="14" style="678" customWidth="1"/>
    <col min="10761" max="10761" width="2" style="678" customWidth="1"/>
    <col min="10762" max="11002" width="9" style="678"/>
    <col min="11003" max="11003" width="7.59765625" style="678" customWidth="1"/>
    <col min="11004" max="11004" width="48.8984375" style="678" customWidth="1"/>
    <col min="11005" max="11005" width="14" style="678" bestFit="1" customWidth="1"/>
    <col min="11006" max="11010" width="14" style="678" customWidth="1"/>
    <col min="11011" max="11011" width="14.8984375" style="678" customWidth="1"/>
    <col min="11012" max="11016" width="14" style="678" customWidth="1"/>
    <col min="11017" max="11017" width="2" style="678" customWidth="1"/>
    <col min="11018" max="11258" width="9" style="678"/>
    <col min="11259" max="11259" width="7.59765625" style="678" customWidth="1"/>
    <col min="11260" max="11260" width="48.8984375" style="678" customWidth="1"/>
    <col min="11261" max="11261" width="14" style="678" bestFit="1" customWidth="1"/>
    <col min="11262" max="11266" width="14" style="678" customWidth="1"/>
    <col min="11267" max="11267" width="14.8984375" style="678" customWidth="1"/>
    <col min="11268" max="11272" width="14" style="678" customWidth="1"/>
    <col min="11273" max="11273" width="2" style="678" customWidth="1"/>
    <col min="11274" max="11514" width="9" style="678"/>
    <col min="11515" max="11515" width="7.59765625" style="678" customWidth="1"/>
    <col min="11516" max="11516" width="48.8984375" style="678" customWidth="1"/>
    <col min="11517" max="11517" width="14" style="678" bestFit="1" customWidth="1"/>
    <col min="11518" max="11522" width="14" style="678" customWidth="1"/>
    <col min="11523" max="11523" width="14.8984375" style="678" customWidth="1"/>
    <col min="11524" max="11528" width="14" style="678" customWidth="1"/>
    <col min="11529" max="11529" width="2" style="678" customWidth="1"/>
    <col min="11530" max="11770" width="9" style="678"/>
    <col min="11771" max="11771" width="7.59765625" style="678" customWidth="1"/>
    <col min="11772" max="11772" width="48.8984375" style="678" customWidth="1"/>
    <col min="11773" max="11773" width="14" style="678" bestFit="1" customWidth="1"/>
    <col min="11774" max="11778" width="14" style="678" customWidth="1"/>
    <col min="11779" max="11779" width="14.8984375" style="678" customWidth="1"/>
    <col min="11780" max="11784" width="14" style="678" customWidth="1"/>
    <col min="11785" max="11785" width="2" style="678" customWidth="1"/>
    <col min="11786" max="12026" width="9" style="678"/>
    <col min="12027" max="12027" width="7.59765625" style="678" customWidth="1"/>
    <col min="12028" max="12028" width="48.8984375" style="678" customWidth="1"/>
    <col min="12029" max="12029" width="14" style="678" bestFit="1" customWidth="1"/>
    <col min="12030" max="12034" width="14" style="678" customWidth="1"/>
    <col min="12035" max="12035" width="14.8984375" style="678" customWidth="1"/>
    <col min="12036" max="12040" width="14" style="678" customWidth="1"/>
    <col min="12041" max="12041" width="2" style="678" customWidth="1"/>
    <col min="12042" max="12282" width="9" style="678"/>
    <col min="12283" max="12283" width="7.59765625" style="678" customWidth="1"/>
    <col min="12284" max="12284" width="48.8984375" style="678" customWidth="1"/>
    <col min="12285" max="12285" width="14" style="678" bestFit="1" customWidth="1"/>
    <col min="12286" max="12290" width="14" style="678" customWidth="1"/>
    <col min="12291" max="12291" width="14.8984375" style="678" customWidth="1"/>
    <col min="12292" max="12296" width="14" style="678" customWidth="1"/>
    <col min="12297" max="12297" width="2" style="678" customWidth="1"/>
    <col min="12298" max="12538" width="9" style="678"/>
    <col min="12539" max="12539" width="7.59765625" style="678" customWidth="1"/>
    <col min="12540" max="12540" width="48.8984375" style="678" customWidth="1"/>
    <col min="12541" max="12541" width="14" style="678" bestFit="1" customWidth="1"/>
    <col min="12542" max="12546" width="14" style="678" customWidth="1"/>
    <col min="12547" max="12547" width="14.8984375" style="678" customWidth="1"/>
    <col min="12548" max="12552" width="14" style="678" customWidth="1"/>
    <col min="12553" max="12553" width="2" style="678" customWidth="1"/>
    <col min="12554" max="12794" width="9" style="678"/>
    <col min="12795" max="12795" width="7.59765625" style="678" customWidth="1"/>
    <col min="12796" max="12796" width="48.8984375" style="678" customWidth="1"/>
    <col min="12797" max="12797" width="14" style="678" bestFit="1" customWidth="1"/>
    <col min="12798" max="12802" width="14" style="678" customWidth="1"/>
    <col min="12803" max="12803" width="14.8984375" style="678" customWidth="1"/>
    <col min="12804" max="12808" width="14" style="678" customWidth="1"/>
    <col min="12809" max="12809" width="2" style="678" customWidth="1"/>
    <col min="12810" max="13050" width="9" style="678"/>
    <col min="13051" max="13051" width="7.59765625" style="678" customWidth="1"/>
    <col min="13052" max="13052" width="48.8984375" style="678" customWidth="1"/>
    <col min="13053" max="13053" width="14" style="678" bestFit="1" customWidth="1"/>
    <col min="13054" max="13058" width="14" style="678" customWidth="1"/>
    <col min="13059" max="13059" width="14.8984375" style="678" customWidth="1"/>
    <col min="13060" max="13064" width="14" style="678" customWidth="1"/>
    <col min="13065" max="13065" width="2" style="678" customWidth="1"/>
    <col min="13066" max="13306" width="9" style="678"/>
    <col min="13307" max="13307" width="7.59765625" style="678" customWidth="1"/>
    <col min="13308" max="13308" width="48.8984375" style="678" customWidth="1"/>
    <col min="13309" max="13309" width="14" style="678" bestFit="1" customWidth="1"/>
    <col min="13310" max="13314" width="14" style="678" customWidth="1"/>
    <col min="13315" max="13315" width="14.8984375" style="678" customWidth="1"/>
    <col min="13316" max="13320" width="14" style="678" customWidth="1"/>
    <col min="13321" max="13321" width="2" style="678" customWidth="1"/>
    <col min="13322" max="13562" width="9" style="678"/>
    <col min="13563" max="13563" width="7.59765625" style="678" customWidth="1"/>
    <col min="13564" max="13564" width="48.8984375" style="678" customWidth="1"/>
    <col min="13565" max="13565" width="14" style="678" bestFit="1" customWidth="1"/>
    <col min="13566" max="13570" width="14" style="678" customWidth="1"/>
    <col min="13571" max="13571" width="14.8984375" style="678" customWidth="1"/>
    <col min="13572" max="13576" width="14" style="678" customWidth="1"/>
    <col min="13577" max="13577" width="2" style="678" customWidth="1"/>
    <col min="13578" max="13818" width="9" style="678"/>
    <col min="13819" max="13819" width="7.59765625" style="678" customWidth="1"/>
    <col min="13820" max="13820" width="48.8984375" style="678" customWidth="1"/>
    <col min="13821" max="13821" width="14" style="678" bestFit="1" customWidth="1"/>
    <col min="13822" max="13826" width="14" style="678" customWidth="1"/>
    <col min="13827" max="13827" width="14.8984375" style="678" customWidth="1"/>
    <col min="13828" max="13832" width="14" style="678" customWidth="1"/>
    <col min="13833" max="13833" width="2" style="678" customWidth="1"/>
    <col min="13834" max="14074" width="9" style="678"/>
    <col min="14075" max="14075" width="7.59765625" style="678" customWidth="1"/>
    <col min="14076" max="14076" width="48.8984375" style="678" customWidth="1"/>
    <col min="14077" max="14077" width="14" style="678" bestFit="1" customWidth="1"/>
    <col min="14078" max="14082" width="14" style="678" customWidth="1"/>
    <col min="14083" max="14083" width="14.8984375" style="678" customWidth="1"/>
    <col min="14084" max="14088" width="14" style="678" customWidth="1"/>
    <col min="14089" max="14089" width="2" style="678" customWidth="1"/>
    <col min="14090" max="14330" width="9" style="678"/>
    <col min="14331" max="14331" width="7.59765625" style="678" customWidth="1"/>
    <col min="14332" max="14332" width="48.8984375" style="678" customWidth="1"/>
    <col min="14333" max="14333" width="14" style="678" bestFit="1" customWidth="1"/>
    <col min="14334" max="14338" width="14" style="678" customWidth="1"/>
    <col min="14339" max="14339" width="14.8984375" style="678" customWidth="1"/>
    <col min="14340" max="14344" width="14" style="678" customWidth="1"/>
    <col min="14345" max="14345" width="2" style="678" customWidth="1"/>
    <col min="14346" max="14586" width="9" style="678"/>
    <col min="14587" max="14587" width="7.59765625" style="678" customWidth="1"/>
    <col min="14588" max="14588" width="48.8984375" style="678" customWidth="1"/>
    <col min="14589" max="14589" width="14" style="678" bestFit="1" customWidth="1"/>
    <col min="14590" max="14594" width="14" style="678" customWidth="1"/>
    <col min="14595" max="14595" width="14.8984375" style="678" customWidth="1"/>
    <col min="14596" max="14600" width="14" style="678" customWidth="1"/>
    <col min="14601" max="14601" width="2" style="678" customWidth="1"/>
    <col min="14602" max="14842" width="9" style="678"/>
    <col min="14843" max="14843" width="7.59765625" style="678" customWidth="1"/>
    <col min="14844" max="14844" width="48.8984375" style="678" customWidth="1"/>
    <col min="14845" max="14845" width="14" style="678" bestFit="1" customWidth="1"/>
    <col min="14846" max="14850" width="14" style="678" customWidth="1"/>
    <col min="14851" max="14851" width="14.8984375" style="678" customWidth="1"/>
    <col min="14852" max="14856" width="14" style="678" customWidth="1"/>
    <col min="14857" max="14857" width="2" style="678" customWidth="1"/>
    <col min="14858" max="15098" width="9" style="678"/>
    <col min="15099" max="15099" width="7.59765625" style="678" customWidth="1"/>
    <col min="15100" max="15100" width="48.8984375" style="678" customWidth="1"/>
    <col min="15101" max="15101" width="14" style="678" bestFit="1" customWidth="1"/>
    <col min="15102" max="15106" width="14" style="678" customWidth="1"/>
    <col min="15107" max="15107" width="14.8984375" style="678" customWidth="1"/>
    <col min="15108" max="15112" width="14" style="678" customWidth="1"/>
    <col min="15113" max="15113" width="2" style="678" customWidth="1"/>
    <col min="15114" max="15354" width="9" style="678"/>
    <col min="15355" max="15355" width="7.59765625" style="678" customWidth="1"/>
    <col min="15356" max="15356" width="48.8984375" style="678" customWidth="1"/>
    <col min="15357" max="15357" width="14" style="678" bestFit="1" customWidth="1"/>
    <col min="15358" max="15362" width="14" style="678" customWidth="1"/>
    <col min="15363" max="15363" width="14.8984375" style="678" customWidth="1"/>
    <col min="15364" max="15368" width="14" style="678" customWidth="1"/>
    <col min="15369" max="15369" width="2" style="678" customWidth="1"/>
    <col min="15370" max="15610" width="9" style="678"/>
    <col min="15611" max="15611" width="7.59765625" style="678" customWidth="1"/>
    <col min="15612" max="15612" width="48.8984375" style="678" customWidth="1"/>
    <col min="15613" max="15613" width="14" style="678" bestFit="1" customWidth="1"/>
    <col min="15614" max="15618" width="14" style="678" customWidth="1"/>
    <col min="15619" max="15619" width="14.8984375" style="678" customWidth="1"/>
    <col min="15620" max="15624" width="14" style="678" customWidth="1"/>
    <col min="15625" max="15625" width="2" style="678" customWidth="1"/>
    <col min="15626" max="15866" width="9" style="678"/>
    <col min="15867" max="15867" width="7.59765625" style="678" customWidth="1"/>
    <col min="15868" max="15868" width="48.8984375" style="678" customWidth="1"/>
    <col min="15869" max="15869" width="14" style="678" bestFit="1" customWidth="1"/>
    <col min="15870" max="15874" width="14" style="678" customWidth="1"/>
    <col min="15875" max="15875" width="14.8984375" style="678" customWidth="1"/>
    <col min="15876" max="15880" width="14" style="678" customWidth="1"/>
    <col min="15881" max="15881" width="2" style="678" customWidth="1"/>
    <col min="15882" max="16122" width="9" style="678"/>
    <col min="16123" max="16123" width="7.59765625" style="678" customWidth="1"/>
    <col min="16124" max="16124" width="48.8984375" style="678" customWidth="1"/>
    <col min="16125" max="16125" width="14" style="678" bestFit="1" customWidth="1"/>
    <col min="16126" max="16130" width="14" style="678" customWidth="1"/>
    <col min="16131" max="16131" width="14.8984375" style="678" customWidth="1"/>
    <col min="16132" max="16136" width="14" style="678" customWidth="1"/>
    <col min="16137" max="16137" width="2" style="678" customWidth="1"/>
    <col min="16138" max="16384" width="9" style="678"/>
  </cols>
  <sheetData>
    <row r="1" spans="1:9" x14ac:dyDescent="0.3">
      <c r="A1" s="679"/>
      <c r="B1" s="243"/>
      <c r="F1" s="241"/>
    </row>
    <row r="2" spans="1:9" x14ac:dyDescent="0.3">
      <c r="B2" s="243" t="s">
        <v>1885</v>
      </c>
      <c r="C2" s="680"/>
    </row>
    <row r="3" spans="1:9" x14ac:dyDescent="0.3">
      <c r="B3" s="243"/>
      <c r="C3" s="680"/>
    </row>
    <row r="4" spans="1:9" x14ac:dyDescent="0.3">
      <c r="B4" s="67" t="s">
        <v>1864</v>
      </c>
      <c r="C4" s="67"/>
      <c r="D4" s="67"/>
      <c r="E4" s="681"/>
    </row>
    <row r="5" spans="1:9" x14ac:dyDescent="0.3">
      <c r="B5" s="678" t="s">
        <v>1912</v>
      </c>
      <c r="C5" s="764">
        <v>29</v>
      </c>
      <c r="D5" s="682" t="s">
        <v>1913</v>
      </c>
    </row>
    <row r="6" spans="1:9" x14ac:dyDescent="0.3">
      <c r="B6" s="678" t="s">
        <v>1914</v>
      </c>
      <c r="C6" s="764">
        <v>200</v>
      </c>
      <c r="D6" s="682" t="s">
        <v>1917</v>
      </c>
    </row>
    <row r="7" spans="1:9" x14ac:dyDescent="0.3">
      <c r="B7" s="678" t="s">
        <v>1915</v>
      </c>
      <c r="C7" s="766">
        <v>2</v>
      </c>
      <c r="D7" s="682"/>
    </row>
    <row r="8" spans="1:9" x14ac:dyDescent="0.3">
      <c r="B8" s="678" t="s">
        <v>1916</v>
      </c>
      <c r="C8" s="764">
        <f>C6*C7</f>
        <v>400</v>
      </c>
      <c r="D8" s="682" t="s">
        <v>1917</v>
      </c>
    </row>
    <row r="9" spans="1:9" x14ac:dyDescent="0.3">
      <c r="B9" s="678" t="s">
        <v>1887</v>
      </c>
      <c r="C9" s="765">
        <f>C5*1000000/C8</f>
        <v>72500</v>
      </c>
      <c r="D9" s="682" t="s">
        <v>1888</v>
      </c>
      <c r="E9" s="713"/>
    </row>
    <row r="10" spans="1:9" x14ac:dyDescent="0.3">
      <c r="B10" s="241"/>
    </row>
    <row r="11" spans="1:9" x14ac:dyDescent="0.3">
      <c r="A11" s="241"/>
      <c r="B11" s="684" t="s">
        <v>1865</v>
      </c>
      <c r="C11" s="685"/>
      <c r="D11" s="685"/>
      <c r="E11" s="685"/>
      <c r="F11" s="685"/>
      <c r="G11" s="685"/>
      <c r="H11" s="685"/>
      <c r="I11" s="686"/>
    </row>
    <row r="12" spans="1:9" ht="16.5" customHeight="1" x14ac:dyDescent="0.3">
      <c r="B12" s="687"/>
      <c r="C12" s="241"/>
      <c r="D12" s="241"/>
      <c r="E12" s="241"/>
      <c r="F12" s="241"/>
      <c r="G12" s="241"/>
      <c r="H12" s="241"/>
      <c r="I12" s="688"/>
    </row>
    <row r="13" spans="1:9" x14ac:dyDescent="0.3">
      <c r="B13" s="689" t="s">
        <v>1866</v>
      </c>
      <c r="C13" s="67"/>
      <c r="D13" s="67">
        <v>2015</v>
      </c>
      <c r="E13" s="67">
        <v>2016</v>
      </c>
      <c r="F13" s="67">
        <v>2017</v>
      </c>
      <c r="G13" s="67">
        <v>2018</v>
      </c>
      <c r="H13" s="67">
        <v>2019</v>
      </c>
      <c r="I13" s="688"/>
    </row>
    <row r="14" spans="1:9" x14ac:dyDescent="0.3">
      <c r="B14" s="687" t="s">
        <v>1867</v>
      </c>
      <c r="C14" s="241"/>
      <c r="D14" s="690">
        <f>'Capital Improvement Plan'!F24</f>
        <v>2485000</v>
      </c>
      <c r="E14" s="690">
        <f>'Capital Improvement Plan'!G24</f>
        <v>326000</v>
      </c>
      <c r="F14" s="690">
        <f>'Capital Improvement Plan'!H24</f>
        <v>4664000</v>
      </c>
      <c r="G14" s="690">
        <f>'Capital Improvement Plan'!I24</f>
        <v>7117500</v>
      </c>
      <c r="H14" s="690">
        <f>'Capital Improvement Plan'!J24</f>
        <v>4037500</v>
      </c>
      <c r="I14" s="688"/>
    </row>
    <row r="15" spans="1:9" x14ac:dyDescent="0.3">
      <c r="B15" s="687" t="s">
        <v>1868</v>
      </c>
      <c r="C15" s="241"/>
      <c r="D15" s="690">
        <f>'Capital Improvement Plan'!F28</f>
        <v>2000000</v>
      </c>
      <c r="E15" s="690">
        <f>'Capital Improvement Plan'!G28</f>
        <v>0</v>
      </c>
      <c r="F15" s="690">
        <f>'Capital Improvement Plan'!H28</f>
        <v>1900000</v>
      </c>
      <c r="G15" s="690">
        <f>'Capital Improvement Plan'!I28</f>
        <v>1900000</v>
      </c>
      <c r="H15" s="690">
        <f>'Capital Improvement Plan'!J28</f>
        <v>2000000</v>
      </c>
      <c r="I15" s="688"/>
    </row>
    <row r="16" spans="1:9" x14ac:dyDescent="0.3">
      <c r="B16" s="687" t="s">
        <v>1869</v>
      </c>
      <c r="C16" s="241"/>
      <c r="D16" s="690">
        <f>'Capital Improvement Plan'!F29</f>
        <v>485000</v>
      </c>
      <c r="E16" s="690">
        <f>'Capital Improvement Plan'!G29</f>
        <v>326000</v>
      </c>
      <c r="F16" s="690">
        <f>'Capital Improvement Plan'!H29</f>
        <v>2764000</v>
      </c>
      <c r="G16" s="690">
        <f>'Capital Improvement Plan'!I29</f>
        <v>5217500</v>
      </c>
      <c r="H16" s="690">
        <f>'Capital Improvement Plan'!J29</f>
        <v>2037500</v>
      </c>
      <c r="I16" s="688"/>
    </row>
    <row r="17" spans="2:11" x14ac:dyDescent="0.3">
      <c r="B17" s="687"/>
      <c r="C17" s="241"/>
      <c r="D17" s="691"/>
      <c r="E17" s="691"/>
      <c r="F17" s="691"/>
      <c r="G17" s="691"/>
      <c r="H17" s="691"/>
      <c r="I17" s="688"/>
    </row>
    <row r="18" spans="2:11" x14ac:dyDescent="0.3">
      <c r="B18" s="692" t="s">
        <v>1870</v>
      </c>
      <c r="C18" s="241"/>
      <c r="D18" s="691"/>
      <c r="E18" s="691"/>
      <c r="F18" s="691"/>
      <c r="G18" s="691"/>
      <c r="H18" s="691"/>
      <c r="I18" s="688"/>
    </row>
    <row r="19" spans="2:11" x14ac:dyDescent="0.3">
      <c r="B19" s="687" t="s">
        <v>1871</v>
      </c>
      <c r="C19" s="693">
        <v>0.02</v>
      </c>
      <c r="D19" s="241"/>
      <c r="E19" s="691"/>
      <c r="F19" s="691"/>
      <c r="G19" s="691"/>
      <c r="H19" s="691"/>
      <c r="I19" s="688"/>
    </row>
    <row r="20" spans="2:11" x14ac:dyDescent="0.3">
      <c r="B20" s="687" t="s">
        <v>1872</v>
      </c>
      <c r="C20" s="694">
        <v>20</v>
      </c>
      <c r="D20" s="241"/>
      <c r="E20" s="691"/>
      <c r="F20" s="67"/>
      <c r="G20" s="67"/>
      <c r="H20" s="67" t="s">
        <v>1873</v>
      </c>
      <c r="I20" s="688"/>
      <c r="J20" s="937" t="s">
        <v>2126</v>
      </c>
    </row>
    <row r="21" spans="2:11" x14ac:dyDescent="0.3">
      <c r="B21" s="687" t="s">
        <v>1874</v>
      </c>
      <c r="C21" s="241"/>
      <c r="D21" s="691">
        <f>SUM(D15:H15)</f>
        <v>7800000</v>
      </c>
      <c r="E21" s="695"/>
      <c r="F21" s="67" t="s">
        <v>1875</v>
      </c>
      <c r="G21" s="67" t="s">
        <v>1876</v>
      </c>
      <c r="H21" s="67" t="s">
        <v>1877</v>
      </c>
      <c r="I21" s="688"/>
      <c r="J21" s="937" t="s">
        <v>2127</v>
      </c>
    </row>
    <row r="22" spans="2:11" x14ac:dyDescent="0.3">
      <c r="B22" s="687" t="s">
        <v>1878</v>
      </c>
      <c r="C22" s="696">
        <v>1.4999999999999999E-2</v>
      </c>
      <c r="D22" s="691">
        <f>C22*D21</f>
        <v>117000</v>
      </c>
      <c r="E22" s="695"/>
      <c r="F22" s="697">
        <v>0.625</v>
      </c>
      <c r="G22" s="698">
        <v>1</v>
      </c>
      <c r="H22" s="708">
        <f t="shared" ref="H22:H30" si="0">ROUND(G22*$D$35,-2)</f>
        <v>1500</v>
      </c>
      <c r="I22" s="688"/>
      <c r="J22" s="936">
        <v>363</v>
      </c>
      <c r="K22" s="700"/>
    </row>
    <row r="23" spans="2:11" x14ac:dyDescent="0.3">
      <c r="B23" s="687" t="s">
        <v>1879</v>
      </c>
      <c r="C23" s="241"/>
      <c r="D23" s="691">
        <f>SUM(D21:D22)</f>
        <v>7917000</v>
      </c>
      <c r="E23" s="695"/>
      <c r="F23" s="697">
        <v>0.75</v>
      </c>
      <c r="G23" s="698">
        <v>1</v>
      </c>
      <c r="H23" s="708">
        <f t="shared" si="0"/>
        <v>1500</v>
      </c>
      <c r="I23" s="688"/>
      <c r="J23" s="936">
        <v>363</v>
      </c>
    </row>
    <row r="24" spans="2:11" x14ac:dyDescent="0.3">
      <c r="B24" s="687"/>
      <c r="C24" s="701"/>
      <c r="D24" s="691"/>
      <c r="E24" s="695"/>
      <c r="F24" s="697">
        <v>1</v>
      </c>
      <c r="G24" s="698">
        <v>2.5</v>
      </c>
      <c r="H24" s="708">
        <f t="shared" si="0"/>
        <v>3700</v>
      </c>
      <c r="I24" s="688"/>
      <c r="J24" s="936">
        <v>590</v>
      </c>
    </row>
    <row r="25" spans="2:11" x14ac:dyDescent="0.3">
      <c r="B25" s="687" t="s">
        <v>1880</v>
      </c>
      <c r="C25" s="241"/>
      <c r="D25" s="690">
        <f>-PMT(C19,C20,D23)*C20</f>
        <v>9683554.7479584813</v>
      </c>
      <c r="E25" s="691"/>
      <c r="F25" s="697">
        <v>1.5</v>
      </c>
      <c r="G25" s="698">
        <v>5</v>
      </c>
      <c r="H25" s="708">
        <f t="shared" si="0"/>
        <v>7300</v>
      </c>
      <c r="I25" s="688"/>
      <c r="J25" s="936">
        <v>658</v>
      </c>
    </row>
    <row r="26" spans="2:11" x14ac:dyDescent="0.3">
      <c r="B26" s="687"/>
      <c r="C26" s="241"/>
      <c r="D26" s="690"/>
      <c r="E26" s="691"/>
      <c r="F26" s="697">
        <v>2</v>
      </c>
      <c r="G26" s="698">
        <v>8</v>
      </c>
      <c r="H26" s="708">
        <f t="shared" si="0"/>
        <v>11700</v>
      </c>
      <c r="I26" s="688"/>
      <c r="J26" s="936">
        <v>1406</v>
      </c>
    </row>
    <row r="27" spans="2:11" x14ac:dyDescent="0.3">
      <c r="B27" s="687" t="s">
        <v>1881</v>
      </c>
      <c r="C27" s="241"/>
      <c r="D27" s="690">
        <f>SUMPRODUCT('Fixed Assets'!$T$6:$T$597,'Fixed Assets'!$B$6:$B$597)</f>
        <v>96416456.828946099</v>
      </c>
      <c r="E27" s="691"/>
      <c r="F27" s="697">
        <v>3</v>
      </c>
      <c r="G27" s="698">
        <v>16</v>
      </c>
      <c r="H27" s="708">
        <f t="shared" si="0"/>
        <v>23400</v>
      </c>
      <c r="I27" s="688"/>
      <c r="J27" s="936">
        <v>4083</v>
      </c>
    </row>
    <row r="28" spans="2:11" x14ac:dyDescent="0.3">
      <c r="B28" s="687"/>
      <c r="C28" s="241"/>
      <c r="D28" s="699"/>
      <c r="E28" s="691"/>
      <c r="F28" s="697">
        <v>4</v>
      </c>
      <c r="G28" s="698">
        <v>25</v>
      </c>
      <c r="H28" s="708">
        <f t="shared" si="0"/>
        <v>36600</v>
      </c>
      <c r="I28" s="688"/>
      <c r="J28" s="936">
        <v>8701</v>
      </c>
    </row>
    <row r="29" spans="2:11" x14ac:dyDescent="0.3">
      <c r="B29" s="687" t="s">
        <v>1869</v>
      </c>
      <c r="C29" s="241"/>
      <c r="D29" s="699">
        <f>SUM(D16:H16)</f>
        <v>10830000</v>
      </c>
      <c r="E29" s="691"/>
      <c r="F29" s="697">
        <v>6</v>
      </c>
      <c r="G29" s="698">
        <v>50</v>
      </c>
      <c r="H29" s="708">
        <f t="shared" si="0"/>
        <v>73100</v>
      </c>
      <c r="I29" s="688"/>
      <c r="J29" s="936">
        <v>25274</v>
      </c>
    </row>
    <row r="30" spans="2:11" x14ac:dyDescent="0.3">
      <c r="B30" s="687"/>
      <c r="C30" s="241"/>
      <c r="D30" s="699"/>
      <c r="E30" s="691"/>
      <c r="F30" s="697" t="s">
        <v>1886</v>
      </c>
      <c r="G30" s="698">
        <v>80</v>
      </c>
      <c r="H30" s="708">
        <f t="shared" si="0"/>
        <v>117000</v>
      </c>
      <c r="I30" s="688"/>
      <c r="J30" s="936">
        <v>53861</v>
      </c>
    </row>
    <row r="31" spans="2:11" x14ac:dyDescent="0.3">
      <c r="B31" s="687" t="s">
        <v>1882</v>
      </c>
      <c r="C31" s="241"/>
      <c r="D31" s="699">
        <f>D27+D25+D29</f>
        <v>116930011.57690458</v>
      </c>
      <c r="E31" s="702"/>
      <c r="F31" s="697"/>
      <c r="G31" s="698"/>
      <c r="H31" s="699"/>
      <c r="I31" s="688"/>
    </row>
    <row r="32" spans="2:11" x14ac:dyDescent="0.3">
      <c r="B32" s="687" t="s">
        <v>1922</v>
      </c>
      <c r="C32" s="241"/>
      <c r="D32" s="770">
        <v>-10928904</v>
      </c>
      <c r="E32" s="241"/>
      <c r="F32" s="241"/>
      <c r="G32" s="697"/>
      <c r="H32" s="703"/>
      <c r="I32" s="688"/>
    </row>
    <row r="33" spans="2:9" x14ac:dyDescent="0.3">
      <c r="B33" s="687" t="s">
        <v>1883</v>
      </c>
      <c r="C33" s="241"/>
      <c r="D33" s="699">
        <f>D31+D32</f>
        <v>106001107.57690458</v>
      </c>
      <c r="E33" s="241"/>
      <c r="F33" s="241"/>
      <c r="G33" s="697"/>
      <c r="H33" s="703"/>
      <c r="I33" s="688"/>
    </row>
    <row r="34" spans="2:9" x14ac:dyDescent="0.3">
      <c r="B34" s="687"/>
      <c r="C34" s="241"/>
      <c r="D34" s="699"/>
      <c r="E34" s="241"/>
      <c r="F34" s="241"/>
      <c r="G34" s="241"/>
      <c r="H34" s="241"/>
      <c r="I34" s="688"/>
    </row>
    <row r="35" spans="2:9" x14ac:dyDescent="0.3">
      <c r="B35" s="704" t="s">
        <v>1884</v>
      </c>
      <c r="C35" s="683"/>
      <c r="D35" s="705">
        <f>D33/C9</f>
        <v>1462.0842424400632</v>
      </c>
      <c r="E35" s="683"/>
      <c r="F35" s="683"/>
      <c r="G35" s="683"/>
      <c r="H35" s="683"/>
      <c r="I35" s="706"/>
    </row>
  </sheetData>
  <pageMargins left="0.1" right="0.1" top="0.4" bottom="0.3" header="0.4" footer="0.1"/>
  <pageSetup scale="50" orientation="landscape" r:id="rId1"/>
  <headerFooter alignWithMargins="0">
    <oddHeader>&amp;C&amp;12Town of Manchester Water and Sewer Rate Study</oddHeader>
    <oddFooter>Page &amp;P of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</sheetPr>
  <dimension ref="A1:X330"/>
  <sheetViews>
    <sheetView showGridLines="0" zoomScale="75" zoomScaleNormal="75" zoomScaleSheetLayoutView="75" workbookViewId="0">
      <pane xSplit="3" ySplit="25" topLeftCell="D80" activePane="bottomRight" state="frozen"/>
      <selection activeCell="B13" sqref="B13"/>
      <selection pane="topRight" activeCell="B13" sqref="B13"/>
      <selection pane="bottomLeft" activeCell="B13" sqref="B13"/>
      <selection pane="bottomRight" activeCell="F330" sqref="F330"/>
    </sheetView>
  </sheetViews>
  <sheetFormatPr defaultColWidth="9" defaultRowHeight="15.6" outlineLevelRow="1" x14ac:dyDescent="0.3"/>
  <cols>
    <col min="1" max="1" width="4.69921875" style="299" customWidth="1"/>
    <col min="2" max="3" width="9.8984375" style="299" customWidth="1"/>
    <col min="4" max="4" width="25.19921875" style="300" bestFit="1" customWidth="1"/>
    <col min="5" max="5" width="12.09765625" style="300" customWidth="1"/>
    <col min="6" max="7" width="12.09765625" style="299" customWidth="1"/>
    <col min="8" max="9" width="12.09765625" style="293" customWidth="1"/>
    <col min="10" max="17" width="12.09765625" style="299" customWidth="1"/>
    <col min="18" max="18" width="1.3984375" style="299" customWidth="1"/>
    <col min="19" max="19" width="9" style="301"/>
    <col min="20" max="20" width="9.59765625" style="301" customWidth="1"/>
    <col min="21" max="21" width="10.19921875" style="301" bestFit="1" customWidth="1"/>
    <col min="22" max="22" width="9" style="301"/>
    <col min="23" max="16384" width="9" style="299"/>
  </cols>
  <sheetData>
    <row r="1" spans="1:24" s="283" customFormat="1" x14ac:dyDescent="0.3">
      <c r="E1" s="284"/>
      <c r="F1" s="285"/>
      <c r="G1" s="286"/>
      <c r="H1" s="286"/>
      <c r="I1" s="286"/>
      <c r="J1" s="286"/>
      <c r="K1" s="286"/>
      <c r="L1" s="286"/>
      <c r="M1" s="286"/>
      <c r="N1" s="286"/>
      <c r="O1" s="287"/>
      <c r="P1" s="288"/>
      <c r="Q1" s="289"/>
    </row>
    <row r="2" spans="1:24" s="290" customFormat="1" x14ac:dyDescent="0.3">
      <c r="B2" s="291" t="s">
        <v>1521</v>
      </c>
      <c r="C2" s="291"/>
      <c r="D2" s="291"/>
      <c r="E2" s="291"/>
      <c r="L2" s="292"/>
    </row>
    <row r="3" spans="1:24" s="290" customFormat="1" x14ac:dyDescent="0.3">
      <c r="B3" s="291"/>
      <c r="C3" s="291"/>
      <c r="D3" s="291"/>
      <c r="E3" s="291"/>
      <c r="L3" s="292"/>
    </row>
    <row r="4" spans="1:24" s="297" customFormat="1" hidden="1" outlineLevel="1" x14ac:dyDescent="0.3">
      <c r="A4" s="293"/>
      <c r="B4" s="293"/>
      <c r="C4" s="294"/>
      <c r="D4" s="295"/>
      <c r="E4" s="295"/>
      <c r="F4" s="295"/>
      <c r="G4" s="295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4"/>
      <c r="T4" s="298"/>
      <c r="U4" s="298"/>
    </row>
    <row r="5" spans="1:24" s="301" customFormat="1" hidden="1" outlineLevel="1" x14ac:dyDescent="0.3">
      <c r="A5" s="299"/>
      <c r="B5" s="299"/>
      <c r="C5" s="299"/>
      <c r="D5" s="300"/>
      <c r="E5" s="300"/>
      <c r="F5" s="299"/>
      <c r="G5" s="299"/>
      <c r="H5" s="293"/>
      <c r="I5" s="293"/>
      <c r="J5" s="299"/>
      <c r="K5" s="299"/>
      <c r="L5" s="299"/>
      <c r="M5" s="299"/>
      <c r="N5" s="299"/>
      <c r="O5" s="299"/>
      <c r="P5" s="299"/>
      <c r="Q5" s="299"/>
      <c r="R5" s="299"/>
      <c r="W5" s="299"/>
      <c r="X5" s="299"/>
    </row>
    <row r="6" spans="1:24" s="301" customFormat="1" hidden="1" outlineLevel="1" x14ac:dyDescent="0.3">
      <c r="A6" s="299"/>
      <c r="B6" s="299"/>
      <c r="C6" s="299"/>
      <c r="D6" s="300"/>
      <c r="E6" s="300"/>
      <c r="F6" s="299"/>
      <c r="G6" s="299"/>
      <c r="H6" s="293"/>
      <c r="I6" s="293"/>
      <c r="J6" s="299"/>
      <c r="K6" s="299"/>
      <c r="L6" s="299"/>
      <c r="M6" s="299"/>
      <c r="N6" s="299"/>
      <c r="O6" s="299"/>
      <c r="P6" s="299"/>
      <c r="Q6" s="299"/>
      <c r="R6" s="299"/>
      <c r="T6" s="298"/>
      <c r="U6" s="298"/>
    </row>
    <row r="7" spans="1:24" s="301" customFormat="1" hidden="1" outlineLevel="1" x14ac:dyDescent="0.3">
      <c r="A7" s="299"/>
      <c r="B7" s="299"/>
      <c r="C7" s="299"/>
      <c r="D7" s="300"/>
      <c r="E7" s="300"/>
      <c r="F7" s="299"/>
      <c r="G7" s="299"/>
      <c r="H7" s="293"/>
      <c r="I7" s="293"/>
      <c r="J7" s="299"/>
      <c r="K7" s="299"/>
      <c r="L7" s="299"/>
      <c r="M7" s="299"/>
      <c r="N7" s="299"/>
      <c r="O7" s="299"/>
      <c r="P7" s="299"/>
      <c r="Q7" s="299"/>
      <c r="R7" s="299"/>
      <c r="T7" s="298"/>
      <c r="U7" s="298"/>
    </row>
    <row r="8" spans="1:24" s="301" customFormat="1" hidden="1" outlineLevel="1" x14ac:dyDescent="0.3">
      <c r="A8" s="299"/>
      <c r="B8" s="299"/>
      <c r="C8" s="299"/>
      <c r="D8" s="300"/>
      <c r="E8" s="300"/>
      <c r="F8" s="299"/>
      <c r="G8" s="299"/>
      <c r="H8" s="293"/>
      <c r="I8" s="293"/>
      <c r="J8" s="299"/>
      <c r="K8" s="299"/>
      <c r="L8" s="299"/>
      <c r="M8" s="299"/>
      <c r="N8" s="299"/>
      <c r="O8" s="299"/>
      <c r="P8" s="299"/>
      <c r="Q8" s="299"/>
      <c r="R8" s="299"/>
      <c r="T8" s="298"/>
      <c r="U8" s="298"/>
    </row>
    <row r="9" spans="1:24" s="301" customFormat="1" hidden="1" outlineLevel="1" x14ac:dyDescent="0.3">
      <c r="A9" s="299"/>
      <c r="B9" s="299"/>
      <c r="C9" s="299"/>
      <c r="D9" s="300"/>
      <c r="E9" s="300"/>
      <c r="F9" s="299"/>
      <c r="G9" s="299"/>
      <c r="H9" s="293"/>
      <c r="I9" s="293"/>
      <c r="J9" s="299"/>
      <c r="K9" s="299"/>
      <c r="L9" s="299"/>
      <c r="M9" s="299"/>
      <c r="N9" s="299"/>
      <c r="O9" s="299"/>
      <c r="P9" s="299"/>
      <c r="Q9" s="299"/>
      <c r="R9" s="299"/>
      <c r="T9" s="298"/>
      <c r="U9" s="298"/>
    </row>
    <row r="10" spans="1:24" s="301" customFormat="1" hidden="1" outlineLevel="1" x14ac:dyDescent="0.3">
      <c r="A10" s="299"/>
      <c r="B10" s="299"/>
      <c r="C10" s="299"/>
      <c r="D10" s="300"/>
      <c r="E10" s="300"/>
      <c r="F10" s="299"/>
      <c r="G10" s="299"/>
      <c r="H10" s="293"/>
      <c r="I10" s="293"/>
      <c r="J10" s="299"/>
      <c r="K10" s="299"/>
      <c r="L10" s="299"/>
      <c r="M10" s="299"/>
      <c r="N10" s="299"/>
      <c r="O10" s="299"/>
      <c r="P10" s="299"/>
      <c r="Q10" s="299"/>
      <c r="R10" s="299"/>
      <c r="T10" s="298"/>
      <c r="U10" s="298"/>
    </row>
    <row r="11" spans="1:24" s="301" customFormat="1" hidden="1" outlineLevel="1" x14ac:dyDescent="0.3">
      <c r="A11" s="299"/>
      <c r="B11" s="299"/>
      <c r="C11" s="299"/>
      <c r="D11" s="300"/>
      <c r="E11" s="300"/>
      <c r="F11" s="299"/>
      <c r="G11" s="299"/>
      <c r="H11" s="293"/>
      <c r="I11" s="293"/>
      <c r="J11" s="299"/>
      <c r="K11" s="299"/>
      <c r="L11" s="299"/>
      <c r="M11" s="299"/>
      <c r="N11" s="299"/>
      <c r="O11" s="299"/>
      <c r="P11" s="299"/>
      <c r="Q11" s="299"/>
      <c r="R11" s="299"/>
      <c r="T11" s="298"/>
      <c r="U11" s="298"/>
    </row>
    <row r="12" spans="1:24" s="301" customFormat="1" hidden="1" outlineLevel="1" x14ac:dyDescent="0.3">
      <c r="A12" s="299"/>
      <c r="B12" s="299"/>
      <c r="C12" s="299"/>
      <c r="D12" s="300"/>
      <c r="E12" s="300"/>
      <c r="F12" s="299"/>
      <c r="G12" s="299"/>
      <c r="H12" s="293"/>
      <c r="I12" s="293"/>
      <c r="J12" s="299"/>
      <c r="K12" s="299"/>
      <c r="L12" s="299"/>
      <c r="M12" s="299"/>
      <c r="N12" s="299"/>
      <c r="O12" s="299"/>
      <c r="P12" s="299"/>
      <c r="Q12" s="299"/>
      <c r="R12" s="299"/>
      <c r="T12" s="298"/>
      <c r="U12" s="298"/>
    </row>
    <row r="13" spans="1:24" s="301" customFormat="1" hidden="1" outlineLevel="1" x14ac:dyDescent="0.3">
      <c r="A13" s="299"/>
      <c r="B13" s="299"/>
      <c r="C13" s="299"/>
      <c r="D13" s="300"/>
      <c r="E13" s="300"/>
      <c r="F13" s="299"/>
      <c r="G13" s="299"/>
      <c r="H13" s="293"/>
      <c r="I13" s="293"/>
      <c r="J13" s="299"/>
      <c r="K13" s="299"/>
      <c r="L13" s="299"/>
      <c r="M13" s="299"/>
      <c r="N13" s="299"/>
      <c r="O13" s="299"/>
      <c r="P13" s="299"/>
      <c r="Q13" s="299"/>
      <c r="R13" s="299"/>
      <c r="T13" s="298"/>
      <c r="U13" s="298"/>
    </row>
    <row r="14" spans="1:24" s="301" customFormat="1" hidden="1" outlineLevel="1" x14ac:dyDescent="0.3">
      <c r="A14" s="299"/>
      <c r="B14" s="299"/>
      <c r="C14" s="299"/>
      <c r="D14" s="300"/>
      <c r="E14" s="300"/>
      <c r="F14" s="299"/>
      <c r="G14" s="299"/>
      <c r="H14" s="293"/>
      <c r="I14" s="293"/>
      <c r="J14" s="299"/>
      <c r="K14" s="299"/>
      <c r="L14" s="299"/>
      <c r="M14" s="299"/>
      <c r="N14" s="299"/>
      <c r="O14" s="299"/>
      <c r="P14" s="299"/>
      <c r="Q14" s="299"/>
      <c r="R14" s="299"/>
      <c r="T14" s="298"/>
      <c r="U14" s="298"/>
    </row>
    <row r="15" spans="1:24" s="301" customFormat="1" hidden="1" outlineLevel="1" x14ac:dyDescent="0.3">
      <c r="A15" s="299"/>
      <c r="B15" s="299"/>
      <c r="C15" s="299"/>
      <c r="D15" s="300"/>
      <c r="E15" s="300"/>
      <c r="F15" s="299"/>
      <c r="G15" s="299"/>
      <c r="H15" s="293"/>
      <c r="I15" s="293"/>
      <c r="J15" s="299"/>
      <c r="K15" s="299"/>
      <c r="L15" s="299"/>
      <c r="M15" s="299"/>
      <c r="N15" s="299"/>
      <c r="O15" s="299"/>
      <c r="P15" s="299"/>
      <c r="Q15" s="299"/>
      <c r="R15" s="299"/>
      <c r="T15" s="298"/>
      <c r="U15" s="298"/>
    </row>
    <row r="16" spans="1:24" s="301" customFormat="1" hidden="1" outlineLevel="1" x14ac:dyDescent="0.3">
      <c r="A16" s="299"/>
      <c r="B16" s="299"/>
      <c r="C16" s="299"/>
      <c r="D16" s="300"/>
      <c r="E16" s="300"/>
      <c r="F16" s="299"/>
      <c r="G16" s="299"/>
      <c r="H16" s="293"/>
      <c r="I16" s="293"/>
      <c r="J16" s="299"/>
      <c r="K16" s="299"/>
      <c r="L16" s="299"/>
      <c r="M16" s="299"/>
      <c r="N16" s="299"/>
      <c r="O16" s="299"/>
      <c r="P16" s="299"/>
      <c r="Q16" s="299"/>
      <c r="R16" s="299"/>
      <c r="T16" s="298"/>
      <c r="U16" s="298"/>
    </row>
    <row r="17" spans="1:24" s="301" customFormat="1" hidden="1" outlineLevel="1" x14ac:dyDescent="0.3">
      <c r="A17" s="299"/>
      <c r="B17" s="299"/>
      <c r="C17" s="299"/>
      <c r="D17" s="300"/>
      <c r="E17" s="300"/>
      <c r="F17" s="299"/>
      <c r="G17" s="299"/>
      <c r="H17" s="293"/>
      <c r="I17" s="293"/>
      <c r="J17" s="299"/>
      <c r="K17" s="299"/>
      <c r="L17" s="299"/>
      <c r="M17" s="299"/>
      <c r="N17" s="299"/>
      <c r="O17" s="299"/>
      <c r="P17" s="299"/>
      <c r="Q17" s="299"/>
      <c r="R17" s="299"/>
      <c r="T17" s="298"/>
      <c r="U17" s="298"/>
    </row>
    <row r="18" spans="1:24" s="301" customFormat="1" hidden="1" outlineLevel="1" x14ac:dyDescent="0.3">
      <c r="A18" s="299"/>
      <c r="B18" s="299"/>
      <c r="C18" s="299"/>
      <c r="D18" s="1318" t="s">
        <v>1522</v>
      </c>
      <c r="E18" s="1318"/>
      <c r="F18" s="1318"/>
      <c r="G18" s="1318"/>
      <c r="H18" s="1319" t="s">
        <v>1523</v>
      </c>
      <c r="I18" s="1319"/>
      <c r="J18" s="1319" t="s">
        <v>1475</v>
      </c>
      <c r="K18" s="1319"/>
      <c r="L18" s="1319"/>
      <c r="M18" s="1319"/>
      <c r="N18" s="1319"/>
      <c r="O18" s="1319"/>
      <c r="P18" s="1319"/>
      <c r="Q18" s="1319"/>
      <c r="R18" s="299"/>
      <c r="T18" s="298"/>
      <c r="U18" s="298"/>
    </row>
    <row r="19" spans="1:24" s="301" customFormat="1" ht="15.75" customHeight="1" collapsed="1" x14ac:dyDescent="0.3">
      <c r="A19" s="302" t="s">
        <v>1524</v>
      </c>
      <c r="B19" s="299"/>
      <c r="C19" s="299"/>
      <c r="D19" s="1320" t="s">
        <v>1525</v>
      </c>
      <c r="E19" s="1320"/>
      <c r="F19" s="1320"/>
      <c r="G19" s="1321"/>
      <c r="H19" s="1322" t="s">
        <v>1526</v>
      </c>
      <c r="I19" s="1323"/>
      <c r="J19" s="1324" t="s">
        <v>1527</v>
      </c>
      <c r="K19" s="1324"/>
      <c r="L19" s="1324"/>
      <c r="M19" s="1324"/>
      <c r="N19" s="1324"/>
      <c r="O19" s="1324"/>
      <c r="P19" s="1324"/>
      <c r="Q19" s="1324"/>
      <c r="R19" s="303"/>
      <c r="T19" s="298"/>
      <c r="U19" s="298"/>
    </row>
    <row r="20" spans="1:24" s="301" customFormat="1" x14ac:dyDescent="0.3">
      <c r="A20" s="302"/>
      <c r="B20" s="299"/>
      <c r="C20" s="299"/>
      <c r="D20" s="1315" t="s">
        <v>1528</v>
      </c>
      <c r="E20" s="1315"/>
      <c r="F20" s="1315" t="s">
        <v>1529</v>
      </c>
      <c r="G20" s="1316"/>
      <c r="H20" s="1315" t="s">
        <v>1530</v>
      </c>
      <c r="I20" s="1316"/>
      <c r="J20" s="1315" t="s">
        <v>1531</v>
      </c>
      <c r="K20" s="1316"/>
      <c r="L20" s="1317" t="s">
        <v>1528</v>
      </c>
      <c r="M20" s="1315"/>
      <c r="N20" s="1315" t="s">
        <v>1532</v>
      </c>
      <c r="O20" s="1315"/>
      <c r="P20" s="1315" t="s">
        <v>1533</v>
      </c>
      <c r="Q20" s="1315"/>
      <c r="R20" s="303"/>
      <c r="T20" s="298"/>
      <c r="U20" s="298"/>
    </row>
    <row r="21" spans="1:24" s="301" customFormat="1" x14ac:dyDescent="0.3">
      <c r="A21" s="299"/>
      <c r="B21" s="299"/>
      <c r="C21" s="304"/>
      <c r="D21" s="305" t="s">
        <v>1534</v>
      </c>
      <c r="E21" s="306" t="s">
        <v>1535</v>
      </c>
      <c r="F21" s="307" t="s">
        <v>1534</v>
      </c>
      <c r="G21" s="306" t="s">
        <v>1535</v>
      </c>
      <c r="H21" s="307" t="s">
        <v>1534</v>
      </c>
      <c r="I21" s="308" t="s">
        <v>1535</v>
      </c>
      <c r="J21" s="307" t="s">
        <v>1534</v>
      </c>
      <c r="K21" s="308" t="s">
        <v>1535</v>
      </c>
      <c r="L21" s="307" t="s">
        <v>1534</v>
      </c>
      <c r="M21" s="308" t="s">
        <v>1535</v>
      </c>
      <c r="N21" s="307" t="s">
        <v>1534</v>
      </c>
      <c r="O21" s="308" t="s">
        <v>1535</v>
      </c>
      <c r="P21" s="307" t="s">
        <v>1534</v>
      </c>
      <c r="Q21" s="309" t="s">
        <v>1535</v>
      </c>
      <c r="R21" s="299"/>
      <c r="W21" s="299"/>
      <c r="X21" s="299"/>
    </row>
    <row r="22" spans="1:24" s="301" customFormat="1" x14ac:dyDescent="0.3">
      <c r="A22" s="299"/>
      <c r="B22" s="299"/>
      <c r="C22" s="304"/>
      <c r="D22" s="310">
        <v>1984</v>
      </c>
      <c r="E22" s="311">
        <v>2015</v>
      </c>
      <c r="F22" s="310">
        <v>1984</v>
      </c>
      <c r="G22" s="311">
        <v>2014</v>
      </c>
      <c r="H22" s="310">
        <v>2004</v>
      </c>
      <c r="I22" s="311">
        <v>2014</v>
      </c>
      <c r="J22" s="310">
        <v>2004</v>
      </c>
      <c r="K22" s="311">
        <v>2014</v>
      </c>
      <c r="L22" s="310">
        <v>2004</v>
      </c>
      <c r="M22" s="311">
        <v>2014</v>
      </c>
      <c r="N22" s="310">
        <v>2004</v>
      </c>
      <c r="O22" s="311">
        <v>2014</v>
      </c>
      <c r="P22" s="310">
        <v>2004</v>
      </c>
      <c r="Q22" s="311">
        <v>2014</v>
      </c>
      <c r="R22" s="299"/>
      <c r="W22" s="299"/>
      <c r="X22" s="299"/>
    </row>
    <row r="23" spans="1:24" s="301" customFormat="1" x14ac:dyDescent="0.3">
      <c r="A23" s="299"/>
      <c r="B23" s="299"/>
      <c r="C23" s="299"/>
      <c r="D23" s="312" t="s">
        <v>1536</v>
      </c>
      <c r="E23" s="313" t="s">
        <v>1537</v>
      </c>
      <c r="F23" s="313" t="s">
        <v>1536</v>
      </c>
      <c r="G23" s="314" t="s">
        <v>1537</v>
      </c>
      <c r="H23" s="312" t="s">
        <v>1536</v>
      </c>
      <c r="I23" s="313" t="s">
        <v>1537</v>
      </c>
      <c r="J23" s="312" t="s">
        <v>1536</v>
      </c>
      <c r="K23" s="313" t="s">
        <v>1537</v>
      </c>
      <c r="L23" s="312" t="s">
        <v>1536</v>
      </c>
      <c r="M23" s="313" t="s">
        <v>1537</v>
      </c>
      <c r="N23" s="312" t="s">
        <v>1536</v>
      </c>
      <c r="O23" s="313" t="s">
        <v>1537</v>
      </c>
      <c r="P23" s="312" t="s">
        <v>1536</v>
      </c>
      <c r="Q23" s="313" t="s">
        <v>1537</v>
      </c>
      <c r="R23" s="299"/>
      <c r="W23" s="299"/>
      <c r="X23" s="299"/>
    </row>
    <row r="24" spans="1:24" s="301" customFormat="1" x14ac:dyDescent="0.3">
      <c r="A24" s="299"/>
      <c r="B24" s="299"/>
      <c r="C24" s="299"/>
      <c r="D24" s="315">
        <f>E22-D22</f>
        <v>31</v>
      </c>
      <c r="E24" s="316">
        <f>RATE(COUNT(INDEX($B$27:$B$92,MATCH(D22,$B$27:$B$92,0)):$B$92)-1,,-INDEX(D$27:D$92,MATCH(D22,$B$27:$B$92,0)),INDEX(D$27:D$92,MATCH(E22,$B$27:$B$92,0)))</f>
        <v>2.8932384977213153E-2</v>
      </c>
      <c r="F24" s="315">
        <f>G22-F22</f>
        <v>30</v>
      </c>
      <c r="G24" s="316">
        <f>RATE(COUNT(INDEX($B$27:$B$91,MATCH(F22,$B$27:$B$91,0)):$B$91)-1,,-INDEX(F$27:F$91,MATCH(F22,$B$27:$B$91,0)),INDEX(F$27:F$91,MATCH(G22,$B$27:$B$91,0)))</f>
        <v>2.6884266592467211E-2</v>
      </c>
      <c r="H24" s="315">
        <f>I22-H22</f>
        <v>10</v>
      </c>
      <c r="I24" s="316">
        <f>RATE(COUNT(INDEX($B$27:$B$91,MATCH(H22,$B$27:$B$91,0)):$B$91)-1,,-INDEX(H$27:H$91,MATCH(H22,$B$27:$B$91,0)),INDEX(H$27:H$91,MATCH(I22,$B$27:$B$91,0)))</f>
        <v>9.7723640770312398E-2</v>
      </c>
      <c r="J24" s="315">
        <f>K22-J22</f>
        <v>10</v>
      </c>
      <c r="K24" s="316">
        <f>RATE(COUNT(INDEX($B$27:$B$91,MATCH(J22,$B$27:$B$91,0)):$B$91)-1,,-INDEX(J$27:J$91,MATCH(J22,$B$27:$B$91,0)),INDEX(J$27:J$91,MATCH(K22,$B$27:$B$91,0)))</f>
        <v>2.7072818396290495E-2</v>
      </c>
      <c r="L24" s="315">
        <f>M22-L22</f>
        <v>10</v>
      </c>
      <c r="M24" s="316">
        <f>RATE(COUNT(INDEX($B$27:$B$91,MATCH(L22,$B$27:$B$91,0)):$B$91)-1,,-INDEX(L$27:L$91,MATCH(L22,$B$27:$B$91,0)),INDEX(L$27:L$91,MATCH(M22,$B$27:$B$91,0)))</f>
        <v>2.8438496868960068E-2</v>
      </c>
      <c r="N24" s="315">
        <f>O22-N22</f>
        <v>10</v>
      </c>
      <c r="O24" s="316">
        <f>RATE(COUNT(INDEX($B$27:$B$91,MATCH(N22,$B$27:$B$91,0)):$B$91)-1,,-INDEX(N$27:N$91,MATCH(N22,$B$27:$B$91,0)),INDEX(N$27:N$91,MATCH(O22,$B$27:$B$91,0)))</f>
        <v>2.1434699794885142E-2</v>
      </c>
      <c r="P24" s="315">
        <f>Q22-P22</f>
        <v>10</v>
      </c>
      <c r="Q24" s="316">
        <f>RATE(COUNT(INDEX($B$27:$B$91,MATCH(P22,$B$27:$B$91,0)):$B$91)-1,,-INDEX(P$27:P$91,MATCH(P22,$B$27:$B$91,0)),INDEX(P$27:P$91,MATCH(Q22,$B$27:$B$91,0)))</f>
        <v>3.2483095649268469E-2</v>
      </c>
      <c r="R24" s="299"/>
      <c r="W24" s="299"/>
      <c r="X24" s="299"/>
    </row>
    <row r="25" spans="1:24" s="317" customFormat="1" x14ac:dyDescent="0.3">
      <c r="B25" s="318" t="s">
        <v>1538</v>
      </c>
      <c r="C25" s="319" t="s">
        <v>1539</v>
      </c>
      <c r="D25" s="307" t="s">
        <v>1540</v>
      </c>
      <c r="E25" s="320" t="s">
        <v>1537</v>
      </c>
      <c r="F25" s="307" t="s">
        <v>1541</v>
      </c>
      <c r="G25" s="307" t="s">
        <v>1537</v>
      </c>
      <c r="H25" s="305" t="s">
        <v>1542</v>
      </c>
      <c r="I25" s="320" t="s">
        <v>1537</v>
      </c>
      <c r="J25" s="307" t="s">
        <v>1543</v>
      </c>
      <c r="K25" s="320" t="s">
        <v>1537</v>
      </c>
      <c r="L25" s="307" t="s">
        <v>1540</v>
      </c>
      <c r="M25" s="307" t="s">
        <v>1537</v>
      </c>
      <c r="N25" s="307" t="s">
        <v>1480</v>
      </c>
      <c r="O25" s="307" t="s">
        <v>1537</v>
      </c>
      <c r="P25" s="307" t="s">
        <v>1482</v>
      </c>
      <c r="Q25" s="307" t="s">
        <v>1537</v>
      </c>
      <c r="R25" s="321"/>
      <c r="T25" s="322"/>
      <c r="U25" s="322"/>
    </row>
    <row r="26" spans="1:24" s="301" customFormat="1" x14ac:dyDescent="0.3">
      <c r="A26" s="299"/>
      <c r="B26" s="323" t="s">
        <v>1544</v>
      </c>
      <c r="C26" s="324"/>
      <c r="D26" s="325" t="s">
        <v>1545</v>
      </c>
      <c r="E26" s="326" t="s">
        <v>1546</v>
      </c>
      <c r="F26" s="325" t="s">
        <v>1545</v>
      </c>
      <c r="G26" s="327" t="s">
        <v>1546</v>
      </c>
      <c r="H26" s="328" t="s">
        <v>1545</v>
      </c>
      <c r="I26" s="326" t="s">
        <v>1546</v>
      </c>
      <c r="J26" s="325" t="s">
        <v>1545</v>
      </c>
      <c r="K26" s="326" t="s">
        <v>1546</v>
      </c>
      <c r="L26" s="325" t="s">
        <v>1545</v>
      </c>
      <c r="M26" s="327" t="s">
        <v>1546</v>
      </c>
      <c r="N26" s="325" t="s">
        <v>1545</v>
      </c>
      <c r="O26" s="327" t="s">
        <v>1546</v>
      </c>
      <c r="P26" s="325" t="s">
        <v>1545</v>
      </c>
      <c r="Q26" s="327" t="s">
        <v>1546</v>
      </c>
      <c r="R26" s="299"/>
      <c r="W26" s="299"/>
      <c r="X26" s="299"/>
    </row>
    <row r="27" spans="1:24" s="301" customFormat="1" x14ac:dyDescent="0.3">
      <c r="A27" s="299"/>
      <c r="B27" s="299">
        <v>1950</v>
      </c>
      <c r="C27" s="303"/>
      <c r="D27" s="329">
        <f>IFERROR(AVERAGEIF($B$94:$B$306,$B27,D$94:D$306),"")</f>
        <v>510</v>
      </c>
      <c r="E27" s="330" t="str">
        <f t="shared" ref="E27:G90" si="0">IFERROR((D27-D26)/D26,"")</f>
        <v/>
      </c>
      <c r="F27" s="329">
        <f>IFERROR(AVERAGEIF($B$94:$B$306,$B27,F$94:F$306),"")</f>
        <v>375</v>
      </c>
      <c r="G27" s="330" t="str">
        <f t="shared" si="0"/>
        <v/>
      </c>
      <c r="H27" s="329" t="str">
        <f>IFERROR(AVERAGEIF($B$94:$B$306,$B27,H$94:H$306),"")</f>
        <v/>
      </c>
      <c r="I27" s="330" t="str">
        <f t="shared" ref="I27:I90" si="1">IFERROR((H27-H26)/H26,"")</f>
        <v/>
      </c>
      <c r="J27" s="329" t="str">
        <f>IFERROR(AVERAGEIF($B$94:$B$306,$B27,J$94:J$306),"")</f>
        <v/>
      </c>
      <c r="K27" s="330" t="str">
        <f t="shared" ref="K27:K90" si="2">IFERROR((J27-J26)/J26,"")</f>
        <v/>
      </c>
      <c r="L27" s="329" t="str">
        <f>IFERROR(AVERAGEIF($B$94:$B$306,$B27,L$94:L$306),"")</f>
        <v/>
      </c>
      <c r="M27" s="330" t="str">
        <f t="shared" ref="M27:M90" si="3">IFERROR((L27-L26)/L26,"")</f>
        <v/>
      </c>
      <c r="N27" s="329" t="str">
        <f>IFERROR(AVERAGEIF($B$94:$B$306,$B27,N$94:N$306),"")</f>
        <v/>
      </c>
      <c r="O27" s="330" t="str">
        <f t="shared" ref="O27:O90" si="4">IFERROR((N27-N26)/N26,"")</f>
        <v/>
      </c>
      <c r="P27" s="329" t="str">
        <f>IFERROR(AVERAGEIF($B$94:$B$306,$B27,P$94:P$306),"")</f>
        <v/>
      </c>
      <c r="Q27" s="330" t="str">
        <f t="shared" ref="Q27:Q90" si="5">IFERROR((P27-P26)/P26,"")</f>
        <v/>
      </c>
      <c r="R27" s="299"/>
      <c r="W27" s="299"/>
      <c r="X27" s="299"/>
    </row>
    <row r="28" spans="1:24" s="301" customFormat="1" x14ac:dyDescent="0.3">
      <c r="A28" s="299"/>
      <c r="B28" s="299">
        <v>1951</v>
      </c>
      <c r="C28" s="303"/>
      <c r="D28" s="329">
        <f t="shared" ref="D28:J91" si="6">IFERROR(AVERAGEIF($B$94:$B$306,$B28,D$94:D$306),"")</f>
        <v>543</v>
      </c>
      <c r="E28" s="330">
        <f t="shared" si="0"/>
        <v>6.4705882352941183E-2</v>
      </c>
      <c r="F28" s="329">
        <f t="shared" si="6"/>
        <v>401</v>
      </c>
      <c r="G28" s="330">
        <f t="shared" si="0"/>
        <v>6.933333333333333E-2</v>
      </c>
      <c r="H28" s="329" t="str">
        <f t="shared" si="6"/>
        <v/>
      </c>
      <c r="I28" s="330" t="str">
        <f t="shared" si="1"/>
        <v/>
      </c>
      <c r="J28" s="329" t="str">
        <f t="shared" si="6"/>
        <v/>
      </c>
      <c r="K28" s="330" t="str">
        <f t="shared" si="2"/>
        <v/>
      </c>
      <c r="L28" s="329" t="str">
        <f t="shared" ref="L28:L92" si="7">IFERROR(AVERAGEIF($B$94:$B$306,$B28,L$94:L$306),"")</f>
        <v/>
      </c>
      <c r="M28" s="330" t="str">
        <f t="shared" si="3"/>
        <v/>
      </c>
      <c r="N28" s="329" t="str">
        <f t="shared" ref="N28:N92" si="8">IFERROR(AVERAGEIF($B$94:$B$306,$B28,N$94:N$306),"")</f>
        <v/>
      </c>
      <c r="O28" s="330" t="str">
        <f t="shared" si="4"/>
        <v/>
      </c>
      <c r="P28" s="329" t="str">
        <f t="shared" ref="P28:P92" si="9">IFERROR(AVERAGEIF($B$94:$B$306,$B28,P$94:P$306),"")</f>
        <v/>
      </c>
      <c r="Q28" s="330" t="str">
        <f t="shared" si="5"/>
        <v/>
      </c>
      <c r="R28" s="299"/>
      <c r="W28" s="299"/>
      <c r="X28" s="299"/>
    </row>
    <row r="29" spans="1:24" s="301" customFormat="1" x14ac:dyDescent="0.3">
      <c r="A29" s="299"/>
      <c r="B29" s="299">
        <v>1952</v>
      </c>
      <c r="C29" s="303"/>
      <c r="D29" s="329">
        <f t="shared" si="6"/>
        <v>569</v>
      </c>
      <c r="E29" s="330">
        <f t="shared" si="0"/>
        <v>4.7882136279926338E-2</v>
      </c>
      <c r="F29" s="329">
        <f t="shared" si="6"/>
        <v>416</v>
      </c>
      <c r="G29" s="330">
        <f t="shared" si="0"/>
        <v>3.7406483790523692E-2</v>
      </c>
      <c r="H29" s="329" t="str">
        <f t="shared" si="6"/>
        <v/>
      </c>
      <c r="I29" s="330" t="str">
        <f t="shared" si="1"/>
        <v/>
      </c>
      <c r="J29" s="329" t="str">
        <f t="shared" si="6"/>
        <v/>
      </c>
      <c r="K29" s="330" t="str">
        <f t="shared" si="2"/>
        <v/>
      </c>
      <c r="L29" s="329" t="str">
        <f t="shared" si="7"/>
        <v/>
      </c>
      <c r="M29" s="330" t="str">
        <f t="shared" si="3"/>
        <v/>
      </c>
      <c r="N29" s="329" t="str">
        <f t="shared" si="8"/>
        <v/>
      </c>
      <c r="O29" s="330" t="str">
        <f t="shared" si="4"/>
        <v/>
      </c>
      <c r="P29" s="329" t="str">
        <f t="shared" si="9"/>
        <v/>
      </c>
      <c r="Q29" s="330" t="str">
        <f t="shared" si="5"/>
        <v/>
      </c>
      <c r="R29" s="299"/>
      <c r="W29" s="299"/>
      <c r="X29" s="299"/>
    </row>
    <row r="30" spans="1:24" s="301" customFormat="1" x14ac:dyDescent="0.3">
      <c r="A30" s="299"/>
      <c r="B30" s="299">
        <v>1953</v>
      </c>
      <c r="C30" s="303"/>
      <c r="D30" s="329">
        <f t="shared" si="6"/>
        <v>600</v>
      </c>
      <c r="E30" s="330">
        <f t="shared" si="0"/>
        <v>5.4481546572934976E-2</v>
      </c>
      <c r="F30" s="329">
        <f t="shared" si="6"/>
        <v>431</v>
      </c>
      <c r="G30" s="330">
        <f t="shared" si="0"/>
        <v>3.6057692307692304E-2</v>
      </c>
      <c r="H30" s="329" t="str">
        <f t="shared" si="6"/>
        <v/>
      </c>
      <c r="I30" s="330" t="str">
        <f t="shared" si="1"/>
        <v/>
      </c>
      <c r="J30" s="329" t="str">
        <f t="shared" si="6"/>
        <v/>
      </c>
      <c r="K30" s="330" t="str">
        <f t="shared" si="2"/>
        <v/>
      </c>
      <c r="L30" s="329" t="str">
        <f t="shared" si="7"/>
        <v/>
      </c>
      <c r="M30" s="330" t="str">
        <f t="shared" si="3"/>
        <v/>
      </c>
      <c r="N30" s="329" t="str">
        <f t="shared" si="8"/>
        <v/>
      </c>
      <c r="O30" s="330" t="str">
        <f t="shared" si="4"/>
        <v/>
      </c>
      <c r="P30" s="329" t="str">
        <f t="shared" si="9"/>
        <v/>
      </c>
      <c r="Q30" s="330" t="str">
        <f t="shared" si="5"/>
        <v/>
      </c>
      <c r="R30" s="299"/>
      <c r="W30" s="299"/>
      <c r="X30" s="299"/>
    </row>
    <row r="31" spans="1:24" s="301" customFormat="1" x14ac:dyDescent="0.3">
      <c r="A31" s="299"/>
      <c r="B31" s="299">
        <v>1954</v>
      </c>
      <c r="C31" s="303"/>
      <c r="D31" s="329">
        <f t="shared" si="6"/>
        <v>628</v>
      </c>
      <c r="E31" s="330">
        <f t="shared" si="0"/>
        <v>4.6666666666666669E-2</v>
      </c>
      <c r="F31" s="329">
        <f t="shared" si="6"/>
        <v>446</v>
      </c>
      <c r="G31" s="330">
        <f t="shared" si="0"/>
        <v>3.4802784222737818E-2</v>
      </c>
      <c r="H31" s="329" t="str">
        <f t="shared" si="6"/>
        <v/>
      </c>
      <c r="I31" s="330" t="str">
        <f t="shared" si="1"/>
        <v/>
      </c>
      <c r="J31" s="329" t="str">
        <f t="shared" si="6"/>
        <v/>
      </c>
      <c r="K31" s="330" t="str">
        <f t="shared" si="2"/>
        <v/>
      </c>
      <c r="L31" s="329" t="str">
        <f t="shared" si="7"/>
        <v/>
      </c>
      <c r="M31" s="330" t="str">
        <f t="shared" si="3"/>
        <v/>
      </c>
      <c r="N31" s="329" t="str">
        <f t="shared" si="8"/>
        <v/>
      </c>
      <c r="O31" s="330" t="str">
        <f t="shared" si="4"/>
        <v/>
      </c>
      <c r="P31" s="329" t="str">
        <f t="shared" si="9"/>
        <v/>
      </c>
      <c r="Q31" s="330" t="str">
        <f t="shared" si="5"/>
        <v/>
      </c>
      <c r="R31" s="299"/>
      <c r="W31" s="299"/>
      <c r="X31" s="299"/>
    </row>
    <row r="32" spans="1:24" x14ac:dyDescent="0.3">
      <c r="B32" s="299">
        <v>1955</v>
      </c>
      <c r="C32" s="303"/>
      <c r="D32" s="329">
        <f t="shared" si="6"/>
        <v>660</v>
      </c>
      <c r="E32" s="330">
        <f t="shared" si="0"/>
        <v>5.0955414012738856E-2</v>
      </c>
      <c r="F32" s="329">
        <f t="shared" si="6"/>
        <v>469</v>
      </c>
      <c r="G32" s="330">
        <f t="shared" si="0"/>
        <v>5.1569506726457402E-2</v>
      </c>
      <c r="H32" s="329" t="str">
        <f t="shared" si="6"/>
        <v/>
      </c>
      <c r="I32" s="330" t="str">
        <f t="shared" si="1"/>
        <v/>
      </c>
      <c r="J32" s="329" t="str">
        <f t="shared" si="6"/>
        <v/>
      </c>
      <c r="K32" s="330" t="str">
        <f t="shared" si="2"/>
        <v/>
      </c>
      <c r="L32" s="329" t="str">
        <f t="shared" si="7"/>
        <v/>
      </c>
      <c r="M32" s="330" t="str">
        <f t="shared" si="3"/>
        <v/>
      </c>
      <c r="N32" s="329" t="str">
        <f t="shared" si="8"/>
        <v/>
      </c>
      <c r="O32" s="330" t="str">
        <f t="shared" si="4"/>
        <v/>
      </c>
      <c r="P32" s="329" t="str">
        <f t="shared" si="9"/>
        <v/>
      </c>
      <c r="Q32" s="330" t="str">
        <f t="shared" si="5"/>
        <v/>
      </c>
    </row>
    <row r="33" spans="2:17" x14ac:dyDescent="0.3">
      <c r="B33" s="299">
        <v>1956</v>
      </c>
      <c r="C33" s="303"/>
      <c r="D33" s="329">
        <f t="shared" si="6"/>
        <v>692</v>
      </c>
      <c r="E33" s="330">
        <f t="shared" si="0"/>
        <v>4.8484848484848485E-2</v>
      </c>
      <c r="F33" s="329">
        <f t="shared" si="6"/>
        <v>491</v>
      </c>
      <c r="G33" s="330">
        <f t="shared" si="0"/>
        <v>4.6908315565031986E-2</v>
      </c>
      <c r="H33" s="329" t="str">
        <f t="shared" si="6"/>
        <v/>
      </c>
      <c r="I33" s="330" t="str">
        <f t="shared" si="1"/>
        <v/>
      </c>
      <c r="J33" s="329" t="str">
        <f t="shared" si="6"/>
        <v/>
      </c>
      <c r="K33" s="330" t="str">
        <f t="shared" si="2"/>
        <v/>
      </c>
      <c r="L33" s="329" t="str">
        <f t="shared" si="7"/>
        <v/>
      </c>
      <c r="M33" s="330" t="str">
        <f t="shared" si="3"/>
        <v/>
      </c>
      <c r="N33" s="329" t="str">
        <f t="shared" si="8"/>
        <v/>
      </c>
      <c r="O33" s="330" t="str">
        <f t="shared" si="4"/>
        <v/>
      </c>
      <c r="P33" s="329" t="str">
        <f t="shared" si="9"/>
        <v/>
      </c>
      <c r="Q33" s="330" t="str">
        <f t="shared" si="5"/>
        <v/>
      </c>
    </row>
    <row r="34" spans="2:17" x14ac:dyDescent="0.3">
      <c r="B34" s="299">
        <v>1957</v>
      </c>
      <c r="C34" s="303"/>
      <c r="D34" s="329">
        <f t="shared" si="6"/>
        <v>724</v>
      </c>
      <c r="E34" s="330">
        <f t="shared" si="0"/>
        <v>4.6242774566473986E-2</v>
      </c>
      <c r="F34" s="329">
        <f t="shared" si="6"/>
        <v>509</v>
      </c>
      <c r="G34" s="330">
        <f t="shared" si="0"/>
        <v>3.6659877800407331E-2</v>
      </c>
      <c r="H34" s="329" t="str">
        <f t="shared" si="6"/>
        <v/>
      </c>
      <c r="I34" s="330" t="str">
        <f t="shared" si="1"/>
        <v/>
      </c>
      <c r="J34" s="329" t="str">
        <f t="shared" si="6"/>
        <v/>
      </c>
      <c r="K34" s="330" t="str">
        <f t="shared" si="2"/>
        <v/>
      </c>
      <c r="L34" s="329" t="str">
        <f t="shared" si="7"/>
        <v/>
      </c>
      <c r="M34" s="330" t="str">
        <f t="shared" si="3"/>
        <v/>
      </c>
      <c r="N34" s="329" t="str">
        <f t="shared" si="8"/>
        <v/>
      </c>
      <c r="O34" s="330" t="str">
        <f t="shared" si="4"/>
        <v/>
      </c>
      <c r="P34" s="329" t="str">
        <f t="shared" si="9"/>
        <v/>
      </c>
      <c r="Q34" s="330" t="str">
        <f t="shared" si="5"/>
        <v/>
      </c>
    </row>
    <row r="35" spans="2:17" x14ac:dyDescent="0.3">
      <c r="B35" s="299">
        <v>1958</v>
      </c>
      <c r="C35" s="303"/>
      <c r="D35" s="329">
        <f t="shared" si="6"/>
        <v>759</v>
      </c>
      <c r="E35" s="330">
        <f t="shared" si="0"/>
        <v>4.834254143646409E-2</v>
      </c>
      <c r="F35" s="329">
        <f t="shared" si="6"/>
        <v>525</v>
      </c>
      <c r="G35" s="330">
        <f t="shared" si="0"/>
        <v>3.1434184675834968E-2</v>
      </c>
      <c r="H35" s="329" t="str">
        <f t="shared" si="6"/>
        <v/>
      </c>
      <c r="I35" s="330" t="str">
        <f t="shared" si="1"/>
        <v/>
      </c>
      <c r="J35" s="329" t="str">
        <f t="shared" si="6"/>
        <v/>
      </c>
      <c r="K35" s="330" t="str">
        <f t="shared" si="2"/>
        <v/>
      </c>
      <c r="L35" s="329" t="str">
        <f t="shared" si="7"/>
        <v/>
      </c>
      <c r="M35" s="330" t="str">
        <f t="shared" si="3"/>
        <v/>
      </c>
      <c r="N35" s="329" t="str">
        <f t="shared" si="8"/>
        <v/>
      </c>
      <c r="O35" s="330" t="str">
        <f t="shared" si="4"/>
        <v/>
      </c>
      <c r="P35" s="329" t="str">
        <f t="shared" si="9"/>
        <v/>
      </c>
      <c r="Q35" s="330" t="str">
        <f t="shared" si="5"/>
        <v/>
      </c>
    </row>
    <row r="36" spans="2:17" x14ac:dyDescent="0.3">
      <c r="B36" s="299">
        <v>1959</v>
      </c>
      <c r="C36" s="303"/>
      <c r="D36" s="329">
        <f t="shared" si="6"/>
        <v>797</v>
      </c>
      <c r="E36" s="330">
        <f t="shared" si="0"/>
        <v>5.0065876152832672E-2</v>
      </c>
      <c r="F36" s="329">
        <f t="shared" si="6"/>
        <v>548</v>
      </c>
      <c r="G36" s="330">
        <f t="shared" si="0"/>
        <v>4.3809523809523812E-2</v>
      </c>
      <c r="H36" s="329" t="str">
        <f t="shared" si="6"/>
        <v/>
      </c>
      <c r="I36" s="330" t="str">
        <f t="shared" si="1"/>
        <v/>
      </c>
      <c r="J36" s="329" t="str">
        <f t="shared" si="6"/>
        <v/>
      </c>
      <c r="K36" s="330" t="str">
        <f t="shared" si="2"/>
        <v/>
      </c>
      <c r="L36" s="329" t="str">
        <f t="shared" si="7"/>
        <v/>
      </c>
      <c r="M36" s="330" t="str">
        <f t="shared" si="3"/>
        <v/>
      </c>
      <c r="N36" s="329" t="str">
        <f t="shared" si="8"/>
        <v/>
      </c>
      <c r="O36" s="330" t="str">
        <f t="shared" si="4"/>
        <v/>
      </c>
      <c r="P36" s="329" t="str">
        <f t="shared" si="9"/>
        <v/>
      </c>
      <c r="Q36" s="330" t="str">
        <f t="shared" si="5"/>
        <v/>
      </c>
    </row>
    <row r="37" spans="2:17" x14ac:dyDescent="0.3">
      <c r="B37" s="299">
        <v>1960</v>
      </c>
      <c r="C37" s="303"/>
      <c r="D37" s="329">
        <f t="shared" si="6"/>
        <v>824</v>
      </c>
      <c r="E37" s="330">
        <f t="shared" si="0"/>
        <v>3.3877038895859475E-2</v>
      </c>
      <c r="F37" s="329">
        <f t="shared" si="6"/>
        <v>559</v>
      </c>
      <c r="G37" s="330">
        <f t="shared" si="0"/>
        <v>2.0072992700729927E-2</v>
      </c>
      <c r="H37" s="329" t="str">
        <f t="shared" si="6"/>
        <v/>
      </c>
      <c r="I37" s="330" t="str">
        <f t="shared" si="1"/>
        <v/>
      </c>
      <c r="J37" s="329" t="str">
        <f t="shared" si="6"/>
        <v/>
      </c>
      <c r="K37" s="330" t="str">
        <f t="shared" si="2"/>
        <v/>
      </c>
      <c r="L37" s="329" t="str">
        <f t="shared" si="7"/>
        <v/>
      </c>
      <c r="M37" s="330" t="str">
        <f t="shared" si="3"/>
        <v/>
      </c>
      <c r="N37" s="329" t="str">
        <f t="shared" si="8"/>
        <v/>
      </c>
      <c r="O37" s="330" t="str">
        <f t="shared" si="4"/>
        <v/>
      </c>
      <c r="P37" s="329" t="str">
        <f t="shared" si="9"/>
        <v/>
      </c>
      <c r="Q37" s="330" t="str">
        <f t="shared" si="5"/>
        <v/>
      </c>
    </row>
    <row r="38" spans="2:17" x14ac:dyDescent="0.3">
      <c r="B38" s="299">
        <v>1961</v>
      </c>
      <c r="C38" s="303"/>
      <c r="D38" s="329">
        <f t="shared" si="6"/>
        <v>847</v>
      </c>
      <c r="E38" s="330">
        <f t="shared" si="0"/>
        <v>2.7912621359223302E-2</v>
      </c>
      <c r="F38" s="329">
        <f t="shared" si="6"/>
        <v>568</v>
      </c>
      <c r="G38" s="330">
        <f t="shared" si="0"/>
        <v>1.6100178890876567E-2</v>
      </c>
      <c r="H38" s="329" t="str">
        <f t="shared" si="6"/>
        <v/>
      </c>
      <c r="I38" s="330" t="str">
        <f t="shared" si="1"/>
        <v/>
      </c>
      <c r="J38" s="329" t="str">
        <f t="shared" si="6"/>
        <v/>
      </c>
      <c r="K38" s="330" t="str">
        <f t="shared" si="2"/>
        <v/>
      </c>
      <c r="L38" s="329" t="str">
        <f t="shared" si="7"/>
        <v/>
      </c>
      <c r="M38" s="330" t="str">
        <f t="shared" si="3"/>
        <v/>
      </c>
      <c r="N38" s="329" t="str">
        <f t="shared" si="8"/>
        <v/>
      </c>
      <c r="O38" s="330" t="str">
        <f t="shared" si="4"/>
        <v/>
      </c>
      <c r="P38" s="329" t="str">
        <f t="shared" si="9"/>
        <v/>
      </c>
      <c r="Q38" s="330" t="str">
        <f t="shared" si="5"/>
        <v/>
      </c>
    </row>
    <row r="39" spans="2:17" x14ac:dyDescent="0.3">
      <c r="B39" s="299">
        <v>1962</v>
      </c>
      <c r="C39" s="303"/>
      <c r="D39" s="329">
        <f t="shared" si="6"/>
        <v>872</v>
      </c>
      <c r="E39" s="330">
        <f t="shared" si="0"/>
        <v>2.9515938606847699E-2</v>
      </c>
      <c r="F39" s="329">
        <f t="shared" si="6"/>
        <v>580</v>
      </c>
      <c r="G39" s="330">
        <f t="shared" si="0"/>
        <v>2.1126760563380281E-2</v>
      </c>
      <c r="H39" s="329" t="str">
        <f t="shared" si="6"/>
        <v/>
      </c>
      <c r="I39" s="330" t="str">
        <f t="shared" si="1"/>
        <v/>
      </c>
      <c r="J39" s="329" t="str">
        <f t="shared" si="6"/>
        <v/>
      </c>
      <c r="K39" s="330" t="str">
        <f t="shared" si="2"/>
        <v/>
      </c>
      <c r="L39" s="329" t="str">
        <f t="shared" si="7"/>
        <v/>
      </c>
      <c r="M39" s="330" t="str">
        <f t="shared" si="3"/>
        <v/>
      </c>
      <c r="N39" s="329" t="str">
        <f t="shared" si="8"/>
        <v/>
      </c>
      <c r="O39" s="330" t="str">
        <f t="shared" si="4"/>
        <v/>
      </c>
      <c r="P39" s="329" t="str">
        <f t="shared" si="9"/>
        <v/>
      </c>
      <c r="Q39" s="330" t="str">
        <f t="shared" si="5"/>
        <v/>
      </c>
    </row>
    <row r="40" spans="2:17" x14ac:dyDescent="0.3">
      <c r="B40" s="299">
        <v>1963</v>
      </c>
      <c r="C40" s="303"/>
      <c r="D40" s="329">
        <f t="shared" si="6"/>
        <v>901</v>
      </c>
      <c r="E40" s="330">
        <f t="shared" si="0"/>
        <v>3.3256880733944956E-2</v>
      </c>
      <c r="F40" s="329">
        <f t="shared" si="6"/>
        <v>594</v>
      </c>
      <c r="G40" s="330">
        <f t="shared" si="0"/>
        <v>2.4137931034482758E-2</v>
      </c>
      <c r="H40" s="329" t="str">
        <f t="shared" si="6"/>
        <v/>
      </c>
      <c r="I40" s="330" t="str">
        <f t="shared" si="1"/>
        <v/>
      </c>
      <c r="J40" s="329" t="str">
        <f t="shared" si="6"/>
        <v/>
      </c>
      <c r="K40" s="330" t="str">
        <f t="shared" si="2"/>
        <v/>
      </c>
      <c r="L40" s="329" t="str">
        <f t="shared" si="7"/>
        <v/>
      </c>
      <c r="M40" s="330" t="str">
        <f t="shared" si="3"/>
        <v/>
      </c>
      <c r="N40" s="329" t="str">
        <f t="shared" si="8"/>
        <v/>
      </c>
      <c r="O40" s="330" t="str">
        <f t="shared" si="4"/>
        <v/>
      </c>
      <c r="P40" s="329" t="str">
        <f t="shared" si="9"/>
        <v/>
      </c>
      <c r="Q40" s="330" t="str">
        <f t="shared" si="5"/>
        <v/>
      </c>
    </row>
    <row r="41" spans="2:17" x14ac:dyDescent="0.3">
      <c r="B41" s="299">
        <v>1964</v>
      </c>
      <c r="C41" s="303"/>
      <c r="D41" s="329">
        <f t="shared" si="6"/>
        <v>936</v>
      </c>
      <c r="E41" s="330">
        <f t="shared" si="0"/>
        <v>3.8845726970033294E-2</v>
      </c>
      <c r="F41" s="329">
        <f t="shared" si="6"/>
        <v>612</v>
      </c>
      <c r="G41" s="330">
        <f t="shared" si="0"/>
        <v>3.0303030303030304E-2</v>
      </c>
      <c r="H41" s="329" t="str">
        <f t="shared" si="6"/>
        <v/>
      </c>
      <c r="I41" s="330" t="str">
        <f t="shared" si="1"/>
        <v/>
      </c>
      <c r="J41" s="329" t="str">
        <f t="shared" si="6"/>
        <v/>
      </c>
      <c r="K41" s="330" t="str">
        <f t="shared" si="2"/>
        <v/>
      </c>
      <c r="L41" s="329" t="str">
        <f t="shared" si="7"/>
        <v/>
      </c>
      <c r="M41" s="330" t="str">
        <f t="shared" si="3"/>
        <v/>
      </c>
      <c r="N41" s="329" t="str">
        <f t="shared" si="8"/>
        <v/>
      </c>
      <c r="O41" s="330" t="str">
        <f t="shared" si="4"/>
        <v/>
      </c>
      <c r="P41" s="329" t="str">
        <f t="shared" si="9"/>
        <v/>
      </c>
      <c r="Q41" s="330" t="str">
        <f t="shared" si="5"/>
        <v/>
      </c>
    </row>
    <row r="42" spans="2:17" x14ac:dyDescent="0.3">
      <c r="B42" s="299">
        <v>1965</v>
      </c>
      <c r="C42" s="303"/>
      <c r="D42" s="329">
        <f t="shared" si="6"/>
        <v>971</v>
      </c>
      <c r="E42" s="330">
        <f t="shared" si="0"/>
        <v>3.7393162393162392E-2</v>
      </c>
      <c r="F42" s="329">
        <f t="shared" si="6"/>
        <v>627</v>
      </c>
      <c r="G42" s="330">
        <f t="shared" si="0"/>
        <v>2.4509803921568627E-2</v>
      </c>
      <c r="H42" s="329" t="str">
        <f t="shared" si="6"/>
        <v/>
      </c>
      <c r="I42" s="330" t="str">
        <f t="shared" si="1"/>
        <v/>
      </c>
      <c r="J42" s="329" t="str">
        <f t="shared" si="6"/>
        <v/>
      </c>
      <c r="K42" s="330" t="str">
        <f t="shared" si="2"/>
        <v/>
      </c>
      <c r="L42" s="329" t="str">
        <f t="shared" si="7"/>
        <v/>
      </c>
      <c r="M42" s="330" t="str">
        <f t="shared" si="3"/>
        <v/>
      </c>
      <c r="N42" s="329" t="str">
        <f t="shared" si="8"/>
        <v/>
      </c>
      <c r="O42" s="330" t="str">
        <f t="shared" si="4"/>
        <v/>
      </c>
      <c r="P42" s="329" t="str">
        <f t="shared" si="9"/>
        <v/>
      </c>
      <c r="Q42" s="330" t="str">
        <f t="shared" si="5"/>
        <v/>
      </c>
    </row>
    <row r="43" spans="2:17" x14ac:dyDescent="0.3">
      <c r="B43" s="299">
        <v>1966</v>
      </c>
      <c r="C43" s="303"/>
      <c r="D43" s="329">
        <f t="shared" si="6"/>
        <v>1019</v>
      </c>
      <c r="E43" s="330">
        <f t="shared" si="0"/>
        <v>4.9433573635427393E-2</v>
      </c>
      <c r="F43" s="329">
        <f t="shared" si="6"/>
        <v>650</v>
      </c>
      <c r="G43" s="330">
        <f t="shared" si="0"/>
        <v>3.6682615629984053E-2</v>
      </c>
      <c r="H43" s="329" t="str">
        <f t="shared" si="6"/>
        <v/>
      </c>
      <c r="I43" s="330" t="str">
        <f t="shared" si="1"/>
        <v/>
      </c>
      <c r="J43" s="329" t="str">
        <f t="shared" si="6"/>
        <v/>
      </c>
      <c r="K43" s="330" t="str">
        <f t="shared" si="2"/>
        <v/>
      </c>
      <c r="L43" s="329" t="str">
        <f t="shared" si="7"/>
        <v/>
      </c>
      <c r="M43" s="330" t="str">
        <f t="shared" si="3"/>
        <v/>
      </c>
      <c r="N43" s="329" t="str">
        <f t="shared" si="8"/>
        <v/>
      </c>
      <c r="O43" s="330" t="str">
        <f t="shared" si="4"/>
        <v/>
      </c>
      <c r="P43" s="329" t="str">
        <f t="shared" si="9"/>
        <v/>
      </c>
      <c r="Q43" s="330" t="str">
        <f t="shared" si="5"/>
        <v/>
      </c>
    </row>
    <row r="44" spans="2:17" x14ac:dyDescent="0.3">
      <c r="B44" s="299">
        <v>1967</v>
      </c>
      <c r="C44" s="303"/>
      <c r="D44" s="329">
        <f t="shared" si="6"/>
        <v>1074</v>
      </c>
      <c r="E44" s="330">
        <f t="shared" si="0"/>
        <v>5.3974484789008834E-2</v>
      </c>
      <c r="F44" s="329">
        <f t="shared" si="6"/>
        <v>676</v>
      </c>
      <c r="G44" s="330">
        <f t="shared" si="0"/>
        <v>0.04</v>
      </c>
      <c r="H44" s="329" t="str">
        <f t="shared" si="6"/>
        <v/>
      </c>
      <c r="I44" s="330" t="str">
        <f t="shared" si="1"/>
        <v/>
      </c>
      <c r="J44" s="329" t="str">
        <f t="shared" si="6"/>
        <v/>
      </c>
      <c r="K44" s="330" t="str">
        <f t="shared" si="2"/>
        <v/>
      </c>
      <c r="L44" s="329" t="str">
        <f t="shared" si="7"/>
        <v/>
      </c>
      <c r="M44" s="330" t="str">
        <f t="shared" si="3"/>
        <v/>
      </c>
      <c r="N44" s="329" t="str">
        <f t="shared" si="8"/>
        <v/>
      </c>
      <c r="O44" s="330" t="str">
        <f t="shared" si="4"/>
        <v/>
      </c>
      <c r="P44" s="329" t="str">
        <f t="shared" si="9"/>
        <v/>
      </c>
      <c r="Q44" s="330" t="str">
        <f t="shared" si="5"/>
        <v/>
      </c>
    </row>
    <row r="45" spans="2:17" x14ac:dyDescent="0.3">
      <c r="B45" s="299">
        <v>1968</v>
      </c>
      <c r="C45" s="303"/>
      <c r="D45" s="329">
        <f t="shared" si="6"/>
        <v>1155</v>
      </c>
      <c r="E45" s="330">
        <f t="shared" si="0"/>
        <v>7.5418994413407825E-2</v>
      </c>
      <c r="F45" s="329">
        <f t="shared" si="6"/>
        <v>721</v>
      </c>
      <c r="G45" s="330">
        <f t="shared" si="0"/>
        <v>6.6568047337278113E-2</v>
      </c>
      <c r="H45" s="329" t="str">
        <f t="shared" si="6"/>
        <v/>
      </c>
      <c r="I45" s="330" t="str">
        <f t="shared" si="1"/>
        <v/>
      </c>
      <c r="J45" s="329" t="str">
        <f t="shared" si="6"/>
        <v/>
      </c>
      <c r="K45" s="330" t="str">
        <f t="shared" si="2"/>
        <v/>
      </c>
      <c r="L45" s="329" t="str">
        <f t="shared" si="7"/>
        <v/>
      </c>
      <c r="M45" s="330" t="str">
        <f t="shared" si="3"/>
        <v/>
      </c>
      <c r="N45" s="329" t="str">
        <f t="shared" si="8"/>
        <v/>
      </c>
      <c r="O45" s="330" t="str">
        <f t="shared" si="4"/>
        <v/>
      </c>
      <c r="P45" s="329" t="str">
        <f t="shared" si="9"/>
        <v/>
      </c>
      <c r="Q45" s="330" t="str">
        <f t="shared" si="5"/>
        <v/>
      </c>
    </row>
    <row r="46" spans="2:17" x14ac:dyDescent="0.3">
      <c r="B46" s="299">
        <v>1969</v>
      </c>
      <c r="C46" s="303"/>
      <c r="D46" s="329">
        <f t="shared" si="6"/>
        <v>1269</v>
      </c>
      <c r="E46" s="330">
        <f t="shared" si="0"/>
        <v>9.8701298701298706E-2</v>
      </c>
      <c r="F46" s="329">
        <f t="shared" si="6"/>
        <v>790</v>
      </c>
      <c r="G46" s="330">
        <f t="shared" si="0"/>
        <v>9.5700416088765602E-2</v>
      </c>
      <c r="H46" s="329" t="str">
        <f t="shared" si="6"/>
        <v/>
      </c>
      <c r="I46" s="330" t="str">
        <f t="shared" si="1"/>
        <v/>
      </c>
      <c r="J46" s="329" t="str">
        <f t="shared" si="6"/>
        <v/>
      </c>
      <c r="K46" s="330" t="str">
        <f t="shared" si="2"/>
        <v/>
      </c>
      <c r="L46" s="329" t="str">
        <f t="shared" si="7"/>
        <v/>
      </c>
      <c r="M46" s="330" t="str">
        <f t="shared" si="3"/>
        <v/>
      </c>
      <c r="N46" s="329" t="str">
        <f t="shared" si="8"/>
        <v/>
      </c>
      <c r="O46" s="330" t="str">
        <f t="shared" si="4"/>
        <v/>
      </c>
      <c r="P46" s="329" t="str">
        <f t="shared" si="9"/>
        <v/>
      </c>
      <c r="Q46" s="330" t="str">
        <f t="shared" si="5"/>
        <v/>
      </c>
    </row>
    <row r="47" spans="2:17" x14ac:dyDescent="0.3">
      <c r="B47" s="299">
        <v>1970</v>
      </c>
      <c r="C47" s="303"/>
      <c r="D47" s="329">
        <f t="shared" si="6"/>
        <v>1381</v>
      </c>
      <c r="E47" s="330">
        <f t="shared" si="0"/>
        <v>8.8258471237194644E-2</v>
      </c>
      <c r="F47" s="329">
        <f t="shared" si="6"/>
        <v>836</v>
      </c>
      <c r="G47" s="330">
        <f t="shared" si="0"/>
        <v>5.8227848101265821E-2</v>
      </c>
      <c r="H47" s="329" t="str">
        <f t="shared" si="6"/>
        <v/>
      </c>
      <c r="I47" s="330" t="str">
        <f t="shared" si="1"/>
        <v/>
      </c>
      <c r="J47" s="329" t="str">
        <f t="shared" si="6"/>
        <v/>
      </c>
      <c r="K47" s="330" t="str">
        <f t="shared" si="2"/>
        <v/>
      </c>
      <c r="L47" s="329" t="str">
        <f t="shared" si="7"/>
        <v/>
      </c>
      <c r="M47" s="330" t="str">
        <f t="shared" si="3"/>
        <v/>
      </c>
      <c r="N47" s="329" t="str">
        <f t="shared" si="8"/>
        <v/>
      </c>
      <c r="O47" s="330" t="str">
        <f t="shared" si="4"/>
        <v/>
      </c>
      <c r="P47" s="329" t="str">
        <f t="shared" si="9"/>
        <v/>
      </c>
      <c r="Q47" s="330" t="str">
        <f t="shared" si="5"/>
        <v/>
      </c>
    </row>
    <row r="48" spans="2:17" x14ac:dyDescent="0.3">
      <c r="B48" s="299">
        <v>1971</v>
      </c>
      <c r="C48" s="303"/>
      <c r="D48" s="329">
        <f t="shared" si="6"/>
        <v>1581</v>
      </c>
      <c r="E48" s="330">
        <f t="shared" si="0"/>
        <v>0.14482259232440262</v>
      </c>
      <c r="F48" s="329">
        <f t="shared" si="6"/>
        <v>948</v>
      </c>
      <c r="G48" s="330">
        <f t="shared" si="0"/>
        <v>0.13397129186602871</v>
      </c>
      <c r="H48" s="329" t="str">
        <f t="shared" si="6"/>
        <v/>
      </c>
      <c r="I48" s="330" t="str">
        <f t="shared" si="1"/>
        <v/>
      </c>
      <c r="J48" s="329" t="str">
        <f t="shared" si="6"/>
        <v/>
      </c>
      <c r="K48" s="330" t="str">
        <f t="shared" si="2"/>
        <v/>
      </c>
      <c r="L48" s="329" t="str">
        <f t="shared" si="7"/>
        <v/>
      </c>
      <c r="M48" s="330" t="str">
        <f t="shared" si="3"/>
        <v/>
      </c>
      <c r="N48" s="329" t="str">
        <f t="shared" si="8"/>
        <v/>
      </c>
      <c r="O48" s="330" t="str">
        <f t="shared" si="4"/>
        <v/>
      </c>
      <c r="P48" s="329" t="str">
        <f t="shared" si="9"/>
        <v/>
      </c>
      <c r="Q48" s="330" t="str">
        <f t="shared" si="5"/>
        <v/>
      </c>
    </row>
    <row r="49" spans="2:17" x14ac:dyDescent="0.3">
      <c r="B49" s="299">
        <v>1972</v>
      </c>
      <c r="C49" s="303"/>
      <c r="D49" s="329">
        <f t="shared" si="6"/>
        <v>1753</v>
      </c>
      <c r="E49" s="330">
        <f t="shared" si="0"/>
        <v>0.10879190385831752</v>
      </c>
      <c r="F49" s="329">
        <f t="shared" si="6"/>
        <v>1048</v>
      </c>
      <c r="G49" s="330">
        <f t="shared" si="0"/>
        <v>0.10548523206751055</v>
      </c>
      <c r="H49" s="329" t="str">
        <f t="shared" si="6"/>
        <v/>
      </c>
      <c r="I49" s="330" t="str">
        <f t="shared" si="1"/>
        <v/>
      </c>
      <c r="J49" s="329" t="str">
        <f t="shared" si="6"/>
        <v/>
      </c>
      <c r="K49" s="330" t="str">
        <f t="shared" si="2"/>
        <v/>
      </c>
      <c r="L49" s="329" t="str">
        <f t="shared" si="7"/>
        <v/>
      </c>
      <c r="M49" s="330" t="str">
        <f t="shared" si="3"/>
        <v/>
      </c>
      <c r="N49" s="329" t="str">
        <f t="shared" si="8"/>
        <v/>
      </c>
      <c r="O49" s="330" t="str">
        <f t="shared" si="4"/>
        <v/>
      </c>
      <c r="P49" s="329" t="str">
        <f t="shared" si="9"/>
        <v/>
      </c>
      <c r="Q49" s="330" t="str">
        <f t="shared" si="5"/>
        <v/>
      </c>
    </row>
    <row r="50" spans="2:17" x14ac:dyDescent="0.3">
      <c r="B50" s="299">
        <v>1973</v>
      </c>
      <c r="C50" s="303"/>
      <c r="D50" s="329">
        <f t="shared" si="6"/>
        <v>1895</v>
      </c>
      <c r="E50" s="330">
        <f t="shared" si="0"/>
        <v>8.1003993154592127E-2</v>
      </c>
      <c r="F50" s="329">
        <f t="shared" si="6"/>
        <v>1138</v>
      </c>
      <c r="G50" s="330">
        <f t="shared" si="0"/>
        <v>8.5877862595419852E-2</v>
      </c>
      <c r="H50" s="329" t="str">
        <f t="shared" si="6"/>
        <v/>
      </c>
      <c r="I50" s="330" t="str">
        <f t="shared" si="1"/>
        <v/>
      </c>
      <c r="J50" s="329" t="str">
        <f t="shared" si="6"/>
        <v/>
      </c>
      <c r="K50" s="330" t="str">
        <f t="shared" si="2"/>
        <v/>
      </c>
      <c r="L50" s="329" t="str">
        <f t="shared" si="7"/>
        <v/>
      </c>
      <c r="M50" s="330" t="str">
        <f t="shared" si="3"/>
        <v/>
      </c>
      <c r="N50" s="329" t="str">
        <f t="shared" si="8"/>
        <v/>
      </c>
      <c r="O50" s="330" t="str">
        <f t="shared" si="4"/>
        <v/>
      </c>
      <c r="P50" s="329" t="str">
        <f t="shared" si="9"/>
        <v/>
      </c>
      <c r="Q50" s="330" t="str">
        <f t="shared" si="5"/>
        <v/>
      </c>
    </row>
    <row r="51" spans="2:17" x14ac:dyDescent="0.3">
      <c r="B51" s="299">
        <v>1974</v>
      </c>
      <c r="C51" s="303"/>
      <c r="D51" s="329">
        <f t="shared" si="6"/>
        <v>2020</v>
      </c>
      <c r="E51" s="330">
        <f t="shared" si="0"/>
        <v>6.5963060686015831E-2</v>
      </c>
      <c r="F51" s="329">
        <f t="shared" si="6"/>
        <v>1205</v>
      </c>
      <c r="G51" s="330">
        <f t="shared" si="0"/>
        <v>5.8875219683655534E-2</v>
      </c>
      <c r="H51" s="329" t="str">
        <f t="shared" si="6"/>
        <v/>
      </c>
      <c r="I51" s="330" t="str">
        <f t="shared" si="1"/>
        <v/>
      </c>
      <c r="J51" s="329" t="str">
        <f t="shared" si="6"/>
        <v/>
      </c>
      <c r="K51" s="330" t="str">
        <f t="shared" si="2"/>
        <v/>
      </c>
      <c r="L51" s="329" t="str">
        <f t="shared" si="7"/>
        <v/>
      </c>
      <c r="M51" s="330" t="str">
        <f t="shared" si="3"/>
        <v/>
      </c>
      <c r="N51" s="329" t="str">
        <f t="shared" si="8"/>
        <v/>
      </c>
      <c r="O51" s="330" t="str">
        <f t="shared" si="4"/>
        <v/>
      </c>
      <c r="P51" s="329" t="str">
        <f t="shared" si="9"/>
        <v/>
      </c>
      <c r="Q51" s="330" t="str">
        <f t="shared" si="5"/>
        <v/>
      </c>
    </row>
    <row r="52" spans="2:17" x14ac:dyDescent="0.3">
      <c r="B52" s="299">
        <v>1975</v>
      </c>
      <c r="C52" s="303"/>
      <c r="D52" s="329">
        <f t="shared" si="6"/>
        <v>2212</v>
      </c>
      <c r="E52" s="330">
        <f t="shared" si="0"/>
        <v>9.5049504950495051E-2</v>
      </c>
      <c r="F52" s="329">
        <f t="shared" si="6"/>
        <v>1306</v>
      </c>
      <c r="G52" s="330">
        <f t="shared" si="0"/>
        <v>8.381742738589211E-2</v>
      </c>
      <c r="H52" s="329" t="str">
        <f t="shared" si="6"/>
        <v/>
      </c>
      <c r="I52" s="330" t="str">
        <f t="shared" si="1"/>
        <v/>
      </c>
      <c r="J52" s="329" t="str">
        <f t="shared" si="6"/>
        <v/>
      </c>
      <c r="K52" s="330" t="str">
        <f t="shared" si="2"/>
        <v/>
      </c>
      <c r="L52" s="329" t="str">
        <f t="shared" si="7"/>
        <v/>
      </c>
      <c r="M52" s="330" t="str">
        <f t="shared" si="3"/>
        <v/>
      </c>
      <c r="N52" s="329" t="str">
        <f t="shared" si="8"/>
        <v/>
      </c>
      <c r="O52" s="330" t="str">
        <f t="shared" si="4"/>
        <v/>
      </c>
      <c r="P52" s="329" t="str">
        <f t="shared" si="9"/>
        <v/>
      </c>
      <c r="Q52" s="330" t="str">
        <f t="shared" si="5"/>
        <v/>
      </c>
    </row>
    <row r="53" spans="2:17" x14ac:dyDescent="0.3">
      <c r="B53" s="299">
        <v>1976</v>
      </c>
      <c r="C53" s="303"/>
      <c r="D53" s="329">
        <f t="shared" si="6"/>
        <v>2401</v>
      </c>
      <c r="E53" s="330">
        <f t="shared" si="0"/>
        <v>8.5443037974683542E-2</v>
      </c>
      <c r="F53" s="329">
        <f t="shared" si="6"/>
        <v>1425</v>
      </c>
      <c r="G53" s="330">
        <f t="shared" si="0"/>
        <v>9.1117917304747317E-2</v>
      </c>
      <c r="H53" s="329" t="str">
        <f t="shared" si="6"/>
        <v/>
      </c>
      <c r="I53" s="330" t="str">
        <f t="shared" si="1"/>
        <v/>
      </c>
      <c r="J53" s="329" t="str">
        <f t="shared" si="6"/>
        <v/>
      </c>
      <c r="K53" s="330" t="str">
        <f t="shared" si="2"/>
        <v/>
      </c>
      <c r="L53" s="329" t="str">
        <f t="shared" si="7"/>
        <v/>
      </c>
      <c r="M53" s="330" t="str">
        <f t="shared" si="3"/>
        <v/>
      </c>
      <c r="N53" s="329" t="str">
        <f t="shared" si="8"/>
        <v/>
      </c>
      <c r="O53" s="330" t="str">
        <f t="shared" si="4"/>
        <v/>
      </c>
      <c r="P53" s="329" t="str">
        <f t="shared" si="9"/>
        <v/>
      </c>
      <c r="Q53" s="330" t="str">
        <f t="shared" si="5"/>
        <v/>
      </c>
    </row>
    <row r="54" spans="2:17" x14ac:dyDescent="0.3">
      <c r="B54" s="299">
        <v>1977</v>
      </c>
      <c r="C54" s="303"/>
      <c r="D54" s="329">
        <f t="shared" si="6"/>
        <v>2576</v>
      </c>
      <c r="E54" s="330">
        <f t="shared" si="0"/>
        <v>7.2886297376093298E-2</v>
      </c>
      <c r="F54" s="329">
        <f t="shared" si="6"/>
        <v>1545</v>
      </c>
      <c r="G54" s="330">
        <f t="shared" si="0"/>
        <v>8.4210526315789472E-2</v>
      </c>
      <c r="H54" s="329" t="str">
        <f t="shared" si="6"/>
        <v/>
      </c>
      <c r="I54" s="330" t="str">
        <f t="shared" si="1"/>
        <v/>
      </c>
      <c r="J54" s="329" t="str">
        <f t="shared" si="6"/>
        <v/>
      </c>
      <c r="K54" s="330" t="str">
        <f t="shared" si="2"/>
        <v/>
      </c>
      <c r="L54" s="329" t="str">
        <f t="shared" si="7"/>
        <v/>
      </c>
      <c r="M54" s="330" t="str">
        <f t="shared" si="3"/>
        <v/>
      </c>
      <c r="N54" s="329" t="str">
        <f t="shared" si="8"/>
        <v/>
      </c>
      <c r="O54" s="330" t="str">
        <f t="shared" si="4"/>
        <v/>
      </c>
      <c r="P54" s="329" t="str">
        <f t="shared" si="9"/>
        <v/>
      </c>
      <c r="Q54" s="330" t="str">
        <f t="shared" si="5"/>
        <v/>
      </c>
    </row>
    <row r="55" spans="2:17" x14ac:dyDescent="0.3">
      <c r="B55" s="299">
        <v>1978</v>
      </c>
      <c r="D55" s="329">
        <f t="shared" si="6"/>
        <v>2776</v>
      </c>
      <c r="E55" s="330">
        <f t="shared" si="0"/>
        <v>7.7639751552795025E-2</v>
      </c>
      <c r="F55" s="329">
        <f t="shared" si="6"/>
        <v>1654</v>
      </c>
      <c r="G55" s="330">
        <f t="shared" si="0"/>
        <v>7.0550161812297729E-2</v>
      </c>
      <c r="H55" s="329" t="str">
        <f t="shared" si="6"/>
        <v/>
      </c>
      <c r="I55" s="330" t="str">
        <f t="shared" si="1"/>
        <v/>
      </c>
      <c r="J55" s="329" t="str">
        <f t="shared" si="6"/>
        <v/>
      </c>
      <c r="K55" s="330" t="str">
        <f t="shared" si="2"/>
        <v/>
      </c>
      <c r="L55" s="329" t="str">
        <f t="shared" si="7"/>
        <v/>
      </c>
      <c r="M55" s="330" t="str">
        <f t="shared" si="3"/>
        <v/>
      </c>
      <c r="N55" s="329" t="str">
        <f t="shared" si="8"/>
        <v/>
      </c>
      <c r="O55" s="330" t="str">
        <f t="shared" si="4"/>
        <v/>
      </c>
      <c r="P55" s="329" t="str">
        <f t="shared" si="9"/>
        <v/>
      </c>
      <c r="Q55" s="330" t="str">
        <f t="shared" si="5"/>
        <v/>
      </c>
    </row>
    <row r="56" spans="2:17" x14ac:dyDescent="0.3">
      <c r="B56" s="299">
        <v>1979</v>
      </c>
      <c r="D56" s="329">
        <f t="shared" si="6"/>
        <v>3003</v>
      </c>
      <c r="E56" s="330">
        <f t="shared" si="0"/>
        <v>8.1772334293948132E-2</v>
      </c>
      <c r="F56" s="329">
        <f t="shared" si="6"/>
        <v>1919</v>
      </c>
      <c r="G56" s="330">
        <f t="shared" si="0"/>
        <v>0.16021765417170497</v>
      </c>
      <c r="H56" s="329" t="str">
        <f t="shared" si="6"/>
        <v/>
      </c>
      <c r="I56" s="330" t="str">
        <f t="shared" si="1"/>
        <v/>
      </c>
      <c r="J56" s="329" t="str">
        <f t="shared" si="6"/>
        <v/>
      </c>
      <c r="K56" s="330" t="str">
        <f t="shared" si="2"/>
        <v/>
      </c>
      <c r="L56" s="329" t="str">
        <f t="shared" si="7"/>
        <v/>
      </c>
      <c r="M56" s="330" t="str">
        <f t="shared" si="3"/>
        <v/>
      </c>
      <c r="N56" s="329" t="str">
        <f t="shared" si="8"/>
        <v/>
      </c>
      <c r="O56" s="330" t="str">
        <f t="shared" si="4"/>
        <v/>
      </c>
      <c r="P56" s="329" t="str">
        <f t="shared" si="9"/>
        <v/>
      </c>
      <c r="Q56" s="330" t="str">
        <f t="shared" si="5"/>
        <v/>
      </c>
    </row>
    <row r="57" spans="2:17" x14ac:dyDescent="0.3">
      <c r="B57" s="299">
        <v>1980</v>
      </c>
      <c r="D57" s="329">
        <f t="shared" si="6"/>
        <v>3237</v>
      </c>
      <c r="E57" s="330">
        <f t="shared" si="0"/>
        <v>7.792207792207792E-2</v>
      </c>
      <c r="F57" s="329">
        <f t="shared" si="6"/>
        <v>1941</v>
      </c>
      <c r="G57" s="330">
        <f t="shared" si="0"/>
        <v>1.1464304325169358E-2</v>
      </c>
      <c r="H57" s="329" t="str">
        <f t="shared" si="6"/>
        <v/>
      </c>
      <c r="I57" s="330" t="str">
        <f t="shared" si="1"/>
        <v/>
      </c>
      <c r="J57" s="329" t="str">
        <f t="shared" si="6"/>
        <v/>
      </c>
      <c r="K57" s="330" t="str">
        <f t="shared" si="2"/>
        <v/>
      </c>
      <c r="L57" s="329" t="str">
        <f t="shared" si="7"/>
        <v/>
      </c>
      <c r="M57" s="330" t="str">
        <f t="shared" si="3"/>
        <v/>
      </c>
      <c r="N57" s="329" t="str">
        <f t="shared" si="8"/>
        <v/>
      </c>
      <c r="O57" s="330" t="str">
        <f t="shared" si="4"/>
        <v/>
      </c>
      <c r="P57" s="329" t="str">
        <f t="shared" si="9"/>
        <v/>
      </c>
      <c r="Q57" s="330" t="str">
        <f t="shared" si="5"/>
        <v/>
      </c>
    </row>
    <row r="58" spans="2:17" x14ac:dyDescent="0.3">
      <c r="B58" s="299">
        <v>1981</v>
      </c>
      <c r="D58" s="329">
        <f t="shared" si="6"/>
        <v>3535</v>
      </c>
      <c r="E58" s="330">
        <f t="shared" si="0"/>
        <v>9.206054989187519E-2</v>
      </c>
      <c r="F58" s="329">
        <f t="shared" si="6"/>
        <v>2097</v>
      </c>
      <c r="G58" s="330">
        <f t="shared" si="0"/>
        <v>8.0370942812983001E-2</v>
      </c>
      <c r="H58" s="329" t="str">
        <f t="shared" si="6"/>
        <v/>
      </c>
      <c r="I58" s="330" t="str">
        <f t="shared" si="1"/>
        <v/>
      </c>
      <c r="J58" s="329" t="str">
        <f t="shared" si="6"/>
        <v/>
      </c>
      <c r="K58" s="330" t="str">
        <f t="shared" si="2"/>
        <v/>
      </c>
      <c r="L58" s="329" t="str">
        <f t="shared" si="7"/>
        <v/>
      </c>
      <c r="M58" s="330" t="str">
        <f t="shared" si="3"/>
        <v/>
      </c>
      <c r="N58" s="329" t="str">
        <f t="shared" si="8"/>
        <v/>
      </c>
      <c r="O58" s="330" t="str">
        <f t="shared" si="4"/>
        <v/>
      </c>
      <c r="P58" s="329" t="str">
        <f t="shared" si="9"/>
        <v/>
      </c>
      <c r="Q58" s="330" t="str">
        <f t="shared" si="5"/>
        <v/>
      </c>
    </row>
    <row r="59" spans="2:17" x14ac:dyDescent="0.3">
      <c r="B59" s="299">
        <v>1982</v>
      </c>
      <c r="D59" s="329">
        <f t="shared" si="6"/>
        <v>3825</v>
      </c>
      <c r="E59" s="330">
        <f t="shared" si="0"/>
        <v>8.2036775106082038E-2</v>
      </c>
      <c r="F59" s="329">
        <f t="shared" si="6"/>
        <v>2234</v>
      </c>
      <c r="G59" s="330">
        <f t="shared" si="0"/>
        <v>6.53314258464473E-2</v>
      </c>
      <c r="H59" s="329" t="str">
        <f t="shared" si="6"/>
        <v/>
      </c>
      <c r="I59" s="330" t="str">
        <f t="shared" si="1"/>
        <v/>
      </c>
      <c r="J59" s="329" t="str">
        <f t="shared" si="6"/>
        <v/>
      </c>
      <c r="K59" s="330" t="str">
        <f t="shared" si="2"/>
        <v/>
      </c>
      <c r="L59" s="329" t="str">
        <f t="shared" si="7"/>
        <v/>
      </c>
      <c r="M59" s="330" t="str">
        <f t="shared" si="3"/>
        <v/>
      </c>
      <c r="N59" s="329" t="str">
        <f t="shared" si="8"/>
        <v/>
      </c>
      <c r="O59" s="330" t="str">
        <f t="shared" si="4"/>
        <v/>
      </c>
      <c r="P59" s="329" t="str">
        <f t="shared" si="9"/>
        <v/>
      </c>
      <c r="Q59" s="330" t="str">
        <f t="shared" si="5"/>
        <v/>
      </c>
    </row>
    <row r="60" spans="2:17" x14ac:dyDescent="0.3">
      <c r="B60" s="299">
        <v>1983</v>
      </c>
      <c r="D60" s="329">
        <f t="shared" si="6"/>
        <v>4066</v>
      </c>
      <c r="E60" s="330">
        <f t="shared" si="0"/>
        <v>6.3006535947712425E-2</v>
      </c>
      <c r="F60" s="329">
        <f t="shared" si="6"/>
        <v>2384</v>
      </c>
      <c r="G60" s="330">
        <f t="shared" si="0"/>
        <v>6.714413607878246E-2</v>
      </c>
      <c r="H60" s="329" t="str">
        <f t="shared" si="6"/>
        <v/>
      </c>
      <c r="I60" s="330" t="str">
        <f t="shared" si="1"/>
        <v/>
      </c>
      <c r="J60" s="329" t="str">
        <f t="shared" si="6"/>
        <v/>
      </c>
      <c r="K60" s="330" t="str">
        <f t="shared" si="2"/>
        <v/>
      </c>
      <c r="L60" s="329" t="str">
        <f t="shared" si="7"/>
        <v/>
      </c>
      <c r="M60" s="330" t="str">
        <f t="shared" si="3"/>
        <v/>
      </c>
      <c r="N60" s="329" t="str">
        <f t="shared" si="8"/>
        <v/>
      </c>
      <c r="O60" s="330" t="str">
        <f t="shared" si="4"/>
        <v/>
      </c>
      <c r="P60" s="329" t="str">
        <f t="shared" si="9"/>
        <v/>
      </c>
      <c r="Q60" s="330" t="str">
        <f t="shared" si="5"/>
        <v/>
      </c>
    </row>
    <row r="61" spans="2:17" x14ac:dyDescent="0.3">
      <c r="B61" s="299">
        <v>1984</v>
      </c>
      <c r="D61" s="329">
        <f t="shared" si="6"/>
        <v>4146</v>
      </c>
      <c r="E61" s="330">
        <f t="shared" si="0"/>
        <v>1.9675356615838663E-2</v>
      </c>
      <c r="F61" s="329">
        <f t="shared" si="6"/>
        <v>2417</v>
      </c>
      <c r="G61" s="330">
        <f t="shared" si="0"/>
        <v>1.3842281879194632E-2</v>
      </c>
      <c r="H61" s="329" t="str">
        <f t="shared" si="6"/>
        <v/>
      </c>
      <c r="I61" s="330" t="str">
        <f t="shared" si="1"/>
        <v/>
      </c>
      <c r="J61" s="329" t="str">
        <f t="shared" si="6"/>
        <v/>
      </c>
      <c r="K61" s="330" t="str">
        <f t="shared" si="2"/>
        <v/>
      </c>
      <c r="L61" s="329" t="str">
        <f t="shared" si="7"/>
        <v/>
      </c>
      <c r="M61" s="330" t="str">
        <f t="shared" si="3"/>
        <v/>
      </c>
      <c r="N61" s="329" t="str">
        <f t="shared" si="8"/>
        <v/>
      </c>
      <c r="O61" s="330" t="str">
        <f t="shared" si="4"/>
        <v/>
      </c>
      <c r="P61" s="329" t="str">
        <f t="shared" si="9"/>
        <v/>
      </c>
      <c r="Q61" s="330" t="str">
        <f t="shared" si="5"/>
        <v/>
      </c>
    </row>
    <row r="62" spans="2:17" x14ac:dyDescent="0.3">
      <c r="B62" s="299">
        <v>1985</v>
      </c>
      <c r="D62" s="329">
        <f t="shared" si="6"/>
        <v>4195</v>
      </c>
      <c r="E62" s="330">
        <f t="shared" si="0"/>
        <v>1.1818620356970575E-2</v>
      </c>
      <c r="F62" s="329">
        <f t="shared" si="6"/>
        <v>2428</v>
      </c>
      <c r="G62" s="330">
        <f t="shared" si="0"/>
        <v>4.5510964004964833E-3</v>
      </c>
      <c r="H62" s="329" t="str">
        <f t="shared" si="6"/>
        <v/>
      </c>
      <c r="I62" s="330" t="str">
        <f t="shared" si="1"/>
        <v/>
      </c>
      <c r="J62" s="329" t="str">
        <f t="shared" si="6"/>
        <v/>
      </c>
      <c r="K62" s="330" t="str">
        <f t="shared" si="2"/>
        <v/>
      </c>
      <c r="L62" s="329" t="str">
        <f t="shared" si="7"/>
        <v/>
      </c>
      <c r="M62" s="330" t="str">
        <f t="shared" si="3"/>
        <v/>
      </c>
      <c r="N62" s="329" t="str">
        <f t="shared" si="8"/>
        <v/>
      </c>
      <c r="O62" s="330" t="str">
        <f t="shared" si="4"/>
        <v/>
      </c>
      <c r="P62" s="329" t="str">
        <f t="shared" si="9"/>
        <v/>
      </c>
      <c r="Q62" s="330" t="str">
        <f t="shared" si="5"/>
        <v/>
      </c>
    </row>
    <row r="63" spans="2:17" x14ac:dyDescent="0.3">
      <c r="B63" s="299">
        <v>1986</v>
      </c>
      <c r="D63" s="329">
        <f t="shared" si="6"/>
        <v>4295</v>
      </c>
      <c r="E63" s="330">
        <f t="shared" si="0"/>
        <v>2.3837902264600714E-2</v>
      </c>
      <c r="F63" s="329">
        <f t="shared" si="6"/>
        <v>2483</v>
      </c>
      <c r="G63" s="330">
        <f t="shared" si="0"/>
        <v>2.2652388797364087E-2</v>
      </c>
      <c r="H63" s="329" t="str">
        <f t="shared" si="6"/>
        <v/>
      </c>
      <c r="I63" s="330" t="str">
        <f t="shared" si="1"/>
        <v/>
      </c>
      <c r="J63" s="329" t="str">
        <f t="shared" si="6"/>
        <v/>
      </c>
      <c r="K63" s="330" t="str">
        <f t="shared" si="2"/>
        <v/>
      </c>
      <c r="L63" s="329" t="str">
        <f t="shared" si="7"/>
        <v/>
      </c>
      <c r="M63" s="330" t="str">
        <f t="shared" si="3"/>
        <v/>
      </c>
      <c r="N63" s="329" t="str">
        <f t="shared" si="8"/>
        <v/>
      </c>
      <c r="O63" s="330" t="str">
        <f t="shared" si="4"/>
        <v/>
      </c>
      <c r="P63" s="329" t="str">
        <f t="shared" si="9"/>
        <v/>
      </c>
      <c r="Q63" s="330" t="str">
        <f t="shared" si="5"/>
        <v/>
      </c>
    </row>
    <row r="64" spans="2:17" x14ac:dyDescent="0.3">
      <c r="B64" s="299">
        <v>1987</v>
      </c>
      <c r="D64" s="329">
        <f t="shared" si="6"/>
        <v>4406</v>
      </c>
      <c r="E64" s="330">
        <f t="shared" si="0"/>
        <v>2.5844004656577414E-2</v>
      </c>
      <c r="F64" s="329">
        <f t="shared" si="6"/>
        <v>2541</v>
      </c>
      <c r="G64" s="330">
        <f t="shared" si="0"/>
        <v>2.3358840112766815E-2</v>
      </c>
      <c r="H64" s="329" t="str">
        <f t="shared" si="6"/>
        <v/>
      </c>
      <c r="I64" s="330" t="str">
        <f t="shared" si="1"/>
        <v/>
      </c>
      <c r="J64" s="329" t="str">
        <f t="shared" si="6"/>
        <v/>
      </c>
      <c r="K64" s="330" t="str">
        <f t="shared" si="2"/>
        <v/>
      </c>
      <c r="L64" s="329" t="str">
        <f t="shared" si="7"/>
        <v/>
      </c>
      <c r="M64" s="330" t="str">
        <f t="shared" si="3"/>
        <v/>
      </c>
      <c r="N64" s="329" t="str">
        <f t="shared" si="8"/>
        <v/>
      </c>
      <c r="O64" s="330" t="str">
        <f t="shared" si="4"/>
        <v/>
      </c>
      <c r="P64" s="329" t="str">
        <f t="shared" si="9"/>
        <v/>
      </c>
      <c r="Q64" s="330" t="str">
        <f t="shared" si="5"/>
        <v/>
      </c>
    </row>
    <row r="65" spans="1:24" x14ac:dyDescent="0.3">
      <c r="B65" s="299">
        <v>1988</v>
      </c>
      <c r="D65" s="329">
        <f t="shared" si="6"/>
        <v>4519</v>
      </c>
      <c r="E65" s="330">
        <f t="shared" si="0"/>
        <v>2.5646845211075804E-2</v>
      </c>
      <c r="F65" s="329">
        <f t="shared" si="6"/>
        <v>2598</v>
      </c>
      <c r="G65" s="330">
        <f t="shared" si="0"/>
        <v>2.2432113341204249E-2</v>
      </c>
      <c r="H65" s="329" t="str">
        <f t="shared" si="6"/>
        <v/>
      </c>
      <c r="I65" s="330" t="str">
        <f t="shared" si="1"/>
        <v/>
      </c>
      <c r="J65" s="329" t="str">
        <f t="shared" si="6"/>
        <v/>
      </c>
      <c r="K65" s="330" t="str">
        <f t="shared" si="2"/>
        <v/>
      </c>
      <c r="L65" s="329" t="str">
        <f t="shared" si="7"/>
        <v/>
      </c>
      <c r="M65" s="330" t="str">
        <f t="shared" si="3"/>
        <v/>
      </c>
      <c r="N65" s="329" t="str">
        <f t="shared" si="8"/>
        <v/>
      </c>
      <c r="O65" s="330" t="str">
        <f t="shared" si="4"/>
        <v/>
      </c>
      <c r="P65" s="329" t="str">
        <f t="shared" si="9"/>
        <v/>
      </c>
      <c r="Q65" s="330" t="str">
        <f t="shared" si="5"/>
        <v/>
      </c>
    </row>
    <row r="66" spans="1:24" x14ac:dyDescent="0.3">
      <c r="B66" s="299">
        <v>1989</v>
      </c>
      <c r="D66" s="329">
        <f t="shared" si="6"/>
        <v>4615</v>
      </c>
      <c r="E66" s="330">
        <f t="shared" si="0"/>
        <v>2.1243637973002875E-2</v>
      </c>
      <c r="F66" s="329">
        <f t="shared" si="6"/>
        <v>2634</v>
      </c>
      <c r="G66" s="330">
        <f t="shared" si="0"/>
        <v>1.3856812933025405E-2</v>
      </c>
      <c r="H66" s="329" t="str">
        <f t="shared" si="6"/>
        <v/>
      </c>
      <c r="I66" s="330" t="str">
        <f t="shared" si="1"/>
        <v/>
      </c>
      <c r="J66" s="329" t="str">
        <f t="shared" si="6"/>
        <v/>
      </c>
      <c r="K66" s="330" t="str">
        <f t="shared" si="2"/>
        <v/>
      </c>
      <c r="L66" s="329" t="str">
        <f t="shared" si="7"/>
        <v/>
      </c>
      <c r="M66" s="330" t="str">
        <f t="shared" si="3"/>
        <v/>
      </c>
      <c r="N66" s="329" t="str">
        <f t="shared" si="8"/>
        <v/>
      </c>
      <c r="O66" s="330" t="str">
        <f t="shared" si="4"/>
        <v/>
      </c>
      <c r="P66" s="329" t="str">
        <f t="shared" si="9"/>
        <v/>
      </c>
      <c r="Q66" s="330" t="str">
        <f t="shared" si="5"/>
        <v/>
      </c>
    </row>
    <row r="67" spans="1:24" x14ac:dyDescent="0.3">
      <c r="B67" s="299">
        <v>1990</v>
      </c>
      <c r="D67" s="329">
        <f t="shared" si="6"/>
        <v>4732</v>
      </c>
      <c r="E67" s="330">
        <f t="shared" si="0"/>
        <v>2.5352112676056339E-2</v>
      </c>
      <c r="F67" s="329">
        <f t="shared" si="6"/>
        <v>2702</v>
      </c>
      <c r="G67" s="330">
        <f t="shared" si="0"/>
        <v>2.5816249050873197E-2</v>
      </c>
      <c r="H67" s="329" t="str">
        <f t="shared" si="6"/>
        <v/>
      </c>
      <c r="I67" s="330" t="str">
        <f t="shared" si="1"/>
        <v/>
      </c>
      <c r="J67" s="329" t="str">
        <f t="shared" si="6"/>
        <v/>
      </c>
      <c r="K67" s="330" t="str">
        <f t="shared" si="2"/>
        <v/>
      </c>
      <c r="L67" s="329" t="str">
        <f t="shared" si="7"/>
        <v/>
      </c>
      <c r="M67" s="330" t="str">
        <f t="shared" si="3"/>
        <v/>
      </c>
      <c r="N67" s="329" t="str">
        <f t="shared" si="8"/>
        <v/>
      </c>
      <c r="O67" s="330" t="str">
        <f t="shared" si="4"/>
        <v/>
      </c>
      <c r="P67" s="329" t="str">
        <f t="shared" si="9"/>
        <v/>
      </c>
      <c r="Q67" s="330" t="str">
        <f t="shared" si="5"/>
        <v/>
      </c>
    </row>
    <row r="68" spans="1:24" x14ac:dyDescent="0.3">
      <c r="B68" s="299">
        <v>1991</v>
      </c>
      <c r="D68" s="329">
        <f t="shared" si="6"/>
        <v>4835</v>
      </c>
      <c r="E68" s="330">
        <f t="shared" si="0"/>
        <v>2.1766694843617922E-2</v>
      </c>
      <c r="F68" s="329">
        <f t="shared" si="6"/>
        <v>2751</v>
      </c>
      <c r="G68" s="330">
        <f t="shared" si="0"/>
        <v>1.8134715025906734E-2</v>
      </c>
      <c r="H68" s="329" t="str">
        <f t="shared" si="6"/>
        <v/>
      </c>
      <c r="I68" s="330" t="str">
        <f t="shared" si="1"/>
        <v/>
      </c>
      <c r="J68" s="329" t="str">
        <f t="shared" si="6"/>
        <v/>
      </c>
      <c r="K68" s="330" t="str">
        <f t="shared" si="2"/>
        <v/>
      </c>
      <c r="L68" s="329" t="str">
        <f t="shared" si="7"/>
        <v/>
      </c>
      <c r="M68" s="330" t="str">
        <f t="shared" si="3"/>
        <v/>
      </c>
      <c r="N68" s="329" t="str">
        <f t="shared" si="8"/>
        <v/>
      </c>
      <c r="O68" s="330" t="str">
        <f t="shared" si="4"/>
        <v/>
      </c>
      <c r="P68" s="329" t="str">
        <f t="shared" si="9"/>
        <v/>
      </c>
      <c r="Q68" s="330" t="str">
        <f t="shared" si="5"/>
        <v/>
      </c>
    </row>
    <row r="69" spans="1:24" x14ac:dyDescent="0.3">
      <c r="B69" s="299">
        <v>1992</v>
      </c>
      <c r="D69" s="329">
        <f t="shared" si="6"/>
        <v>4985</v>
      </c>
      <c r="E69" s="330">
        <f t="shared" si="0"/>
        <v>3.1023784901758014E-2</v>
      </c>
      <c r="F69" s="329">
        <f t="shared" si="6"/>
        <v>2834</v>
      </c>
      <c r="G69" s="330">
        <f t="shared" si="0"/>
        <v>3.0170846964740095E-2</v>
      </c>
      <c r="H69" s="329" t="str">
        <f t="shared" si="6"/>
        <v/>
      </c>
      <c r="I69" s="330" t="str">
        <f t="shared" si="1"/>
        <v/>
      </c>
      <c r="J69" s="329" t="str">
        <f t="shared" si="6"/>
        <v/>
      </c>
      <c r="K69" s="330" t="str">
        <f t="shared" si="2"/>
        <v/>
      </c>
      <c r="L69" s="329" t="str">
        <f t="shared" si="7"/>
        <v/>
      </c>
      <c r="M69" s="330" t="str">
        <f t="shared" si="3"/>
        <v/>
      </c>
      <c r="N69" s="329" t="str">
        <f t="shared" si="8"/>
        <v/>
      </c>
      <c r="O69" s="330" t="str">
        <f t="shared" si="4"/>
        <v/>
      </c>
      <c r="P69" s="329" t="str">
        <f t="shared" si="9"/>
        <v/>
      </c>
      <c r="Q69" s="330" t="str">
        <f t="shared" si="5"/>
        <v/>
      </c>
    </row>
    <row r="70" spans="1:24" x14ac:dyDescent="0.3">
      <c r="B70" s="299">
        <v>1993</v>
      </c>
      <c r="D70" s="329">
        <f t="shared" si="6"/>
        <v>5210</v>
      </c>
      <c r="E70" s="330">
        <f t="shared" si="0"/>
        <v>4.5135406218655971E-2</v>
      </c>
      <c r="F70" s="329">
        <f t="shared" si="6"/>
        <v>2996</v>
      </c>
      <c r="G70" s="330">
        <f t="shared" si="0"/>
        <v>5.7163020465772763E-2</v>
      </c>
      <c r="H70" s="329" t="str">
        <f t="shared" si="6"/>
        <v/>
      </c>
      <c r="I70" s="330" t="str">
        <f t="shared" si="1"/>
        <v/>
      </c>
      <c r="J70" s="329" t="str">
        <f t="shared" si="6"/>
        <v/>
      </c>
      <c r="K70" s="330" t="str">
        <f t="shared" si="2"/>
        <v/>
      </c>
      <c r="L70" s="329" t="str">
        <f t="shared" si="7"/>
        <v/>
      </c>
      <c r="M70" s="330" t="str">
        <f t="shared" si="3"/>
        <v/>
      </c>
      <c r="N70" s="329" t="str">
        <f t="shared" si="8"/>
        <v/>
      </c>
      <c r="O70" s="330" t="str">
        <f t="shared" si="4"/>
        <v/>
      </c>
      <c r="P70" s="329" t="str">
        <f t="shared" si="9"/>
        <v/>
      </c>
      <c r="Q70" s="330" t="str">
        <f t="shared" si="5"/>
        <v/>
      </c>
    </row>
    <row r="71" spans="1:24" x14ac:dyDescent="0.3">
      <c r="B71" s="299">
        <v>1994</v>
      </c>
      <c r="D71" s="329">
        <f t="shared" si="6"/>
        <v>5408</v>
      </c>
      <c r="E71" s="330">
        <f t="shared" si="0"/>
        <v>3.8003838771593093E-2</v>
      </c>
      <c r="F71" s="329">
        <f t="shared" si="6"/>
        <v>3111</v>
      </c>
      <c r="G71" s="330">
        <f t="shared" si="0"/>
        <v>3.8384512683578106E-2</v>
      </c>
      <c r="H71" s="329" t="str">
        <f t="shared" si="6"/>
        <v/>
      </c>
      <c r="I71" s="330" t="str">
        <f t="shared" si="1"/>
        <v/>
      </c>
      <c r="J71" s="329" t="str">
        <f t="shared" si="6"/>
        <v/>
      </c>
      <c r="K71" s="330" t="str">
        <f t="shared" si="2"/>
        <v/>
      </c>
      <c r="L71" s="329" t="str">
        <f t="shared" si="7"/>
        <v/>
      </c>
      <c r="M71" s="330" t="str">
        <f t="shared" si="3"/>
        <v/>
      </c>
      <c r="N71" s="329" t="str">
        <f t="shared" si="8"/>
        <v/>
      </c>
      <c r="O71" s="330" t="str">
        <f t="shared" si="4"/>
        <v/>
      </c>
      <c r="P71" s="329" t="str">
        <f t="shared" si="9"/>
        <v/>
      </c>
      <c r="Q71" s="330" t="str">
        <f t="shared" si="5"/>
        <v/>
      </c>
    </row>
    <row r="72" spans="1:24" x14ac:dyDescent="0.3">
      <c r="B72" s="299">
        <v>1995</v>
      </c>
      <c r="D72" s="329">
        <f t="shared" si="6"/>
        <v>5471</v>
      </c>
      <c r="E72" s="330">
        <f t="shared" si="0"/>
        <v>1.1649408284023669E-2</v>
      </c>
      <c r="F72" s="329">
        <f t="shared" si="6"/>
        <v>3112</v>
      </c>
      <c r="G72" s="330">
        <f t="shared" si="0"/>
        <v>3.214400514304082E-4</v>
      </c>
      <c r="H72" s="329" t="str">
        <f t="shared" si="6"/>
        <v/>
      </c>
      <c r="I72" s="330" t="str">
        <f t="shared" si="1"/>
        <v/>
      </c>
      <c r="J72" s="329" t="str">
        <f t="shared" si="6"/>
        <v/>
      </c>
      <c r="K72" s="330" t="str">
        <f t="shared" si="2"/>
        <v/>
      </c>
      <c r="L72" s="329" t="str">
        <f t="shared" si="7"/>
        <v/>
      </c>
      <c r="M72" s="330" t="str">
        <f t="shared" si="3"/>
        <v/>
      </c>
      <c r="N72" s="329" t="str">
        <f t="shared" si="8"/>
        <v/>
      </c>
      <c r="O72" s="330" t="str">
        <f t="shared" si="4"/>
        <v/>
      </c>
      <c r="P72" s="329" t="str">
        <f t="shared" si="9"/>
        <v/>
      </c>
      <c r="Q72" s="330" t="str">
        <f t="shared" si="5"/>
        <v/>
      </c>
    </row>
    <row r="73" spans="1:24" x14ac:dyDescent="0.3">
      <c r="B73" s="299">
        <v>1996</v>
      </c>
      <c r="D73" s="329">
        <f t="shared" si="6"/>
        <v>5620</v>
      </c>
      <c r="E73" s="330">
        <f t="shared" si="0"/>
        <v>2.7234509230488028E-2</v>
      </c>
      <c r="F73" s="329">
        <f t="shared" si="6"/>
        <v>3203</v>
      </c>
      <c r="G73" s="330">
        <f t="shared" si="0"/>
        <v>2.9241645244215939E-2</v>
      </c>
      <c r="H73" s="329" t="str">
        <f t="shared" si="6"/>
        <v/>
      </c>
      <c r="I73" s="330" t="str">
        <f t="shared" si="1"/>
        <v/>
      </c>
      <c r="J73" s="329" t="str">
        <f t="shared" si="6"/>
        <v/>
      </c>
      <c r="K73" s="330" t="str">
        <f t="shared" si="2"/>
        <v/>
      </c>
      <c r="L73" s="329" t="str">
        <f t="shared" si="7"/>
        <v/>
      </c>
      <c r="M73" s="330" t="str">
        <f t="shared" si="3"/>
        <v/>
      </c>
      <c r="N73" s="329" t="str">
        <f t="shared" si="8"/>
        <v/>
      </c>
      <c r="O73" s="330" t="str">
        <f t="shared" si="4"/>
        <v/>
      </c>
      <c r="P73" s="329" t="str">
        <f t="shared" si="9"/>
        <v/>
      </c>
      <c r="Q73" s="330" t="str">
        <f t="shared" si="5"/>
        <v/>
      </c>
    </row>
    <row r="74" spans="1:24" x14ac:dyDescent="0.3">
      <c r="B74" s="299">
        <v>1997</v>
      </c>
      <c r="D74" s="329">
        <f t="shared" si="6"/>
        <v>5826</v>
      </c>
      <c r="E74" s="330">
        <f t="shared" si="0"/>
        <v>3.6654804270462631E-2</v>
      </c>
      <c r="F74" s="329">
        <f t="shared" si="6"/>
        <v>3364</v>
      </c>
      <c r="G74" s="330">
        <f t="shared" si="0"/>
        <v>5.0265376209803307E-2</v>
      </c>
      <c r="H74" s="329" t="str">
        <f t="shared" si="6"/>
        <v/>
      </c>
      <c r="I74" s="330" t="str">
        <f t="shared" si="1"/>
        <v/>
      </c>
      <c r="J74" s="329" t="str">
        <f t="shared" si="6"/>
        <v/>
      </c>
      <c r="K74" s="330" t="str">
        <f t="shared" si="2"/>
        <v/>
      </c>
      <c r="L74" s="329" t="str">
        <f t="shared" si="7"/>
        <v/>
      </c>
      <c r="M74" s="330" t="str">
        <f t="shared" si="3"/>
        <v/>
      </c>
      <c r="N74" s="329" t="str">
        <f t="shared" si="8"/>
        <v/>
      </c>
      <c r="O74" s="330" t="str">
        <f t="shared" si="4"/>
        <v/>
      </c>
      <c r="P74" s="329" t="str">
        <f t="shared" si="9"/>
        <v/>
      </c>
      <c r="Q74" s="330" t="str">
        <f t="shared" si="5"/>
        <v/>
      </c>
    </row>
    <row r="75" spans="1:24" x14ac:dyDescent="0.3">
      <c r="B75" s="299">
        <v>1998</v>
      </c>
      <c r="D75" s="329">
        <f t="shared" si="6"/>
        <v>5920</v>
      </c>
      <c r="E75" s="330">
        <f t="shared" si="0"/>
        <v>1.613456917267422E-2</v>
      </c>
      <c r="F75" s="329">
        <f t="shared" si="6"/>
        <v>3391</v>
      </c>
      <c r="G75" s="330">
        <f t="shared" si="0"/>
        <v>8.0261593341260408E-3</v>
      </c>
      <c r="H75" s="329" t="str">
        <f t="shared" si="6"/>
        <v/>
      </c>
      <c r="I75" s="330" t="str">
        <f t="shared" si="1"/>
        <v/>
      </c>
      <c r="J75" s="329" t="str">
        <f t="shared" si="6"/>
        <v/>
      </c>
      <c r="K75" s="330" t="str">
        <f t="shared" si="2"/>
        <v/>
      </c>
      <c r="L75" s="329" t="str">
        <f t="shared" si="7"/>
        <v/>
      </c>
      <c r="M75" s="330" t="str">
        <f t="shared" si="3"/>
        <v/>
      </c>
      <c r="N75" s="329" t="str">
        <f t="shared" si="8"/>
        <v/>
      </c>
      <c r="O75" s="330" t="str">
        <f t="shared" si="4"/>
        <v/>
      </c>
      <c r="P75" s="329" t="str">
        <f t="shared" si="9"/>
        <v/>
      </c>
      <c r="Q75" s="330" t="str">
        <f t="shared" si="5"/>
        <v/>
      </c>
    </row>
    <row r="76" spans="1:24" x14ac:dyDescent="0.3">
      <c r="B76" s="299">
        <v>1999</v>
      </c>
      <c r="D76" s="329">
        <f t="shared" si="6"/>
        <v>6059</v>
      </c>
      <c r="E76" s="330">
        <f t="shared" si="0"/>
        <v>2.3479729729729729E-2</v>
      </c>
      <c r="F76" s="329">
        <f t="shared" si="6"/>
        <v>3456</v>
      </c>
      <c r="G76" s="330">
        <f t="shared" si="0"/>
        <v>1.9168386906517253E-2</v>
      </c>
      <c r="H76" s="329" t="str">
        <f t="shared" si="6"/>
        <v/>
      </c>
      <c r="I76" s="330" t="str">
        <f t="shared" si="1"/>
        <v/>
      </c>
      <c r="J76" s="329" t="str">
        <f t="shared" si="6"/>
        <v/>
      </c>
      <c r="K76" s="330" t="str">
        <f t="shared" si="2"/>
        <v/>
      </c>
      <c r="L76" s="329" t="str">
        <f t="shared" si="7"/>
        <v/>
      </c>
      <c r="M76" s="330" t="str">
        <f t="shared" si="3"/>
        <v/>
      </c>
      <c r="N76" s="329" t="str">
        <f t="shared" si="8"/>
        <v/>
      </c>
      <c r="O76" s="330" t="str">
        <f t="shared" si="4"/>
        <v/>
      </c>
      <c r="P76" s="329" t="str">
        <f t="shared" si="9"/>
        <v/>
      </c>
      <c r="Q76" s="330" t="str">
        <f t="shared" si="5"/>
        <v/>
      </c>
    </row>
    <row r="77" spans="1:24" x14ac:dyDescent="0.3">
      <c r="B77" s="299">
        <v>2000</v>
      </c>
      <c r="D77" s="329">
        <f t="shared" si="6"/>
        <v>6221</v>
      </c>
      <c r="E77" s="330">
        <f t="shared" si="0"/>
        <v>2.6737085327611817E-2</v>
      </c>
      <c r="F77" s="329">
        <f t="shared" si="6"/>
        <v>3539</v>
      </c>
      <c r="G77" s="330">
        <f t="shared" si="0"/>
        <v>2.4016203703703703E-2</v>
      </c>
      <c r="H77" s="329">
        <f t="shared" si="6"/>
        <v>51.48</v>
      </c>
      <c r="I77" s="330" t="str">
        <f t="shared" si="1"/>
        <v/>
      </c>
      <c r="J77" s="329">
        <f t="shared" si="6"/>
        <v>158.5</v>
      </c>
      <c r="K77" s="330" t="str">
        <f t="shared" si="2"/>
        <v/>
      </c>
      <c r="L77" s="329">
        <f t="shared" si="7"/>
        <v>162.4</v>
      </c>
      <c r="M77" s="330" t="str">
        <f t="shared" si="3"/>
        <v/>
      </c>
      <c r="N77" s="329">
        <f t="shared" si="8"/>
        <v>174</v>
      </c>
      <c r="O77" s="330" t="str">
        <f t="shared" si="4"/>
        <v/>
      </c>
      <c r="P77" s="329">
        <f t="shared" si="9"/>
        <v>135.1</v>
      </c>
      <c r="Q77" s="330" t="str">
        <f t="shared" si="5"/>
        <v/>
      </c>
    </row>
    <row r="78" spans="1:24" x14ac:dyDescent="0.3">
      <c r="B78" s="299">
        <v>2001</v>
      </c>
      <c r="D78" s="329">
        <f t="shared" si="6"/>
        <v>6343</v>
      </c>
      <c r="E78" s="330">
        <f t="shared" si="0"/>
        <v>1.9610995016878314E-2</v>
      </c>
      <c r="F78" s="329">
        <f t="shared" si="6"/>
        <v>3574</v>
      </c>
      <c r="G78" s="330">
        <f t="shared" si="0"/>
        <v>9.8897993783554679E-3</v>
      </c>
      <c r="H78" s="329">
        <f t="shared" si="6"/>
        <v>36.92</v>
      </c>
      <c r="I78" s="330">
        <f t="shared" si="1"/>
        <v>-0.28282828282828276</v>
      </c>
      <c r="J78" s="329">
        <f t="shared" si="6"/>
        <v>159.5</v>
      </c>
      <c r="K78" s="330">
        <f t="shared" si="2"/>
        <v>6.3091482649842269E-3</v>
      </c>
      <c r="L78" s="329">
        <f t="shared" si="7"/>
        <v>165.6</v>
      </c>
      <c r="M78" s="330">
        <f t="shared" si="3"/>
        <v>1.9704433497536877E-2</v>
      </c>
      <c r="N78" s="329">
        <f t="shared" si="8"/>
        <v>177.7</v>
      </c>
      <c r="O78" s="330">
        <f t="shared" si="4"/>
        <v>2.1264367816091888E-2</v>
      </c>
      <c r="P78" s="329">
        <f t="shared" si="9"/>
        <v>130.19999999999999</v>
      </c>
      <c r="Q78" s="330">
        <f t="shared" si="5"/>
        <v>-3.6269430051813517E-2</v>
      </c>
    </row>
    <row r="79" spans="1:24" x14ac:dyDescent="0.3">
      <c r="B79" s="299">
        <v>2002</v>
      </c>
      <c r="D79" s="329">
        <f t="shared" si="6"/>
        <v>6538</v>
      </c>
      <c r="E79" s="330">
        <f t="shared" si="0"/>
        <v>3.074255084344947E-2</v>
      </c>
      <c r="F79" s="329">
        <f t="shared" si="6"/>
        <v>3623</v>
      </c>
      <c r="G79" s="330">
        <f t="shared" si="0"/>
        <v>1.3710128707330722E-2</v>
      </c>
      <c r="H79" s="329">
        <f t="shared" si="6"/>
        <v>52.53</v>
      </c>
      <c r="I79" s="330">
        <f t="shared" si="1"/>
        <v>0.42280606717226432</v>
      </c>
      <c r="J79" s="329">
        <f t="shared" si="6"/>
        <v>163.1</v>
      </c>
      <c r="K79" s="330">
        <f t="shared" si="2"/>
        <v>2.2570532915360465E-2</v>
      </c>
      <c r="L79" s="329">
        <f t="shared" si="7"/>
        <v>169.6</v>
      </c>
      <c r="M79" s="330">
        <f t="shared" si="3"/>
        <v>2.4154589371980676E-2</v>
      </c>
      <c r="N79" s="329">
        <f t="shared" si="8"/>
        <v>181.3</v>
      </c>
      <c r="O79" s="330">
        <f t="shared" si="4"/>
        <v>2.0258863252673173E-2</v>
      </c>
      <c r="P79" s="329">
        <f t="shared" si="9"/>
        <v>133.1</v>
      </c>
      <c r="Q79" s="330">
        <f t="shared" si="5"/>
        <v>2.2273425499231995E-2</v>
      </c>
    </row>
    <row r="80" spans="1:24" s="301" customFormat="1" x14ac:dyDescent="0.3">
      <c r="A80" s="299"/>
      <c r="B80" s="299">
        <v>2003</v>
      </c>
      <c r="C80" s="299"/>
      <c r="D80" s="329">
        <f t="shared" si="6"/>
        <v>6694</v>
      </c>
      <c r="E80" s="330">
        <f t="shared" si="0"/>
        <v>2.3860507800550629E-2</v>
      </c>
      <c r="F80" s="329">
        <f t="shared" si="6"/>
        <v>3693</v>
      </c>
      <c r="G80" s="330">
        <f t="shared" si="0"/>
        <v>1.9321004692243997E-2</v>
      </c>
      <c r="H80" s="329">
        <f t="shared" si="6"/>
        <v>57.96</v>
      </c>
      <c r="I80" s="330">
        <f t="shared" si="1"/>
        <v>0.10336950314106225</v>
      </c>
      <c r="J80" s="329">
        <f t="shared" si="6"/>
        <v>168.3</v>
      </c>
      <c r="K80" s="330">
        <f t="shared" si="2"/>
        <v>3.1882280809319541E-2</v>
      </c>
      <c r="L80" s="329">
        <f t="shared" si="7"/>
        <v>175.1</v>
      </c>
      <c r="M80" s="330">
        <f t="shared" si="3"/>
        <v>3.2429245283018868E-2</v>
      </c>
      <c r="N80" s="329">
        <f t="shared" si="8"/>
        <v>185</v>
      </c>
      <c r="O80" s="330">
        <f t="shared" si="4"/>
        <v>2.0408163265306058E-2</v>
      </c>
      <c r="P80" s="329">
        <f t="shared" si="9"/>
        <v>139.4</v>
      </c>
      <c r="Q80" s="330">
        <f t="shared" si="5"/>
        <v>4.7332832456799485E-2</v>
      </c>
      <c r="R80" s="299"/>
      <c r="W80" s="299"/>
      <c r="X80" s="299"/>
    </row>
    <row r="81" spans="1:24" s="301" customFormat="1" x14ac:dyDescent="0.3">
      <c r="A81" s="299"/>
      <c r="B81" s="299">
        <v>2004</v>
      </c>
      <c r="C81" s="299"/>
      <c r="D81" s="329">
        <f t="shared" si="6"/>
        <v>7115</v>
      </c>
      <c r="E81" s="330">
        <f t="shared" si="0"/>
        <v>6.2892142216910668E-2</v>
      </c>
      <c r="F81" s="329">
        <f t="shared" si="6"/>
        <v>3984</v>
      </c>
      <c r="G81" s="330">
        <f t="shared" si="0"/>
        <v>7.8797725426482529E-2</v>
      </c>
      <c r="H81" s="329">
        <f t="shared" si="6"/>
        <v>75.260000000000005</v>
      </c>
      <c r="I81" s="330">
        <f t="shared" si="1"/>
        <v>0.29848171152518987</v>
      </c>
      <c r="J81" s="329">
        <f t="shared" si="6"/>
        <v>178.8</v>
      </c>
      <c r="K81" s="330">
        <f t="shared" si="2"/>
        <v>6.2388591800356503E-2</v>
      </c>
      <c r="L81" s="329">
        <f t="shared" si="7"/>
        <v>189.5</v>
      </c>
      <c r="M81" s="330">
        <f t="shared" si="3"/>
        <v>8.2238720731010892E-2</v>
      </c>
      <c r="N81" s="329">
        <f t="shared" si="8"/>
        <v>190.9</v>
      </c>
      <c r="O81" s="330">
        <f t="shared" si="4"/>
        <v>3.189189189189192E-2</v>
      </c>
      <c r="P81" s="329">
        <f t="shared" si="9"/>
        <v>149.80000000000001</v>
      </c>
      <c r="Q81" s="330">
        <f t="shared" si="5"/>
        <v>7.4605451936872347E-2</v>
      </c>
      <c r="R81" s="299"/>
      <c r="W81" s="299"/>
      <c r="X81" s="299"/>
    </row>
    <row r="82" spans="1:24" s="301" customFormat="1" x14ac:dyDescent="0.3">
      <c r="A82" s="299"/>
      <c r="B82" s="299">
        <v>2005</v>
      </c>
      <c r="C82" s="299"/>
      <c r="D82" s="329">
        <f t="shared" si="6"/>
        <v>7446.083333333333</v>
      </c>
      <c r="E82" s="330">
        <f t="shared" si="0"/>
        <v>4.6533145935816304E-2</v>
      </c>
      <c r="F82" s="329">
        <f t="shared" si="6"/>
        <v>4205.166666666667</v>
      </c>
      <c r="G82" s="330">
        <f t="shared" si="0"/>
        <v>5.5513721552878252E-2</v>
      </c>
      <c r="H82" s="329">
        <f t="shared" si="6"/>
        <v>100</v>
      </c>
      <c r="I82" s="330">
        <f t="shared" si="1"/>
        <v>0.32872707945787927</v>
      </c>
      <c r="J82" s="329">
        <f t="shared" si="6"/>
        <v>182.45833333333337</v>
      </c>
      <c r="K82" s="330">
        <f t="shared" si="2"/>
        <v>2.0460477255779416E-2</v>
      </c>
      <c r="L82" s="329">
        <f t="shared" si="7"/>
        <v>192.15833333333333</v>
      </c>
      <c r="M82" s="330">
        <f t="shared" si="3"/>
        <v>1.4028144239226024E-2</v>
      </c>
      <c r="N82" s="329">
        <f t="shared" si="8"/>
        <v>194.20000000000002</v>
      </c>
      <c r="O82" s="330">
        <f t="shared" si="4"/>
        <v>1.7286537454164544E-2</v>
      </c>
      <c r="P82" s="329">
        <f t="shared" si="9"/>
        <v>155.20000000000002</v>
      </c>
      <c r="Q82" s="330">
        <f t="shared" si="5"/>
        <v>3.60480640854473E-2</v>
      </c>
      <c r="R82" s="299"/>
      <c r="W82" s="299"/>
      <c r="X82" s="299"/>
    </row>
    <row r="83" spans="1:24" s="301" customFormat="1" x14ac:dyDescent="0.3">
      <c r="A83" s="299"/>
      <c r="B83" s="299">
        <v>2006</v>
      </c>
      <c r="C83" s="299"/>
      <c r="D83" s="329">
        <f t="shared" si="6"/>
        <v>7751.25</v>
      </c>
      <c r="E83" s="330">
        <f t="shared" si="0"/>
        <v>4.0983514823229254E-2</v>
      </c>
      <c r="F83" s="329">
        <f t="shared" si="6"/>
        <v>4369.333333333333</v>
      </c>
      <c r="G83" s="330">
        <f t="shared" si="0"/>
        <v>3.9039277079782657E-2</v>
      </c>
      <c r="H83" s="329">
        <f t="shared" si="6"/>
        <v>119.4045391100874</v>
      </c>
      <c r="I83" s="330">
        <f t="shared" si="1"/>
        <v>0.19404539110087399</v>
      </c>
      <c r="J83" s="329">
        <f t="shared" si="6"/>
        <v>190.40000000000006</v>
      </c>
      <c r="K83" s="330">
        <f t="shared" si="2"/>
        <v>4.3525919159625615E-2</v>
      </c>
      <c r="L83" s="329">
        <f t="shared" si="7"/>
        <v>200.25833333333333</v>
      </c>
      <c r="M83" s="330">
        <f t="shared" si="3"/>
        <v>4.2152738627000273E-2</v>
      </c>
      <c r="N83" s="329">
        <f t="shared" si="8"/>
        <v>200.85000000000002</v>
      </c>
      <c r="O83" s="330">
        <f t="shared" si="4"/>
        <v>3.4243048403707545E-2</v>
      </c>
      <c r="P83" s="329">
        <f t="shared" si="9"/>
        <v>164.37500000000003</v>
      </c>
      <c r="Q83" s="330">
        <f t="shared" si="5"/>
        <v>5.9117268041237181E-2</v>
      </c>
      <c r="R83" s="299"/>
      <c r="W83" s="299"/>
      <c r="X83" s="299"/>
    </row>
    <row r="84" spans="1:24" s="301" customFormat="1" x14ac:dyDescent="0.3">
      <c r="A84" s="299"/>
      <c r="B84" s="299">
        <v>2007</v>
      </c>
      <c r="C84" s="299"/>
      <c r="D84" s="329">
        <f t="shared" si="6"/>
        <v>7967</v>
      </c>
      <c r="E84" s="330">
        <f t="shared" si="0"/>
        <v>2.7834220287050477E-2</v>
      </c>
      <c r="F84" s="329">
        <f t="shared" si="6"/>
        <v>4485.333333333333</v>
      </c>
      <c r="G84" s="330">
        <f t="shared" si="0"/>
        <v>2.6548672566371685E-2</v>
      </c>
      <c r="H84" s="329">
        <f t="shared" si="6"/>
        <v>131.87721431471917</v>
      </c>
      <c r="I84" s="330">
        <f t="shared" si="1"/>
        <v>0.10445729532218484</v>
      </c>
      <c r="J84" s="329">
        <f t="shared" si="6"/>
        <v>196.00833333333333</v>
      </c>
      <c r="K84" s="330">
        <f t="shared" si="2"/>
        <v>2.9455532212884775E-2</v>
      </c>
      <c r="L84" s="329">
        <f t="shared" si="7"/>
        <v>205.91666666666671</v>
      </c>
      <c r="M84" s="330">
        <f t="shared" si="3"/>
        <v>2.8255170404893955E-2</v>
      </c>
      <c r="N84" s="329">
        <f t="shared" si="8"/>
        <v>205.93333333333337</v>
      </c>
      <c r="O84" s="330">
        <f t="shared" si="4"/>
        <v>2.5309102979005935E-2</v>
      </c>
      <c r="P84" s="329">
        <f t="shared" si="9"/>
        <v>170.48333333333338</v>
      </c>
      <c r="Q84" s="330">
        <f t="shared" si="5"/>
        <v>3.7160963244613522E-2</v>
      </c>
      <c r="R84" s="299"/>
      <c r="W84" s="299"/>
      <c r="X84" s="299"/>
    </row>
    <row r="85" spans="1:24" s="301" customFormat="1" x14ac:dyDescent="0.3">
      <c r="A85" s="299"/>
      <c r="B85" s="299">
        <v>2008</v>
      </c>
      <c r="C85" s="299"/>
      <c r="D85" s="329">
        <f t="shared" si="6"/>
        <v>8309.9166666666661</v>
      </c>
      <c r="E85" s="330">
        <f t="shared" si="0"/>
        <v>4.3042132128362755E-2</v>
      </c>
      <c r="F85" s="329">
        <f t="shared" si="6"/>
        <v>4690.916666666667</v>
      </c>
      <c r="G85" s="330">
        <f t="shared" si="0"/>
        <v>4.5834571938168985E-2</v>
      </c>
      <c r="H85" s="329">
        <f t="shared" si="6"/>
        <v>184.70156488908447</v>
      </c>
      <c r="I85" s="330">
        <f t="shared" si="1"/>
        <v>0.40055707006596536</v>
      </c>
      <c r="J85" s="329">
        <f t="shared" si="6"/>
        <v>207.92499999999998</v>
      </c>
      <c r="K85" s="330">
        <f t="shared" si="2"/>
        <v>6.0796734832702648E-2</v>
      </c>
      <c r="L85" s="329">
        <f t="shared" si="7"/>
        <v>214.37500000000003</v>
      </c>
      <c r="M85" s="330">
        <f t="shared" si="3"/>
        <v>4.1076487252124545E-2</v>
      </c>
      <c r="N85" s="329">
        <f t="shared" si="8"/>
        <v>215.1</v>
      </c>
      <c r="O85" s="330">
        <f t="shared" si="4"/>
        <v>4.4512787309808809E-2</v>
      </c>
      <c r="P85" s="329">
        <f t="shared" si="9"/>
        <v>190.52500000000001</v>
      </c>
      <c r="Q85" s="330">
        <f t="shared" si="5"/>
        <v>0.11755792355068896</v>
      </c>
      <c r="R85" s="299"/>
      <c r="W85" s="299"/>
      <c r="X85" s="299"/>
    </row>
    <row r="86" spans="1:24" s="301" customFormat="1" x14ac:dyDescent="0.3">
      <c r="A86" s="299"/>
      <c r="B86" s="299">
        <v>2009</v>
      </c>
      <c r="C86" s="299"/>
      <c r="D86" s="329">
        <f t="shared" si="6"/>
        <v>8570.0833333333339</v>
      </c>
      <c r="E86" s="330">
        <f t="shared" si="0"/>
        <v>3.1307975410904791E-2</v>
      </c>
      <c r="F86" s="329">
        <f t="shared" si="6"/>
        <v>4768.916666666667</v>
      </c>
      <c r="G86" s="330">
        <f t="shared" si="0"/>
        <v>1.6627880122932617E-2</v>
      </c>
      <c r="H86" s="329">
        <f t="shared" si="6"/>
        <v>116.79510261310757</v>
      </c>
      <c r="I86" s="330">
        <f t="shared" si="1"/>
        <v>-0.36765504567736362</v>
      </c>
      <c r="J86" s="329">
        <f t="shared" si="6"/>
        <v>205.02499999999998</v>
      </c>
      <c r="K86" s="330">
        <f t="shared" si="2"/>
        <v>-1.3947336780089003E-2</v>
      </c>
      <c r="L86" s="329">
        <f t="shared" si="7"/>
        <v>221.04166666666666</v>
      </c>
      <c r="M86" s="330">
        <f t="shared" si="3"/>
        <v>3.1098153547132957E-2</v>
      </c>
      <c r="N86" s="329">
        <f t="shared" si="8"/>
        <v>213.62500000000003</v>
      </c>
      <c r="O86" s="330">
        <f t="shared" si="4"/>
        <v>-6.8572756857274101E-3</v>
      </c>
      <c r="P86" s="329">
        <f t="shared" si="9"/>
        <v>172.34166666666667</v>
      </c>
      <c r="Q86" s="330">
        <f t="shared" si="5"/>
        <v>-9.5438044001224701E-2</v>
      </c>
      <c r="R86" s="299"/>
      <c r="W86" s="299"/>
      <c r="X86" s="299"/>
    </row>
    <row r="87" spans="1:24" s="301" customFormat="1" x14ac:dyDescent="0.3">
      <c r="A87" s="299"/>
      <c r="B87" s="299">
        <v>2010</v>
      </c>
      <c r="C87" s="299"/>
      <c r="D87" s="329">
        <f t="shared" si="6"/>
        <v>8798.9166666666661</v>
      </c>
      <c r="E87" s="330">
        <f t="shared" si="0"/>
        <v>2.6701412860629371E-2</v>
      </c>
      <c r="F87" s="329">
        <f t="shared" si="6"/>
        <v>4883</v>
      </c>
      <c r="G87" s="330">
        <f t="shared" si="0"/>
        <v>2.3922274450871028E-2</v>
      </c>
      <c r="H87" s="329">
        <f t="shared" si="6"/>
        <v>147.07701813594954</v>
      </c>
      <c r="I87" s="330">
        <f t="shared" si="1"/>
        <v>0.25927384663681541</v>
      </c>
      <c r="J87" s="329">
        <f t="shared" si="6"/>
        <v>211.39999999999998</v>
      </c>
      <c r="K87" s="330">
        <f t="shared" si="2"/>
        <v>3.1093769052554569E-2</v>
      </c>
      <c r="L87" s="329">
        <f t="shared" si="7"/>
        <v>226.25000000000003</v>
      </c>
      <c r="M87" s="330">
        <f t="shared" si="3"/>
        <v>2.3562676720075573E-2</v>
      </c>
      <c r="N87" s="329">
        <f t="shared" si="8"/>
        <v>217.70833333333334</v>
      </c>
      <c r="O87" s="330">
        <f t="shared" si="4"/>
        <v>1.9114491905597723E-2</v>
      </c>
      <c r="P87" s="329">
        <f t="shared" si="9"/>
        <v>182.97500000000002</v>
      </c>
      <c r="Q87" s="330">
        <f t="shared" si="5"/>
        <v>6.1699144141966179E-2</v>
      </c>
      <c r="R87" s="299"/>
      <c r="W87" s="299"/>
      <c r="X87" s="299"/>
    </row>
    <row r="88" spans="1:24" s="301" customFormat="1" x14ac:dyDescent="0.3">
      <c r="A88" s="299"/>
      <c r="B88" s="299">
        <v>2011</v>
      </c>
      <c r="C88" s="299"/>
      <c r="D88" s="329">
        <f t="shared" si="6"/>
        <v>9069.8333333333339</v>
      </c>
      <c r="E88" s="330">
        <f t="shared" si="0"/>
        <v>3.0789775256423752E-2</v>
      </c>
      <c r="F88" s="329">
        <f t="shared" si="6"/>
        <v>5058.583333333333</v>
      </c>
      <c r="G88" s="330">
        <f t="shared" si="0"/>
        <v>3.5958085876168958E-2</v>
      </c>
      <c r="H88" s="329">
        <f t="shared" si="6"/>
        <v>193.78921883619353</v>
      </c>
      <c r="I88" s="330">
        <f t="shared" si="1"/>
        <v>0.31760366977977422</v>
      </c>
      <c r="J88" s="329">
        <f t="shared" si="6"/>
        <v>220.85</v>
      </c>
      <c r="K88" s="330">
        <f t="shared" si="2"/>
        <v>4.470198675496697E-2</v>
      </c>
      <c r="L88" s="329">
        <f t="shared" si="7"/>
        <v>233.77499999999998</v>
      </c>
      <c r="M88" s="330">
        <f t="shared" si="3"/>
        <v>3.3259668508287064E-2</v>
      </c>
      <c r="N88" s="329">
        <f t="shared" si="8"/>
        <v>223.77500000000001</v>
      </c>
      <c r="O88" s="330">
        <f t="shared" si="4"/>
        <v>2.7866028708133952E-2</v>
      </c>
      <c r="P88" s="329">
        <f t="shared" si="9"/>
        <v>199.06666666666669</v>
      </c>
      <c r="Q88" s="330">
        <f t="shared" si="5"/>
        <v>8.7944619028100371E-2</v>
      </c>
      <c r="R88" s="299"/>
      <c r="W88" s="299"/>
      <c r="X88" s="299"/>
    </row>
    <row r="89" spans="1:24" s="301" customFormat="1" x14ac:dyDescent="0.3">
      <c r="A89" s="299"/>
      <c r="B89" s="299">
        <v>2012</v>
      </c>
      <c r="C89" s="299"/>
      <c r="D89" s="329">
        <f t="shared" si="6"/>
        <v>9308.1666666666661</v>
      </c>
      <c r="E89" s="330">
        <f t="shared" si="0"/>
        <v>2.627758687223199E-2</v>
      </c>
      <c r="F89" s="329">
        <f t="shared" si="6"/>
        <v>5173.583333333333</v>
      </c>
      <c r="G89" s="330">
        <f t="shared" si="0"/>
        <v>2.2733637546743984E-2</v>
      </c>
      <c r="H89" s="329">
        <f t="shared" si="6"/>
        <v>195.19799895442432</v>
      </c>
      <c r="I89" s="330">
        <f t="shared" si="1"/>
        <v>7.2696516694337378E-3</v>
      </c>
      <c r="J89" s="329">
        <f t="shared" si="6"/>
        <v>225.70000000000002</v>
      </c>
      <c r="K89" s="330">
        <f t="shared" si="2"/>
        <v>2.1960606746660734E-2</v>
      </c>
      <c r="L89" s="329">
        <f t="shared" si="7"/>
        <v>239.625</v>
      </c>
      <c r="M89" s="330">
        <f t="shared" si="3"/>
        <v>2.5024061597690186E-2</v>
      </c>
      <c r="N89" s="329">
        <f t="shared" si="8"/>
        <v>228.89166666666665</v>
      </c>
      <c r="O89" s="330">
        <f t="shared" si="4"/>
        <v>2.2865229210888821E-2</v>
      </c>
      <c r="P89" s="329">
        <f t="shared" si="9"/>
        <v>202.15833333333333</v>
      </c>
      <c r="Q89" s="330">
        <f t="shared" si="5"/>
        <v>1.5530810448760748E-2</v>
      </c>
      <c r="R89" s="299"/>
      <c r="W89" s="299"/>
      <c r="X89" s="299"/>
    </row>
    <row r="90" spans="1:24" s="301" customFormat="1" x14ac:dyDescent="0.3">
      <c r="A90" s="299"/>
      <c r="B90" s="299">
        <v>2013</v>
      </c>
      <c r="C90" s="299"/>
      <c r="D90" s="329">
        <f t="shared" si="6"/>
        <v>9546.6666666666661</v>
      </c>
      <c r="E90" s="330">
        <f t="shared" si="0"/>
        <v>2.5622661104048417E-2</v>
      </c>
      <c r="F90" s="329">
        <f t="shared" si="6"/>
        <v>5277.5</v>
      </c>
      <c r="G90" s="330">
        <f t="shared" si="0"/>
        <v>2.0086013884638366E-2</v>
      </c>
      <c r="H90" s="329">
        <f t="shared" si="6"/>
        <v>191.72713755328604</v>
      </c>
      <c r="I90" s="330">
        <f t="shared" si="1"/>
        <v>-1.7781234539953818E-2</v>
      </c>
      <c r="J90" s="329">
        <f t="shared" si="6"/>
        <v>229.65833333333333</v>
      </c>
      <c r="K90" s="330">
        <f t="shared" si="2"/>
        <v>1.7538029833111715E-2</v>
      </c>
      <c r="L90" s="329">
        <f t="shared" si="7"/>
        <v>245.68333333333331</v>
      </c>
      <c r="M90" s="330">
        <f t="shared" si="3"/>
        <v>2.5282559554859921E-2</v>
      </c>
      <c r="N90" s="329">
        <f t="shared" si="8"/>
        <v>232.41666666666671</v>
      </c>
      <c r="O90" s="330">
        <f t="shared" si="4"/>
        <v>1.5400298540066535E-2</v>
      </c>
      <c r="P90" s="329">
        <f t="shared" si="9"/>
        <v>203.5</v>
      </c>
      <c r="Q90" s="330">
        <f t="shared" si="5"/>
        <v>6.6367121480687677E-3</v>
      </c>
      <c r="R90" s="299"/>
      <c r="W90" s="299"/>
      <c r="X90" s="299"/>
    </row>
    <row r="91" spans="1:24" s="301" customFormat="1" x14ac:dyDescent="0.3">
      <c r="A91" s="299"/>
      <c r="B91" s="299">
        <v>2014</v>
      </c>
      <c r="C91" s="299"/>
      <c r="D91" s="329">
        <f t="shared" si="6"/>
        <v>9759.25</v>
      </c>
      <c r="E91" s="330">
        <f t="shared" ref="E91:G92" si="10">IFERROR((D91-D90)/D90,"")</f>
        <v>2.2267807262569897E-2</v>
      </c>
      <c r="F91" s="329">
        <f t="shared" si="6"/>
        <v>5357</v>
      </c>
      <c r="G91" s="330">
        <f t="shared" si="10"/>
        <v>1.5063950734249171E-2</v>
      </c>
      <c r="H91" s="329">
        <f t="shared" si="6"/>
        <v>191.20286147196123</v>
      </c>
      <c r="I91" s="330">
        <f>IFERROR((H91-H90)/H90,"")</f>
        <v>-2.734490735194457E-3</v>
      </c>
      <c r="J91" s="329">
        <f>IFERROR(AVERAGEIF($B$94:$B$306,$B91,J$94:J$306),"")</f>
        <v>233.55</v>
      </c>
      <c r="K91" s="330">
        <f>IFERROR((J91-J90)/J90,"")</f>
        <v>1.6945462462353553E-2</v>
      </c>
      <c r="L91" s="329">
        <f t="shared" si="7"/>
        <v>250.83750000000001</v>
      </c>
      <c r="M91" s="330">
        <f>IFERROR((L91-L90)/L90,"")</f>
        <v>2.0978902381114026E-2</v>
      </c>
      <c r="N91" s="329">
        <f t="shared" si="8"/>
        <v>236</v>
      </c>
      <c r="O91" s="330">
        <f>IFERROR((N91-N90)/N90,"")</f>
        <v>1.5417712441735182E-2</v>
      </c>
      <c r="P91" s="329">
        <f t="shared" si="9"/>
        <v>206.22499999999999</v>
      </c>
      <c r="Q91" s="330">
        <f>IFERROR((P91-P90)/P90,"")</f>
        <v>1.3390663390663363E-2</v>
      </c>
      <c r="R91" s="299"/>
      <c r="W91" s="299"/>
      <c r="X91" s="299"/>
    </row>
    <row r="92" spans="1:24" s="301" customFormat="1" x14ac:dyDescent="0.3">
      <c r="A92" s="299"/>
      <c r="B92" s="299">
        <v>2015</v>
      </c>
      <c r="C92" s="299"/>
      <c r="D92" s="299">
        <v>10037.4</v>
      </c>
      <c r="E92" s="330">
        <f t="shared" si="10"/>
        <v>2.8501165560878103E-2</v>
      </c>
      <c r="F92" s="329">
        <v>5510.57</v>
      </c>
      <c r="G92" s="330"/>
      <c r="H92" s="329" t="str">
        <f>IFERROR(AVERAGEIF($B$94:$B$306,$B92,H$94:H$306),"")</f>
        <v/>
      </c>
      <c r="I92" s="330"/>
      <c r="J92" s="329" t="str">
        <f>IFERROR(AVERAGEIF($B$94:$B$306,$B92,J$94:J$306),"")</f>
        <v/>
      </c>
      <c r="K92" s="330"/>
      <c r="L92" s="329" t="str">
        <f t="shared" si="7"/>
        <v/>
      </c>
      <c r="M92" s="330"/>
      <c r="N92" s="329" t="str">
        <f t="shared" si="8"/>
        <v/>
      </c>
      <c r="O92" s="330"/>
      <c r="P92" s="329" t="str">
        <f t="shared" si="9"/>
        <v/>
      </c>
      <c r="Q92" s="330"/>
      <c r="R92" s="299"/>
      <c r="W92" s="299"/>
      <c r="X92" s="299"/>
    </row>
    <row r="93" spans="1:24" s="321" customFormat="1" hidden="1" outlineLevel="1" x14ac:dyDescent="0.3">
      <c r="B93" s="331" t="s">
        <v>1547</v>
      </c>
      <c r="C93" s="332"/>
      <c r="D93" s="333" t="s">
        <v>1548</v>
      </c>
      <c r="E93" s="334" t="s">
        <v>1549</v>
      </c>
      <c r="F93" s="333" t="s">
        <v>1548</v>
      </c>
      <c r="G93" s="335" t="s">
        <v>1549</v>
      </c>
      <c r="H93" s="336" t="s">
        <v>1548</v>
      </c>
      <c r="I93" s="334" t="s">
        <v>1549</v>
      </c>
      <c r="J93" s="333" t="s">
        <v>1548</v>
      </c>
      <c r="K93" s="334" t="s">
        <v>1549</v>
      </c>
      <c r="L93" s="333" t="s">
        <v>1548</v>
      </c>
      <c r="M93" s="335" t="s">
        <v>1549</v>
      </c>
      <c r="N93" s="333" t="s">
        <v>1548</v>
      </c>
      <c r="O93" s="335" t="s">
        <v>1549</v>
      </c>
      <c r="P93" s="333" t="s">
        <v>1548</v>
      </c>
      <c r="Q93" s="335" t="s">
        <v>1549</v>
      </c>
      <c r="T93" s="322"/>
      <c r="U93" s="322"/>
    </row>
    <row r="94" spans="1:24" s="321" customFormat="1" hidden="1" outlineLevel="1" x14ac:dyDescent="0.3">
      <c r="B94" s="299">
        <v>1908</v>
      </c>
      <c r="C94" s="337" t="s">
        <v>1546</v>
      </c>
      <c r="D94" s="338">
        <v>97</v>
      </c>
      <c r="E94" s="339"/>
      <c r="G94" s="339"/>
      <c r="H94" s="340"/>
      <c r="I94" s="339"/>
      <c r="J94" s="341"/>
      <c r="K94" s="339"/>
      <c r="L94" s="341"/>
      <c r="M94" s="342"/>
      <c r="N94" s="341"/>
      <c r="O94" s="342"/>
      <c r="P94" s="341"/>
      <c r="Q94" s="342"/>
      <c r="T94" s="322"/>
      <c r="U94" s="322"/>
    </row>
    <row r="95" spans="1:24" s="321" customFormat="1" hidden="1" outlineLevel="1" x14ac:dyDescent="0.3">
      <c r="B95" s="299">
        <v>1909</v>
      </c>
      <c r="C95" s="337" t="s">
        <v>1546</v>
      </c>
      <c r="D95" s="338">
        <v>91</v>
      </c>
      <c r="E95" s="343">
        <f t="shared" ref="E95:G158" si="11">(D95-D94)/D94</f>
        <v>-6.1855670103092786E-2</v>
      </c>
      <c r="G95" s="343"/>
      <c r="H95" s="340"/>
      <c r="I95" s="339"/>
      <c r="J95" s="341"/>
      <c r="K95" s="339"/>
      <c r="L95" s="341"/>
      <c r="M95" s="342"/>
      <c r="N95" s="341"/>
      <c r="O95" s="342"/>
      <c r="P95" s="341"/>
      <c r="Q95" s="342"/>
      <c r="T95" s="322"/>
      <c r="U95" s="322"/>
    </row>
    <row r="96" spans="1:24" s="321" customFormat="1" hidden="1" outlineLevel="1" x14ac:dyDescent="0.3">
      <c r="B96" s="299">
        <v>1910</v>
      </c>
      <c r="C96" s="337" t="s">
        <v>1546</v>
      </c>
      <c r="D96" s="338">
        <v>96</v>
      </c>
      <c r="E96" s="343">
        <f t="shared" si="11"/>
        <v>5.4945054945054944E-2</v>
      </c>
      <c r="G96" s="343"/>
      <c r="H96" s="340"/>
      <c r="I96" s="339"/>
      <c r="J96" s="341"/>
      <c r="K96" s="339"/>
      <c r="L96" s="341"/>
      <c r="M96" s="342"/>
      <c r="N96" s="341"/>
      <c r="O96" s="342"/>
      <c r="P96" s="341"/>
      <c r="Q96" s="342"/>
      <c r="T96" s="322"/>
      <c r="U96" s="322"/>
    </row>
    <row r="97" spans="2:21" s="321" customFormat="1" hidden="1" outlineLevel="1" x14ac:dyDescent="0.3">
      <c r="B97" s="299">
        <v>1911</v>
      </c>
      <c r="C97" s="337" t="s">
        <v>1546</v>
      </c>
      <c r="D97" s="338">
        <v>93</v>
      </c>
      <c r="E97" s="343">
        <f t="shared" si="11"/>
        <v>-3.125E-2</v>
      </c>
      <c r="G97" s="343"/>
      <c r="H97" s="340"/>
      <c r="I97" s="339"/>
      <c r="J97" s="341"/>
      <c r="K97" s="339"/>
      <c r="L97" s="341"/>
      <c r="M97" s="342"/>
      <c r="N97" s="341"/>
      <c r="O97" s="342"/>
      <c r="P97" s="341"/>
      <c r="Q97" s="342"/>
      <c r="T97" s="322"/>
      <c r="U97" s="322"/>
    </row>
    <row r="98" spans="2:21" s="321" customFormat="1" hidden="1" outlineLevel="1" x14ac:dyDescent="0.3">
      <c r="B98" s="299">
        <v>1912</v>
      </c>
      <c r="C98" s="337" t="s">
        <v>1546</v>
      </c>
      <c r="D98" s="338">
        <v>91</v>
      </c>
      <c r="E98" s="343">
        <f t="shared" si="11"/>
        <v>-2.1505376344086023E-2</v>
      </c>
      <c r="G98" s="343"/>
      <c r="H98" s="340"/>
      <c r="I98" s="339"/>
      <c r="J98" s="341"/>
      <c r="K98" s="339"/>
      <c r="L98" s="341"/>
      <c r="M98" s="342"/>
      <c r="N98" s="341"/>
      <c r="O98" s="342"/>
      <c r="P98" s="341"/>
      <c r="Q98" s="342"/>
      <c r="T98" s="322"/>
      <c r="U98" s="322"/>
    </row>
    <row r="99" spans="2:21" s="321" customFormat="1" hidden="1" outlineLevel="1" x14ac:dyDescent="0.3">
      <c r="B99" s="299">
        <v>1913</v>
      </c>
      <c r="C99" s="337" t="s">
        <v>1546</v>
      </c>
      <c r="D99" s="338">
        <v>100</v>
      </c>
      <c r="E99" s="343">
        <f t="shared" si="11"/>
        <v>9.8901098901098897E-2</v>
      </c>
      <c r="G99" s="343"/>
      <c r="H99" s="340"/>
      <c r="I99" s="339"/>
      <c r="J99" s="341"/>
      <c r="K99" s="339"/>
      <c r="L99" s="341"/>
      <c r="M99" s="342"/>
      <c r="N99" s="341"/>
      <c r="O99" s="342"/>
      <c r="P99" s="341"/>
      <c r="Q99" s="342"/>
      <c r="T99" s="322"/>
      <c r="U99" s="322"/>
    </row>
    <row r="100" spans="2:21" s="321" customFormat="1" hidden="1" outlineLevel="1" x14ac:dyDescent="0.3">
      <c r="B100" s="299">
        <v>1914</v>
      </c>
      <c r="C100" s="337" t="s">
        <v>1546</v>
      </c>
      <c r="D100" s="338">
        <v>89</v>
      </c>
      <c r="E100" s="343">
        <f t="shared" si="11"/>
        <v>-0.11</v>
      </c>
      <c r="G100" s="343"/>
      <c r="H100" s="340"/>
      <c r="I100" s="339"/>
      <c r="J100" s="341"/>
      <c r="K100" s="339"/>
      <c r="L100" s="341"/>
      <c r="M100" s="342"/>
      <c r="N100" s="341"/>
      <c r="O100" s="342"/>
      <c r="P100" s="341"/>
      <c r="Q100" s="342"/>
      <c r="T100" s="322"/>
      <c r="U100" s="322"/>
    </row>
    <row r="101" spans="2:21" s="321" customFormat="1" hidden="1" outlineLevel="1" x14ac:dyDescent="0.3">
      <c r="B101" s="299">
        <v>1915</v>
      </c>
      <c r="C101" s="337" t="s">
        <v>1546</v>
      </c>
      <c r="D101" s="338">
        <v>93</v>
      </c>
      <c r="E101" s="343">
        <f t="shared" si="11"/>
        <v>4.49438202247191E-2</v>
      </c>
      <c r="F101" s="338">
        <v>95</v>
      </c>
      <c r="G101" s="343"/>
      <c r="H101" s="340"/>
      <c r="I101" s="339"/>
      <c r="J101" s="341"/>
      <c r="K101" s="339"/>
      <c r="L101" s="341"/>
      <c r="M101" s="342"/>
      <c r="N101" s="341"/>
      <c r="O101" s="342"/>
      <c r="P101" s="341"/>
      <c r="Q101" s="342"/>
      <c r="T101" s="322"/>
      <c r="U101" s="322"/>
    </row>
    <row r="102" spans="2:21" s="321" customFormat="1" hidden="1" outlineLevel="1" x14ac:dyDescent="0.3">
      <c r="B102" s="299">
        <v>1916</v>
      </c>
      <c r="C102" s="337" t="s">
        <v>1546</v>
      </c>
      <c r="D102" s="338">
        <v>130</v>
      </c>
      <c r="E102" s="343">
        <f t="shared" si="11"/>
        <v>0.39784946236559138</v>
      </c>
      <c r="F102" s="338">
        <v>131</v>
      </c>
      <c r="G102" s="343">
        <f t="shared" si="11"/>
        <v>0.37894736842105264</v>
      </c>
      <c r="H102" s="340"/>
      <c r="I102" s="339"/>
      <c r="J102" s="341"/>
      <c r="K102" s="339"/>
      <c r="L102" s="341"/>
      <c r="M102" s="342"/>
      <c r="N102" s="341"/>
      <c r="O102" s="342"/>
      <c r="P102" s="341"/>
      <c r="Q102" s="342"/>
      <c r="T102" s="322"/>
      <c r="U102" s="322"/>
    </row>
    <row r="103" spans="2:21" s="321" customFormat="1" hidden="1" outlineLevel="1" x14ac:dyDescent="0.3">
      <c r="B103" s="299">
        <v>1917</v>
      </c>
      <c r="C103" s="337" t="s">
        <v>1546</v>
      </c>
      <c r="D103" s="338">
        <v>181</v>
      </c>
      <c r="E103" s="343">
        <f t="shared" si="11"/>
        <v>0.3923076923076923</v>
      </c>
      <c r="F103" s="338">
        <v>167</v>
      </c>
      <c r="G103" s="343">
        <f t="shared" si="11"/>
        <v>0.27480916030534353</v>
      </c>
      <c r="H103" s="340"/>
      <c r="I103" s="339"/>
      <c r="J103" s="341"/>
      <c r="K103" s="339"/>
      <c r="L103" s="341"/>
      <c r="M103" s="342"/>
      <c r="N103" s="341"/>
      <c r="O103" s="342"/>
      <c r="P103" s="341"/>
      <c r="Q103" s="342"/>
      <c r="T103" s="322"/>
      <c r="U103" s="322"/>
    </row>
    <row r="104" spans="2:21" s="321" customFormat="1" hidden="1" outlineLevel="1" x14ac:dyDescent="0.3">
      <c r="B104" s="299">
        <v>1918</v>
      </c>
      <c r="C104" s="337" t="s">
        <v>1546</v>
      </c>
      <c r="D104" s="338">
        <v>189</v>
      </c>
      <c r="E104" s="343">
        <f t="shared" si="11"/>
        <v>4.4198895027624308E-2</v>
      </c>
      <c r="F104" s="338">
        <v>159</v>
      </c>
      <c r="G104" s="343">
        <f t="shared" si="11"/>
        <v>-4.790419161676647E-2</v>
      </c>
      <c r="H104" s="340"/>
      <c r="I104" s="339"/>
      <c r="J104" s="341"/>
      <c r="K104" s="339"/>
      <c r="L104" s="341"/>
      <c r="M104" s="342"/>
      <c r="N104" s="341"/>
      <c r="O104" s="342"/>
      <c r="P104" s="341"/>
      <c r="Q104" s="342"/>
      <c r="T104" s="322"/>
      <c r="U104" s="322"/>
    </row>
    <row r="105" spans="2:21" s="321" customFormat="1" hidden="1" outlineLevel="1" x14ac:dyDescent="0.3">
      <c r="B105" s="299">
        <v>1919</v>
      </c>
      <c r="C105" s="337" t="s">
        <v>1546</v>
      </c>
      <c r="D105" s="338">
        <v>198</v>
      </c>
      <c r="E105" s="343">
        <f t="shared" si="11"/>
        <v>4.7619047619047616E-2</v>
      </c>
      <c r="F105" s="338">
        <v>159</v>
      </c>
      <c r="G105" s="343">
        <f t="shared" si="11"/>
        <v>0</v>
      </c>
      <c r="H105" s="340"/>
      <c r="I105" s="339"/>
      <c r="J105" s="341"/>
      <c r="K105" s="339"/>
      <c r="L105" s="341"/>
      <c r="M105" s="342"/>
      <c r="N105" s="341"/>
      <c r="O105" s="342"/>
      <c r="P105" s="341"/>
      <c r="Q105" s="342"/>
      <c r="T105" s="322"/>
      <c r="U105" s="322"/>
    </row>
    <row r="106" spans="2:21" s="321" customFormat="1" hidden="1" outlineLevel="1" x14ac:dyDescent="0.3">
      <c r="B106" s="299">
        <v>1920</v>
      </c>
      <c r="C106" s="337" t="s">
        <v>1546</v>
      </c>
      <c r="D106" s="338">
        <v>251</v>
      </c>
      <c r="E106" s="343">
        <f t="shared" si="11"/>
        <v>0.26767676767676768</v>
      </c>
      <c r="F106" s="338">
        <v>207</v>
      </c>
      <c r="G106" s="343">
        <f t="shared" si="11"/>
        <v>0.30188679245283018</v>
      </c>
      <c r="H106" s="340"/>
      <c r="I106" s="339"/>
      <c r="J106" s="341"/>
      <c r="K106" s="339"/>
      <c r="L106" s="341"/>
      <c r="M106" s="342"/>
      <c r="N106" s="341"/>
      <c r="O106" s="342"/>
      <c r="P106" s="341"/>
      <c r="Q106" s="342"/>
      <c r="T106" s="322"/>
      <c r="U106" s="322"/>
    </row>
    <row r="107" spans="2:21" s="321" customFormat="1" hidden="1" outlineLevel="1" x14ac:dyDescent="0.3">
      <c r="B107" s="299">
        <v>1921</v>
      </c>
      <c r="C107" s="337" t="s">
        <v>1546</v>
      </c>
      <c r="D107" s="338">
        <v>202</v>
      </c>
      <c r="E107" s="343">
        <f t="shared" si="11"/>
        <v>-0.19521912350597609</v>
      </c>
      <c r="F107" s="338">
        <v>166</v>
      </c>
      <c r="G107" s="343">
        <f t="shared" si="11"/>
        <v>-0.19806763285024154</v>
      </c>
      <c r="H107" s="340"/>
      <c r="I107" s="339"/>
      <c r="J107" s="341"/>
      <c r="K107" s="339"/>
      <c r="L107" s="341"/>
      <c r="M107" s="342"/>
      <c r="N107" s="341"/>
      <c r="O107" s="342"/>
      <c r="P107" s="341"/>
      <c r="Q107" s="342"/>
      <c r="T107" s="322"/>
      <c r="U107" s="322"/>
    </row>
    <row r="108" spans="2:21" s="321" customFormat="1" hidden="1" outlineLevel="1" x14ac:dyDescent="0.3">
      <c r="B108" s="299">
        <v>1922</v>
      </c>
      <c r="C108" s="337" t="s">
        <v>1546</v>
      </c>
      <c r="D108" s="338">
        <v>174</v>
      </c>
      <c r="E108" s="343">
        <f t="shared" si="11"/>
        <v>-0.13861386138613863</v>
      </c>
      <c r="F108" s="338">
        <v>155</v>
      </c>
      <c r="G108" s="343">
        <f t="shared" si="11"/>
        <v>-6.6265060240963861E-2</v>
      </c>
      <c r="H108" s="340"/>
      <c r="I108" s="339"/>
      <c r="J108" s="341"/>
      <c r="K108" s="339"/>
      <c r="L108" s="341"/>
      <c r="M108" s="342"/>
      <c r="N108" s="341"/>
      <c r="O108" s="342"/>
      <c r="P108" s="341"/>
      <c r="Q108" s="342"/>
      <c r="T108" s="322"/>
      <c r="U108" s="322"/>
    </row>
    <row r="109" spans="2:21" s="321" customFormat="1" hidden="1" outlineLevel="1" x14ac:dyDescent="0.3">
      <c r="B109" s="299">
        <v>1923</v>
      </c>
      <c r="C109" s="337" t="s">
        <v>1546</v>
      </c>
      <c r="D109" s="338">
        <v>214</v>
      </c>
      <c r="E109" s="343">
        <f t="shared" si="11"/>
        <v>0.22988505747126436</v>
      </c>
      <c r="F109" s="338">
        <v>186</v>
      </c>
      <c r="G109" s="343">
        <f t="shared" si="11"/>
        <v>0.2</v>
      </c>
      <c r="H109" s="340"/>
      <c r="I109" s="339"/>
      <c r="J109" s="341"/>
      <c r="K109" s="339"/>
      <c r="L109" s="341"/>
      <c r="M109" s="342"/>
      <c r="N109" s="341"/>
      <c r="O109" s="342"/>
      <c r="P109" s="341"/>
      <c r="Q109" s="342"/>
      <c r="T109" s="322"/>
      <c r="U109" s="322"/>
    </row>
    <row r="110" spans="2:21" s="321" customFormat="1" hidden="1" outlineLevel="1" x14ac:dyDescent="0.3">
      <c r="B110" s="299">
        <v>1924</v>
      </c>
      <c r="C110" s="337" t="s">
        <v>1546</v>
      </c>
      <c r="D110" s="338">
        <v>215</v>
      </c>
      <c r="E110" s="343">
        <f t="shared" si="11"/>
        <v>4.6728971962616819E-3</v>
      </c>
      <c r="F110" s="338">
        <v>186</v>
      </c>
      <c r="G110" s="343">
        <f t="shared" si="11"/>
        <v>0</v>
      </c>
      <c r="H110" s="340"/>
      <c r="I110" s="339"/>
      <c r="J110" s="341"/>
      <c r="K110" s="339"/>
      <c r="L110" s="341"/>
      <c r="M110" s="342"/>
      <c r="N110" s="341"/>
      <c r="O110" s="342"/>
      <c r="P110" s="341"/>
      <c r="Q110" s="342"/>
      <c r="T110" s="322"/>
      <c r="U110" s="322"/>
    </row>
    <row r="111" spans="2:21" s="321" customFormat="1" hidden="1" outlineLevel="1" x14ac:dyDescent="0.3">
      <c r="B111" s="299">
        <v>1925</v>
      </c>
      <c r="C111" s="337" t="s">
        <v>1546</v>
      </c>
      <c r="D111" s="338">
        <v>207</v>
      </c>
      <c r="E111" s="343">
        <f t="shared" si="11"/>
        <v>-3.7209302325581395E-2</v>
      </c>
      <c r="F111" s="338">
        <v>183</v>
      </c>
      <c r="G111" s="343">
        <f t="shared" si="11"/>
        <v>-1.6129032258064516E-2</v>
      </c>
      <c r="H111" s="340"/>
      <c r="I111" s="339"/>
      <c r="J111" s="341"/>
      <c r="K111" s="339"/>
      <c r="L111" s="341"/>
      <c r="M111" s="342"/>
      <c r="N111" s="341"/>
      <c r="O111" s="342"/>
      <c r="P111" s="341"/>
      <c r="Q111" s="342"/>
      <c r="T111" s="322"/>
      <c r="U111" s="322"/>
    </row>
    <row r="112" spans="2:21" s="321" customFormat="1" hidden="1" outlineLevel="1" x14ac:dyDescent="0.3">
      <c r="B112" s="299">
        <v>1926</v>
      </c>
      <c r="C112" s="337" t="s">
        <v>1546</v>
      </c>
      <c r="D112" s="338">
        <v>208</v>
      </c>
      <c r="E112" s="343">
        <f t="shared" si="11"/>
        <v>4.830917874396135E-3</v>
      </c>
      <c r="F112" s="338">
        <v>185</v>
      </c>
      <c r="G112" s="343">
        <f t="shared" si="11"/>
        <v>1.092896174863388E-2</v>
      </c>
      <c r="H112" s="340"/>
      <c r="I112" s="339"/>
      <c r="J112" s="341"/>
      <c r="K112" s="339"/>
      <c r="L112" s="341"/>
      <c r="M112" s="342"/>
      <c r="N112" s="341"/>
      <c r="O112" s="342"/>
      <c r="P112" s="341"/>
      <c r="Q112" s="342"/>
      <c r="T112" s="322"/>
      <c r="U112" s="322"/>
    </row>
    <row r="113" spans="2:21" s="321" customFormat="1" hidden="1" outlineLevel="1" x14ac:dyDescent="0.3">
      <c r="B113" s="299">
        <v>1927</v>
      </c>
      <c r="C113" s="337" t="s">
        <v>1546</v>
      </c>
      <c r="D113" s="338">
        <v>206</v>
      </c>
      <c r="E113" s="343">
        <f t="shared" si="11"/>
        <v>-9.6153846153846159E-3</v>
      </c>
      <c r="F113" s="338">
        <v>186</v>
      </c>
      <c r="G113" s="343">
        <f t="shared" si="11"/>
        <v>5.4054054054054057E-3</v>
      </c>
      <c r="H113" s="340"/>
      <c r="I113" s="339"/>
      <c r="J113" s="341"/>
      <c r="K113" s="339"/>
      <c r="L113" s="341"/>
      <c r="M113" s="342"/>
      <c r="N113" s="341"/>
      <c r="O113" s="342"/>
      <c r="P113" s="341"/>
      <c r="Q113" s="342"/>
      <c r="T113" s="322"/>
      <c r="U113" s="322"/>
    </row>
    <row r="114" spans="2:21" s="321" customFormat="1" hidden="1" outlineLevel="1" x14ac:dyDescent="0.3">
      <c r="B114" s="299">
        <v>1928</v>
      </c>
      <c r="C114" s="337" t="s">
        <v>1546</v>
      </c>
      <c r="D114" s="338">
        <v>207</v>
      </c>
      <c r="E114" s="343">
        <f t="shared" si="11"/>
        <v>4.8543689320388345E-3</v>
      </c>
      <c r="F114" s="338">
        <v>188</v>
      </c>
      <c r="G114" s="343">
        <f t="shared" si="11"/>
        <v>1.0752688172043012E-2</v>
      </c>
      <c r="H114" s="340"/>
      <c r="I114" s="339"/>
      <c r="J114" s="341"/>
      <c r="K114" s="339"/>
      <c r="L114" s="341"/>
      <c r="M114" s="342"/>
      <c r="N114" s="341"/>
      <c r="O114" s="342"/>
      <c r="P114" s="341"/>
      <c r="Q114" s="342"/>
      <c r="T114" s="322"/>
      <c r="U114" s="322"/>
    </row>
    <row r="115" spans="2:21" s="321" customFormat="1" hidden="1" outlineLevel="1" x14ac:dyDescent="0.3">
      <c r="B115" s="299">
        <v>1929</v>
      </c>
      <c r="C115" s="337" t="s">
        <v>1546</v>
      </c>
      <c r="D115" s="338">
        <v>207</v>
      </c>
      <c r="E115" s="343">
        <f t="shared" si="11"/>
        <v>0</v>
      </c>
      <c r="F115" s="338">
        <v>191</v>
      </c>
      <c r="G115" s="343">
        <f t="shared" si="11"/>
        <v>1.5957446808510637E-2</v>
      </c>
      <c r="H115" s="340"/>
      <c r="I115" s="339"/>
      <c r="J115" s="341"/>
      <c r="K115" s="339"/>
      <c r="L115" s="341"/>
      <c r="M115" s="342"/>
      <c r="N115" s="341"/>
      <c r="O115" s="342"/>
      <c r="P115" s="341"/>
      <c r="Q115" s="342"/>
      <c r="T115" s="322"/>
      <c r="U115" s="322"/>
    </row>
    <row r="116" spans="2:21" s="321" customFormat="1" hidden="1" outlineLevel="1" x14ac:dyDescent="0.3">
      <c r="B116" s="299">
        <v>1930</v>
      </c>
      <c r="C116" s="337" t="s">
        <v>1546</v>
      </c>
      <c r="D116" s="338">
        <v>203</v>
      </c>
      <c r="E116" s="343">
        <f t="shared" si="11"/>
        <v>-1.932367149758454E-2</v>
      </c>
      <c r="F116" s="338">
        <v>185</v>
      </c>
      <c r="G116" s="343">
        <f t="shared" si="11"/>
        <v>-3.1413612565445025E-2</v>
      </c>
      <c r="H116" s="340"/>
      <c r="I116" s="339"/>
      <c r="J116" s="341"/>
      <c r="K116" s="339"/>
      <c r="L116" s="341"/>
      <c r="M116" s="342"/>
      <c r="N116" s="341"/>
      <c r="O116" s="342"/>
      <c r="P116" s="341"/>
      <c r="Q116" s="342"/>
      <c r="T116" s="322"/>
      <c r="U116" s="322"/>
    </row>
    <row r="117" spans="2:21" s="321" customFormat="1" hidden="1" outlineLevel="1" x14ac:dyDescent="0.3">
      <c r="B117" s="299">
        <v>1931</v>
      </c>
      <c r="C117" s="337" t="s">
        <v>1546</v>
      </c>
      <c r="D117" s="338">
        <v>181</v>
      </c>
      <c r="E117" s="343">
        <f t="shared" si="11"/>
        <v>-0.10837438423645321</v>
      </c>
      <c r="F117" s="338">
        <v>168</v>
      </c>
      <c r="G117" s="343">
        <f t="shared" si="11"/>
        <v>-9.1891891891891897E-2</v>
      </c>
      <c r="H117" s="340"/>
      <c r="I117" s="339"/>
      <c r="J117" s="341"/>
      <c r="K117" s="339"/>
      <c r="L117" s="341"/>
      <c r="M117" s="342"/>
      <c r="N117" s="341"/>
      <c r="O117" s="342"/>
      <c r="P117" s="341"/>
      <c r="Q117" s="342"/>
      <c r="T117" s="322"/>
      <c r="U117" s="322"/>
    </row>
    <row r="118" spans="2:21" s="321" customFormat="1" hidden="1" outlineLevel="1" x14ac:dyDescent="0.3">
      <c r="B118" s="299">
        <v>1932</v>
      </c>
      <c r="C118" s="337" t="s">
        <v>1546</v>
      </c>
      <c r="D118" s="338">
        <v>157</v>
      </c>
      <c r="E118" s="343">
        <f t="shared" si="11"/>
        <v>-0.13259668508287292</v>
      </c>
      <c r="F118" s="338">
        <v>131</v>
      </c>
      <c r="G118" s="343">
        <f t="shared" si="11"/>
        <v>-0.22023809523809523</v>
      </c>
      <c r="H118" s="340"/>
      <c r="I118" s="339"/>
      <c r="J118" s="341"/>
      <c r="K118" s="339"/>
      <c r="L118" s="341"/>
      <c r="M118" s="342"/>
      <c r="N118" s="341"/>
      <c r="O118" s="342"/>
      <c r="P118" s="341"/>
      <c r="Q118" s="342"/>
      <c r="T118" s="322"/>
      <c r="U118" s="322"/>
    </row>
    <row r="119" spans="2:21" s="321" customFormat="1" hidden="1" outlineLevel="1" x14ac:dyDescent="0.3">
      <c r="B119" s="299">
        <v>1933</v>
      </c>
      <c r="C119" s="337" t="s">
        <v>1546</v>
      </c>
      <c r="D119" s="338">
        <v>170</v>
      </c>
      <c r="E119" s="343">
        <f t="shared" si="11"/>
        <v>8.2802547770700632E-2</v>
      </c>
      <c r="F119" s="338">
        <v>148</v>
      </c>
      <c r="G119" s="343">
        <f t="shared" si="11"/>
        <v>0.12977099236641221</v>
      </c>
      <c r="H119" s="340"/>
      <c r="I119" s="339"/>
      <c r="J119" s="341"/>
      <c r="K119" s="339"/>
      <c r="L119" s="341"/>
      <c r="M119" s="342"/>
      <c r="N119" s="341"/>
      <c r="O119" s="342"/>
      <c r="P119" s="341"/>
      <c r="Q119" s="342"/>
      <c r="T119" s="322"/>
      <c r="U119" s="322"/>
    </row>
    <row r="120" spans="2:21" s="321" customFormat="1" hidden="1" outlineLevel="1" x14ac:dyDescent="0.3">
      <c r="B120" s="299">
        <v>1934</v>
      </c>
      <c r="C120" s="337" t="s">
        <v>1546</v>
      </c>
      <c r="D120" s="338">
        <v>198</v>
      </c>
      <c r="E120" s="343">
        <f t="shared" si="11"/>
        <v>0.16470588235294117</v>
      </c>
      <c r="F120" s="338">
        <v>167</v>
      </c>
      <c r="G120" s="343">
        <f t="shared" si="11"/>
        <v>0.12837837837837837</v>
      </c>
      <c r="H120" s="340"/>
      <c r="I120" s="339"/>
      <c r="J120" s="341"/>
      <c r="K120" s="339"/>
      <c r="L120" s="341"/>
      <c r="M120" s="342"/>
      <c r="N120" s="341"/>
      <c r="O120" s="342"/>
      <c r="P120" s="341"/>
      <c r="Q120" s="342"/>
      <c r="T120" s="322"/>
      <c r="U120" s="322"/>
    </row>
    <row r="121" spans="2:21" s="321" customFormat="1" hidden="1" outlineLevel="1" x14ac:dyDescent="0.3">
      <c r="B121" s="299">
        <v>1935</v>
      </c>
      <c r="C121" s="337" t="s">
        <v>1546</v>
      </c>
      <c r="D121" s="338">
        <v>196</v>
      </c>
      <c r="E121" s="343">
        <f t="shared" si="11"/>
        <v>-1.0101010101010102E-2</v>
      </c>
      <c r="F121" s="338">
        <v>166</v>
      </c>
      <c r="G121" s="343">
        <f t="shared" si="11"/>
        <v>-5.9880239520958087E-3</v>
      </c>
      <c r="H121" s="340"/>
      <c r="I121" s="339"/>
      <c r="J121" s="341"/>
      <c r="K121" s="339"/>
      <c r="L121" s="341"/>
      <c r="M121" s="342"/>
      <c r="N121" s="341"/>
      <c r="O121" s="342"/>
      <c r="P121" s="341"/>
      <c r="Q121" s="342"/>
      <c r="T121" s="322"/>
      <c r="U121" s="322"/>
    </row>
    <row r="122" spans="2:21" s="321" customFormat="1" hidden="1" outlineLevel="1" x14ac:dyDescent="0.3">
      <c r="B122" s="299">
        <v>1936</v>
      </c>
      <c r="C122" s="337" t="s">
        <v>1546</v>
      </c>
      <c r="D122" s="338">
        <v>206</v>
      </c>
      <c r="E122" s="343">
        <f t="shared" si="11"/>
        <v>5.1020408163265307E-2</v>
      </c>
      <c r="F122" s="338">
        <v>172</v>
      </c>
      <c r="G122" s="343">
        <f t="shared" si="11"/>
        <v>3.614457831325301E-2</v>
      </c>
      <c r="H122" s="340"/>
      <c r="I122" s="339"/>
      <c r="J122" s="341"/>
      <c r="K122" s="339"/>
      <c r="L122" s="341"/>
      <c r="M122" s="342"/>
      <c r="N122" s="341"/>
      <c r="O122" s="342"/>
      <c r="P122" s="341"/>
      <c r="Q122" s="342"/>
      <c r="T122" s="322"/>
      <c r="U122" s="322"/>
    </row>
    <row r="123" spans="2:21" s="321" customFormat="1" hidden="1" outlineLevel="1" x14ac:dyDescent="0.3">
      <c r="B123" s="299">
        <v>1937</v>
      </c>
      <c r="C123" s="337" t="s">
        <v>1546</v>
      </c>
      <c r="D123" s="338">
        <v>235</v>
      </c>
      <c r="E123" s="343">
        <f t="shared" si="11"/>
        <v>0.14077669902912621</v>
      </c>
      <c r="F123" s="338">
        <v>196</v>
      </c>
      <c r="G123" s="343">
        <f t="shared" si="11"/>
        <v>0.13953488372093023</v>
      </c>
      <c r="H123" s="340"/>
      <c r="I123" s="339"/>
      <c r="J123" s="341"/>
      <c r="K123" s="339"/>
      <c r="L123" s="341"/>
      <c r="M123" s="342"/>
      <c r="N123" s="341"/>
      <c r="O123" s="342"/>
      <c r="P123" s="341"/>
      <c r="Q123" s="342"/>
      <c r="T123" s="322"/>
      <c r="U123" s="322"/>
    </row>
    <row r="124" spans="2:21" s="321" customFormat="1" hidden="1" outlineLevel="1" x14ac:dyDescent="0.3">
      <c r="B124" s="299">
        <v>1938</v>
      </c>
      <c r="C124" s="337" t="s">
        <v>1546</v>
      </c>
      <c r="D124" s="338">
        <v>236</v>
      </c>
      <c r="E124" s="343">
        <f t="shared" si="11"/>
        <v>4.2553191489361703E-3</v>
      </c>
      <c r="F124" s="338">
        <v>197</v>
      </c>
      <c r="G124" s="343">
        <f t="shared" si="11"/>
        <v>5.1020408163265302E-3</v>
      </c>
      <c r="H124" s="340"/>
      <c r="I124" s="339"/>
      <c r="J124" s="341"/>
      <c r="K124" s="339"/>
      <c r="L124" s="341"/>
      <c r="M124" s="342"/>
      <c r="N124" s="341"/>
      <c r="O124" s="342"/>
      <c r="P124" s="341"/>
      <c r="Q124" s="342"/>
      <c r="T124" s="322"/>
      <c r="U124" s="322"/>
    </row>
    <row r="125" spans="2:21" s="321" customFormat="1" hidden="1" outlineLevel="1" x14ac:dyDescent="0.3">
      <c r="B125" s="299">
        <v>1939</v>
      </c>
      <c r="C125" s="337" t="s">
        <v>1546</v>
      </c>
      <c r="D125" s="338">
        <v>236</v>
      </c>
      <c r="E125" s="343">
        <f t="shared" si="11"/>
        <v>0</v>
      </c>
      <c r="F125" s="338">
        <v>197</v>
      </c>
      <c r="G125" s="343">
        <f t="shared" si="11"/>
        <v>0</v>
      </c>
      <c r="H125" s="340"/>
      <c r="I125" s="339"/>
      <c r="J125" s="341"/>
      <c r="K125" s="339"/>
      <c r="L125" s="341"/>
      <c r="M125" s="342"/>
      <c r="N125" s="341"/>
      <c r="O125" s="342"/>
      <c r="P125" s="341"/>
      <c r="Q125" s="342"/>
      <c r="T125" s="322"/>
      <c r="U125" s="322"/>
    </row>
    <row r="126" spans="2:21" s="321" customFormat="1" hidden="1" outlineLevel="1" x14ac:dyDescent="0.3">
      <c r="B126" s="299">
        <v>1940</v>
      </c>
      <c r="C126" s="337" t="s">
        <v>1546</v>
      </c>
      <c r="D126" s="338">
        <v>242</v>
      </c>
      <c r="E126" s="343">
        <f t="shared" si="11"/>
        <v>2.5423728813559324E-2</v>
      </c>
      <c r="F126" s="338">
        <v>203</v>
      </c>
      <c r="G126" s="343">
        <f t="shared" si="11"/>
        <v>3.0456852791878174E-2</v>
      </c>
      <c r="H126" s="340"/>
      <c r="I126" s="339"/>
      <c r="J126" s="341"/>
      <c r="K126" s="339"/>
      <c r="L126" s="341"/>
      <c r="M126" s="342"/>
      <c r="N126" s="341"/>
      <c r="O126" s="342"/>
      <c r="P126" s="341"/>
      <c r="Q126" s="342"/>
      <c r="T126" s="322"/>
      <c r="U126" s="322"/>
    </row>
    <row r="127" spans="2:21" s="321" customFormat="1" hidden="1" outlineLevel="1" x14ac:dyDescent="0.3">
      <c r="B127" s="299">
        <v>1941</v>
      </c>
      <c r="C127" s="337" t="s">
        <v>1546</v>
      </c>
      <c r="D127" s="338">
        <v>258</v>
      </c>
      <c r="E127" s="343">
        <f t="shared" si="11"/>
        <v>6.6115702479338845E-2</v>
      </c>
      <c r="F127" s="338">
        <v>211</v>
      </c>
      <c r="G127" s="343">
        <f t="shared" si="11"/>
        <v>3.9408866995073892E-2</v>
      </c>
      <c r="H127" s="340"/>
      <c r="I127" s="339"/>
      <c r="J127" s="341"/>
      <c r="K127" s="339"/>
      <c r="L127" s="341"/>
      <c r="M127" s="342"/>
      <c r="N127" s="341"/>
      <c r="O127" s="342"/>
      <c r="P127" s="341"/>
      <c r="Q127" s="342"/>
      <c r="T127" s="322"/>
      <c r="U127" s="322"/>
    </row>
    <row r="128" spans="2:21" s="321" customFormat="1" hidden="1" outlineLevel="1" x14ac:dyDescent="0.3">
      <c r="B128" s="299">
        <v>1942</v>
      </c>
      <c r="C128" s="337" t="s">
        <v>1546</v>
      </c>
      <c r="D128" s="338">
        <v>276</v>
      </c>
      <c r="E128" s="343">
        <f t="shared" si="11"/>
        <v>6.9767441860465115E-2</v>
      </c>
      <c r="F128" s="338">
        <v>222</v>
      </c>
      <c r="G128" s="343">
        <f t="shared" si="11"/>
        <v>5.2132701421800945E-2</v>
      </c>
      <c r="H128" s="340"/>
      <c r="I128" s="339"/>
      <c r="J128" s="341"/>
      <c r="K128" s="339"/>
      <c r="L128" s="341"/>
      <c r="M128" s="342"/>
      <c r="N128" s="341"/>
      <c r="O128" s="342"/>
      <c r="P128" s="341"/>
      <c r="Q128" s="342"/>
      <c r="T128" s="322"/>
      <c r="U128" s="322"/>
    </row>
    <row r="129" spans="2:21" s="321" customFormat="1" hidden="1" outlineLevel="1" x14ac:dyDescent="0.3">
      <c r="B129" s="299">
        <v>1943</v>
      </c>
      <c r="C129" s="337" t="s">
        <v>1546</v>
      </c>
      <c r="D129" s="338">
        <v>290</v>
      </c>
      <c r="E129" s="343">
        <f t="shared" si="11"/>
        <v>5.0724637681159424E-2</v>
      </c>
      <c r="F129" s="338">
        <v>229</v>
      </c>
      <c r="G129" s="343">
        <f t="shared" si="11"/>
        <v>3.1531531531531529E-2</v>
      </c>
      <c r="H129" s="340"/>
      <c r="I129" s="339"/>
      <c r="J129" s="341"/>
      <c r="K129" s="339"/>
      <c r="L129" s="341"/>
      <c r="M129" s="342"/>
      <c r="N129" s="341"/>
      <c r="O129" s="342"/>
      <c r="P129" s="341"/>
      <c r="Q129" s="342"/>
      <c r="T129" s="322"/>
      <c r="U129" s="322"/>
    </row>
    <row r="130" spans="2:21" s="321" customFormat="1" hidden="1" outlineLevel="1" x14ac:dyDescent="0.3">
      <c r="B130" s="299">
        <v>1944</v>
      </c>
      <c r="C130" s="337" t="s">
        <v>1546</v>
      </c>
      <c r="D130" s="338">
        <v>299</v>
      </c>
      <c r="E130" s="343">
        <f t="shared" si="11"/>
        <v>3.1034482758620689E-2</v>
      </c>
      <c r="F130" s="338">
        <v>235</v>
      </c>
      <c r="G130" s="343">
        <f t="shared" si="11"/>
        <v>2.6200873362445413E-2</v>
      </c>
      <c r="H130" s="340"/>
      <c r="I130" s="339"/>
      <c r="J130" s="341"/>
      <c r="K130" s="339"/>
      <c r="L130" s="341"/>
      <c r="M130" s="342"/>
      <c r="N130" s="341"/>
      <c r="O130" s="342"/>
      <c r="P130" s="341"/>
      <c r="Q130" s="342"/>
      <c r="T130" s="322"/>
      <c r="U130" s="322"/>
    </row>
    <row r="131" spans="2:21" s="321" customFormat="1" hidden="1" outlineLevel="1" x14ac:dyDescent="0.3">
      <c r="B131" s="299">
        <v>1945</v>
      </c>
      <c r="C131" s="337" t="s">
        <v>1546</v>
      </c>
      <c r="D131" s="338">
        <v>308</v>
      </c>
      <c r="E131" s="343">
        <f t="shared" si="11"/>
        <v>3.0100334448160536E-2</v>
      </c>
      <c r="F131" s="338">
        <v>239</v>
      </c>
      <c r="G131" s="343">
        <f t="shared" si="11"/>
        <v>1.7021276595744681E-2</v>
      </c>
      <c r="H131" s="340"/>
      <c r="I131" s="339"/>
      <c r="J131" s="341"/>
      <c r="K131" s="339"/>
      <c r="L131" s="341"/>
      <c r="M131" s="342"/>
      <c r="N131" s="341"/>
      <c r="O131" s="342"/>
      <c r="P131" s="341"/>
      <c r="Q131" s="342"/>
      <c r="T131" s="322"/>
      <c r="U131" s="322"/>
    </row>
    <row r="132" spans="2:21" s="321" customFormat="1" hidden="1" outlineLevel="1" x14ac:dyDescent="0.3">
      <c r="B132" s="299">
        <v>1946</v>
      </c>
      <c r="C132" s="337" t="s">
        <v>1546</v>
      </c>
      <c r="D132" s="338">
        <v>346</v>
      </c>
      <c r="E132" s="343">
        <f t="shared" si="11"/>
        <v>0.12337662337662338</v>
      </c>
      <c r="F132" s="338">
        <v>262</v>
      </c>
      <c r="G132" s="343">
        <f t="shared" si="11"/>
        <v>9.6234309623430964E-2</v>
      </c>
      <c r="H132" s="340"/>
      <c r="I132" s="339"/>
      <c r="J132" s="341"/>
      <c r="K132" s="339"/>
      <c r="L132" s="341"/>
      <c r="M132" s="342"/>
      <c r="N132" s="341"/>
      <c r="O132" s="342"/>
      <c r="P132" s="341"/>
      <c r="Q132" s="342"/>
      <c r="T132" s="322"/>
      <c r="U132" s="322"/>
    </row>
    <row r="133" spans="2:21" s="321" customFormat="1" hidden="1" outlineLevel="1" x14ac:dyDescent="0.3">
      <c r="B133" s="299">
        <v>1947</v>
      </c>
      <c r="C133" s="337" t="s">
        <v>1546</v>
      </c>
      <c r="D133" s="338">
        <v>413</v>
      </c>
      <c r="E133" s="343">
        <f t="shared" si="11"/>
        <v>0.19364161849710981</v>
      </c>
      <c r="F133" s="338">
        <v>313</v>
      </c>
      <c r="G133" s="343">
        <f t="shared" si="11"/>
        <v>0.19465648854961831</v>
      </c>
      <c r="H133" s="340"/>
      <c r="I133" s="339"/>
      <c r="J133" s="341"/>
      <c r="K133" s="339"/>
      <c r="L133" s="341"/>
      <c r="M133" s="342"/>
      <c r="N133" s="341"/>
      <c r="O133" s="342"/>
      <c r="P133" s="341"/>
      <c r="Q133" s="342"/>
      <c r="T133" s="322"/>
      <c r="U133" s="322"/>
    </row>
    <row r="134" spans="2:21" s="321" customFormat="1" hidden="1" outlineLevel="1" x14ac:dyDescent="0.3">
      <c r="B134" s="299">
        <v>1948</v>
      </c>
      <c r="C134" s="337" t="s">
        <v>1546</v>
      </c>
      <c r="D134" s="338">
        <v>461</v>
      </c>
      <c r="E134" s="343">
        <f t="shared" si="11"/>
        <v>0.11622276029055691</v>
      </c>
      <c r="F134" s="338">
        <v>341</v>
      </c>
      <c r="G134" s="343">
        <f t="shared" si="11"/>
        <v>8.9456869009584661E-2</v>
      </c>
      <c r="H134" s="340"/>
      <c r="I134" s="339"/>
      <c r="J134" s="341"/>
      <c r="K134" s="339"/>
      <c r="L134" s="341"/>
      <c r="M134" s="342"/>
      <c r="N134" s="341"/>
      <c r="O134" s="342"/>
      <c r="P134" s="341"/>
      <c r="Q134" s="342"/>
      <c r="T134" s="322"/>
      <c r="U134" s="322"/>
    </row>
    <row r="135" spans="2:21" s="321" customFormat="1" hidden="1" outlineLevel="1" x14ac:dyDescent="0.3">
      <c r="B135" s="299">
        <v>1949</v>
      </c>
      <c r="C135" s="337" t="s">
        <v>1546</v>
      </c>
      <c r="D135" s="338">
        <v>477</v>
      </c>
      <c r="E135" s="343">
        <f t="shared" si="11"/>
        <v>3.4707158351409979E-2</v>
      </c>
      <c r="F135" s="338">
        <v>352</v>
      </c>
      <c r="G135" s="343">
        <f t="shared" si="11"/>
        <v>3.2258064516129031E-2</v>
      </c>
      <c r="H135" s="340"/>
      <c r="I135" s="339"/>
      <c r="J135" s="341"/>
      <c r="K135" s="339"/>
      <c r="L135" s="341"/>
      <c r="M135" s="342"/>
      <c r="N135" s="341"/>
      <c r="O135" s="342"/>
      <c r="P135" s="341"/>
      <c r="Q135" s="342"/>
      <c r="T135" s="322"/>
      <c r="U135" s="322"/>
    </row>
    <row r="136" spans="2:21" s="321" customFormat="1" hidden="1" outlineLevel="1" x14ac:dyDescent="0.3">
      <c r="B136" s="299">
        <v>1950</v>
      </c>
      <c r="C136" s="337" t="s">
        <v>1546</v>
      </c>
      <c r="D136" s="338">
        <v>510</v>
      </c>
      <c r="E136" s="343">
        <f t="shared" si="11"/>
        <v>6.9182389937106917E-2</v>
      </c>
      <c r="F136" s="338">
        <v>375</v>
      </c>
      <c r="G136" s="343">
        <f t="shared" si="11"/>
        <v>6.5340909090909088E-2</v>
      </c>
      <c r="H136" s="340"/>
      <c r="I136" s="339"/>
      <c r="J136" s="341"/>
      <c r="K136" s="339"/>
      <c r="L136" s="341"/>
      <c r="M136" s="342"/>
      <c r="N136" s="341"/>
      <c r="O136" s="342"/>
      <c r="P136" s="341"/>
      <c r="Q136" s="342"/>
      <c r="T136" s="322"/>
      <c r="U136" s="322"/>
    </row>
    <row r="137" spans="2:21" s="321" customFormat="1" hidden="1" outlineLevel="1" x14ac:dyDescent="0.3">
      <c r="B137" s="299">
        <v>1951</v>
      </c>
      <c r="C137" s="337" t="s">
        <v>1546</v>
      </c>
      <c r="D137" s="338">
        <v>543</v>
      </c>
      <c r="E137" s="343">
        <f t="shared" si="11"/>
        <v>6.4705882352941183E-2</v>
      </c>
      <c r="F137" s="338">
        <v>401</v>
      </c>
      <c r="G137" s="343">
        <f t="shared" si="11"/>
        <v>6.933333333333333E-2</v>
      </c>
      <c r="H137" s="340"/>
      <c r="I137" s="339"/>
      <c r="J137" s="341"/>
      <c r="K137" s="339"/>
      <c r="L137" s="341"/>
      <c r="M137" s="342"/>
      <c r="N137" s="341"/>
      <c r="O137" s="342"/>
      <c r="P137" s="341"/>
      <c r="Q137" s="342"/>
      <c r="T137" s="322"/>
      <c r="U137" s="322"/>
    </row>
    <row r="138" spans="2:21" s="321" customFormat="1" hidden="1" outlineLevel="1" x14ac:dyDescent="0.3">
      <c r="B138" s="299">
        <v>1952</v>
      </c>
      <c r="C138" s="337" t="s">
        <v>1546</v>
      </c>
      <c r="D138" s="338">
        <v>569</v>
      </c>
      <c r="E138" s="343">
        <f t="shared" si="11"/>
        <v>4.7882136279926338E-2</v>
      </c>
      <c r="F138" s="338">
        <v>416</v>
      </c>
      <c r="G138" s="343">
        <f t="shared" si="11"/>
        <v>3.7406483790523692E-2</v>
      </c>
      <c r="H138" s="340"/>
      <c r="I138" s="339"/>
      <c r="J138" s="341"/>
      <c r="K138" s="339"/>
      <c r="L138" s="341"/>
      <c r="M138" s="342"/>
      <c r="N138" s="341"/>
      <c r="O138" s="342"/>
      <c r="P138" s="341"/>
      <c r="Q138" s="342"/>
      <c r="T138" s="322"/>
      <c r="U138" s="322"/>
    </row>
    <row r="139" spans="2:21" s="321" customFormat="1" hidden="1" outlineLevel="1" x14ac:dyDescent="0.3">
      <c r="B139" s="299">
        <v>1953</v>
      </c>
      <c r="C139" s="337" t="s">
        <v>1546</v>
      </c>
      <c r="D139" s="338">
        <v>600</v>
      </c>
      <c r="E139" s="343">
        <f t="shared" si="11"/>
        <v>5.4481546572934976E-2</v>
      </c>
      <c r="F139" s="338">
        <v>431</v>
      </c>
      <c r="G139" s="343">
        <f t="shared" si="11"/>
        <v>3.6057692307692304E-2</v>
      </c>
      <c r="H139" s="340"/>
      <c r="I139" s="339"/>
      <c r="J139" s="341"/>
      <c r="K139" s="339"/>
      <c r="L139" s="341"/>
      <c r="M139" s="342"/>
      <c r="N139" s="341"/>
      <c r="O139" s="342"/>
      <c r="P139" s="341"/>
      <c r="Q139" s="342"/>
      <c r="T139" s="322"/>
      <c r="U139" s="322"/>
    </row>
    <row r="140" spans="2:21" s="321" customFormat="1" hidden="1" outlineLevel="1" x14ac:dyDescent="0.3">
      <c r="B140" s="299">
        <v>1954</v>
      </c>
      <c r="C140" s="337" t="s">
        <v>1546</v>
      </c>
      <c r="D140" s="338">
        <v>628</v>
      </c>
      <c r="E140" s="343">
        <f t="shared" si="11"/>
        <v>4.6666666666666669E-2</v>
      </c>
      <c r="F140" s="338">
        <v>446</v>
      </c>
      <c r="G140" s="343">
        <f t="shared" si="11"/>
        <v>3.4802784222737818E-2</v>
      </c>
      <c r="H140" s="340"/>
      <c r="I140" s="339"/>
      <c r="J140" s="341"/>
      <c r="K140" s="339"/>
      <c r="L140" s="341"/>
      <c r="M140" s="342"/>
      <c r="N140" s="341"/>
      <c r="O140" s="342"/>
      <c r="P140" s="341"/>
      <c r="Q140" s="342"/>
      <c r="T140" s="322"/>
      <c r="U140" s="322"/>
    </row>
    <row r="141" spans="2:21" s="321" customFormat="1" hidden="1" outlineLevel="1" x14ac:dyDescent="0.3">
      <c r="B141" s="299">
        <v>1955</v>
      </c>
      <c r="C141" s="337" t="s">
        <v>1546</v>
      </c>
      <c r="D141" s="338">
        <v>660</v>
      </c>
      <c r="E141" s="343">
        <f t="shared" si="11"/>
        <v>5.0955414012738856E-2</v>
      </c>
      <c r="F141" s="338">
        <v>469</v>
      </c>
      <c r="G141" s="343">
        <f t="shared" si="11"/>
        <v>5.1569506726457402E-2</v>
      </c>
      <c r="H141" s="340"/>
      <c r="I141" s="339"/>
      <c r="J141" s="341"/>
      <c r="K141" s="339"/>
      <c r="L141" s="341"/>
      <c r="M141" s="342"/>
      <c r="N141" s="341"/>
      <c r="O141" s="342"/>
      <c r="P141" s="341"/>
      <c r="Q141" s="342"/>
      <c r="T141" s="322"/>
      <c r="U141" s="322"/>
    </row>
    <row r="142" spans="2:21" s="321" customFormat="1" hidden="1" outlineLevel="1" x14ac:dyDescent="0.3">
      <c r="B142" s="299">
        <v>1956</v>
      </c>
      <c r="C142" s="337" t="s">
        <v>1546</v>
      </c>
      <c r="D142" s="338">
        <v>692</v>
      </c>
      <c r="E142" s="343">
        <f t="shared" si="11"/>
        <v>4.8484848484848485E-2</v>
      </c>
      <c r="F142" s="338">
        <v>491</v>
      </c>
      <c r="G142" s="343">
        <f t="shared" si="11"/>
        <v>4.6908315565031986E-2</v>
      </c>
      <c r="H142" s="340"/>
      <c r="I142" s="339"/>
      <c r="J142" s="341"/>
      <c r="K142" s="339"/>
      <c r="L142" s="341"/>
      <c r="M142" s="342"/>
      <c r="N142" s="341"/>
      <c r="O142" s="342"/>
      <c r="P142" s="341"/>
      <c r="Q142" s="342"/>
      <c r="T142" s="322"/>
      <c r="U142" s="322"/>
    </row>
    <row r="143" spans="2:21" s="321" customFormat="1" hidden="1" outlineLevel="1" x14ac:dyDescent="0.3">
      <c r="B143" s="299">
        <v>1957</v>
      </c>
      <c r="C143" s="337" t="s">
        <v>1546</v>
      </c>
      <c r="D143" s="338">
        <v>724</v>
      </c>
      <c r="E143" s="343">
        <f t="shared" si="11"/>
        <v>4.6242774566473986E-2</v>
      </c>
      <c r="F143" s="338">
        <v>509</v>
      </c>
      <c r="G143" s="343">
        <f t="shared" si="11"/>
        <v>3.6659877800407331E-2</v>
      </c>
      <c r="H143" s="340"/>
      <c r="I143" s="339"/>
      <c r="J143" s="341"/>
      <c r="K143" s="339"/>
      <c r="L143" s="341"/>
      <c r="M143" s="342"/>
      <c r="N143" s="341"/>
      <c r="O143" s="342"/>
      <c r="P143" s="341"/>
      <c r="Q143" s="342"/>
      <c r="T143" s="322"/>
      <c r="U143" s="322"/>
    </row>
    <row r="144" spans="2:21" s="321" customFormat="1" hidden="1" outlineLevel="1" x14ac:dyDescent="0.3">
      <c r="B144" s="299">
        <v>1958</v>
      </c>
      <c r="C144" s="337" t="s">
        <v>1546</v>
      </c>
      <c r="D144" s="338">
        <v>759</v>
      </c>
      <c r="E144" s="343">
        <f t="shared" si="11"/>
        <v>4.834254143646409E-2</v>
      </c>
      <c r="F144" s="338">
        <v>525</v>
      </c>
      <c r="G144" s="343">
        <f t="shared" si="11"/>
        <v>3.1434184675834968E-2</v>
      </c>
      <c r="H144" s="340"/>
      <c r="I144" s="339"/>
      <c r="J144" s="341"/>
      <c r="K144" s="339"/>
      <c r="L144" s="341"/>
      <c r="M144" s="342"/>
      <c r="N144" s="341"/>
      <c r="O144" s="342"/>
      <c r="P144" s="341"/>
      <c r="Q144" s="342"/>
      <c r="T144" s="322"/>
      <c r="U144" s="322"/>
    </row>
    <row r="145" spans="2:21" s="321" customFormat="1" hidden="1" outlineLevel="1" x14ac:dyDescent="0.3">
      <c r="B145" s="299">
        <v>1959</v>
      </c>
      <c r="C145" s="337" t="s">
        <v>1546</v>
      </c>
      <c r="D145" s="338">
        <v>797</v>
      </c>
      <c r="E145" s="343">
        <f t="shared" si="11"/>
        <v>5.0065876152832672E-2</v>
      </c>
      <c r="F145" s="338">
        <v>548</v>
      </c>
      <c r="G145" s="343">
        <f t="shared" si="11"/>
        <v>4.3809523809523812E-2</v>
      </c>
      <c r="H145" s="340"/>
      <c r="I145" s="339"/>
      <c r="J145" s="341"/>
      <c r="K145" s="339"/>
      <c r="L145" s="341"/>
      <c r="M145" s="342"/>
      <c r="N145" s="341"/>
      <c r="O145" s="342"/>
      <c r="P145" s="341"/>
      <c r="Q145" s="342"/>
      <c r="T145" s="322"/>
      <c r="U145" s="322"/>
    </row>
    <row r="146" spans="2:21" s="321" customFormat="1" hidden="1" outlineLevel="1" x14ac:dyDescent="0.3">
      <c r="B146" s="299">
        <v>1960</v>
      </c>
      <c r="C146" s="337" t="s">
        <v>1546</v>
      </c>
      <c r="D146" s="338">
        <v>824</v>
      </c>
      <c r="E146" s="343">
        <f t="shared" si="11"/>
        <v>3.3877038895859475E-2</v>
      </c>
      <c r="F146" s="338">
        <v>559</v>
      </c>
      <c r="G146" s="343">
        <f t="shared" si="11"/>
        <v>2.0072992700729927E-2</v>
      </c>
      <c r="H146" s="340"/>
      <c r="I146" s="339"/>
      <c r="J146" s="341"/>
      <c r="K146" s="339"/>
      <c r="L146" s="341"/>
      <c r="M146" s="342"/>
      <c r="N146" s="341"/>
      <c r="O146" s="342"/>
      <c r="P146" s="341"/>
      <c r="Q146" s="342"/>
      <c r="T146" s="322"/>
      <c r="U146" s="322"/>
    </row>
    <row r="147" spans="2:21" s="321" customFormat="1" hidden="1" outlineLevel="1" x14ac:dyDescent="0.3">
      <c r="B147" s="299">
        <v>1961</v>
      </c>
      <c r="C147" s="337" t="s">
        <v>1546</v>
      </c>
      <c r="D147" s="338">
        <v>847</v>
      </c>
      <c r="E147" s="343">
        <f t="shared" si="11"/>
        <v>2.7912621359223302E-2</v>
      </c>
      <c r="F147" s="338">
        <v>568</v>
      </c>
      <c r="G147" s="343">
        <f t="shared" si="11"/>
        <v>1.6100178890876567E-2</v>
      </c>
      <c r="H147" s="340"/>
      <c r="I147" s="339"/>
      <c r="J147" s="341"/>
      <c r="K147" s="339"/>
      <c r="L147" s="341"/>
      <c r="M147" s="342"/>
      <c r="N147" s="341"/>
      <c r="O147" s="342"/>
      <c r="P147" s="341"/>
      <c r="Q147" s="342"/>
      <c r="T147" s="322"/>
      <c r="U147" s="322"/>
    </row>
    <row r="148" spans="2:21" s="321" customFormat="1" hidden="1" outlineLevel="1" x14ac:dyDescent="0.3">
      <c r="B148" s="299">
        <v>1962</v>
      </c>
      <c r="C148" s="337" t="s">
        <v>1546</v>
      </c>
      <c r="D148" s="338">
        <v>872</v>
      </c>
      <c r="E148" s="343">
        <f t="shared" si="11"/>
        <v>2.9515938606847699E-2</v>
      </c>
      <c r="F148" s="338">
        <v>580</v>
      </c>
      <c r="G148" s="343">
        <f t="shared" si="11"/>
        <v>2.1126760563380281E-2</v>
      </c>
      <c r="H148" s="340"/>
      <c r="I148" s="339"/>
      <c r="J148" s="341"/>
      <c r="K148" s="339"/>
      <c r="L148" s="341"/>
      <c r="M148" s="342"/>
      <c r="N148" s="341"/>
      <c r="O148" s="342"/>
      <c r="P148" s="341"/>
      <c r="Q148" s="342"/>
      <c r="T148" s="322"/>
      <c r="U148" s="322"/>
    </row>
    <row r="149" spans="2:21" s="321" customFormat="1" hidden="1" outlineLevel="1" x14ac:dyDescent="0.3">
      <c r="B149" s="299">
        <v>1963</v>
      </c>
      <c r="C149" s="337" t="s">
        <v>1546</v>
      </c>
      <c r="D149" s="338">
        <v>901</v>
      </c>
      <c r="E149" s="343">
        <f t="shared" si="11"/>
        <v>3.3256880733944956E-2</v>
      </c>
      <c r="F149" s="338">
        <v>594</v>
      </c>
      <c r="G149" s="343">
        <f t="shared" si="11"/>
        <v>2.4137931034482758E-2</v>
      </c>
      <c r="H149" s="340"/>
      <c r="I149" s="339"/>
      <c r="J149" s="341"/>
      <c r="K149" s="339"/>
      <c r="L149" s="341"/>
      <c r="M149" s="342"/>
      <c r="N149" s="341"/>
      <c r="O149" s="342"/>
      <c r="P149" s="341"/>
      <c r="Q149" s="342"/>
      <c r="T149" s="322"/>
      <c r="U149" s="322"/>
    </row>
    <row r="150" spans="2:21" s="321" customFormat="1" hidden="1" outlineLevel="1" x14ac:dyDescent="0.3">
      <c r="B150" s="299">
        <v>1964</v>
      </c>
      <c r="C150" s="337" t="s">
        <v>1546</v>
      </c>
      <c r="D150" s="338">
        <v>936</v>
      </c>
      <c r="E150" s="343">
        <f t="shared" si="11"/>
        <v>3.8845726970033294E-2</v>
      </c>
      <c r="F150" s="338">
        <v>612</v>
      </c>
      <c r="G150" s="343">
        <f t="shared" si="11"/>
        <v>3.0303030303030304E-2</v>
      </c>
      <c r="H150" s="340"/>
      <c r="I150" s="339"/>
      <c r="J150" s="341"/>
      <c r="K150" s="339"/>
      <c r="L150" s="341"/>
      <c r="M150" s="342"/>
      <c r="N150" s="341"/>
      <c r="O150" s="342"/>
      <c r="P150" s="341"/>
      <c r="Q150" s="342"/>
      <c r="T150" s="322"/>
      <c r="U150" s="322"/>
    </row>
    <row r="151" spans="2:21" s="321" customFormat="1" hidden="1" outlineLevel="1" x14ac:dyDescent="0.3">
      <c r="B151" s="299">
        <v>1965</v>
      </c>
      <c r="C151" s="337" t="s">
        <v>1546</v>
      </c>
      <c r="D151" s="338">
        <v>971</v>
      </c>
      <c r="E151" s="343">
        <f t="shared" si="11"/>
        <v>3.7393162393162392E-2</v>
      </c>
      <c r="F151" s="338">
        <v>627</v>
      </c>
      <c r="G151" s="343">
        <f t="shared" si="11"/>
        <v>2.4509803921568627E-2</v>
      </c>
      <c r="H151" s="340"/>
      <c r="I151" s="339"/>
      <c r="J151" s="341"/>
      <c r="K151" s="339"/>
      <c r="L151" s="341"/>
      <c r="M151" s="342"/>
      <c r="N151" s="341"/>
      <c r="O151" s="342"/>
      <c r="P151" s="341"/>
      <c r="Q151" s="342"/>
      <c r="T151" s="322"/>
      <c r="U151" s="322"/>
    </row>
    <row r="152" spans="2:21" s="321" customFormat="1" hidden="1" outlineLevel="1" x14ac:dyDescent="0.3">
      <c r="B152" s="299">
        <v>1966</v>
      </c>
      <c r="C152" s="337" t="s">
        <v>1546</v>
      </c>
      <c r="D152" s="338">
        <v>1019</v>
      </c>
      <c r="E152" s="343">
        <f t="shared" si="11"/>
        <v>4.9433573635427393E-2</v>
      </c>
      <c r="F152" s="338">
        <v>650</v>
      </c>
      <c r="G152" s="343">
        <f t="shared" si="11"/>
        <v>3.6682615629984053E-2</v>
      </c>
      <c r="H152" s="340"/>
      <c r="I152" s="339"/>
      <c r="J152" s="341"/>
      <c r="K152" s="339"/>
      <c r="L152" s="341"/>
      <c r="M152" s="342"/>
      <c r="N152" s="341"/>
      <c r="O152" s="342"/>
      <c r="P152" s="341"/>
      <c r="Q152" s="342"/>
      <c r="T152" s="322"/>
      <c r="U152" s="322"/>
    </row>
    <row r="153" spans="2:21" s="321" customFormat="1" hidden="1" outlineLevel="1" x14ac:dyDescent="0.3">
      <c r="B153" s="299">
        <v>1967</v>
      </c>
      <c r="C153" s="337" t="s">
        <v>1546</v>
      </c>
      <c r="D153" s="338">
        <v>1074</v>
      </c>
      <c r="E153" s="343">
        <f t="shared" si="11"/>
        <v>5.3974484789008834E-2</v>
      </c>
      <c r="F153" s="338">
        <v>676</v>
      </c>
      <c r="G153" s="343">
        <f t="shared" si="11"/>
        <v>0.04</v>
      </c>
      <c r="H153" s="340"/>
      <c r="I153" s="339"/>
      <c r="J153" s="341"/>
      <c r="K153" s="339"/>
      <c r="L153" s="341"/>
      <c r="M153" s="342"/>
      <c r="N153" s="341"/>
      <c r="O153" s="342"/>
      <c r="P153" s="341"/>
      <c r="Q153" s="342"/>
      <c r="T153" s="322"/>
      <c r="U153" s="322"/>
    </row>
    <row r="154" spans="2:21" s="321" customFormat="1" hidden="1" outlineLevel="1" x14ac:dyDescent="0.3">
      <c r="B154" s="299">
        <v>1968</v>
      </c>
      <c r="C154" s="337" t="s">
        <v>1546</v>
      </c>
      <c r="D154" s="338">
        <v>1155</v>
      </c>
      <c r="E154" s="343">
        <f t="shared" si="11"/>
        <v>7.5418994413407825E-2</v>
      </c>
      <c r="F154" s="338">
        <v>721</v>
      </c>
      <c r="G154" s="343">
        <f t="shared" si="11"/>
        <v>6.6568047337278113E-2</v>
      </c>
      <c r="H154" s="340"/>
      <c r="I154" s="339"/>
      <c r="J154" s="341"/>
      <c r="K154" s="339"/>
      <c r="L154" s="341"/>
      <c r="M154" s="342"/>
      <c r="N154" s="341"/>
      <c r="O154" s="342"/>
      <c r="P154" s="341"/>
      <c r="Q154" s="342"/>
      <c r="T154" s="322"/>
      <c r="U154" s="322"/>
    </row>
    <row r="155" spans="2:21" s="321" customFormat="1" hidden="1" outlineLevel="1" x14ac:dyDescent="0.3">
      <c r="B155" s="299">
        <v>1969</v>
      </c>
      <c r="C155" s="337" t="s">
        <v>1546</v>
      </c>
      <c r="D155" s="338">
        <v>1269</v>
      </c>
      <c r="E155" s="343">
        <f t="shared" si="11"/>
        <v>9.8701298701298706E-2</v>
      </c>
      <c r="F155" s="338">
        <v>790</v>
      </c>
      <c r="G155" s="343">
        <f t="shared" si="11"/>
        <v>9.5700416088765602E-2</v>
      </c>
      <c r="H155" s="340"/>
      <c r="I155" s="339"/>
      <c r="J155" s="341"/>
      <c r="K155" s="339"/>
      <c r="L155" s="341"/>
      <c r="M155" s="342"/>
      <c r="N155" s="341"/>
      <c r="O155" s="342"/>
      <c r="P155" s="341"/>
      <c r="Q155" s="342"/>
      <c r="T155" s="322"/>
      <c r="U155" s="322"/>
    </row>
    <row r="156" spans="2:21" s="321" customFormat="1" hidden="1" outlineLevel="1" x14ac:dyDescent="0.3">
      <c r="B156" s="299">
        <v>1970</v>
      </c>
      <c r="C156" s="337" t="s">
        <v>1546</v>
      </c>
      <c r="D156" s="338">
        <v>1381</v>
      </c>
      <c r="E156" s="343">
        <f t="shared" si="11"/>
        <v>8.8258471237194644E-2</v>
      </c>
      <c r="F156" s="338">
        <v>836</v>
      </c>
      <c r="G156" s="343">
        <f t="shared" si="11"/>
        <v>5.8227848101265821E-2</v>
      </c>
      <c r="H156" s="340"/>
      <c r="I156" s="339"/>
      <c r="J156" s="341"/>
      <c r="K156" s="339"/>
      <c r="L156" s="341"/>
      <c r="M156" s="342"/>
      <c r="N156" s="341"/>
      <c r="O156" s="342"/>
      <c r="P156" s="341"/>
      <c r="Q156" s="342"/>
      <c r="T156" s="322"/>
      <c r="U156" s="322"/>
    </row>
    <row r="157" spans="2:21" s="321" customFormat="1" hidden="1" outlineLevel="1" x14ac:dyDescent="0.3">
      <c r="B157" s="299">
        <v>1971</v>
      </c>
      <c r="C157" s="337" t="s">
        <v>1546</v>
      </c>
      <c r="D157" s="338">
        <v>1581</v>
      </c>
      <c r="E157" s="343">
        <f t="shared" si="11"/>
        <v>0.14482259232440262</v>
      </c>
      <c r="F157" s="338">
        <v>948</v>
      </c>
      <c r="G157" s="343">
        <f t="shared" si="11"/>
        <v>0.13397129186602871</v>
      </c>
      <c r="H157" s="340"/>
      <c r="I157" s="339"/>
      <c r="J157" s="341"/>
      <c r="K157" s="339"/>
      <c r="L157" s="341"/>
      <c r="M157" s="342"/>
      <c r="N157" s="341"/>
      <c r="O157" s="342"/>
      <c r="P157" s="341"/>
      <c r="Q157" s="342"/>
      <c r="T157" s="322"/>
      <c r="U157" s="322"/>
    </row>
    <row r="158" spans="2:21" s="321" customFormat="1" hidden="1" outlineLevel="1" x14ac:dyDescent="0.3">
      <c r="B158" s="299">
        <v>1972</v>
      </c>
      <c r="C158" s="337" t="s">
        <v>1546</v>
      </c>
      <c r="D158" s="338">
        <v>1753</v>
      </c>
      <c r="E158" s="343">
        <f t="shared" si="11"/>
        <v>0.10879190385831752</v>
      </c>
      <c r="F158" s="338">
        <v>1048</v>
      </c>
      <c r="G158" s="343">
        <f t="shared" si="11"/>
        <v>0.10548523206751055</v>
      </c>
      <c r="H158" s="340"/>
      <c r="I158" s="339"/>
      <c r="J158" s="341"/>
      <c r="K158" s="339"/>
      <c r="L158" s="341"/>
      <c r="M158" s="342"/>
      <c r="N158" s="341"/>
      <c r="O158" s="342"/>
      <c r="P158" s="341"/>
      <c r="Q158" s="342"/>
      <c r="T158" s="322"/>
      <c r="U158" s="322"/>
    </row>
    <row r="159" spans="2:21" s="321" customFormat="1" hidden="1" outlineLevel="1" x14ac:dyDescent="0.3">
      <c r="B159" s="299">
        <v>1973</v>
      </c>
      <c r="C159" s="337" t="s">
        <v>1546</v>
      </c>
      <c r="D159" s="338">
        <v>1895</v>
      </c>
      <c r="E159" s="343">
        <f t="shared" ref="E159:G189" si="12">(D159-D158)/D158</f>
        <v>8.1003993154592127E-2</v>
      </c>
      <c r="F159" s="338">
        <v>1138</v>
      </c>
      <c r="G159" s="343">
        <f t="shared" si="12"/>
        <v>8.5877862595419852E-2</v>
      </c>
      <c r="H159" s="340"/>
      <c r="I159" s="339"/>
      <c r="J159" s="341"/>
      <c r="K159" s="339"/>
      <c r="L159" s="341"/>
      <c r="M159" s="342"/>
      <c r="N159" s="341"/>
      <c r="O159" s="342"/>
      <c r="P159" s="341"/>
      <c r="Q159" s="342"/>
      <c r="T159" s="322"/>
      <c r="U159" s="322"/>
    </row>
    <row r="160" spans="2:21" s="321" customFormat="1" hidden="1" outlineLevel="1" x14ac:dyDescent="0.3">
      <c r="B160" s="299">
        <v>1974</v>
      </c>
      <c r="C160" s="337" t="s">
        <v>1546</v>
      </c>
      <c r="D160" s="338">
        <v>2020</v>
      </c>
      <c r="E160" s="343">
        <f t="shared" si="12"/>
        <v>6.5963060686015831E-2</v>
      </c>
      <c r="F160" s="338">
        <v>1205</v>
      </c>
      <c r="G160" s="343">
        <f t="shared" si="12"/>
        <v>5.8875219683655534E-2</v>
      </c>
      <c r="H160" s="340"/>
      <c r="I160" s="339"/>
      <c r="J160" s="341"/>
      <c r="K160" s="339"/>
      <c r="L160" s="341"/>
      <c r="M160" s="342"/>
      <c r="N160" s="341"/>
      <c r="O160" s="342"/>
      <c r="P160" s="341"/>
      <c r="Q160" s="342"/>
      <c r="T160" s="322"/>
      <c r="U160" s="322"/>
    </row>
    <row r="161" spans="1:21" s="321" customFormat="1" hidden="1" outlineLevel="1" x14ac:dyDescent="0.3">
      <c r="B161" s="299">
        <v>1975</v>
      </c>
      <c r="C161" s="337" t="s">
        <v>1546</v>
      </c>
      <c r="D161" s="338">
        <v>2212</v>
      </c>
      <c r="E161" s="343">
        <f t="shared" si="12"/>
        <v>9.5049504950495051E-2</v>
      </c>
      <c r="F161" s="338">
        <v>1306</v>
      </c>
      <c r="G161" s="343">
        <f t="shared" si="12"/>
        <v>8.381742738589211E-2</v>
      </c>
      <c r="H161" s="340"/>
      <c r="I161" s="339"/>
      <c r="J161" s="341"/>
      <c r="K161" s="339"/>
      <c r="L161" s="341"/>
      <c r="M161" s="342"/>
      <c r="N161" s="341"/>
      <c r="O161" s="342"/>
      <c r="P161" s="341"/>
      <c r="Q161" s="342"/>
      <c r="T161" s="322"/>
      <c r="U161" s="322"/>
    </row>
    <row r="162" spans="1:21" s="321" customFormat="1" hidden="1" outlineLevel="1" x14ac:dyDescent="0.3">
      <c r="B162" s="299">
        <v>1976</v>
      </c>
      <c r="C162" s="337" t="s">
        <v>1546</v>
      </c>
      <c r="D162" s="338">
        <v>2401</v>
      </c>
      <c r="E162" s="343">
        <f t="shared" si="12"/>
        <v>8.5443037974683542E-2</v>
      </c>
      <c r="F162" s="338">
        <v>1425</v>
      </c>
      <c r="G162" s="343">
        <f t="shared" si="12"/>
        <v>9.1117917304747317E-2</v>
      </c>
      <c r="H162" s="340"/>
      <c r="I162" s="339"/>
      <c r="J162" s="341"/>
      <c r="K162" s="339"/>
      <c r="L162" s="341"/>
      <c r="M162" s="342"/>
      <c r="N162" s="341"/>
      <c r="O162" s="342"/>
      <c r="P162" s="341"/>
      <c r="Q162" s="342"/>
      <c r="T162" s="322"/>
      <c r="U162" s="322"/>
    </row>
    <row r="163" spans="1:21" s="321" customFormat="1" hidden="1" outlineLevel="1" x14ac:dyDescent="0.3">
      <c r="B163" s="299">
        <v>1977</v>
      </c>
      <c r="C163" s="337" t="s">
        <v>1546</v>
      </c>
      <c r="D163" s="338">
        <v>2576</v>
      </c>
      <c r="E163" s="343">
        <f t="shared" si="12"/>
        <v>7.2886297376093298E-2</v>
      </c>
      <c r="F163" s="338">
        <v>1545</v>
      </c>
      <c r="G163" s="343">
        <f t="shared" si="12"/>
        <v>8.4210526315789472E-2</v>
      </c>
      <c r="H163" s="340"/>
      <c r="I163" s="339"/>
      <c r="J163" s="341"/>
      <c r="K163" s="339"/>
      <c r="L163" s="341"/>
      <c r="M163" s="342"/>
      <c r="N163" s="341"/>
      <c r="O163" s="342"/>
      <c r="P163" s="341"/>
      <c r="Q163" s="342"/>
      <c r="T163" s="322"/>
      <c r="U163" s="322"/>
    </row>
    <row r="164" spans="1:21" s="301" customFormat="1" ht="15.75" hidden="1" customHeight="1" outlineLevel="1" x14ac:dyDescent="0.3">
      <c r="A164" s="299"/>
      <c r="B164" s="299">
        <v>1978</v>
      </c>
      <c r="C164" s="337" t="s">
        <v>1546</v>
      </c>
      <c r="D164" s="344">
        <v>2776</v>
      </c>
      <c r="E164" s="343">
        <f t="shared" si="12"/>
        <v>7.7639751552795025E-2</v>
      </c>
      <c r="F164" s="344">
        <v>1654</v>
      </c>
      <c r="G164" s="343">
        <f t="shared" si="12"/>
        <v>7.0550161812297729E-2</v>
      </c>
      <c r="H164" s="345"/>
      <c r="I164" s="346"/>
      <c r="K164" s="347"/>
      <c r="L164" s="348"/>
      <c r="M164" s="348"/>
      <c r="N164" s="348"/>
      <c r="O164" s="348"/>
      <c r="P164" s="348"/>
      <c r="Q164" s="349"/>
      <c r="R164" s="299"/>
      <c r="T164" s="350"/>
      <c r="U164" s="350"/>
    </row>
    <row r="165" spans="1:21" s="301" customFormat="1" hidden="1" outlineLevel="1" x14ac:dyDescent="0.3">
      <c r="A165" s="299"/>
      <c r="B165" s="299">
        <v>1979</v>
      </c>
      <c r="C165" s="337" t="s">
        <v>1546</v>
      </c>
      <c r="D165" s="344">
        <v>3003</v>
      </c>
      <c r="E165" s="343">
        <f t="shared" si="12"/>
        <v>8.1772334293948132E-2</v>
      </c>
      <c r="F165" s="344">
        <v>1919</v>
      </c>
      <c r="G165" s="343">
        <f t="shared" si="12"/>
        <v>0.16021765417170497</v>
      </c>
      <c r="H165" s="351"/>
      <c r="I165" s="346"/>
      <c r="J165" s="352"/>
      <c r="K165" s="353"/>
      <c r="L165" s="354"/>
      <c r="M165" s="354"/>
      <c r="N165" s="354"/>
      <c r="O165" s="354"/>
      <c r="P165" s="354"/>
      <c r="Q165" s="354"/>
      <c r="R165" s="299"/>
      <c r="T165" s="355"/>
      <c r="U165" s="356"/>
    </row>
    <row r="166" spans="1:21" s="301" customFormat="1" hidden="1" outlineLevel="1" x14ac:dyDescent="0.3">
      <c r="B166" s="299">
        <v>1980</v>
      </c>
      <c r="C166" s="337" t="s">
        <v>1546</v>
      </c>
      <c r="D166" s="344">
        <v>3237</v>
      </c>
      <c r="E166" s="343">
        <f t="shared" si="12"/>
        <v>7.792207792207792E-2</v>
      </c>
      <c r="F166" s="344">
        <v>1941</v>
      </c>
      <c r="G166" s="343">
        <f t="shared" si="12"/>
        <v>1.1464304325169358E-2</v>
      </c>
      <c r="H166" s="357"/>
      <c r="I166" s="346"/>
      <c r="J166" s="299"/>
      <c r="K166" s="358"/>
      <c r="L166" s="299"/>
      <c r="M166" s="299"/>
      <c r="N166" s="299"/>
      <c r="O166" s="299"/>
      <c r="P166" s="354"/>
      <c r="Q166" s="299"/>
      <c r="R166" s="299"/>
      <c r="T166" s="355"/>
      <c r="U166" s="356"/>
    </row>
    <row r="167" spans="1:21" s="301" customFormat="1" hidden="1" outlineLevel="1" x14ac:dyDescent="0.3">
      <c r="B167" s="299">
        <v>1981</v>
      </c>
      <c r="C167" s="337" t="s">
        <v>1546</v>
      </c>
      <c r="D167" s="344">
        <v>3535</v>
      </c>
      <c r="E167" s="343">
        <f t="shared" si="12"/>
        <v>9.206054989187519E-2</v>
      </c>
      <c r="F167" s="344">
        <v>2097</v>
      </c>
      <c r="G167" s="343">
        <f t="shared" si="12"/>
        <v>8.0370942812983001E-2</v>
      </c>
      <c r="H167" s="357"/>
      <c r="I167" s="346"/>
      <c r="J167" s="299"/>
      <c r="K167" s="358"/>
      <c r="L167" s="299"/>
      <c r="M167" s="299"/>
      <c r="N167" s="299"/>
      <c r="O167" s="299"/>
      <c r="P167" s="299"/>
      <c r="Q167" s="299"/>
      <c r="R167" s="299"/>
      <c r="T167" s="355"/>
      <c r="U167" s="356"/>
    </row>
    <row r="168" spans="1:21" s="301" customFormat="1" hidden="1" outlineLevel="1" x14ac:dyDescent="0.3">
      <c r="B168" s="299">
        <v>1982</v>
      </c>
      <c r="C168" s="337" t="s">
        <v>1546</v>
      </c>
      <c r="D168" s="344">
        <v>3825</v>
      </c>
      <c r="E168" s="343">
        <f t="shared" si="12"/>
        <v>8.2036775106082038E-2</v>
      </c>
      <c r="F168" s="344">
        <v>2234</v>
      </c>
      <c r="G168" s="343">
        <f t="shared" si="12"/>
        <v>6.53314258464473E-2</v>
      </c>
      <c r="H168" s="357"/>
      <c r="I168" s="346"/>
      <c r="J168" s="299"/>
      <c r="K168" s="358"/>
      <c r="L168" s="299"/>
      <c r="M168" s="299"/>
      <c r="N168" s="299"/>
      <c r="O168" s="299"/>
      <c r="P168" s="299"/>
      <c r="Q168" s="299"/>
      <c r="R168" s="299"/>
      <c r="T168" s="355"/>
      <c r="U168" s="356"/>
    </row>
    <row r="169" spans="1:21" s="301" customFormat="1" hidden="1" outlineLevel="1" x14ac:dyDescent="0.3">
      <c r="B169" s="299">
        <v>1983</v>
      </c>
      <c r="C169" s="337" t="s">
        <v>1546</v>
      </c>
      <c r="D169" s="344">
        <v>4066</v>
      </c>
      <c r="E169" s="343">
        <f t="shared" si="12"/>
        <v>6.3006535947712425E-2</v>
      </c>
      <c r="F169" s="344">
        <v>2384</v>
      </c>
      <c r="G169" s="343">
        <f t="shared" si="12"/>
        <v>6.714413607878246E-2</v>
      </c>
      <c r="H169" s="357"/>
      <c r="I169" s="346"/>
      <c r="J169" s="299"/>
      <c r="K169" s="358"/>
      <c r="L169" s="299"/>
      <c r="M169" s="299"/>
      <c r="N169" s="299"/>
      <c r="O169" s="299"/>
      <c r="P169" s="299"/>
      <c r="Q169" s="299"/>
      <c r="R169" s="299"/>
      <c r="T169" s="355"/>
      <c r="U169" s="356"/>
    </row>
    <row r="170" spans="1:21" s="301" customFormat="1" hidden="1" outlineLevel="1" x14ac:dyDescent="0.3">
      <c r="B170" s="299">
        <v>1984</v>
      </c>
      <c r="C170" s="337" t="s">
        <v>1546</v>
      </c>
      <c r="D170" s="344">
        <v>4146</v>
      </c>
      <c r="E170" s="343">
        <f t="shared" si="12"/>
        <v>1.9675356615838663E-2</v>
      </c>
      <c r="F170" s="344">
        <v>2417</v>
      </c>
      <c r="G170" s="343">
        <f t="shared" si="12"/>
        <v>1.3842281879194632E-2</v>
      </c>
      <c r="H170" s="357"/>
      <c r="I170" s="346"/>
      <c r="J170" s="299"/>
      <c r="K170" s="358"/>
      <c r="L170" s="299"/>
      <c r="M170" s="299"/>
      <c r="N170" s="299"/>
      <c r="O170" s="299"/>
      <c r="P170" s="299"/>
      <c r="Q170" s="299"/>
      <c r="R170" s="299"/>
      <c r="T170" s="355"/>
      <c r="U170" s="356"/>
    </row>
    <row r="171" spans="1:21" s="301" customFormat="1" hidden="1" outlineLevel="1" x14ac:dyDescent="0.3">
      <c r="B171" s="299">
        <v>1985</v>
      </c>
      <c r="C171" s="337" t="s">
        <v>1546</v>
      </c>
      <c r="D171" s="344">
        <v>4195</v>
      </c>
      <c r="E171" s="343">
        <f t="shared" si="12"/>
        <v>1.1818620356970575E-2</v>
      </c>
      <c r="F171" s="344">
        <v>2428</v>
      </c>
      <c r="G171" s="343">
        <f t="shared" si="12"/>
        <v>4.5510964004964833E-3</v>
      </c>
      <c r="H171" s="357"/>
      <c r="I171" s="346"/>
      <c r="J171" s="299"/>
      <c r="K171" s="358"/>
      <c r="L171" s="299"/>
      <c r="M171" s="299"/>
      <c r="N171" s="299"/>
      <c r="O171" s="299"/>
      <c r="P171" s="299"/>
      <c r="Q171" s="299"/>
      <c r="R171" s="299"/>
      <c r="T171" s="355"/>
      <c r="U171" s="356"/>
    </row>
    <row r="172" spans="1:21" s="301" customFormat="1" hidden="1" outlineLevel="1" x14ac:dyDescent="0.3">
      <c r="B172" s="299">
        <v>1986</v>
      </c>
      <c r="C172" s="337" t="s">
        <v>1546</v>
      </c>
      <c r="D172" s="344">
        <v>4295</v>
      </c>
      <c r="E172" s="343">
        <f t="shared" si="12"/>
        <v>2.3837902264600714E-2</v>
      </c>
      <c r="F172" s="344">
        <v>2483</v>
      </c>
      <c r="G172" s="343">
        <f t="shared" si="12"/>
        <v>2.2652388797364087E-2</v>
      </c>
      <c r="H172" s="357"/>
      <c r="I172" s="346"/>
      <c r="J172" s="299"/>
      <c r="K172" s="358"/>
      <c r="L172" s="299"/>
      <c r="M172" s="299"/>
      <c r="N172" s="299"/>
      <c r="O172" s="299"/>
      <c r="P172" s="299"/>
      <c r="Q172" s="299"/>
      <c r="R172" s="299"/>
      <c r="T172" s="355"/>
      <c r="U172" s="356"/>
    </row>
    <row r="173" spans="1:21" s="301" customFormat="1" hidden="1" outlineLevel="1" x14ac:dyDescent="0.3">
      <c r="B173" s="299">
        <v>1987</v>
      </c>
      <c r="C173" s="337" t="s">
        <v>1546</v>
      </c>
      <c r="D173" s="344">
        <v>4406</v>
      </c>
      <c r="E173" s="343">
        <f t="shared" si="12"/>
        <v>2.5844004656577414E-2</v>
      </c>
      <c r="F173" s="344">
        <v>2541</v>
      </c>
      <c r="G173" s="343">
        <f t="shared" si="12"/>
        <v>2.3358840112766815E-2</v>
      </c>
      <c r="H173" s="357"/>
      <c r="I173" s="346"/>
      <c r="J173" s="299"/>
      <c r="K173" s="358"/>
      <c r="L173" s="299"/>
      <c r="M173" s="299"/>
      <c r="N173" s="299"/>
      <c r="O173" s="299"/>
      <c r="P173" s="299"/>
      <c r="Q173" s="299"/>
      <c r="R173" s="299"/>
      <c r="T173" s="355"/>
      <c r="U173" s="356"/>
    </row>
    <row r="174" spans="1:21" s="301" customFormat="1" hidden="1" outlineLevel="1" x14ac:dyDescent="0.3">
      <c r="B174" s="299">
        <v>1988</v>
      </c>
      <c r="C174" s="337" t="s">
        <v>1546</v>
      </c>
      <c r="D174" s="344">
        <v>4519</v>
      </c>
      <c r="E174" s="343">
        <f t="shared" si="12"/>
        <v>2.5646845211075804E-2</v>
      </c>
      <c r="F174" s="344">
        <v>2598</v>
      </c>
      <c r="G174" s="343">
        <f t="shared" si="12"/>
        <v>2.2432113341204249E-2</v>
      </c>
      <c r="H174" s="357"/>
      <c r="I174" s="346"/>
      <c r="J174" s="299"/>
      <c r="K174" s="358"/>
      <c r="L174" s="299"/>
      <c r="M174" s="299"/>
      <c r="N174" s="299"/>
      <c r="O174" s="299"/>
      <c r="P174" s="299"/>
      <c r="Q174" s="299"/>
      <c r="R174" s="299"/>
      <c r="T174" s="355"/>
      <c r="U174" s="356"/>
    </row>
    <row r="175" spans="1:21" s="301" customFormat="1" hidden="1" outlineLevel="1" x14ac:dyDescent="0.3">
      <c r="B175" s="299">
        <v>1989</v>
      </c>
      <c r="C175" s="337" t="s">
        <v>1546</v>
      </c>
      <c r="D175" s="344">
        <v>4615</v>
      </c>
      <c r="E175" s="343">
        <f t="shared" si="12"/>
        <v>2.1243637973002875E-2</v>
      </c>
      <c r="F175" s="344">
        <v>2634</v>
      </c>
      <c r="G175" s="343">
        <f t="shared" si="12"/>
        <v>1.3856812933025405E-2</v>
      </c>
      <c r="H175" s="357"/>
      <c r="I175" s="346"/>
      <c r="J175" s="299"/>
      <c r="K175" s="358"/>
      <c r="L175" s="299"/>
      <c r="M175" s="299"/>
      <c r="N175" s="299"/>
      <c r="O175" s="299"/>
      <c r="P175" s="299"/>
      <c r="Q175" s="299"/>
      <c r="R175" s="299"/>
      <c r="T175" s="355"/>
      <c r="U175" s="356"/>
    </row>
    <row r="176" spans="1:21" s="301" customFormat="1" hidden="1" outlineLevel="1" x14ac:dyDescent="0.3">
      <c r="B176" s="299">
        <v>1990</v>
      </c>
      <c r="C176" s="337" t="s">
        <v>1546</v>
      </c>
      <c r="D176" s="359">
        <v>4732</v>
      </c>
      <c r="E176" s="343">
        <f t="shared" si="12"/>
        <v>2.5352112676056339E-2</v>
      </c>
      <c r="F176" s="344">
        <v>2702</v>
      </c>
      <c r="G176" s="343">
        <f t="shared" si="12"/>
        <v>2.5816249050873197E-2</v>
      </c>
      <c r="H176" s="357"/>
      <c r="I176" s="346"/>
      <c r="J176" s="299"/>
      <c r="K176" s="358"/>
      <c r="L176" s="299"/>
      <c r="M176" s="299"/>
      <c r="N176" s="299"/>
      <c r="O176" s="299"/>
      <c r="P176" s="299"/>
      <c r="Q176" s="299"/>
      <c r="R176" s="299"/>
      <c r="T176" s="355"/>
      <c r="U176" s="356"/>
    </row>
    <row r="177" spans="1:21" s="301" customFormat="1" hidden="1" outlineLevel="1" x14ac:dyDescent="0.3">
      <c r="B177" s="299">
        <v>1991</v>
      </c>
      <c r="C177" s="337" t="s">
        <v>1546</v>
      </c>
      <c r="D177" s="359">
        <v>4835</v>
      </c>
      <c r="E177" s="343">
        <f t="shared" si="12"/>
        <v>2.1766694843617922E-2</v>
      </c>
      <c r="F177" s="344">
        <v>2751</v>
      </c>
      <c r="G177" s="343">
        <f t="shared" si="12"/>
        <v>1.8134715025906734E-2</v>
      </c>
      <c r="H177" s="357"/>
      <c r="I177" s="346"/>
      <c r="J177" s="299"/>
      <c r="K177" s="358"/>
      <c r="L177" s="299"/>
      <c r="M177" s="299"/>
      <c r="N177" s="299"/>
      <c r="O177" s="299"/>
      <c r="P177" s="299"/>
      <c r="Q177" s="299"/>
      <c r="R177" s="299"/>
      <c r="T177" s="355"/>
      <c r="U177" s="356"/>
    </row>
    <row r="178" spans="1:21" s="301" customFormat="1" hidden="1" outlineLevel="1" x14ac:dyDescent="0.3">
      <c r="B178" s="299">
        <v>1992</v>
      </c>
      <c r="C178" s="337" t="s">
        <v>1546</v>
      </c>
      <c r="D178" s="359">
        <v>4985</v>
      </c>
      <c r="E178" s="343">
        <f t="shared" si="12"/>
        <v>3.1023784901758014E-2</v>
      </c>
      <c r="F178" s="344">
        <v>2834</v>
      </c>
      <c r="G178" s="343">
        <f t="shared" si="12"/>
        <v>3.0170846964740095E-2</v>
      </c>
      <c r="H178" s="357"/>
      <c r="I178" s="346"/>
      <c r="J178" s="299"/>
      <c r="K178" s="358"/>
      <c r="L178" s="299"/>
      <c r="M178" s="299"/>
      <c r="N178" s="299"/>
      <c r="O178" s="299"/>
      <c r="P178" s="299"/>
      <c r="Q178" s="299"/>
      <c r="R178" s="299"/>
      <c r="T178" s="355"/>
      <c r="U178" s="356"/>
    </row>
    <row r="179" spans="1:21" s="301" customFormat="1" hidden="1" outlineLevel="1" x14ac:dyDescent="0.3">
      <c r="B179" s="299">
        <v>1993</v>
      </c>
      <c r="C179" s="337" t="s">
        <v>1546</v>
      </c>
      <c r="D179" s="359">
        <v>5210</v>
      </c>
      <c r="E179" s="343">
        <f t="shared" si="12"/>
        <v>4.5135406218655971E-2</v>
      </c>
      <c r="F179" s="344">
        <v>2996</v>
      </c>
      <c r="G179" s="343">
        <f t="shared" si="12"/>
        <v>5.7163020465772763E-2</v>
      </c>
      <c r="H179" s="357"/>
      <c r="I179" s="346"/>
      <c r="J179" s="299"/>
      <c r="K179" s="358"/>
      <c r="L179" s="299"/>
      <c r="M179" s="299"/>
      <c r="N179" s="299"/>
      <c r="O179" s="299"/>
      <c r="P179" s="299"/>
      <c r="Q179" s="299"/>
      <c r="R179" s="299"/>
      <c r="T179" s="355"/>
      <c r="U179" s="356"/>
    </row>
    <row r="180" spans="1:21" s="301" customFormat="1" hidden="1" outlineLevel="1" x14ac:dyDescent="0.3">
      <c r="B180" s="299">
        <v>1994</v>
      </c>
      <c r="C180" s="337" t="s">
        <v>1546</v>
      </c>
      <c r="D180" s="359">
        <v>5408</v>
      </c>
      <c r="E180" s="343">
        <f t="shared" si="12"/>
        <v>3.8003838771593093E-2</v>
      </c>
      <c r="F180" s="344">
        <v>3111</v>
      </c>
      <c r="G180" s="343">
        <f t="shared" si="12"/>
        <v>3.8384512683578106E-2</v>
      </c>
      <c r="H180" s="357"/>
      <c r="I180" s="346"/>
      <c r="J180" s="299"/>
      <c r="K180" s="358"/>
      <c r="L180" s="299"/>
      <c r="M180" s="299"/>
      <c r="N180" s="299"/>
      <c r="O180" s="299"/>
      <c r="P180" s="299"/>
      <c r="Q180" s="299"/>
      <c r="R180" s="299"/>
      <c r="T180" s="355"/>
      <c r="U180" s="356"/>
    </row>
    <row r="181" spans="1:21" s="301" customFormat="1" hidden="1" outlineLevel="1" x14ac:dyDescent="0.3">
      <c r="B181" s="299">
        <v>1995</v>
      </c>
      <c r="C181" s="337" t="s">
        <v>1546</v>
      </c>
      <c r="D181" s="359">
        <v>5471</v>
      </c>
      <c r="E181" s="343">
        <f t="shared" si="12"/>
        <v>1.1649408284023669E-2</v>
      </c>
      <c r="F181" s="344">
        <v>3112</v>
      </c>
      <c r="G181" s="343">
        <f t="shared" si="12"/>
        <v>3.214400514304082E-4</v>
      </c>
      <c r="H181" s="357"/>
      <c r="I181" s="346"/>
      <c r="J181" s="299"/>
      <c r="K181" s="358"/>
      <c r="L181" s="299"/>
      <c r="M181" s="299"/>
      <c r="N181" s="299"/>
      <c r="O181" s="299"/>
      <c r="P181" s="299"/>
      <c r="Q181" s="299"/>
      <c r="R181" s="299"/>
      <c r="T181" s="355"/>
      <c r="U181" s="356"/>
    </row>
    <row r="182" spans="1:21" s="301" customFormat="1" hidden="1" outlineLevel="1" x14ac:dyDescent="0.3">
      <c r="A182" s="299"/>
      <c r="B182" s="299">
        <v>1996</v>
      </c>
      <c r="C182" s="337" t="s">
        <v>1546</v>
      </c>
      <c r="D182" s="359">
        <v>5620</v>
      </c>
      <c r="E182" s="343">
        <f t="shared" si="12"/>
        <v>2.7234509230488028E-2</v>
      </c>
      <c r="F182" s="344">
        <v>3203</v>
      </c>
      <c r="G182" s="343">
        <f t="shared" si="12"/>
        <v>2.9241645244215939E-2</v>
      </c>
      <c r="H182" s="357"/>
      <c r="I182" s="346"/>
      <c r="J182" s="299"/>
      <c r="K182" s="358"/>
      <c r="L182" s="299"/>
      <c r="M182" s="299"/>
      <c r="N182" s="299"/>
      <c r="O182" s="299"/>
      <c r="P182" s="299"/>
      <c r="Q182" s="299"/>
      <c r="R182" s="299"/>
      <c r="T182" s="355"/>
      <c r="U182" s="356"/>
    </row>
    <row r="183" spans="1:21" s="301" customFormat="1" hidden="1" outlineLevel="1" x14ac:dyDescent="0.3">
      <c r="A183" s="299"/>
      <c r="B183" s="299">
        <v>1997</v>
      </c>
      <c r="C183" s="337" t="s">
        <v>1546</v>
      </c>
      <c r="D183" s="359">
        <v>5826</v>
      </c>
      <c r="E183" s="343">
        <f t="shared" si="12"/>
        <v>3.6654804270462631E-2</v>
      </c>
      <c r="F183" s="344">
        <v>3364</v>
      </c>
      <c r="G183" s="343">
        <f t="shared" si="12"/>
        <v>5.0265376209803307E-2</v>
      </c>
      <c r="H183" s="357"/>
      <c r="I183" s="346"/>
      <c r="J183" s="299"/>
      <c r="K183" s="358"/>
      <c r="L183" s="299"/>
      <c r="M183" s="299"/>
      <c r="N183" s="299"/>
      <c r="O183" s="299"/>
      <c r="P183" s="299"/>
      <c r="Q183" s="299"/>
      <c r="R183" s="299"/>
      <c r="T183" s="355"/>
      <c r="U183" s="356"/>
    </row>
    <row r="184" spans="1:21" s="301" customFormat="1" hidden="1" outlineLevel="1" x14ac:dyDescent="0.3">
      <c r="A184" s="299"/>
      <c r="B184" s="299">
        <v>1998</v>
      </c>
      <c r="C184" s="337" t="s">
        <v>1546</v>
      </c>
      <c r="D184" s="359">
        <v>5920</v>
      </c>
      <c r="E184" s="343">
        <f t="shared" si="12"/>
        <v>1.613456917267422E-2</v>
      </c>
      <c r="F184" s="344">
        <v>3391</v>
      </c>
      <c r="G184" s="343">
        <f t="shared" si="12"/>
        <v>8.0261593341260408E-3</v>
      </c>
      <c r="H184" s="357"/>
      <c r="I184" s="346"/>
      <c r="J184" s="299"/>
      <c r="K184" s="358"/>
      <c r="L184" s="299"/>
      <c r="M184" s="299"/>
      <c r="N184" s="299"/>
      <c r="O184" s="299"/>
      <c r="P184" s="299"/>
      <c r="Q184" s="299"/>
      <c r="R184" s="299"/>
      <c r="T184" s="355"/>
      <c r="U184" s="356"/>
    </row>
    <row r="185" spans="1:21" s="301" customFormat="1" hidden="1" outlineLevel="1" x14ac:dyDescent="0.3">
      <c r="A185" s="299"/>
      <c r="B185" s="299">
        <v>1999</v>
      </c>
      <c r="C185" s="337" t="s">
        <v>1546</v>
      </c>
      <c r="D185" s="359">
        <v>6059</v>
      </c>
      <c r="E185" s="343">
        <f t="shared" si="12"/>
        <v>2.3479729729729729E-2</v>
      </c>
      <c r="F185" s="344">
        <v>3456</v>
      </c>
      <c r="G185" s="343">
        <f t="shared" si="12"/>
        <v>1.9168386906517253E-2</v>
      </c>
      <c r="H185" s="357"/>
      <c r="I185" s="346"/>
      <c r="J185" s="299"/>
      <c r="K185" s="358"/>
      <c r="L185" s="299"/>
      <c r="M185" s="299"/>
      <c r="N185" s="299"/>
      <c r="O185" s="299"/>
      <c r="P185" s="299"/>
      <c r="Q185" s="299"/>
      <c r="R185" s="299"/>
      <c r="T185" s="355"/>
      <c r="U185" s="356"/>
    </row>
    <row r="186" spans="1:21" s="301" customFormat="1" hidden="1" outlineLevel="1" x14ac:dyDescent="0.3">
      <c r="A186" s="299"/>
      <c r="B186" s="299">
        <v>2000</v>
      </c>
      <c r="C186" s="337" t="s">
        <v>1546</v>
      </c>
      <c r="D186" s="359">
        <v>6221</v>
      </c>
      <c r="E186" s="343">
        <f t="shared" si="12"/>
        <v>2.6737085327611817E-2</v>
      </c>
      <c r="F186" s="344">
        <v>3539</v>
      </c>
      <c r="G186" s="343">
        <f t="shared" si="12"/>
        <v>2.4016203703703703E-2</v>
      </c>
      <c r="H186" s="360">
        <v>51.48</v>
      </c>
      <c r="I186" s="361"/>
      <c r="J186" s="362">
        <v>158.5</v>
      </c>
      <c r="K186" s="361"/>
      <c r="L186" s="362">
        <v>162.4</v>
      </c>
      <c r="M186" s="363"/>
      <c r="N186" s="362">
        <v>174</v>
      </c>
      <c r="O186" s="363"/>
      <c r="P186" s="362">
        <v>135.1</v>
      </c>
      <c r="Q186" s="363"/>
      <c r="R186" s="299"/>
      <c r="T186" s="355"/>
      <c r="U186" s="356"/>
    </row>
    <row r="187" spans="1:21" s="301" customFormat="1" hidden="1" outlineLevel="1" x14ac:dyDescent="0.3">
      <c r="A187" s="299"/>
      <c r="B187" s="299">
        <v>2001</v>
      </c>
      <c r="C187" s="337" t="s">
        <v>1546</v>
      </c>
      <c r="D187" s="359">
        <v>6343</v>
      </c>
      <c r="E187" s="343">
        <f t="shared" si="12"/>
        <v>1.9610995016878314E-2</v>
      </c>
      <c r="F187" s="344">
        <v>3574</v>
      </c>
      <c r="G187" s="343">
        <f t="shared" si="12"/>
        <v>9.8897993783554679E-3</v>
      </c>
      <c r="H187" s="360">
        <v>36.92</v>
      </c>
      <c r="I187" s="364">
        <f>(H187-H186)/H186</f>
        <v>-0.28282828282828276</v>
      </c>
      <c r="J187" s="362">
        <v>159.5</v>
      </c>
      <c r="K187" s="364">
        <f>(J187-J186)/J186</f>
        <v>6.3091482649842269E-3</v>
      </c>
      <c r="L187" s="362">
        <v>165.6</v>
      </c>
      <c r="M187" s="365">
        <f>(L187-L186)/L186</f>
        <v>1.9704433497536877E-2</v>
      </c>
      <c r="N187" s="362">
        <v>177.7</v>
      </c>
      <c r="O187" s="365">
        <f>(N187-N186)/N186</f>
        <v>2.1264367816091888E-2</v>
      </c>
      <c r="P187" s="362">
        <v>130.19999999999999</v>
      </c>
      <c r="Q187" s="365">
        <f>(P187-P186)/P186</f>
        <v>-3.6269430051813517E-2</v>
      </c>
      <c r="R187" s="299"/>
      <c r="T187" s="355"/>
      <c r="U187" s="356"/>
    </row>
    <row r="188" spans="1:21" s="301" customFormat="1" hidden="1" outlineLevel="1" x14ac:dyDescent="0.3">
      <c r="A188" s="299"/>
      <c r="B188" s="299">
        <v>2002</v>
      </c>
      <c r="C188" s="337" t="s">
        <v>1546</v>
      </c>
      <c r="D188" s="359">
        <v>6538</v>
      </c>
      <c r="E188" s="343">
        <f t="shared" si="12"/>
        <v>3.074255084344947E-2</v>
      </c>
      <c r="F188" s="344">
        <v>3623</v>
      </c>
      <c r="G188" s="343">
        <f t="shared" si="12"/>
        <v>1.3710128707330722E-2</v>
      </c>
      <c r="H188" s="360">
        <v>52.53</v>
      </c>
      <c r="I188" s="364">
        <f>(H188-H187)/H187</f>
        <v>0.42280606717226432</v>
      </c>
      <c r="J188" s="362">
        <v>163.1</v>
      </c>
      <c r="K188" s="364">
        <f>(J188-J187)/J187</f>
        <v>2.2570532915360465E-2</v>
      </c>
      <c r="L188" s="362">
        <v>169.6</v>
      </c>
      <c r="M188" s="365">
        <f>(L188-L187)/L187</f>
        <v>2.4154589371980676E-2</v>
      </c>
      <c r="N188" s="362">
        <v>181.3</v>
      </c>
      <c r="O188" s="365">
        <f>(N188-N187)/N187</f>
        <v>2.0258863252673173E-2</v>
      </c>
      <c r="P188" s="362">
        <v>133.1</v>
      </c>
      <c r="Q188" s="365">
        <f>(P188-P187)/P187</f>
        <v>2.2273425499231995E-2</v>
      </c>
      <c r="R188" s="299"/>
      <c r="T188" s="355"/>
      <c r="U188" s="356"/>
    </row>
    <row r="189" spans="1:21" s="301" customFormat="1" hidden="1" outlineLevel="1" x14ac:dyDescent="0.3">
      <c r="A189" s="299"/>
      <c r="B189" s="299">
        <v>2003</v>
      </c>
      <c r="C189" s="337" t="s">
        <v>1546</v>
      </c>
      <c r="D189" s="359">
        <v>6694</v>
      </c>
      <c r="E189" s="343">
        <f t="shared" si="12"/>
        <v>2.3860507800550629E-2</v>
      </c>
      <c r="F189" s="344">
        <v>3693</v>
      </c>
      <c r="G189" s="343">
        <f t="shared" si="12"/>
        <v>1.9321004692243997E-2</v>
      </c>
      <c r="H189" s="360">
        <v>57.96</v>
      </c>
      <c r="I189" s="364">
        <f>(H189-H188)/H188</f>
        <v>0.10336950314106225</v>
      </c>
      <c r="J189" s="362">
        <v>168.3</v>
      </c>
      <c r="K189" s="364">
        <f>(J189-J188)/J188</f>
        <v>3.1882280809319541E-2</v>
      </c>
      <c r="L189" s="362">
        <v>175.1</v>
      </c>
      <c r="M189" s="365">
        <f>(L189-L188)/L188</f>
        <v>3.2429245283018868E-2</v>
      </c>
      <c r="N189" s="362">
        <v>185</v>
      </c>
      <c r="O189" s="365">
        <f>(N189-N188)/N188</f>
        <v>2.0408163265306058E-2</v>
      </c>
      <c r="P189" s="362">
        <v>139.4</v>
      </c>
      <c r="Q189" s="365">
        <f>(P189-P188)/P188</f>
        <v>4.7332832456799485E-2</v>
      </c>
      <c r="R189" s="299"/>
      <c r="T189" s="355"/>
      <c r="U189" s="356"/>
    </row>
    <row r="190" spans="1:21" s="301" customFormat="1" hidden="1" outlineLevel="1" x14ac:dyDescent="0.3">
      <c r="A190" s="299"/>
      <c r="B190" s="299">
        <v>2004</v>
      </c>
      <c r="C190" s="337" t="s">
        <v>1546</v>
      </c>
      <c r="D190" s="359">
        <v>7115</v>
      </c>
      <c r="E190" s="343">
        <f>(D190-D189)/D189</f>
        <v>6.2892142216910668E-2</v>
      </c>
      <c r="F190" s="344">
        <v>3984</v>
      </c>
      <c r="G190" s="343">
        <f>(F190-F189)/F189</f>
        <v>7.8797725426482529E-2</v>
      </c>
      <c r="H190" s="366">
        <v>75.260000000000005</v>
      </c>
      <c r="I190" s="364">
        <f>(H190-H189)/H189</f>
        <v>0.29848171152518987</v>
      </c>
      <c r="J190" s="362">
        <v>178.8</v>
      </c>
      <c r="K190" s="364">
        <f>(J190-J189)/J189</f>
        <v>6.2388591800356503E-2</v>
      </c>
      <c r="L190" s="362">
        <v>189.5</v>
      </c>
      <c r="M190" s="365">
        <f>(L190-L189)/L189</f>
        <v>8.2238720731010892E-2</v>
      </c>
      <c r="N190" s="362">
        <v>190.9</v>
      </c>
      <c r="O190" s="365">
        <f>(N190-N189)/N189</f>
        <v>3.189189189189192E-2</v>
      </c>
      <c r="P190" s="362">
        <v>149.80000000000001</v>
      </c>
      <c r="Q190" s="365">
        <f>(P190-P189)/P189</f>
        <v>7.4605451936872347E-2</v>
      </c>
      <c r="R190" s="299"/>
      <c r="T190" s="355"/>
      <c r="U190" s="356"/>
    </row>
    <row r="191" spans="1:21" s="301" customFormat="1" hidden="1" outlineLevel="1" x14ac:dyDescent="0.3">
      <c r="A191" s="299"/>
      <c r="B191" s="299">
        <v>2005</v>
      </c>
      <c r="C191" s="354" t="s">
        <v>1550</v>
      </c>
      <c r="D191" s="359">
        <v>7297</v>
      </c>
      <c r="E191" s="343"/>
      <c r="F191" s="344">
        <v>4112</v>
      </c>
      <c r="G191" s="343"/>
      <c r="H191" s="366">
        <v>81.678369475712074</v>
      </c>
      <c r="I191" s="367"/>
      <c r="J191" s="362">
        <v>179.2</v>
      </c>
      <c r="K191" s="367"/>
      <c r="L191" s="362">
        <v>189.3</v>
      </c>
      <c r="M191" s="368"/>
      <c r="N191" s="362">
        <v>191</v>
      </c>
      <c r="O191" s="368"/>
      <c r="P191" s="362">
        <v>151.30000000000001</v>
      </c>
      <c r="Q191" s="368"/>
      <c r="R191" s="299"/>
      <c r="T191" s="355"/>
      <c r="U191" s="356"/>
    </row>
    <row r="192" spans="1:21" s="301" customFormat="1" hidden="1" outlineLevel="1" x14ac:dyDescent="0.3">
      <c r="A192" s="299"/>
      <c r="B192" s="299">
        <v>2005</v>
      </c>
      <c r="C192" s="354" t="s">
        <v>1551</v>
      </c>
      <c r="D192" s="359">
        <v>7298</v>
      </c>
      <c r="E192" s="343"/>
      <c r="F192" s="344">
        <v>4116</v>
      </c>
      <c r="G192" s="343"/>
      <c r="H192" s="366">
        <v>83.877999080325509</v>
      </c>
      <c r="I192" s="367"/>
      <c r="J192" s="362">
        <v>178.5</v>
      </c>
      <c r="K192" s="367"/>
      <c r="L192" s="362">
        <v>189</v>
      </c>
      <c r="M192" s="368"/>
      <c r="N192" s="362">
        <v>190.3</v>
      </c>
      <c r="O192" s="368"/>
      <c r="P192" s="362">
        <v>150.1</v>
      </c>
      <c r="Q192" s="368"/>
      <c r="R192" s="299"/>
      <c r="T192" s="355"/>
      <c r="U192" s="356"/>
    </row>
    <row r="193" spans="1:21" s="301" customFormat="1" hidden="1" outlineLevel="1" x14ac:dyDescent="0.3">
      <c r="A193" s="299"/>
      <c r="B193" s="299">
        <v>2005</v>
      </c>
      <c r="C193" s="354" t="s">
        <v>1552</v>
      </c>
      <c r="D193" s="359">
        <v>7309</v>
      </c>
      <c r="E193" s="343"/>
      <c r="F193" s="344">
        <v>4127</v>
      </c>
      <c r="G193" s="343"/>
      <c r="H193" s="366">
        <v>94.583558856007755</v>
      </c>
      <c r="I193" s="367"/>
      <c r="J193" s="362">
        <v>178.9</v>
      </c>
      <c r="K193" s="367"/>
      <c r="L193" s="362">
        <v>189</v>
      </c>
      <c r="M193" s="368"/>
      <c r="N193" s="362">
        <v>190.7</v>
      </c>
      <c r="O193" s="368"/>
      <c r="P193" s="362">
        <v>150.9</v>
      </c>
      <c r="Q193" s="368"/>
      <c r="R193" s="299"/>
      <c r="T193" s="355"/>
      <c r="U193" s="356"/>
    </row>
    <row r="194" spans="1:21" s="301" customFormat="1" hidden="1" outlineLevel="1" x14ac:dyDescent="0.3">
      <c r="A194" s="299"/>
      <c r="B194" s="299">
        <v>2005</v>
      </c>
      <c r="C194" s="299" t="s">
        <v>1553</v>
      </c>
      <c r="D194" s="359">
        <v>7355</v>
      </c>
      <c r="E194" s="343"/>
      <c r="F194" s="344">
        <v>4168</v>
      </c>
      <c r="G194" s="343"/>
      <c r="H194" s="366">
        <v>95.058448570292995</v>
      </c>
      <c r="I194" s="367"/>
      <c r="J194" s="362">
        <v>179.6</v>
      </c>
      <c r="K194" s="367"/>
      <c r="L194" s="362">
        <v>189.4</v>
      </c>
      <c r="M194" s="368"/>
      <c r="N194" s="362">
        <v>191.8</v>
      </c>
      <c r="O194" s="368"/>
      <c r="P194" s="362">
        <v>151.6</v>
      </c>
      <c r="Q194" s="368"/>
      <c r="R194" s="299"/>
      <c r="T194" s="355"/>
      <c r="U194" s="356"/>
    </row>
    <row r="195" spans="1:21" s="301" customFormat="1" hidden="1" outlineLevel="1" x14ac:dyDescent="0.3">
      <c r="A195" s="299"/>
      <c r="B195" s="299">
        <v>2005</v>
      </c>
      <c r="C195" s="299" t="s">
        <v>1554</v>
      </c>
      <c r="D195" s="359">
        <v>7398</v>
      </c>
      <c r="E195" s="343"/>
      <c r="F195" s="344">
        <v>4189</v>
      </c>
      <c r="G195" s="343"/>
      <c r="H195" s="366">
        <v>90.452475976267195</v>
      </c>
      <c r="I195" s="367"/>
      <c r="J195" s="362">
        <v>181.2</v>
      </c>
      <c r="K195" s="367"/>
      <c r="L195" s="362">
        <v>190.8</v>
      </c>
      <c r="M195" s="368"/>
      <c r="N195" s="362">
        <v>193.3</v>
      </c>
      <c r="O195" s="368"/>
      <c r="P195" s="362">
        <v>153.6</v>
      </c>
      <c r="Q195" s="368"/>
      <c r="R195" s="299"/>
      <c r="T195" s="355"/>
      <c r="U195" s="356"/>
    </row>
    <row r="196" spans="1:21" s="301" customFormat="1" hidden="1" outlineLevel="1" x14ac:dyDescent="0.3">
      <c r="A196" s="299"/>
      <c r="B196" s="299">
        <v>2005</v>
      </c>
      <c r="C196" s="299" t="s">
        <v>1555</v>
      </c>
      <c r="D196" s="359">
        <v>7415</v>
      </c>
      <c r="E196" s="343"/>
      <c r="F196" s="344">
        <v>4195</v>
      </c>
      <c r="G196" s="343"/>
      <c r="H196" s="366">
        <v>100.11403742360821</v>
      </c>
      <c r="I196" s="369"/>
      <c r="J196" s="362">
        <v>182.4</v>
      </c>
      <c r="K196" s="369"/>
      <c r="L196" s="362">
        <v>191.9</v>
      </c>
      <c r="M196" s="370"/>
      <c r="N196" s="362">
        <v>194.6</v>
      </c>
      <c r="O196" s="370"/>
      <c r="P196" s="362">
        <v>155</v>
      </c>
      <c r="Q196" s="370"/>
      <c r="R196" s="299"/>
      <c r="T196" s="355"/>
      <c r="U196" s="356"/>
    </row>
    <row r="197" spans="1:21" s="301" customFormat="1" hidden="1" outlineLevel="1" x14ac:dyDescent="0.3">
      <c r="A197" s="299"/>
      <c r="B197" s="299">
        <v>2005</v>
      </c>
      <c r="C197" s="299" t="s">
        <v>1556</v>
      </c>
      <c r="D197" s="359">
        <v>7422</v>
      </c>
      <c r="E197" s="343"/>
      <c r="F197" s="344">
        <v>4197</v>
      </c>
      <c r="G197" s="343"/>
      <c r="H197" s="366">
        <v>104.95991087315349</v>
      </c>
      <c r="I197" s="369"/>
      <c r="J197" s="362">
        <v>182.4</v>
      </c>
      <c r="K197" s="369"/>
      <c r="L197" s="362">
        <v>192.3</v>
      </c>
      <c r="M197" s="370"/>
      <c r="N197" s="362">
        <v>194.4</v>
      </c>
      <c r="O197" s="370"/>
      <c r="P197" s="362">
        <v>154.4</v>
      </c>
      <c r="Q197" s="370"/>
      <c r="R197" s="299"/>
      <c r="T197" s="355"/>
      <c r="U197" s="356"/>
    </row>
    <row r="198" spans="1:21" s="301" customFormat="1" hidden="1" outlineLevel="1" x14ac:dyDescent="0.3">
      <c r="A198" s="299"/>
      <c r="B198" s="299">
        <v>2005</v>
      </c>
      <c r="C198" s="299" t="s">
        <v>1557</v>
      </c>
      <c r="D198" s="359">
        <v>7479</v>
      </c>
      <c r="E198" s="343"/>
      <c r="F198" s="344">
        <v>4210</v>
      </c>
      <c r="G198" s="343"/>
      <c r="H198" s="366">
        <v>114.20826892919958</v>
      </c>
      <c r="I198" s="369"/>
      <c r="J198" s="362">
        <v>182.3</v>
      </c>
      <c r="K198" s="369"/>
      <c r="L198" s="362">
        <v>192.4</v>
      </c>
      <c r="M198" s="370"/>
      <c r="N198" s="362">
        <v>194.5</v>
      </c>
      <c r="O198" s="370"/>
      <c r="P198" s="362">
        <v>154.1</v>
      </c>
      <c r="Q198" s="370"/>
      <c r="R198" s="299"/>
      <c r="T198" s="355"/>
      <c r="U198" s="356"/>
    </row>
    <row r="199" spans="1:21" s="301" customFormat="1" hidden="1" outlineLevel="1" x14ac:dyDescent="0.3">
      <c r="A199" s="299"/>
      <c r="B199" s="299">
        <v>2005</v>
      </c>
      <c r="C199" s="299" t="s">
        <v>1558</v>
      </c>
      <c r="D199" s="359">
        <v>7540</v>
      </c>
      <c r="E199" s="343"/>
      <c r="F199" s="344">
        <v>4242</v>
      </c>
      <c r="G199" s="343"/>
      <c r="H199" s="366">
        <v>114.71657223852384</v>
      </c>
      <c r="I199" s="369"/>
      <c r="J199" s="362">
        <v>183.7</v>
      </c>
      <c r="K199" s="369"/>
      <c r="L199" s="362">
        <v>193.6</v>
      </c>
      <c r="M199" s="370"/>
      <c r="N199" s="362">
        <v>195.4</v>
      </c>
      <c r="O199" s="370"/>
      <c r="P199" s="362">
        <v>156.19999999999999</v>
      </c>
      <c r="Q199" s="370"/>
      <c r="R199" s="299"/>
      <c r="T199" s="355"/>
      <c r="U199" s="356"/>
    </row>
    <row r="200" spans="1:21" s="301" customFormat="1" hidden="1" outlineLevel="1" x14ac:dyDescent="0.3">
      <c r="A200" s="299"/>
      <c r="B200" s="299">
        <v>2005</v>
      </c>
      <c r="C200" s="299" t="s">
        <v>1559</v>
      </c>
      <c r="D200" s="359">
        <v>7563</v>
      </c>
      <c r="E200" s="343"/>
      <c r="F200" s="344">
        <v>4265</v>
      </c>
      <c r="G200" s="343"/>
      <c r="H200" s="366">
        <v>110.13519215090169</v>
      </c>
      <c r="I200" s="369"/>
      <c r="J200" s="362">
        <v>184.7</v>
      </c>
      <c r="K200" s="369"/>
      <c r="L200" s="362">
        <v>194.5</v>
      </c>
      <c r="M200" s="370"/>
      <c r="N200" s="362">
        <v>196.4</v>
      </c>
      <c r="O200" s="370"/>
      <c r="P200" s="362">
        <v>157.30000000000001</v>
      </c>
      <c r="Q200" s="370"/>
      <c r="R200" s="299"/>
      <c r="T200" s="355"/>
      <c r="U200" s="356"/>
    </row>
    <row r="201" spans="1:21" s="301" customFormat="1" hidden="1" outlineLevel="1" x14ac:dyDescent="0.3">
      <c r="A201" s="299"/>
      <c r="B201" s="299">
        <v>2005</v>
      </c>
      <c r="C201" s="299" t="s">
        <v>1560</v>
      </c>
      <c r="D201" s="359">
        <v>7630</v>
      </c>
      <c r="E201" s="343"/>
      <c r="F201" s="344">
        <v>4312</v>
      </c>
      <c r="G201" s="343"/>
      <c r="H201" s="366">
        <v>103.70826053057756</v>
      </c>
      <c r="I201" s="369"/>
      <c r="J201" s="362">
        <v>187.3</v>
      </c>
      <c r="K201" s="369"/>
      <c r="L201" s="362">
        <v>195.9</v>
      </c>
      <c r="M201" s="370"/>
      <c r="N201" s="362">
        <v>198.8</v>
      </c>
      <c r="O201" s="370"/>
      <c r="P201" s="362">
        <v>161.9</v>
      </c>
      <c r="Q201" s="370"/>
      <c r="R201" s="299"/>
      <c r="T201" s="355"/>
      <c r="U201" s="356"/>
    </row>
    <row r="202" spans="1:21" s="301" customFormat="1" hidden="1" outlineLevel="1" x14ac:dyDescent="0.3">
      <c r="A202" s="299"/>
      <c r="B202" s="299">
        <v>2005</v>
      </c>
      <c r="C202" s="299" t="s">
        <v>1561</v>
      </c>
      <c r="D202" s="359">
        <v>7647</v>
      </c>
      <c r="E202" s="343"/>
      <c r="F202" s="344">
        <v>4329</v>
      </c>
      <c r="G202" s="343"/>
      <c r="H202" s="366">
        <v>106.50690589543019</v>
      </c>
      <c r="I202" s="364">
        <f t="shared" ref="I202:I266" si="13">(H202-H190)/H190</f>
        <v>0.41518610012530144</v>
      </c>
      <c r="J202" s="362">
        <v>189.3</v>
      </c>
      <c r="K202" s="364">
        <f t="shared" ref="K202:K265" si="14">(J202-J190)/J190</f>
        <v>5.8724832214765099E-2</v>
      </c>
      <c r="L202" s="362">
        <v>197.8</v>
      </c>
      <c r="M202" s="365">
        <f>(L202-L190)/L190</f>
        <v>4.379947229551457E-2</v>
      </c>
      <c r="N202" s="362">
        <v>199.2</v>
      </c>
      <c r="O202" s="365">
        <f>(N202-N190)/N190</f>
        <v>4.3478260869565126E-2</v>
      </c>
      <c r="P202" s="362">
        <v>166</v>
      </c>
      <c r="Q202" s="365">
        <f>(P202-P190)/P190</f>
        <v>0.10814419225634171</v>
      </c>
      <c r="R202" s="299"/>
      <c r="T202" s="355"/>
      <c r="U202" s="356"/>
    </row>
    <row r="203" spans="1:21" s="301" customFormat="1" hidden="1" outlineLevel="1" x14ac:dyDescent="0.3">
      <c r="A203" s="299"/>
      <c r="B203" s="299">
        <v>2006</v>
      </c>
      <c r="C203" s="354" t="s">
        <v>1550</v>
      </c>
      <c r="D203" s="359">
        <v>7660</v>
      </c>
      <c r="E203" s="343">
        <f t="shared" ref="E203:G228" si="15">(D203-D191)/D191</f>
        <v>4.9746471152528435E-2</v>
      </c>
      <c r="F203" s="344">
        <v>4335</v>
      </c>
      <c r="G203" s="343">
        <f t="shared" si="15"/>
        <v>5.4231517509727628E-2</v>
      </c>
      <c r="H203" s="366">
        <v>115.73412454488557</v>
      </c>
      <c r="I203" s="364">
        <f t="shared" si="13"/>
        <v>0.41694949700606276</v>
      </c>
      <c r="J203" s="362">
        <v>188.4</v>
      </c>
      <c r="K203" s="364">
        <f t="shared" si="14"/>
        <v>5.1339285714285809E-2</v>
      </c>
      <c r="L203" s="362">
        <v>198.3</v>
      </c>
      <c r="M203" s="365">
        <f t="shared" ref="M203:M266" si="16">(L203-L191)/L191</f>
        <v>4.754358161648177E-2</v>
      </c>
      <c r="N203" s="362">
        <v>197.6</v>
      </c>
      <c r="O203" s="365">
        <f t="shared" ref="O203:O266" si="17">(N203-N191)/N191</f>
        <v>3.45549738219895E-2</v>
      </c>
      <c r="P203" s="362">
        <v>163.6</v>
      </c>
      <c r="Q203" s="365">
        <f t="shared" ref="Q203:Q266" si="18">(P203-P191)/P191</f>
        <v>8.1295439524124144E-2</v>
      </c>
      <c r="R203" s="299"/>
      <c r="T203" s="355"/>
      <c r="U203" s="356"/>
    </row>
    <row r="204" spans="1:21" s="301" customFormat="1" hidden="1" outlineLevel="1" x14ac:dyDescent="0.3">
      <c r="A204" s="299"/>
      <c r="B204" s="299">
        <v>2006</v>
      </c>
      <c r="C204" s="354" t="s">
        <v>1551</v>
      </c>
      <c r="D204" s="359">
        <v>7689</v>
      </c>
      <c r="E204" s="343">
        <f t="shared" si="15"/>
        <v>5.3576322280076735E-2</v>
      </c>
      <c r="F204" s="344">
        <v>4337</v>
      </c>
      <c r="G204" s="343">
        <f t="shared" si="15"/>
        <v>5.3692905733722061E-2</v>
      </c>
      <c r="H204" s="366">
        <v>111.72734847260506</v>
      </c>
      <c r="I204" s="364">
        <f t="shared" si="13"/>
        <v>0.33202209992646231</v>
      </c>
      <c r="J204" s="362">
        <v>188.1</v>
      </c>
      <c r="K204" s="364">
        <f t="shared" si="14"/>
        <v>5.3781512605041985E-2</v>
      </c>
      <c r="L204" s="362">
        <v>198.6</v>
      </c>
      <c r="M204" s="365">
        <f t="shared" si="16"/>
        <v>5.0793650793650766E-2</v>
      </c>
      <c r="N204" s="362">
        <v>196.8</v>
      </c>
      <c r="O204" s="365">
        <f t="shared" si="17"/>
        <v>3.415659485023647E-2</v>
      </c>
      <c r="P204" s="362">
        <v>163</v>
      </c>
      <c r="Q204" s="365">
        <f t="shared" si="18"/>
        <v>8.5942704863424424E-2</v>
      </c>
      <c r="R204" s="299"/>
      <c r="T204" s="355"/>
      <c r="U204" s="356"/>
    </row>
    <row r="205" spans="1:21" s="301" customFormat="1" hidden="1" outlineLevel="1" x14ac:dyDescent="0.3">
      <c r="A205" s="299"/>
      <c r="B205" s="299">
        <v>2006</v>
      </c>
      <c r="C205" s="354" t="s">
        <v>1552</v>
      </c>
      <c r="D205" s="359">
        <v>7692</v>
      </c>
      <c r="E205" s="343">
        <f t="shared" si="15"/>
        <v>5.2401149268025721E-2</v>
      </c>
      <c r="F205" s="344">
        <v>4330</v>
      </c>
      <c r="G205" s="343">
        <f t="shared" si="15"/>
        <v>4.9188272352798643E-2</v>
      </c>
      <c r="H205" s="366">
        <v>113.64372629616909</v>
      </c>
      <c r="I205" s="364">
        <f t="shared" si="13"/>
        <v>0.20151670830210755</v>
      </c>
      <c r="J205" s="362">
        <v>189.2</v>
      </c>
      <c r="K205" s="364">
        <f t="shared" si="14"/>
        <v>5.7574063722750042E-2</v>
      </c>
      <c r="L205" s="362">
        <v>199.2</v>
      </c>
      <c r="M205" s="365">
        <f t="shared" si="16"/>
        <v>5.3968253968253908E-2</v>
      </c>
      <c r="N205" s="362">
        <v>198.3</v>
      </c>
      <c r="O205" s="365">
        <f t="shared" si="17"/>
        <v>3.9853172522286436E-2</v>
      </c>
      <c r="P205" s="362">
        <v>164.6</v>
      </c>
      <c r="Q205" s="365">
        <f t="shared" si="18"/>
        <v>9.0788601722995285E-2</v>
      </c>
      <c r="R205" s="299"/>
      <c r="T205" s="355"/>
      <c r="U205" s="356"/>
    </row>
    <row r="206" spans="1:21" s="301" customFormat="1" hidden="1" outlineLevel="1" x14ac:dyDescent="0.3">
      <c r="A206" s="299"/>
      <c r="B206" s="299">
        <v>2006</v>
      </c>
      <c r="C206" s="299" t="s">
        <v>1553</v>
      </c>
      <c r="D206" s="359">
        <v>7695</v>
      </c>
      <c r="E206" s="343">
        <f t="shared" si="15"/>
        <v>4.6227056424201225E-2</v>
      </c>
      <c r="F206" s="344">
        <v>4335</v>
      </c>
      <c r="G206" s="343">
        <f t="shared" si="15"/>
        <v>4.0067178502879081E-2</v>
      </c>
      <c r="H206" s="366">
        <v>125.61035195433365</v>
      </c>
      <c r="I206" s="364">
        <f t="shared" si="13"/>
        <v>0.32140124148405808</v>
      </c>
      <c r="J206" s="362">
        <v>188.6</v>
      </c>
      <c r="K206" s="364">
        <f t="shared" si="14"/>
        <v>5.011135857461025E-2</v>
      </c>
      <c r="L206" s="362">
        <v>199.1</v>
      </c>
      <c r="M206" s="365">
        <f t="shared" si="16"/>
        <v>5.1214361140443442E-2</v>
      </c>
      <c r="N206" s="362">
        <v>198.7</v>
      </c>
      <c r="O206" s="365">
        <f t="shared" si="17"/>
        <v>3.597497393117819E-2</v>
      </c>
      <c r="P206" s="362">
        <v>161.9</v>
      </c>
      <c r="Q206" s="365">
        <f t="shared" si="18"/>
        <v>6.794195250659639E-2</v>
      </c>
      <c r="R206" s="299"/>
      <c r="T206" s="355"/>
      <c r="U206" s="356"/>
    </row>
    <row r="207" spans="1:21" s="301" customFormat="1" hidden="1" outlineLevel="1" x14ac:dyDescent="0.3">
      <c r="A207" s="299"/>
      <c r="B207" s="299">
        <v>2006</v>
      </c>
      <c r="C207" s="299" t="s">
        <v>1554</v>
      </c>
      <c r="D207" s="359">
        <v>7691</v>
      </c>
      <c r="E207" s="343">
        <f t="shared" si="15"/>
        <v>3.9605298729386319E-2</v>
      </c>
      <c r="F207" s="344">
        <v>4331</v>
      </c>
      <c r="G207" s="343">
        <f t="shared" si="15"/>
        <v>3.3898305084745763E-2</v>
      </c>
      <c r="H207" s="366">
        <v>126.57465430451352</v>
      </c>
      <c r="I207" s="364">
        <f t="shared" si="13"/>
        <v>0.39934980152145322</v>
      </c>
      <c r="J207" s="362">
        <v>189</v>
      </c>
      <c r="K207" s="364">
        <f t="shared" si="14"/>
        <v>4.3046357615894107E-2</v>
      </c>
      <c r="L207" s="362">
        <v>199.3</v>
      </c>
      <c r="M207" s="365">
        <f t="shared" si="16"/>
        <v>4.4549266247379454E-2</v>
      </c>
      <c r="N207" s="362">
        <v>199.8</v>
      </c>
      <c r="O207" s="365">
        <f t="shared" si="17"/>
        <v>3.3626487325400932E-2</v>
      </c>
      <c r="P207" s="362">
        <v>162</v>
      </c>
      <c r="Q207" s="365">
        <f t="shared" si="18"/>
        <v>5.4687500000000042E-2</v>
      </c>
      <c r="R207" s="299"/>
      <c r="T207" s="355"/>
      <c r="U207" s="356"/>
    </row>
    <row r="208" spans="1:21" s="301" customFormat="1" hidden="1" outlineLevel="1" x14ac:dyDescent="0.3">
      <c r="A208" s="299"/>
      <c r="B208" s="299">
        <v>2006</v>
      </c>
      <c r="C208" s="299" t="s">
        <v>1555</v>
      </c>
      <c r="D208" s="359">
        <v>7700</v>
      </c>
      <c r="E208" s="343">
        <f t="shared" si="15"/>
        <v>3.8435603506405937E-2</v>
      </c>
      <c r="F208" s="344">
        <v>4340</v>
      </c>
      <c r="G208" s="343">
        <f t="shared" si="15"/>
        <v>3.4564958283671038E-2</v>
      </c>
      <c r="H208" s="366">
        <v>126.01984038643566</v>
      </c>
      <c r="I208" s="364">
        <f t="shared" si="13"/>
        <v>0.25876294303478486</v>
      </c>
      <c r="J208" s="362">
        <v>190</v>
      </c>
      <c r="K208" s="364">
        <f t="shared" si="14"/>
        <v>4.1666666666666637E-2</v>
      </c>
      <c r="L208" s="362">
        <v>199.1</v>
      </c>
      <c r="M208" s="365">
        <f t="shared" si="16"/>
        <v>3.751954142782693E-2</v>
      </c>
      <c r="N208" s="362">
        <v>201.5</v>
      </c>
      <c r="O208" s="365">
        <f t="shared" si="17"/>
        <v>3.5457348406988727E-2</v>
      </c>
      <c r="P208" s="362">
        <v>163.80000000000001</v>
      </c>
      <c r="Q208" s="365">
        <f t="shared" si="18"/>
        <v>5.677419354838717E-2</v>
      </c>
      <c r="R208" s="299"/>
      <c r="T208" s="355"/>
      <c r="U208" s="356"/>
    </row>
    <row r="209" spans="1:21" s="301" customFormat="1" hidden="1" outlineLevel="1" x14ac:dyDescent="0.3">
      <c r="A209" s="299"/>
      <c r="B209" s="299">
        <v>2006</v>
      </c>
      <c r="C209" s="299" t="s">
        <v>1556</v>
      </c>
      <c r="D209" s="359">
        <v>7721</v>
      </c>
      <c r="E209" s="343">
        <f t="shared" si="15"/>
        <v>4.0285637294529775E-2</v>
      </c>
      <c r="F209" s="344">
        <v>4356</v>
      </c>
      <c r="G209" s="343">
        <f t="shared" si="15"/>
        <v>3.7884203002144387E-2</v>
      </c>
      <c r="H209" s="366">
        <v>132.8331729603976</v>
      </c>
      <c r="I209" s="364">
        <f t="shared" si="13"/>
        <v>0.26556103044837381</v>
      </c>
      <c r="J209" s="362">
        <v>190.8</v>
      </c>
      <c r="K209" s="364">
        <f t="shared" si="14"/>
        <v>4.6052631578947401E-2</v>
      </c>
      <c r="L209" s="362">
        <v>199.4</v>
      </c>
      <c r="M209" s="365">
        <f t="shared" si="16"/>
        <v>3.6921476859074334E-2</v>
      </c>
      <c r="N209" s="362">
        <v>202.5</v>
      </c>
      <c r="O209" s="365">
        <f t="shared" si="17"/>
        <v>4.1666666666666637E-2</v>
      </c>
      <c r="P209" s="362">
        <v>165.3</v>
      </c>
      <c r="Q209" s="365">
        <f t="shared" si="18"/>
        <v>7.0595854922279822E-2</v>
      </c>
      <c r="R209" s="299"/>
      <c r="T209" s="355"/>
      <c r="U209" s="356"/>
    </row>
    <row r="210" spans="1:21" s="301" customFormat="1" hidden="1" outlineLevel="1" x14ac:dyDescent="0.3">
      <c r="A210" s="299"/>
      <c r="B210" s="299">
        <v>2006</v>
      </c>
      <c r="C210" s="299" t="s">
        <v>1557</v>
      </c>
      <c r="D210" s="359">
        <v>7722</v>
      </c>
      <c r="E210" s="343">
        <f t="shared" si="15"/>
        <v>3.2490974729241874E-2</v>
      </c>
      <c r="F210" s="344">
        <v>4359</v>
      </c>
      <c r="G210" s="343">
        <f t="shared" si="15"/>
        <v>3.5391923990498814E-2</v>
      </c>
      <c r="H210" s="366">
        <v>132.0131429953139</v>
      </c>
      <c r="I210" s="364">
        <f t="shared" si="13"/>
        <v>0.15589829206808123</v>
      </c>
      <c r="J210" s="362">
        <v>191.4</v>
      </c>
      <c r="K210" s="364">
        <f t="shared" si="14"/>
        <v>4.9917718047174951E-2</v>
      </c>
      <c r="L210" s="362">
        <v>200</v>
      </c>
      <c r="M210" s="365">
        <f t="shared" si="16"/>
        <v>3.9501039501039469E-2</v>
      </c>
      <c r="N210" s="362">
        <v>202.9</v>
      </c>
      <c r="O210" s="365">
        <f t="shared" si="17"/>
        <v>4.3187660668380493E-2</v>
      </c>
      <c r="P210" s="362">
        <v>165.9</v>
      </c>
      <c r="Q210" s="365">
        <f t="shared" si="18"/>
        <v>7.6573653471771655E-2</v>
      </c>
      <c r="R210" s="299"/>
      <c r="T210" s="355"/>
      <c r="U210" s="356"/>
    </row>
    <row r="211" spans="1:21" s="301" customFormat="1" hidden="1" outlineLevel="1" x14ac:dyDescent="0.3">
      <c r="A211" s="299"/>
      <c r="B211" s="299">
        <v>2006</v>
      </c>
      <c r="C211" s="299" t="s">
        <v>1558</v>
      </c>
      <c r="D211" s="359">
        <v>7763</v>
      </c>
      <c r="E211" s="343">
        <f t="shared" si="15"/>
        <v>2.9575596816976128E-2</v>
      </c>
      <c r="F211" s="344">
        <v>4375</v>
      </c>
      <c r="G211" s="343">
        <f t="shared" si="15"/>
        <v>3.1353135313531351E-2</v>
      </c>
      <c r="H211" s="366">
        <v>115.66607931162265</v>
      </c>
      <c r="I211" s="364">
        <f t="shared" si="13"/>
        <v>8.2769826065283488E-3</v>
      </c>
      <c r="J211" s="362">
        <v>191.9</v>
      </c>
      <c r="K211" s="364">
        <f t="shared" si="14"/>
        <v>4.463799673380521E-2</v>
      </c>
      <c r="L211" s="362">
        <v>200.1</v>
      </c>
      <c r="M211" s="365">
        <f t="shared" si="16"/>
        <v>3.3574380165289255E-2</v>
      </c>
      <c r="N211" s="362">
        <v>203.5</v>
      </c>
      <c r="O211" s="365">
        <f t="shared" si="17"/>
        <v>4.1453428863868956E-2</v>
      </c>
      <c r="P211" s="362">
        <v>167.1</v>
      </c>
      <c r="Q211" s="365">
        <f t="shared" si="18"/>
        <v>6.9782330345710672E-2</v>
      </c>
      <c r="R211" s="299"/>
      <c r="T211" s="355"/>
      <c r="U211" s="356"/>
    </row>
    <row r="212" spans="1:21" s="301" customFormat="1" hidden="1" outlineLevel="1" x14ac:dyDescent="0.3">
      <c r="A212" s="299"/>
      <c r="B212" s="299">
        <v>2006</v>
      </c>
      <c r="C212" s="299" t="s">
        <v>1559</v>
      </c>
      <c r="D212" s="359">
        <v>7883</v>
      </c>
      <c r="E212" s="343">
        <f t="shared" si="15"/>
        <v>4.2311252148618271E-2</v>
      </c>
      <c r="F212" s="344">
        <v>4431</v>
      </c>
      <c r="G212" s="343">
        <f t="shared" si="15"/>
        <v>3.8921453692848766E-2</v>
      </c>
      <c r="H212" s="366">
        <v>108.96021076931792</v>
      </c>
      <c r="I212" s="364">
        <f t="shared" si="13"/>
        <v>-1.0668537082805126E-2</v>
      </c>
      <c r="J212" s="362">
        <v>192.7</v>
      </c>
      <c r="K212" s="364">
        <f t="shared" si="14"/>
        <v>4.3313481321061185E-2</v>
      </c>
      <c r="L212" s="362">
        <v>201.1</v>
      </c>
      <c r="M212" s="365">
        <f t="shared" si="16"/>
        <v>3.3933161953727475E-2</v>
      </c>
      <c r="N212" s="362">
        <v>203.9</v>
      </c>
      <c r="O212" s="365">
        <f t="shared" si="17"/>
        <v>3.8187372708757633E-2</v>
      </c>
      <c r="P212" s="362">
        <v>167.9</v>
      </c>
      <c r="Q212" s="365">
        <f t="shared" si="18"/>
        <v>6.7387158296249167E-2</v>
      </c>
      <c r="R212" s="299"/>
      <c r="T212" s="355"/>
      <c r="U212" s="356"/>
    </row>
    <row r="213" spans="1:21" s="301" customFormat="1" hidden="1" outlineLevel="1" x14ac:dyDescent="0.3">
      <c r="A213" s="299"/>
      <c r="B213" s="299">
        <v>2006</v>
      </c>
      <c r="C213" s="299" t="s">
        <v>1560</v>
      </c>
      <c r="D213" s="359">
        <v>7911</v>
      </c>
      <c r="E213" s="343">
        <f t="shared" si="15"/>
        <v>3.6828309305373529E-2</v>
      </c>
      <c r="F213" s="344">
        <v>4462</v>
      </c>
      <c r="G213" s="343">
        <f t="shared" si="15"/>
        <v>3.4786641929499075E-2</v>
      </c>
      <c r="H213" s="366">
        <v>109.79271895987635</v>
      </c>
      <c r="I213" s="364">
        <f t="shared" si="13"/>
        <v>5.8668985461431372E-2</v>
      </c>
      <c r="J213" s="362">
        <v>192.8</v>
      </c>
      <c r="K213" s="364">
        <f t="shared" si="14"/>
        <v>2.936465563267485E-2</v>
      </c>
      <c r="L213" s="362">
        <v>204</v>
      </c>
      <c r="M213" s="365">
        <f t="shared" si="16"/>
        <v>4.1347626339969343E-2</v>
      </c>
      <c r="N213" s="362">
        <v>202.9</v>
      </c>
      <c r="O213" s="365">
        <f t="shared" si="17"/>
        <v>2.0623742454728339E-2</v>
      </c>
      <c r="P213" s="362">
        <v>165.4</v>
      </c>
      <c r="Q213" s="365">
        <f t="shared" si="18"/>
        <v>2.1618282890673253E-2</v>
      </c>
      <c r="R213" s="299"/>
      <c r="T213" s="355"/>
      <c r="U213" s="356"/>
    </row>
    <row r="214" spans="1:21" s="301" customFormat="1" hidden="1" outlineLevel="1" x14ac:dyDescent="0.3">
      <c r="A214" s="299"/>
      <c r="B214" s="299">
        <v>2006</v>
      </c>
      <c r="C214" s="299" t="s">
        <v>1561</v>
      </c>
      <c r="D214" s="359">
        <v>7888</v>
      </c>
      <c r="E214" s="343">
        <f t="shared" si="15"/>
        <v>3.1515627043284949E-2</v>
      </c>
      <c r="F214" s="344">
        <v>4441</v>
      </c>
      <c r="G214" s="343">
        <f t="shared" si="15"/>
        <v>2.5872025872025872E-2</v>
      </c>
      <c r="H214" s="366">
        <v>114.27909836557778</v>
      </c>
      <c r="I214" s="364">
        <f t="shared" si="13"/>
        <v>7.2973601146374703E-2</v>
      </c>
      <c r="J214" s="362">
        <v>191.9</v>
      </c>
      <c r="K214" s="364">
        <f t="shared" si="14"/>
        <v>1.3734812466983593E-2</v>
      </c>
      <c r="L214" s="362">
        <v>204.9</v>
      </c>
      <c r="M214" s="365">
        <f t="shared" si="16"/>
        <v>3.589484327603637E-2</v>
      </c>
      <c r="N214" s="362">
        <v>201.8</v>
      </c>
      <c r="O214" s="365">
        <f t="shared" si="17"/>
        <v>1.3052208835341481E-2</v>
      </c>
      <c r="P214" s="362">
        <v>162</v>
      </c>
      <c r="Q214" s="365">
        <f t="shared" si="18"/>
        <v>-2.4096385542168676E-2</v>
      </c>
      <c r="R214" s="299"/>
      <c r="T214" s="355"/>
      <c r="U214" s="356"/>
    </row>
    <row r="215" spans="1:21" s="301" customFormat="1" hidden="1" outlineLevel="1" x14ac:dyDescent="0.3">
      <c r="A215" s="299"/>
      <c r="B215" s="299">
        <v>2007</v>
      </c>
      <c r="C215" s="354" t="s">
        <v>1550</v>
      </c>
      <c r="D215" s="359">
        <v>7880</v>
      </c>
      <c r="E215" s="343">
        <f t="shared" si="15"/>
        <v>2.8720626631853787E-2</v>
      </c>
      <c r="F215" s="344">
        <v>4432</v>
      </c>
      <c r="G215" s="343">
        <f t="shared" si="15"/>
        <v>2.23760092272203E-2</v>
      </c>
      <c r="H215" s="366">
        <v>102.35982985396399</v>
      </c>
      <c r="I215" s="364">
        <f t="shared" si="13"/>
        <v>-0.11556051202283547</v>
      </c>
      <c r="J215" s="362">
        <v>192.4</v>
      </c>
      <c r="K215" s="364">
        <f t="shared" si="14"/>
        <v>2.1231422505307854E-2</v>
      </c>
      <c r="L215" s="362">
        <v>204.2</v>
      </c>
      <c r="M215" s="365">
        <f t="shared" si="16"/>
        <v>2.975289964699938E-2</v>
      </c>
      <c r="N215" s="362">
        <v>201.5</v>
      </c>
      <c r="O215" s="365">
        <f t="shared" si="17"/>
        <v>1.9736842105263188E-2</v>
      </c>
      <c r="P215" s="362">
        <v>165.1</v>
      </c>
      <c r="Q215" s="365">
        <f t="shared" si="18"/>
        <v>9.1687041564792182E-3</v>
      </c>
      <c r="R215" s="299"/>
      <c r="T215" s="355"/>
      <c r="U215" s="356"/>
    </row>
    <row r="216" spans="1:21" s="301" customFormat="1" hidden="1" outlineLevel="1" x14ac:dyDescent="0.3">
      <c r="A216" s="299"/>
      <c r="B216" s="299">
        <v>2007</v>
      </c>
      <c r="C216" s="354" t="s">
        <v>1551</v>
      </c>
      <c r="D216" s="359">
        <v>7880</v>
      </c>
      <c r="E216" s="343">
        <f t="shared" si="15"/>
        <v>2.4840681493042006E-2</v>
      </c>
      <c r="F216" s="344">
        <v>4432</v>
      </c>
      <c r="G216" s="343">
        <f t="shared" si="15"/>
        <v>2.1904542310352777E-2</v>
      </c>
      <c r="H216" s="366">
        <v>109.20695398743453</v>
      </c>
      <c r="I216" s="364">
        <f t="shared" si="13"/>
        <v>-2.255843819464233E-2</v>
      </c>
      <c r="J216" s="362">
        <v>192.7</v>
      </c>
      <c r="K216" s="364">
        <f t="shared" si="14"/>
        <v>2.4455077086656004E-2</v>
      </c>
      <c r="L216" s="362">
        <v>204</v>
      </c>
      <c r="M216" s="365">
        <f t="shared" si="16"/>
        <v>2.7190332326284018E-2</v>
      </c>
      <c r="N216" s="362">
        <v>201.8</v>
      </c>
      <c r="O216" s="365">
        <f t="shared" si="17"/>
        <v>2.540650406504065E-2</v>
      </c>
      <c r="P216" s="362">
        <v>166</v>
      </c>
      <c r="Q216" s="365">
        <f t="shared" si="18"/>
        <v>1.8404907975460124E-2</v>
      </c>
      <c r="R216" s="299"/>
      <c r="T216" s="355"/>
      <c r="U216" s="356"/>
    </row>
    <row r="217" spans="1:21" s="301" customFormat="1" hidden="1" outlineLevel="1" x14ac:dyDescent="0.3">
      <c r="A217" s="299"/>
      <c r="B217" s="299">
        <v>2007</v>
      </c>
      <c r="C217" s="354" t="s">
        <v>1552</v>
      </c>
      <c r="D217" s="359">
        <v>7856</v>
      </c>
      <c r="E217" s="343">
        <f t="shared" si="15"/>
        <v>2.1320852834113363E-2</v>
      </c>
      <c r="F217" s="344">
        <v>4411</v>
      </c>
      <c r="G217" s="343">
        <f t="shared" si="15"/>
        <v>1.8706697459584296E-2</v>
      </c>
      <c r="H217" s="366">
        <v>114.08729817009733</v>
      </c>
      <c r="I217" s="364">
        <f t="shared" si="13"/>
        <v>3.9031795980733145E-3</v>
      </c>
      <c r="J217" s="362">
        <v>192.3</v>
      </c>
      <c r="K217" s="364">
        <f t="shared" si="14"/>
        <v>1.6384778012685109E-2</v>
      </c>
      <c r="L217" s="362">
        <v>204</v>
      </c>
      <c r="M217" s="365">
        <f t="shared" si="16"/>
        <v>2.4096385542168731E-2</v>
      </c>
      <c r="N217" s="362">
        <v>202.4</v>
      </c>
      <c r="O217" s="365">
        <f t="shared" si="17"/>
        <v>2.0675743822491145E-2</v>
      </c>
      <c r="P217" s="362">
        <v>164.2</v>
      </c>
      <c r="Q217" s="365">
        <f t="shared" si="18"/>
        <v>-2.4301336573511888E-3</v>
      </c>
      <c r="R217" s="299"/>
      <c r="T217" s="355"/>
      <c r="U217" s="356"/>
    </row>
    <row r="218" spans="1:21" s="301" customFormat="1" hidden="1" outlineLevel="1" x14ac:dyDescent="0.3">
      <c r="A218" s="299"/>
      <c r="B218" s="299">
        <v>2007</v>
      </c>
      <c r="C218" s="299" t="s">
        <v>1553</v>
      </c>
      <c r="D218" s="359">
        <v>7865</v>
      </c>
      <c r="E218" s="343">
        <f t="shared" si="15"/>
        <v>2.2092267706302793E-2</v>
      </c>
      <c r="F218" s="344">
        <v>4416</v>
      </c>
      <c r="G218" s="343">
        <f t="shared" si="15"/>
        <v>1.8685121107266434E-2</v>
      </c>
      <c r="H218" s="366">
        <v>121.10307176242172</v>
      </c>
      <c r="I218" s="364">
        <f t="shared" si="13"/>
        <v>-3.5883031309000536E-2</v>
      </c>
      <c r="J218" s="362">
        <v>193.3</v>
      </c>
      <c r="K218" s="364">
        <f t="shared" si="14"/>
        <v>2.49204665959704E-2</v>
      </c>
      <c r="L218" s="362">
        <v>203.3</v>
      </c>
      <c r="M218" s="365">
        <f t="shared" si="16"/>
        <v>2.1094927172275325E-2</v>
      </c>
      <c r="N218" s="362">
        <v>203.5</v>
      </c>
      <c r="O218" s="365">
        <f t="shared" si="17"/>
        <v>2.415702063412185E-2</v>
      </c>
      <c r="P218" s="362">
        <v>167.3</v>
      </c>
      <c r="Q218" s="365">
        <f t="shared" si="18"/>
        <v>3.3353922174181629E-2</v>
      </c>
      <c r="R218" s="299"/>
      <c r="T218" s="355"/>
      <c r="U218" s="356"/>
    </row>
    <row r="219" spans="1:21" s="301" customFormat="1" hidden="1" outlineLevel="1" x14ac:dyDescent="0.3">
      <c r="A219" s="299"/>
      <c r="B219" s="299">
        <v>2007</v>
      </c>
      <c r="C219" s="299" t="s">
        <v>1554</v>
      </c>
      <c r="D219" s="359">
        <v>7942</v>
      </c>
      <c r="E219" s="343">
        <f t="shared" si="15"/>
        <v>3.2635548043167338E-2</v>
      </c>
      <c r="F219" s="344">
        <v>4475</v>
      </c>
      <c r="G219" s="343">
        <f t="shared" si="15"/>
        <v>3.3248672362041098E-2</v>
      </c>
      <c r="H219" s="366">
        <v>121.49299021365562</v>
      </c>
      <c r="I219" s="364">
        <f t="shared" si="13"/>
        <v>-4.0147564445504415E-2</v>
      </c>
      <c r="J219" s="362">
        <v>194.6</v>
      </c>
      <c r="K219" s="364">
        <f t="shared" si="14"/>
        <v>2.96296296296296E-2</v>
      </c>
      <c r="L219" s="362">
        <v>203.5</v>
      </c>
      <c r="M219" s="365">
        <f t="shared" si="16"/>
        <v>2.1073758153537323E-2</v>
      </c>
      <c r="N219" s="362">
        <v>205.4</v>
      </c>
      <c r="O219" s="365">
        <f t="shared" si="17"/>
        <v>2.8028028028027997E-2</v>
      </c>
      <c r="P219" s="362">
        <v>169.7</v>
      </c>
      <c r="Q219" s="365">
        <f t="shared" si="18"/>
        <v>4.7530864197530796E-2</v>
      </c>
      <c r="R219" s="299"/>
      <c r="T219" s="355"/>
      <c r="U219" s="356"/>
    </row>
    <row r="220" spans="1:21" s="301" customFormat="1" hidden="1" outlineLevel="1" x14ac:dyDescent="0.3">
      <c r="A220" s="299"/>
      <c r="B220" s="299">
        <v>2007</v>
      </c>
      <c r="C220" s="299" t="s">
        <v>1555</v>
      </c>
      <c r="D220" s="359">
        <v>7939</v>
      </c>
      <c r="E220" s="343">
        <f t="shared" si="15"/>
        <v>3.103896103896104E-2</v>
      </c>
      <c r="F220" s="344">
        <v>4471</v>
      </c>
      <c r="G220" s="343">
        <f t="shared" si="15"/>
        <v>3.0184331797235023E-2</v>
      </c>
      <c r="H220" s="366">
        <v>126.74141551452436</v>
      </c>
      <c r="I220" s="364">
        <f t="shared" si="13"/>
        <v>5.7258851136139811E-3</v>
      </c>
      <c r="J220" s="362">
        <v>196.4</v>
      </c>
      <c r="K220" s="364">
        <f t="shared" si="14"/>
        <v>3.3684210526315816E-2</v>
      </c>
      <c r="L220" s="362">
        <v>205.7</v>
      </c>
      <c r="M220" s="365">
        <f t="shared" si="16"/>
        <v>3.3149171270718203E-2</v>
      </c>
      <c r="N220" s="362">
        <v>206.7</v>
      </c>
      <c r="O220" s="365">
        <f t="shared" si="17"/>
        <v>2.580645161290317E-2</v>
      </c>
      <c r="P220" s="362">
        <v>171.2</v>
      </c>
      <c r="Q220" s="365">
        <f t="shared" si="18"/>
        <v>4.5177045177045037E-2</v>
      </c>
      <c r="R220" s="299"/>
      <c r="T220" s="355"/>
      <c r="U220" s="356"/>
    </row>
    <row r="221" spans="1:21" s="301" customFormat="1" hidden="1" outlineLevel="1" x14ac:dyDescent="0.3">
      <c r="A221" s="299"/>
      <c r="B221" s="299">
        <v>2007</v>
      </c>
      <c r="C221" s="299" t="s">
        <v>1556</v>
      </c>
      <c r="D221" s="359">
        <v>7959</v>
      </c>
      <c r="E221" s="343">
        <f t="shared" si="15"/>
        <v>3.0825022665457842E-2</v>
      </c>
      <c r="F221" s="344">
        <v>4493</v>
      </c>
      <c r="G221" s="343">
        <f t="shared" si="15"/>
        <v>3.1450872359963272E-2</v>
      </c>
      <c r="H221" s="366">
        <v>135.16559000211316</v>
      </c>
      <c r="I221" s="364">
        <f t="shared" si="13"/>
        <v>1.7558995164641114E-2</v>
      </c>
      <c r="J221" s="362">
        <v>197.6</v>
      </c>
      <c r="K221" s="364">
        <f t="shared" si="14"/>
        <v>3.563941299790347E-2</v>
      </c>
      <c r="L221" s="362">
        <v>206.4</v>
      </c>
      <c r="M221" s="365">
        <f t="shared" si="16"/>
        <v>3.5105315947843531E-2</v>
      </c>
      <c r="N221" s="362">
        <v>207.9</v>
      </c>
      <c r="O221" s="365">
        <f t="shared" si="17"/>
        <v>2.6666666666666696E-2</v>
      </c>
      <c r="P221" s="362">
        <v>173.4</v>
      </c>
      <c r="Q221" s="365">
        <f t="shared" si="18"/>
        <v>4.9001814882032632E-2</v>
      </c>
      <c r="R221" s="299"/>
      <c r="T221" s="355"/>
      <c r="U221" s="356"/>
    </row>
    <row r="222" spans="1:21" s="301" customFormat="1" hidden="1" outlineLevel="1" x14ac:dyDescent="0.3">
      <c r="A222" s="299"/>
      <c r="B222" s="299">
        <v>2007</v>
      </c>
      <c r="C222" s="299" t="s">
        <v>1557</v>
      </c>
      <c r="D222" s="359">
        <v>8007</v>
      </c>
      <c r="E222" s="343">
        <f t="shared" si="15"/>
        <v>3.6907536907536904E-2</v>
      </c>
      <c r="F222" s="344">
        <v>4512</v>
      </c>
      <c r="G222" s="343">
        <f t="shared" si="15"/>
        <v>3.509979353062629E-2</v>
      </c>
      <c r="H222" s="366">
        <v>130.00558045335558</v>
      </c>
      <c r="I222" s="364">
        <f t="shared" si="13"/>
        <v>-1.5207292974075958E-2</v>
      </c>
      <c r="J222" s="362">
        <v>197.8</v>
      </c>
      <c r="K222" s="364">
        <f t="shared" si="14"/>
        <v>3.3437826541274848E-2</v>
      </c>
      <c r="L222" s="362">
        <v>206.2</v>
      </c>
      <c r="M222" s="365">
        <f t="shared" si="16"/>
        <v>3.0999999999999944E-2</v>
      </c>
      <c r="N222" s="362">
        <v>208.4</v>
      </c>
      <c r="O222" s="365">
        <f t="shared" si="17"/>
        <v>2.7106949236076885E-2</v>
      </c>
      <c r="P222" s="362">
        <v>173.7</v>
      </c>
      <c r="Q222" s="365">
        <f t="shared" si="18"/>
        <v>4.7016274864376026E-2</v>
      </c>
      <c r="R222" s="299"/>
      <c r="T222" s="355"/>
      <c r="U222" s="356"/>
    </row>
    <row r="223" spans="1:21" s="301" customFormat="1" hidden="1" outlineLevel="1" x14ac:dyDescent="0.3">
      <c r="A223" s="299"/>
      <c r="B223" s="299">
        <v>2007</v>
      </c>
      <c r="C223" s="299" t="s">
        <v>1558</v>
      </c>
      <c r="D223" s="359">
        <v>8050</v>
      </c>
      <c r="E223" s="343">
        <f t="shared" si="15"/>
        <v>3.6970243462578899E-2</v>
      </c>
      <c r="F223" s="344">
        <v>4533</v>
      </c>
      <c r="G223" s="343">
        <f t="shared" si="15"/>
        <v>3.6114285714285717E-2</v>
      </c>
      <c r="H223" s="366">
        <v>140.45303184370775</v>
      </c>
      <c r="I223" s="364">
        <f t="shared" si="13"/>
        <v>0.21429750778795861</v>
      </c>
      <c r="J223" s="362">
        <v>198.6</v>
      </c>
      <c r="K223" s="364">
        <f t="shared" si="14"/>
        <v>3.4914017717561169E-2</v>
      </c>
      <c r="L223" s="362">
        <v>207.4</v>
      </c>
      <c r="M223" s="365">
        <f t="shared" si="16"/>
        <v>3.6481759120439841E-2</v>
      </c>
      <c r="N223" s="362">
        <v>208.3</v>
      </c>
      <c r="O223" s="365">
        <f t="shared" si="17"/>
        <v>2.3587223587223642E-2</v>
      </c>
      <c r="P223" s="362">
        <v>174.9</v>
      </c>
      <c r="Q223" s="365">
        <f t="shared" si="18"/>
        <v>4.6678635547576369E-2</v>
      </c>
      <c r="R223" s="299"/>
      <c r="T223" s="355"/>
      <c r="U223" s="356"/>
    </row>
    <row r="224" spans="1:21" s="301" customFormat="1" hidden="1" outlineLevel="1" x14ac:dyDescent="0.3">
      <c r="A224" s="299"/>
      <c r="B224" s="299">
        <v>2007</v>
      </c>
      <c r="C224" s="299" t="s">
        <v>1559</v>
      </c>
      <c r="D224" s="359">
        <v>8045</v>
      </c>
      <c r="E224" s="343">
        <f t="shared" si="15"/>
        <v>2.0550551820372954E-2</v>
      </c>
      <c r="F224" s="344">
        <v>4535</v>
      </c>
      <c r="G224" s="343">
        <f t="shared" si="15"/>
        <v>2.3470999774317311E-2</v>
      </c>
      <c r="H224" s="366">
        <v>150.53026211284552</v>
      </c>
      <c r="I224" s="364">
        <f t="shared" si="13"/>
        <v>0.38151588593689922</v>
      </c>
      <c r="J224" s="362">
        <v>198.2</v>
      </c>
      <c r="K224" s="364">
        <f t="shared" si="14"/>
        <v>2.8541774779449924E-2</v>
      </c>
      <c r="L224" s="362">
        <v>208.4</v>
      </c>
      <c r="M224" s="365">
        <f t="shared" si="16"/>
        <v>3.6300348085529642E-2</v>
      </c>
      <c r="N224" s="362">
        <v>207.9</v>
      </c>
      <c r="O224" s="365">
        <f t="shared" si="17"/>
        <v>1.96174595389897E-2</v>
      </c>
      <c r="P224" s="362">
        <v>172.4</v>
      </c>
      <c r="Q224" s="365">
        <f t="shared" si="18"/>
        <v>2.6801667659321023E-2</v>
      </c>
      <c r="R224" s="299"/>
      <c r="T224" s="355"/>
      <c r="U224" s="356"/>
    </row>
    <row r="225" spans="1:21" s="301" customFormat="1" hidden="1" outlineLevel="1" x14ac:dyDescent="0.3">
      <c r="A225" s="299"/>
      <c r="B225" s="299">
        <v>2007</v>
      </c>
      <c r="C225" s="299" t="s">
        <v>1560</v>
      </c>
      <c r="D225" s="359">
        <v>8092</v>
      </c>
      <c r="E225" s="343">
        <f t="shared" si="15"/>
        <v>2.2879534824927317E-2</v>
      </c>
      <c r="F225" s="344">
        <v>4558</v>
      </c>
      <c r="G225" s="343">
        <f t="shared" si="15"/>
        <v>2.1515015688032272E-2</v>
      </c>
      <c r="H225" s="366">
        <v>166.67930091163001</v>
      </c>
      <c r="I225" s="364">
        <f t="shared" si="13"/>
        <v>0.5181270897621435</v>
      </c>
      <c r="J225" s="362">
        <v>198.7</v>
      </c>
      <c r="K225" s="364">
        <f t="shared" si="14"/>
        <v>3.0601659751037225E-2</v>
      </c>
      <c r="L225" s="362">
        <v>208.4</v>
      </c>
      <c r="M225" s="365">
        <f t="shared" si="16"/>
        <v>2.156862745098042E-2</v>
      </c>
      <c r="N225" s="362">
        <v>208.5</v>
      </c>
      <c r="O225" s="365">
        <f t="shared" si="17"/>
        <v>2.759980285855098E-2</v>
      </c>
      <c r="P225" s="362">
        <v>173.5</v>
      </c>
      <c r="Q225" s="365">
        <f t="shared" si="18"/>
        <v>4.8972188633615445E-2</v>
      </c>
      <c r="R225" s="299"/>
      <c r="T225" s="355"/>
      <c r="U225" s="356"/>
    </row>
    <row r="226" spans="1:21" s="301" customFormat="1" hidden="1" outlineLevel="1" x14ac:dyDescent="0.3">
      <c r="A226" s="299"/>
      <c r="B226" s="299">
        <v>2007</v>
      </c>
      <c r="C226" s="299" t="s">
        <v>1561</v>
      </c>
      <c r="D226" s="359">
        <v>8089</v>
      </c>
      <c r="E226" s="343">
        <f t="shared" si="15"/>
        <v>2.5481744421906694E-2</v>
      </c>
      <c r="F226" s="344">
        <v>4556</v>
      </c>
      <c r="G226" s="343">
        <f t="shared" si="15"/>
        <v>2.5895068678225625E-2</v>
      </c>
      <c r="H226" s="366">
        <v>164.70124695088063</v>
      </c>
      <c r="I226" s="364">
        <f t="shared" si="13"/>
        <v>0.44121934200078183</v>
      </c>
      <c r="J226" s="362">
        <v>199.5</v>
      </c>
      <c r="K226" s="364">
        <f t="shared" si="14"/>
        <v>3.960396039603957E-2</v>
      </c>
      <c r="L226" s="362">
        <v>209.5</v>
      </c>
      <c r="M226" s="365">
        <f t="shared" si="16"/>
        <v>2.2449975597852584E-2</v>
      </c>
      <c r="N226" s="362">
        <v>208.9</v>
      </c>
      <c r="O226" s="365">
        <f t="shared" si="17"/>
        <v>3.5183349851337926E-2</v>
      </c>
      <c r="P226" s="362">
        <v>174.4</v>
      </c>
      <c r="Q226" s="365">
        <f t="shared" si="18"/>
        <v>7.6543209876543242E-2</v>
      </c>
      <c r="R226" s="299"/>
      <c r="T226" s="355"/>
      <c r="U226" s="356"/>
    </row>
    <row r="227" spans="1:21" s="301" customFormat="1" hidden="1" outlineLevel="1" x14ac:dyDescent="0.3">
      <c r="A227" s="299"/>
      <c r="B227" s="299">
        <v>2008</v>
      </c>
      <c r="C227" s="354" t="s">
        <v>1550</v>
      </c>
      <c r="D227" s="359">
        <v>8090</v>
      </c>
      <c r="E227" s="343">
        <f t="shared" si="15"/>
        <v>2.6649746192893401E-2</v>
      </c>
      <c r="F227" s="344">
        <v>4557</v>
      </c>
      <c r="G227" s="343">
        <f t="shared" si="15"/>
        <v>2.8203971119133572E-2</v>
      </c>
      <c r="H227" s="366">
        <v>168.57770616326781</v>
      </c>
      <c r="I227" s="364">
        <f t="shared" si="13"/>
        <v>0.64691272351445261</v>
      </c>
      <c r="J227" s="362">
        <v>201.3</v>
      </c>
      <c r="K227" s="364">
        <f t="shared" si="14"/>
        <v>4.6257796257796288E-2</v>
      </c>
      <c r="L227" s="362">
        <v>209.5</v>
      </c>
      <c r="M227" s="365">
        <f t="shared" si="16"/>
        <v>2.5954946131243935E-2</v>
      </c>
      <c r="N227" s="362">
        <v>210.2</v>
      </c>
      <c r="O227" s="365">
        <f t="shared" si="17"/>
        <v>4.3176178660049573E-2</v>
      </c>
      <c r="P227" s="362">
        <v>179.4</v>
      </c>
      <c r="Q227" s="365">
        <f t="shared" si="18"/>
        <v>8.6614173228346525E-2</v>
      </c>
      <c r="R227" s="299"/>
      <c r="T227" s="355"/>
      <c r="U227" s="356"/>
    </row>
    <row r="228" spans="1:21" s="301" customFormat="1" hidden="1" outlineLevel="1" x14ac:dyDescent="0.3">
      <c r="A228" s="299"/>
      <c r="B228" s="299">
        <v>2008</v>
      </c>
      <c r="C228" s="354" t="s">
        <v>1551</v>
      </c>
      <c r="D228" s="359">
        <v>8094</v>
      </c>
      <c r="E228" s="343">
        <f t="shared" si="15"/>
        <v>2.7157360406091371E-2</v>
      </c>
      <c r="F228" s="344">
        <v>4556</v>
      </c>
      <c r="G228" s="343">
        <f t="shared" si="15"/>
        <v>2.7978339350180504E-2</v>
      </c>
      <c r="H228" s="366">
        <v>176.2669556234712</v>
      </c>
      <c r="I228" s="364">
        <f t="shared" si="13"/>
        <v>0.61406347478341594</v>
      </c>
      <c r="J228" s="362">
        <v>201</v>
      </c>
      <c r="K228" s="364">
        <f t="shared" si="14"/>
        <v>4.3072132848988129E-2</v>
      </c>
      <c r="L228" s="362">
        <v>209.5</v>
      </c>
      <c r="M228" s="365">
        <f t="shared" si="16"/>
        <v>2.6960784313725492E-2</v>
      </c>
      <c r="N228" s="362">
        <v>210</v>
      </c>
      <c r="O228" s="365">
        <f t="shared" si="17"/>
        <v>4.0634291377601529E-2</v>
      </c>
      <c r="P228" s="362">
        <v>178.6</v>
      </c>
      <c r="Q228" s="365">
        <f t="shared" si="18"/>
        <v>7.5903614457831295E-2</v>
      </c>
      <c r="R228" s="299"/>
      <c r="T228" s="355"/>
      <c r="U228" s="356"/>
    </row>
    <row r="229" spans="1:21" s="301" customFormat="1" hidden="1" outlineLevel="1" x14ac:dyDescent="0.3">
      <c r="A229" s="299"/>
      <c r="B229" s="299">
        <v>2008</v>
      </c>
      <c r="C229" s="354" t="s">
        <v>1552</v>
      </c>
      <c r="D229" s="359">
        <v>8109</v>
      </c>
      <c r="E229" s="343">
        <f t="shared" ref="E229:G280" si="19">(D229-D217)/D217</f>
        <v>3.2204684317718939E-2</v>
      </c>
      <c r="F229" s="344">
        <v>4571</v>
      </c>
      <c r="G229" s="343">
        <f t="shared" si="19"/>
        <v>3.627295397868964E-2</v>
      </c>
      <c r="H229" s="366">
        <v>188.84767129989791</v>
      </c>
      <c r="I229" s="364">
        <f t="shared" si="13"/>
        <v>0.65529094236535734</v>
      </c>
      <c r="J229" s="362">
        <v>202</v>
      </c>
      <c r="K229" s="364">
        <f t="shared" si="14"/>
        <v>5.0442017680707163E-2</v>
      </c>
      <c r="L229" s="362">
        <v>209.6</v>
      </c>
      <c r="M229" s="365">
        <f t="shared" si="16"/>
        <v>2.7450980392156835E-2</v>
      </c>
      <c r="N229" s="362">
        <v>211.1</v>
      </c>
      <c r="O229" s="365">
        <f t="shared" si="17"/>
        <v>4.2984189723320097E-2</v>
      </c>
      <c r="P229" s="362">
        <v>180.8</v>
      </c>
      <c r="Q229" s="365">
        <f t="shared" si="18"/>
        <v>0.10109622411693071</v>
      </c>
      <c r="R229" s="299"/>
      <c r="T229" s="355"/>
      <c r="U229" s="356"/>
    </row>
    <row r="230" spans="1:21" s="301" customFormat="1" hidden="1" outlineLevel="1" x14ac:dyDescent="0.3">
      <c r="A230" s="299"/>
      <c r="B230" s="299">
        <v>2008</v>
      </c>
      <c r="C230" s="299" t="s">
        <v>1553</v>
      </c>
      <c r="D230" s="359">
        <v>8112</v>
      </c>
      <c r="E230" s="343">
        <f t="shared" si="19"/>
        <v>3.1404958677685953E-2</v>
      </c>
      <c r="F230" s="344">
        <v>4574</v>
      </c>
      <c r="G230" s="343">
        <f t="shared" si="19"/>
        <v>3.5778985507246376E-2</v>
      </c>
      <c r="H230" s="366">
        <v>202.29560599993519</v>
      </c>
      <c r="I230" s="364">
        <f t="shared" si="13"/>
        <v>0.67044157555966732</v>
      </c>
      <c r="J230" s="362">
        <v>202.8</v>
      </c>
      <c r="K230" s="364">
        <f t="shared" si="14"/>
        <v>4.914640455250905E-2</v>
      </c>
      <c r="L230" s="362">
        <v>210</v>
      </c>
      <c r="M230" s="365">
        <f t="shared" si="16"/>
        <v>3.29562223315297E-2</v>
      </c>
      <c r="N230" s="362">
        <v>211.7</v>
      </c>
      <c r="O230" s="365">
        <f t="shared" si="17"/>
        <v>4.0294840294840241E-2</v>
      </c>
      <c r="P230" s="362">
        <v>182.4</v>
      </c>
      <c r="Q230" s="365">
        <f t="shared" si="18"/>
        <v>9.0257023311416579E-2</v>
      </c>
      <c r="R230" s="299"/>
      <c r="T230" s="355"/>
      <c r="U230" s="356"/>
    </row>
    <row r="231" spans="1:21" s="301" customFormat="1" hidden="1" outlineLevel="1" x14ac:dyDescent="0.3">
      <c r="A231" s="299"/>
      <c r="B231" s="299">
        <v>2008</v>
      </c>
      <c r="C231" s="299" t="s">
        <v>1554</v>
      </c>
      <c r="D231" s="359">
        <v>8141</v>
      </c>
      <c r="E231" s="343">
        <f t="shared" si="19"/>
        <v>2.5056660790732814E-2</v>
      </c>
      <c r="F231" s="344">
        <v>4599</v>
      </c>
      <c r="G231" s="343">
        <f t="shared" si="19"/>
        <v>2.7709497206703911E-2</v>
      </c>
      <c r="H231" s="366">
        <v>226.2446893280713</v>
      </c>
      <c r="I231" s="364">
        <f t="shared" si="13"/>
        <v>0.86220364590748022</v>
      </c>
      <c r="J231" s="362">
        <v>205.1</v>
      </c>
      <c r="K231" s="364">
        <f t="shared" si="14"/>
        <v>5.3956834532374105E-2</v>
      </c>
      <c r="L231" s="362">
        <v>210.4</v>
      </c>
      <c r="M231" s="365">
        <f t="shared" si="16"/>
        <v>3.3906633906633933E-2</v>
      </c>
      <c r="N231" s="362">
        <v>213.5</v>
      </c>
      <c r="O231" s="365">
        <f t="shared" si="17"/>
        <v>3.9435248296007759E-2</v>
      </c>
      <c r="P231" s="362">
        <v>188.1</v>
      </c>
      <c r="Q231" s="365">
        <f t="shared" si="18"/>
        <v>0.10842663523865649</v>
      </c>
      <c r="R231" s="299"/>
      <c r="T231" s="355"/>
      <c r="U231" s="356"/>
    </row>
    <row r="232" spans="1:21" s="301" customFormat="1" hidden="1" outlineLevel="1" x14ac:dyDescent="0.3">
      <c r="A232" s="299"/>
      <c r="B232" s="299">
        <v>2008</v>
      </c>
      <c r="C232" s="299" t="s">
        <v>1555</v>
      </c>
      <c r="D232" s="359">
        <v>8185</v>
      </c>
      <c r="E232" s="343">
        <f t="shared" si="19"/>
        <v>3.0986270311122308E-2</v>
      </c>
      <c r="F232" s="344">
        <v>4640</v>
      </c>
      <c r="G232" s="343">
        <f t="shared" si="19"/>
        <v>3.7799150078282266E-2</v>
      </c>
      <c r="H232" s="366">
        <v>243.38717375218894</v>
      </c>
      <c r="I232" s="364">
        <f t="shared" si="13"/>
        <v>0.92034444908260604</v>
      </c>
      <c r="J232" s="362">
        <v>206.5</v>
      </c>
      <c r="K232" s="364">
        <f t="shared" si="14"/>
        <v>5.1425661914460255E-2</v>
      </c>
      <c r="L232" s="362">
        <v>211</v>
      </c>
      <c r="M232" s="365">
        <f t="shared" si="16"/>
        <v>2.5765678172095342E-2</v>
      </c>
      <c r="N232" s="362">
        <v>214.8</v>
      </c>
      <c r="O232" s="365">
        <f t="shared" si="17"/>
        <v>3.9187227866473259E-2</v>
      </c>
      <c r="P232" s="362">
        <v>190.7</v>
      </c>
      <c r="Q232" s="365">
        <f t="shared" si="18"/>
        <v>0.11390186915887851</v>
      </c>
      <c r="R232" s="299"/>
      <c r="T232" s="355"/>
      <c r="U232" s="356"/>
    </row>
    <row r="233" spans="1:21" s="301" customFormat="1" hidden="1" outlineLevel="1" x14ac:dyDescent="0.3">
      <c r="A233" s="299"/>
      <c r="B233" s="299">
        <v>2008</v>
      </c>
      <c r="C233" s="299" t="s">
        <v>1556</v>
      </c>
      <c r="D233" s="359">
        <v>8293</v>
      </c>
      <c r="E233" s="343">
        <f t="shared" si="19"/>
        <v>4.1965070988817688E-2</v>
      </c>
      <c r="F233" s="344">
        <v>4723</v>
      </c>
      <c r="G233" s="343">
        <f t="shared" si="19"/>
        <v>5.119074115290452E-2</v>
      </c>
      <c r="H233" s="366">
        <v>249.39999664082833</v>
      </c>
      <c r="I233" s="364">
        <f t="shared" si="13"/>
        <v>0.84514414235848967</v>
      </c>
      <c r="J233" s="362">
        <v>209.3</v>
      </c>
      <c r="K233" s="364">
        <f t="shared" si="14"/>
        <v>5.9210526315789561E-2</v>
      </c>
      <c r="L233" s="362">
        <v>212.4</v>
      </c>
      <c r="M233" s="365">
        <f t="shared" si="16"/>
        <v>2.9069767441860465E-2</v>
      </c>
      <c r="N233" s="362">
        <v>216.6</v>
      </c>
      <c r="O233" s="365">
        <f t="shared" si="17"/>
        <v>4.1847041847041792E-2</v>
      </c>
      <c r="P233" s="362">
        <v>196.5</v>
      </c>
      <c r="Q233" s="365">
        <f t="shared" si="18"/>
        <v>0.13321799307958473</v>
      </c>
      <c r="R233" s="299"/>
      <c r="T233" s="355"/>
      <c r="U233" s="356"/>
    </row>
    <row r="234" spans="1:21" s="301" customFormat="1" hidden="1" outlineLevel="1" x14ac:dyDescent="0.3">
      <c r="A234" s="299"/>
      <c r="B234" s="299">
        <v>2008</v>
      </c>
      <c r="C234" s="299" t="s">
        <v>1557</v>
      </c>
      <c r="D234" s="359">
        <v>8362</v>
      </c>
      <c r="E234" s="343">
        <f t="shared" si="19"/>
        <v>4.4336205819907583E-2</v>
      </c>
      <c r="F234" s="344">
        <v>4733</v>
      </c>
      <c r="G234" s="343">
        <f t="shared" si="19"/>
        <v>4.8980496453900707E-2</v>
      </c>
      <c r="H234" s="366">
        <v>217.45796288704253</v>
      </c>
      <c r="I234" s="364">
        <f t="shared" si="13"/>
        <v>0.67268175818855558</v>
      </c>
      <c r="J234" s="362">
        <v>212.4</v>
      </c>
      <c r="K234" s="364">
        <f t="shared" si="14"/>
        <v>7.3811931243680448E-2</v>
      </c>
      <c r="L234" s="362">
        <v>215.4</v>
      </c>
      <c r="M234" s="365">
        <f t="shared" si="16"/>
        <v>4.461687681862278E-2</v>
      </c>
      <c r="N234" s="362">
        <v>218.8</v>
      </c>
      <c r="O234" s="365">
        <f t="shared" si="17"/>
        <v>4.990403071017277E-2</v>
      </c>
      <c r="P234" s="362">
        <v>200.7</v>
      </c>
      <c r="Q234" s="365">
        <f t="shared" si="18"/>
        <v>0.15544041450777202</v>
      </c>
      <c r="R234" s="299"/>
      <c r="T234" s="355"/>
      <c r="U234" s="356"/>
    </row>
    <row r="235" spans="1:21" s="301" customFormat="1" hidden="1" outlineLevel="1" x14ac:dyDescent="0.3">
      <c r="A235" s="299"/>
      <c r="B235" s="299">
        <v>2008</v>
      </c>
      <c r="C235" s="299" t="s">
        <v>1558</v>
      </c>
      <c r="D235" s="359">
        <v>8557</v>
      </c>
      <c r="E235" s="343">
        <f t="shared" si="19"/>
        <v>6.2981366459627333E-2</v>
      </c>
      <c r="F235" s="344">
        <v>4827</v>
      </c>
      <c r="G235" s="343">
        <f t="shared" si="19"/>
        <v>6.4857710125744539E-2</v>
      </c>
      <c r="H235" s="366">
        <v>192.01592882752885</v>
      </c>
      <c r="I235" s="364">
        <f t="shared" si="13"/>
        <v>0.36711843316560705</v>
      </c>
      <c r="J235" s="362">
        <v>214.7</v>
      </c>
      <c r="K235" s="364">
        <f t="shared" si="14"/>
        <v>8.1067472306142974E-2</v>
      </c>
      <c r="L235" s="362">
        <v>216.8</v>
      </c>
      <c r="M235" s="365">
        <f t="shared" si="16"/>
        <v>4.5323047251687586E-2</v>
      </c>
      <c r="N235" s="362">
        <v>220</v>
      </c>
      <c r="O235" s="365">
        <f t="shared" si="17"/>
        <v>5.6168987037926013E-2</v>
      </c>
      <c r="P235" s="362">
        <v>205.6</v>
      </c>
      <c r="Q235" s="365">
        <f t="shared" si="18"/>
        <v>0.17552887364208111</v>
      </c>
      <c r="R235" s="299"/>
      <c r="T235" s="355"/>
      <c r="U235" s="356"/>
    </row>
    <row r="236" spans="1:21" s="301" customFormat="1" hidden="1" outlineLevel="1" x14ac:dyDescent="0.3">
      <c r="A236" s="299"/>
      <c r="B236" s="299">
        <v>2008</v>
      </c>
      <c r="C236" s="299" t="s">
        <v>1559</v>
      </c>
      <c r="D236" s="359">
        <v>8623</v>
      </c>
      <c r="E236" s="343">
        <f t="shared" si="19"/>
        <v>7.1845866998135485E-2</v>
      </c>
      <c r="F236" s="344">
        <v>4867</v>
      </c>
      <c r="G236" s="343">
        <f t="shared" si="19"/>
        <v>7.3208379272326346E-2</v>
      </c>
      <c r="H236" s="366">
        <v>146.67590196111453</v>
      </c>
      <c r="I236" s="364">
        <f t="shared" si="13"/>
        <v>-2.560521783215625E-2</v>
      </c>
      <c r="J236" s="362">
        <v>214.8</v>
      </c>
      <c r="K236" s="364">
        <f t="shared" si="14"/>
        <v>8.3753784056508698E-2</v>
      </c>
      <c r="L236" s="362">
        <v>221.7</v>
      </c>
      <c r="M236" s="365">
        <f t="shared" si="16"/>
        <v>6.3819577735124672E-2</v>
      </c>
      <c r="N236" s="362">
        <v>219.1</v>
      </c>
      <c r="O236" s="365">
        <f t="shared" si="17"/>
        <v>5.3872053872053814E-2</v>
      </c>
      <c r="P236" s="362">
        <v>199.9</v>
      </c>
      <c r="Q236" s="365">
        <f t="shared" si="18"/>
        <v>0.15951276102088166</v>
      </c>
      <c r="R236" s="299"/>
      <c r="T236" s="355"/>
      <c r="U236" s="356"/>
    </row>
    <row r="237" spans="1:21" s="301" customFormat="1" hidden="1" outlineLevel="1" x14ac:dyDescent="0.3">
      <c r="A237" s="299"/>
      <c r="B237" s="299">
        <v>2008</v>
      </c>
      <c r="C237" s="299" t="s">
        <v>1560</v>
      </c>
      <c r="D237" s="359">
        <v>8602</v>
      </c>
      <c r="E237" s="343">
        <f t="shared" si="19"/>
        <v>6.3025210084033612E-2</v>
      </c>
      <c r="F237" s="344">
        <v>4847</v>
      </c>
      <c r="G237" s="343">
        <f t="shared" si="19"/>
        <v>6.3405002193944709E-2</v>
      </c>
      <c r="H237" s="366">
        <v>113.70351756102143</v>
      </c>
      <c r="I237" s="364">
        <f t="shared" si="13"/>
        <v>-0.31783060680519215</v>
      </c>
      <c r="J237" s="362">
        <v>214.6</v>
      </c>
      <c r="K237" s="364">
        <f t="shared" si="14"/>
        <v>8.0020130850528462E-2</v>
      </c>
      <c r="L237" s="362">
        <v>223.4</v>
      </c>
      <c r="M237" s="365">
        <f t="shared" si="16"/>
        <v>7.1976967370441458E-2</v>
      </c>
      <c r="N237" s="362">
        <v>218.8</v>
      </c>
      <c r="O237" s="365">
        <f t="shared" si="17"/>
        <v>4.940047961630701E-2</v>
      </c>
      <c r="P237" s="362">
        <v>197.2</v>
      </c>
      <c r="Q237" s="365">
        <f t="shared" si="18"/>
        <v>0.13659942363112385</v>
      </c>
      <c r="R237" s="299"/>
      <c r="T237" s="355"/>
      <c r="U237" s="356"/>
    </row>
    <row r="238" spans="1:21" s="301" customFormat="1" hidden="1" outlineLevel="1" x14ac:dyDescent="0.3">
      <c r="A238" s="299"/>
      <c r="B238" s="299">
        <v>2008</v>
      </c>
      <c r="C238" s="299" t="s">
        <v>1561</v>
      </c>
      <c r="D238" s="359">
        <v>8551</v>
      </c>
      <c r="E238" s="343">
        <f t="shared" si="19"/>
        <v>5.7114600074174807E-2</v>
      </c>
      <c r="F238" s="344">
        <v>4797</v>
      </c>
      <c r="G238" s="343">
        <f t="shared" si="19"/>
        <v>5.2897278314310799E-2</v>
      </c>
      <c r="H238" s="366">
        <v>91.545668624645842</v>
      </c>
      <c r="I238" s="364">
        <f t="shared" si="13"/>
        <v>-0.44417136895176151</v>
      </c>
      <c r="J238" s="362">
        <v>210.6</v>
      </c>
      <c r="K238" s="364">
        <f t="shared" si="14"/>
        <v>5.5639097744360877E-2</v>
      </c>
      <c r="L238" s="362">
        <v>222.8</v>
      </c>
      <c r="M238" s="365">
        <f t="shared" si="16"/>
        <v>6.3484486873508411E-2</v>
      </c>
      <c r="N238" s="362">
        <v>216.6</v>
      </c>
      <c r="O238" s="365">
        <f t="shared" si="17"/>
        <v>3.6859741503111484E-2</v>
      </c>
      <c r="P238" s="362">
        <v>186.4</v>
      </c>
      <c r="Q238" s="365">
        <f t="shared" si="18"/>
        <v>6.8807339449541288E-2</v>
      </c>
      <c r="R238" s="299"/>
      <c r="T238" s="355"/>
      <c r="U238" s="356"/>
    </row>
    <row r="239" spans="1:21" s="301" customFormat="1" hidden="1" outlineLevel="1" x14ac:dyDescent="0.3">
      <c r="A239" s="299"/>
      <c r="B239" s="299">
        <v>2009</v>
      </c>
      <c r="C239" s="354" t="s">
        <v>1550</v>
      </c>
      <c r="D239" s="359">
        <v>8549</v>
      </c>
      <c r="E239" s="343">
        <f t="shared" si="19"/>
        <v>5.6736711990111245E-2</v>
      </c>
      <c r="F239" s="344">
        <v>4782</v>
      </c>
      <c r="G239" s="343">
        <f t="shared" si="19"/>
        <v>4.9374588545095459E-2</v>
      </c>
      <c r="H239" s="366">
        <v>94.951389458168677</v>
      </c>
      <c r="I239" s="364">
        <f t="shared" si="13"/>
        <v>-0.43675002098908566</v>
      </c>
      <c r="J239" s="362">
        <v>206.1</v>
      </c>
      <c r="K239" s="364">
        <f t="shared" si="14"/>
        <v>2.3845007451564742E-2</v>
      </c>
      <c r="L239" s="362">
        <v>221.2</v>
      </c>
      <c r="M239" s="365">
        <f t="shared" si="16"/>
        <v>5.5847255369928343E-2</v>
      </c>
      <c r="N239" s="362">
        <v>212.4</v>
      </c>
      <c r="O239" s="365">
        <f t="shared" si="17"/>
        <v>1.0466222645099986E-2</v>
      </c>
      <c r="P239" s="362">
        <v>177.5</v>
      </c>
      <c r="Q239" s="365">
        <f t="shared" si="18"/>
        <v>-1.0590858416945405E-2</v>
      </c>
      <c r="R239" s="299"/>
      <c r="T239" s="355"/>
      <c r="U239" s="356"/>
    </row>
    <row r="240" spans="1:21" s="301" customFormat="1" hidden="1" outlineLevel="1" x14ac:dyDescent="0.3">
      <c r="A240" s="299"/>
      <c r="B240" s="299">
        <v>2009</v>
      </c>
      <c r="C240" s="354" t="s">
        <v>1551</v>
      </c>
      <c r="D240" s="359">
        <v>8533</v>
      </c>
      <c r="E240" s="343">
        <f t="shared" si="19"/>
        <v>5.4237706943414878E-2</v>
      </c>
      <c r="F240" s="344">
        <v>4765</v>
      </c>
      <c r="G240" s="343">
        <f t="shared" si="19"/>
        <v>4.5873573309920986E-2</v>
      </c>
      <c r="H240" s="366">
        <v>89.696554492678743</v>
      </c>
      <c r="I240" s="364">
        <f t="shared" si="13"/>
        <v>-0.49113233291280034</v>
      </c>
      <c r="J240" s="362">
        <v>203.6</v>
      </c>
      <c r="K240" s="364">
        <f t="shared" si="14"/>
        <v>1.2935323383084549E-2</v>
      </c>
      <c r="L240" s="362">
        <v>220.9</v>
      </c>
      <c r="M240" s="365">
        <f t="shared" si="16"/>
        <v>5.4415274463007188E-2</v>
      </c>
      <c r="N240" s="362">
        <v>210.2</v>
      </c>
      <c r="O240" s="365">
        <f t="shared" si="17"/>
        <v>9.5238095238089828E-4</v>
      </c>
      <c r="P240" s="362">
        <v>171.3</v>
      </c>
      <c r="Q240" s="365">
        <f t="shared" si="18"/>
        <v>-4.0873460246360488E-2</v>
      </c>
      <c r="R240" s="299"/>
      <c r="T240" s="355"/>
      <c r="U240" s="356"/>
    </row>
    <row r="241" spans="1:24" s="301" customFormat="1" hidden="1" outlineLevel="1" x14ac:dyDescent="0.3">
      <c r="A241" s="299"/>
      <c r="B241" s="299">
        <v>2009</v>
      </c>
      <c r="C241" s="354" t="s">
        <v>1552</v>
      </c>
      <c r="D241" s="359">
        <v>8534</v>
      </c>
      <c r="E241" s="343">
        <f t="shared" si="19"/>
        <v>5.2410901467505239E-2</v>
      </c>
      <c r="F241" s="344">
        <v>4767</v>
      </c>
      <c r="G241" s="343">
        <f t="shared" si="19"/>
        <v>4.2879019908116385E-2</v>
      </c>
      <c r="H241" s="366">
        <v>93.643494168204271</v>
      </c>
      <c r="I241" s="364">
        <f t="shared" si="13"/>
        <v>-0.50413212128258378</v>
      </c>
      <c r="J241" s="362">
        <v>203.6</v>
      </c>
      <c r="K241" s="364">
        <f t="shared" si="14"/>
        <v>7.9207920792078931E-3</v>
      </c>
      <c r="L241" s="362">
        <v>220.4</v>
      </c>
      <c r="M241" s="365">
        <f t="shared" si="16"/>
        <v>5.1526717557251966E-2</v>
      </c>
      <c r="N241" s="362">
        <v>211.1</v>
      </c>
      <c r="O241" s="365">
        <f t="shared" si="17"/>
        <v>0</v>
      </c>
      <c r="P241" s="362">
        <v>171</v>
      </c>
      <c r="Q241" s="365">
        <f t="shared" si="18"/>
        <v>-5.4203539823008906E-2</v>
      </c>
      <c r="R241" s="299"/>
      <c r="T241" s="355"/>
      <c r="U241" s="356"/>
    </row>
    <row r="242" spans="1:24" s="301" customFormat="1" hidden="1" outlineLevel="1" x14ac:dyDescent="0.3">
      <c r="A242" s="299"/>
      <c r="B242" s="299">
        <v>2009</v>
      </c>
      <c r="C242" s="299" t="s">
        <v>1553</v>
      </c>
      <c r="D242" s="359">
        <v>8528</v>
      </c>
      <c r="E242" s="343">
        <f t="shared" si="19"/>
        <v>5.128205128205128E-2</v>
      </c>
      <c r="F242" s="344">
        <v>4761</v>
      </c>
      <c r="G242" s="343">
        <f t="shared" si="19"/>
        <v>4.0883253170091824E-2</v>
      </c>
      <c r="H242" s="366">
        <v>97.045978402634532</v>
      </c>
      <c r="I242" s="364">
        <f t="shared" si="13"/>
        <v>-0.52027638997425574</v>
      </c>
      <c r="J242" s="362">
        <v>203.5</v>
      </c>
      <c r="K242" s="364">
        <f t="shared" si="14"/>
        <v>3.4516765285995494E-3</v>
      </c>
      <c r="L242" s="362">
        <v>220.4</v>
      </c>
      <c r="M242" s="365">
        <f t="shared" si="16"/>
        <v>4.9523809523809553E-2</v>
      </c>
      <c r="N242" s="362">
        <v>212.2</v>
      </c>
      <c r="O242" s="365">
        <f t="shared" si="17"/>
        <v>2.3618327822390174E-3</v>
      </c>
      <c r="P242" s="362">
        <v>169.5</v>
      </c>
      <c r="Q242" s="365">
        <f t="shared" si="18"/>
        <v>-7.0723684210526341E-2</v>
      </c>
      <c r="R242" s="299"/>
      <c r="T242" s="355"/>
      <c r="U242" s="356"/>
    </row>
    <row r="243" spans="1:24" s="301" customFormat="1" hidden="1" outlineLevel="1" x14ac:dyDescent="0.3">
      <c r="A243" s="299"/>
      <c r="B243" s="299">
        <v>2009</v>
      </c>
      <c r="C243" s="299" t="s">
        <v>1554</v>
      </c>
      <c r="D243" s="359">
        <v>8574</v>
      </c>
      <c r="E243" s="343">
        <f t="shared" si="19"/>
        <v>5.318756909470581E-2</v>
      </c>
      <c r="F243" s="344">
        <v>4773</v>
      </c>
      <c r="G243" s="343">
        <f t="shared" si="19"/>
        <v>3.7834311806914545E-2</v>
      </c>
      <c r="H243" s="366">
        <v>109.77937110283766</v>
      </c>
      <c r="I243" s="364">
        <f t="shared" si="13"/>
        <v>-0.51477592058017518</v>
      </c>
      <c r="J243" s="362">
        <v>203.3</v>
      </c>
      <c r="K243" s="364">
        <f t="shared" si="14"/>
        <v>-8.7762067284250754E-3</v>
      </c>
      <c r="L243" s="362">
        <v>220.3</v>
      </c>
      <c r="M243" s="365">
        <f t="shared" si="16"/>
        <v>4.7053231939163526E-2</v>
      </c>
      <c r="N243" s="362">
        <v>212.7</v>
      </c>
      <c r="O243" s="365">
        <f t="shared" si="17"/>
        <v>-3.7470725995316693E-3</v>
      </c>
      <c r="P243" s="362">
        <v>168.1</v>
      </c>
      <c r="Q243" s="365">
        <f t="shared" si="18"/>
        <v>-0.1063264221158958</v>
      </c>
      <c r="R243" s="299"/>
      <c r="T243" s="355"/>
      <c r="U243" s="356"/>
    </row>
    <row r="244" spans="1:24" s="301" customFormat="1" hidden="1" outlineLevel="1" x14ac:dyDescent="0.3">
      <c r="A244" s="299"/>
      <c r="B244" s="299">
        <v>2009</v>
      </c>
      <c r="C244" s="299" t="s">
        <v>1555</v>
      </c>
      <c r="D244" s="359">
        <v>8578</v>
      </c>
      <c r="E244" s="343">
        <f t="shared" si="19"/>
        <v>4.8014660965180207E-2</v>
      </c>
      <c r="F244" s="344">
        <v>4771</v>
      </c>
      <c r="G244" s="343">
        <f t="shared" si="19"/>
        <v>2.8232758620689656E-2</v>
      </c>
      <c r="H244" s="366">
        <v>127.94349593624335</v>
      </c>
      <c r="I244" s="364">
        <f t="shared" si="13"/>
        <v>-0.47432112397791187</v>
      </c>
      <c r="J244" s="362">
        <v>204</v>
      </c>
      <c r="K244" s="364">
        <f t="shared" si="14"/>
        <v>-1.2106537530266344E-2</v>
      </c>
      <c r="L244" s="362">
        <v>221.3</v>
      </c>
      <c r="M244" s="365">
        <f t="shared" si="16"/>
        <v>4.8815165876777304E-2</v>
      </c>
      <c r="N244" s="362">
        <v>213.2</v>
      </c>
      <c r="O244" s="365">
        <f t="shared" si="17"/>
        <v>-7.4487895716947054E-3</v>
      </c>
      <c r="P244" s="362">
        <v>168.7</v>
      </c>
      <c r="Q244" s="365">
        <f t="shared" si="18"/>
        <v>-0.11536444677503933</v>
      </c>
      <c r="R244" s="299"/>
      <c r="T244" s="355"/>
      <c r="U244" s="356"/>
    </row>
    <row r="245" spans="1:24" s="301" customFormat="1" hidden="1" outlineLevel="1" x14ac:dyDescent="0.3">
      <c r="A245" s="299"/>
      <c r="B245" s="299">
        <v>2009</v>
      </c>
      <c r="C245" s="299" t="s">
        <v>1556</v>
      </c>
      <c r="D245" s="359">
        <v>8566</v>
      </c>
      <c r="E245" s="343">
        <f t="shared" si="19"/>
        <v>3.2919329555046423E-2</v>
      </c>
      <c r="F245" s="344">
        <v>4762</v>
      </c>
      <c r="G245" s="343">
        <f t="shared" si="19"/>
        <v>8.2574634766038532E-3</v>
      </c>
      <c r="H245" s="366">
        <v>119.82524605968557</v>
      </c>
      <c r="I245" s="364">
        <f t="shared" si="13"/>
        <v>-0.5195459195123765</v>
      </c>
      <c r="J245" s="362">
        <v>204.6</v>
      </c>
      <c r="K245" s="364">
        <f t="shared" si="14"/>
        <v>-2.2455805064500796E-2</v>
      </c>
      <c r="L245" s="362">
        <v>221.3</v>
      </c>
      <c r="M245" s="365">
        <f t="shared" si="16"/>
        <v>4.190207156308854E-2</v>
      </c>
      <c r="N245" s="362">
        <v>213.9</v>
      </c>
      <c r="O245" s="365">
        <f t="shared" si="17"/>
        <v>-1.2465373961218785E-2</v>
      </c>
      <c r="P245" s="362">
        <v>170.2</v>
      </c>
      <c r="Q245" s="365">
        <f t="shared" si="18"/>
        <v>-0.13384223918575069</v>
      </c>
      <c r="R245" s="299"/>
      <c r="T245" s="355"/>
      <c r="U245" s="356"/>
    </row>
    <row r="246" spans="1:24" s="301" customFormat="1" hidden="1" outlineLevel="1" x14ac:dyDescent="0.3">
      <c r="A246" s="299"/>
      <c r="B246" s="299">
        <v>2009</v>
      </c>
      <c r="C246" s="299" t="s">
        <v>1557</v>
      </c>
      <c r="D246" s="359">
        <v>8564</v>
      </c>
      <c r="E246" s="343">
        <f t="shared" si="19"/>
        <v>2.4156900263094954E-2</v>
      </c>
      <c r="F246" s="344">
        <v>4768</v>
      </c>
      <c r="G246" s="343">
        <f t="shared" si="19"/>
        <v>7.3948869638706949E-3</v>
      </c>
      <c r="H246" s="366">
        <v>130.43894582893569</v>
      </c>
      <c r="I246" s="364">
        <f t="shared" si="13"/>
        <v>-0.40016477622991642</v>
      </c>
      <c r="J246" s="362">
        <v>206.3</v>
      </c>
      <c r="K246" s="364">
        <f t="shared" si="14"/>
        <v>-2.8719397363465134E-2</v>
      </c>
      <c r="L246" s="362">
        <v>221.4</v>
      </c>
      <c r="M246" s="365">
        <f t="shared" si="16"/>
        <v>2.7855153203342618E-2</v>
      </c>
      <c r="N246" s="362">
        <v>215.7</v>
      </c>
      <c r="O246" s="365">
        <f t="shared" si="17"/>
        <v>-1.4168190127970853E-2</v>
      </c>
      <c r="P246" s="362">
        <v>174.1</v>
      </c>
      <c r="Q246" s="365">
        <f t="shared" si="18"/>
        <v>-0.13253612356751368</v>
      </c>
      <c r="R246" s="299"/>
      <c r="T246" s="355"/>
      <c r="U246" s="356"/>
      <c r="W246" s="299"/>
      <c r="X246" s="299"/>
    </row>
    <row r="247" spans="1:24" s="301" customFormat="1" hidden="1" outlineLevel="1" x14ac:dyDescent="0.3">
      <c r="A247" s="293"/>
      <c r="B247" s="299">
        <v>2009</v>
      </c>
      <c r="C247" s="293" t="s">
        <v>1562</v>
      </c>
      <c r="D247" s="359">
        <v>8586</v>
      </c>
      <c r="E247" s="343">
        <f t="shared" si="19"/>
        <v>3.3890382143274512E-3</v>
      </c>
      <c r="F247" s="359">
        <v>4764</v>
      </c>
      <c r="G247" s="343">
        <f t="shared" si="19"/>
        <v>-1.305158483530143E-2</v>
      </c>
      <c r="H247" s="366">
        <v>124.74081912667778</v>
      </c>
      <c r="I247" s="364">
        <f t="shared" si="13"/>
        <v>-0.35036212939020511</v>
      </c>
      <c r="J247" s="362">
        <v>205.4</v>
      </c>
      <c r="K247" s="364">
        <f t="shared" si="14"/>
        <v>-4.3316255239869511E-2</v>
      </c>
      <c r="L247" s="362">
        <v>221</v>
      </c>
      <c r="M247" s="365">
        <f t="shared" si="16"/>
        <v>1.9372693726937215E-2</v>
      </c>
      <c r="N247" s="362">
        <v>214.5</v>
      </c>
      <c r="O247" s="365">
        <f t="shared" si="17"/>
        <v>-2.5000000000000001E-2</v>
      </c>
      <c r="P247" s="362">
        <v>172.7</v>
      </c>
      <c r="Q247" s="365">
        <f t="shared" si="18"/>
        <v>-0.16001945525291833</v>
      </c>
      <c r="R247" s="299"/>
      <c r="T247" s="355"/>
      <c r="U247" s="356"/>
      <c r="W247" s="299"/>
      <c r="X247" s="299"/>
    </row>
    <row r="248" spans="1:24" s="301" customFormat="1" hidden="1" outlineLevel="1" x14ac:dyDescent="0.3">
      <c r="A248" s="293"/>
      <c r="B248" s="299">
        <v>2009</v>
      </c>
      <c r="C248" s="293" t="s">
        <v>1563</v>
      </c>
      <c r="D248" s="359">
        <v>8596</v>
      </c>
      <c r="E248" s="343">
        <f t="shared" si="19"/>
        <v>-3.1311608488924967E-3</v>
      </c>
      <c r="F248" s="359">
        <v>4762</v>
      </c>
      <c r="G248" s="343">
        <f t="shared" si="19"/>
        <v>-2.1573864803780565E-2</v>
      </c>
      <c r="H248" s="366">
        <v>134.81316034434624</v>
      </c>
      <c r="I248" s="364">
        <f t="shared" si="13"/>
        <v>-8.0877236534146135E-2</v>
      </c>
      <c r="J248" s="362">
        <v>206.5</v>
      </c>
      <c r="K248" s="364">
        <f t="shared" si="14"/>
        <v>-3.8640595903165785E-2</v>
      </c>
      <c r="L248" s="362">
        <v>221.4</v>
      </c>
      <c r="M248" s="365">
        <f t="shared" si="16"/>
        <v>-1.3531799729363237E-3</v>
      </c>
      <c r="N248" s="362">
        <v>215.4</v>
      </c>
      <c r="O248" s="365">
        <f t="shared" si="17"/>
        <v>-1.6887266088543993E-2</v>
      </c>
      <c r="P248" s="362">
        <v>175.1</v>
      </c>
      <c r="Q248" s="365">
        <f t="shared" si="18"/>
        <v>-0.12406203101550781</v>
      </c>
      <c r="R248" s="299"/>
      <c r="T248" s="355"/>
      <c r="U248" s="356"/>
      <c r="W248" s="299"/>
      <c r="X248" s="299"/>
    </row>
    <row r="249" spans="1:24" s="301" customFormat="1" hidden="1" outlineLevel="1" x14ac:dyDescent="0.3">
      <c r="A249" s="293"/>
      <c r="B249" s="299">
        <v>2009</v>
      </c>
      <c r="C249" s="293" t="s">
        <v>1564</v>
      </c>
      <c r="D249" s="359">
        <v>8592</v>
      </c>
      <c r="E249" s="343">
        <f t="shared" si="19"/>
        <v>-1.1625203441060219E-3</v>
      </c>
      <c r="F249" s="359">
        <v>4757</v>
      </c>
      <c r="G249" s="343">
        <f t="shared" si="19"/>
        <v>-1.8568186507117806E-2</v>
      </c>
      <c r="H249" s="366">
        <v>140.8193568910315</v>
      </c>
      <c r="I249" s="364">
        <f t="shared" si="13"/>
        <v>0.23847845617843599</v>
      </c>
      <c r="J249" s="362">
        <v>206.5</v>
      </c>
      <c r="K249" s="364">
        <f t="shared" si="14"/>
        <v>-3.7744641192917032E-2</v>
      </c>
      <c r="L249" s="362">
        <v>221.5</v>
      </c>
      <c r="M249" s="365">
        <f t="shared" si="16"/>
        <v>-8.5049239033124693E-3</v>
      </c>
      <c r="N249" s="362">
        <v>215.8</v>
      </c>
      <c r="O249" s="365">
        <f t="shared" si="17"/>
        <v>-1.3711151736745886E-2</v>
      </c>
      <c r="P249" s="362">
        <v>174.6</v>
      </c>
      <c r="Q249" s="365">
        <f t="shared" si="18"/>
        <v>-0.11460446247464501</v>
      </c>
      <c r="R249" s="299"/>
      <c r="T249" s="355"/>
      <c r="U249" s="356"/>
      <c r="W249" s="299"/>
      <c r="X249" s="299"/>
    </row>
    <row r="250" spans="1:24" s="301" customFormat="1" hidden="1" outlineLevel="1" x14ac:dyDescent="0.3">
      <c r="A250" s="293"/>
      <c r="B250" s="299">
        <v>2009</v>
      </c>
      <c r="C250" s="293" t="s">
        <v>1565</v>
      </c>
      <c r="D250" s="359">
        <v>8641</v>
      </c>
      <c r="E250" s="343">
        <f t="shared" si="19"/>
        <v>1.0525084785405215E-2</v>
      </c>
      <c r="F250" s="359">
        <v>4795</v>
      </c>
      <c r="G250" s="343">
        <f t="shared" si="19"/>
        <v>-4.1692724619553888E-4</v>
      </c>
      <c r="H250" s="366">
        <v>137.84341954584676</v>
      </c>
      <c r="I250" s="364">
        <f t="shared" si="13"/>
        <v>0.50573393167327496</v>
      </c>
      <c r="J250" s="362">
        <v>206.9</v>
      </c>
      <c r="K250" s="364">
        <f t="shared" si="14"/>
        <v>-1.7568850902184182E-2</v>
      </c>
      <c r="L250" s="362">
        <v>221.4</v>
      </c>
      <c r="M250" s="365">
        <f t="shared" si="16"/>
        <v>-6.2836624775583737E-3</v>
      </c>
      <c r="N250" s="362">
        <v>216.4</v>
      </c>
      <c r="O250" s="365">
        <f t="shared" si="17"/>
        <v>-9.2336103416430575E-4</v>
      </c>
      <c r="P250" s="362">
        <v>175.3</v>
      </c>
      <c r="Q250" s="365">
        <f t="shared" si="18"/>
        <v>-5.9549356223175934E-2</v>
      </c>
      <c r="R250" s="299"/>
      <c r="T250" s="355"/>
      <c r="U250" s="356"/>
      <c r="W250" s="299"/>
      <c r="X250" s="299"/>
    </row>
    <row r="251" spans="1:24" s="301" customFormat="1" hidden="1" outlineLevel="1" x14ac:dyDescent="0.3">
      <c r="A251" s="293"/>
      <c r="B251" s="293">
        <v>2010</v>
      </c>
      <c r="C251" s="371" t="s">
        <v>1550</v>
      </c>
      <c r="D251" s="359">
        <v>8660</v>
      </c>
      <c r="E251" s="343">
        <f t="shared" si="19"/>
        <v>1.2983974733887004E-2</v>
      </c>
      <c r="F251" s="359">
        <v>4800</v>
      </c>
      <c r="G251" s="343">
        <f t="shared" si="19"/>
        <v>3.7641154328732747E-3</v>
      </c>
      <c r="H251" s="366">
        <v>143.73903758205162</v>
      </c>
      <c r="I251" s="364">
        <f t="shared" si="13"/>
        <v>0.51381710580840523</v>
      </c>
      <c r="J251" s="372">
        <v>208.4</v>
      </c>
      <c r="K251" s="364">
        <f t="shared" si="14"/>
        <v>1.1159631246967547E-2</v>
      </c>
      <c r="L251" s="372">
        <v>222.8</v>
      </c>
      <c r="M251" s="373">
        <f t="shared" si="16"/>
        <v>7.2332730560579692E-3</v>
      </c>
      <c r="N251" s="372">
        <v>217.3</v>
      </c>
      <c r="O251" s="373">
        <f t="shared" si="17"/>
        <v>2.3069679849340892E-2</v>
      </c>
      <c r="P251" s="372">
        <v>177.7</v>
      </c>
      <c r="Q251" s="373">
        <f t="shared" si="18"/>
        <v>1.1267605633802176E-3</v>
      </c>
      <c r="R251" s="299"/>
      <c r="T251" s="355"/>
      <c r="U251" s="356"/>
      <c r="W251" s="299"/>
      <c r="X251" s="299"/>
    </row>
    <row r="252" spans="1:24" s="301" customFormat="1" hidden="1" outlineLevel="1" x14ac:dyDescent="0.3">
      <c r="A252" s="293"/>
      <c r="B252" s="293">
        <v>2010</v>
      </c>
      <c r="C252" s="371" t="s">
        <v>1551</v>
      </c>
      <c r="D252" s="359">
        <v>8672</v>
      </c>
      <c r="E252" s="343">
        <f t="shared" si="19"/>
        <v>1.6289698816360013E-2</v>
      </c>
      <c r="F252" s="359">
        <v>4812</v>
      </c>
      <c r="G252" s="343">
        <f t="shared" si="19"/>
        <v>9.8635886673662122E-3</v>
      </c>
      <c r="H252" s="366">
        <v>139.29823074489806</v>
      </c>
      <c r="I252" s="343">
        <f t="shared" si="13"/>
        <v>0.55299422071187732</v>
      </c>
      <c r="J252" s="372">
        <v>208.7</v>
      </c>
      <c r="K252" s="364">
        <f t="shared" si="14"/>
        <v>2.5049115913555964E-2</v>
      </c>
      <c r="L252" s="372">
        <v>223.2</v>
      </c>
      <c r="M252" s="373">
        <f t="shared" si="16"/>
        <v>1.0411951109099062E-2</v>
      </c>
      <c r="N252" s="372">
        <v>217.5</v>
      </c>
      <c r="O252" s="373">
        <f t="shared" si="17"/>
        <v>3.4728829686013374E-2</v>
      </c>
      <c r="P252" s="372">
        <v>178.1</v>
      </c>
      <c r="Q252" s="373">
        <f t="shared" si="18"/>
        <v>3.9696438995913498E-2</v>
      </c>
      <c r="R252" s="299"/>
      <c r="T252" s="355"/>
      <c r="U252" s="356"/>
      <c r="W252" s="299"/>
      <c r="X252" s="299"/>
    </row>
    <row r="253" spans="1:24" s="301" customFormat="1" hidden="1" outlineLevel="1" x14ac:dyDescent="0.3">
      <c r="A253" s="293"/>
      <c r="B253" s="293">
        <v>2010</v>
      </c>
      <c r="C253" s="371" t="s">
        <v>1552</v>
      </c>
      <c r="D253" s="359">
        <v>8671</v>
      </c>
      <c r="E253" s="343">
        <f t="shared" si="19"/>
        <v>1.6053433325521442E-2</v>
      </c>
      <c r="F253" s="359">
        <v>4811</v>
      </c>
      <c r="G253" s="343">
        <f t="shared" si="19"/>
        <v>9.2301237675687011E-3</v>
      </c>
      <c r="H253" s="366">
        <v>146.28580989034452</v>
      </c>
      <c r="I253" s="343">
        <f t="shared" si="13"/>
        <v>0.56215667932662894</v>
      </c>
      <c r="J253" s="372">
        <v>210</v>
      </c>
      <c r="K253" s="364">
        <f t="shared" si="14"/>
        <v>3.1434184675834996E-2</v>
      </c>
      <c r="L253" s="372">
        <v>223.6</v>
      </c>
      <c r="M253" s="373">
        <f t="shared" si="16"/>
        <v>1.451905626134296E-2</v>
      </c>
      <c r="N253" s="372">
        <v>217.6</v>
      </c>
      <c r="O253" s="373">
        <f t="shared" si="17"/>
        <v>3.0791094268119375E-2</v>
      </c>
      <c r="P253" s="372">
        <v>182</v>
      </c>
      <c r="Q253" s="373">
        <f t="shared" si="18"/>
        <v>6.4327485380116955E-2</v>
      </c>
      <c r="R253" s="299"/>
      <c r="T253" s="355"/>
      <c r="U253" s="356"/>
      <c r="W253" s="299"/>
      <c r="X253" s="299"/>
    </row>
    <row r="254" spans="1:24" s="301" customFormat="1" hidden="1" outlineLevel="1" x14ac:dyDescent="0.3">
      <c r="A254" s="293"/>
      <c r="B254" s="293">
        <v>2010</v>
      </c>
      <c r="C254" s="293" t="s">
        <v>1553</v>
      </c>
      <c r="D254" s="359">
        <v>8677</v>
      </c>
      <c r="E254" s="343">
        <f t="shared" si="19"/>
        <v>1.7471857410881801E-2</v>
      </c>
      <c r="F254" s="359">
        <v>4817</v>
      </c>
      <c r="G254" s="343">
        <f t="shared" si="19"/>
        <v>1.1762234824616677E-2</v>
      </c>
      <c r="H254" s="366">
        <v>155.22324728223944</v>
      </c>
      <c r="I254" s="343">
        <f t="shared" si="13"/>
        <v>0.59948150183238869</v>
      </c>
      <c r="J254" s="372">
        <v>209.7</v>
      </c>
      <c r="K254" s="364">
        <f t="shared" si="14"/>
        <v>3.0466830466830411E-2</v>
      </c>
      <c r="L254" s="372">
        <v>223.6</v>
      </c>
      <c r="M254" s="373">
        <f t="shared" si="16"/>
        <v>1.451905626134296E-2</v>
      </c>
      <c r="N254" s="372">
        <v>217.6</v>
      </c>
      <c r="O254" s="373">
        <f t="shared" si="17"/>
        <v>2.5447690857681459E-2</v>
      </c>
      <c r="P254" s="372">
        <v>180.9</v>
      </c>
      <c r="Q254" s="373">
        <f t="shared" si="18"/>
        <v>6.725663716814162E-2</v>
      </c>
      <c r="R254" s="299"/>
      <c r="T254" s="355"/>
      <c r="U254" s="356"/>
      <c r="W254" s="299"/>
      <c r="X254" s="299"/>
    </row>
    <row r="255" spans="1:24" s="301" customFormat="1" hidden="1" outlineLevel="1" x14ac:dyDescent="0.3">
      <c r="A255" s="293"/>
      <c r="B255" s="293">
        <v>2010</v>
      </c>
      <c r="C255" s="293" t="s">
        <v>1554</v>
      </c>
      <c r="D255" s="359">
        <v>8761</v>
      </c>
      <c r="E255" s="343">
        <f t="shared" si="19"/>
        <v>2.1810123629577793E-2</v>
      </c>
      <c r="F255" s="359">
        <v>4858</v>
      </c>
      <c r="G255" s="343">
        <f t="shared" si="19"/>
        <v>1.7808506180599204E-2</v>
      </c>
      <c r="H255" s="366">
        <v>141.62201930213214</v>
      </c>
      <c r="I255" s="343">
        <f t="shared" si="13"/>
        <v>0.29006039913879045</v>
      </c>
      <c r="J255" s="372">
        <v>210.5</v>
      </c>
      <c r="K255" s="364">
        <f t="shared" si="14"/>
        <v>3.5415641908509536E-2</v>
      </c>
      <c r="L255" s="372">
        <v>223.7</v>
      </c>
      <c r="M255" s="373">
        <f t="shared" si="16"/>
        <v>1.5433499773036664E-2</v>
      </c>
      <c r="N255" s="372">
        <v>217.7</v>
      </c>
      <c r="O255" s="373">
        <f t="shared" si="17"/>
        <v>2.3507287259050307E-2</v>
      </c>
      <c r="P255" s="372">
        <v>183.3</v>
      </c>
      <c r="Q255" s="373">
        <f t="shared" si="18"/>
        <v>9.042236763831063E-2</v>
      </c>
      <c r="R255" s="299"/>
      <c r="T255" s="355"/>
      <c r="U255" s="356"/>
      <c r="W255" s="299"/>
      <c r="X255" s="299"/>
    </row>
    <row r="256" spans="1:24" hidden="1" outlineLevel="1" x14ac:dyDescent="0.3">
      <c r="A256" s="293"/>
      <c r="B256" s="293">
        <v>2010</v>
      </c>
      <c r="C256" s="293" t="s">
        <v>1555</v>
      </c>
      <c r="D256" s="359">
        <v>8805</v>
      </c>
      <c r="E256" s="343">
        <f t="shared" si="19"/>
        <v>2.6463044998834229E-2</v>
      </c>
      <c r="F256" s="359">
        <v>4888</v>
      </c>
      <c r="G256" s="343">
        <f t="shared" si="19"/>
        <v>2.4523160762942781E-2</v>
      </c>
      <c r="H256" s="366">
        <v>140.13598485745158</v>
      </c>
      <c r="I256" s="343">
        <f t="shared" si="13"/>
        <v>9.5295886922489359E-2</v>
      </c>
      <c r="J256" s="372">
        <v>211.6</v>
      </c>
      <c r="K256" s="364">
        <f t="shared" si="14"/>
        <v>3.7254901960784285E-2</v>
      </c>
      <c r="L256" s="372">
        <v>225.8</v>
      </c>
      <c r="M256" s="373">
        <f t="shared" si="16"/>
        <v>2.0334387708992319E-2</v>
      </c>
      <c r="N256" s="372">
        <v>217.6</v>
      </c>
      <c r="O256" s="373">
        <f t="shared" si="17"/>
        <v>2.0637898686679201E-2</v>
      </c>
      <c r="P256" s="372">
        <v>184.4</v>
      </c>
      <c r="Q256" s="373">
        <f t="shared" si="18"/>
        <v>9.306461173681102E-2</v>
      </c>
      <c r="T256" s="355"/>
      <c r="U256" s="356"/>
    </row>
    <row r="257" spans="1:24" hidden="1" outlineLevel="1" x14ac:dyDescent="0.3">
      <c r="A257" s="293"/>
      <c r="B257" s="293">
        <v>2010</v>
      </c>
      <c r="C257" s="293" t="s">
        <v>1556</v>
      </c>
      <c r="D257" s="359">
        <v>8844</v>
      </c>
      <c r="E257" s="343">
        <f t="shared" si="19"/>
        <v>3.2453887462059301E-2</v>
      </c>
      <c r="F257" s="359">
        <v>4910</v>
      </c>
      <c r="G257" s="343">
        <f t="shared" si="19"/>
        <v>3.107937841243175E-2</v>
      </c>
      <c r="H257" s="366">
        <v>139.74650006487332</v>
      </c>
      <c r="I257" s="343">
        <f t="shared" si="13"/>
        <v>0.16625256079394879</v>
      </c>
      <c r="J257" s="372">
        <v>212.1</v>
      </c>
      <c r="K257" s="364">
        <f t="shared" si="14"/>
        <v>3.6656891495601175E-2</v>
      </c>
      <c r="L257" s="372">
        <v>227</v>
      </c>
      <c r="M257" s="373">
        <f t="shared" si="16"/>
        <v>2.5756891098056883E-2</v>
      </c>
      <c r="N257" s="372">
        <v>217.2</v>
      </c>
      <c r="O257" s="373">
        <f t="shared" si="17"/>
        <v>1.5427769985974674E-2</v>
      </c>
      <c r="P257" s="372">
        <v>185</v>
      </c>
      <c r="Q257" s="373">
        <f t="shared" si="18"/>
        <v>8.6956521739130502E-2</v>
      </c>
      <c r="T257" s="355"/>
    </row>
    <row r="258" spans="1:24" hidden="1" outlineLevel="1" x14ac:dyDescent="0.3">
      <c r="A258" s="293"/>
      <c r="B258" s="293">
        <v>2010</v>
      </c>
      <c r="C258" s="293" t="s">
        <v>1557</v>
      </c>
      <c r="D258" s="359">
        <v>8837</v>
      </c>
      <c r="E258" s="343">
        <f t="shared" si="19"/>
        <v>3.187762727697338E-2</v>
      </c>
      <c r="F258" s="359">
        <v>4905</v>
      </c>
      <c r="G258" s="343">
        <f t="shared" si="19"/>
        <v>2.8733221476510067E-2</v>
      </c>
      <c r="H258" s="366">
        <v>141.34746418313006</v>
      </c>
      <c r="I258" s="343">
        <f t="shared" si="13"/>
        <v>8.3629304766847476E-2</v>
      </c>
      <c r="J258" s="372">
        <v>212.2</v>
      </c>
      <c r="K258" s="364">
        <f t="shared" si="14"/>
        <v>2.8599127484246131E-2</v>
      </c>
      <c r="L258" s="372">
        <v>228.4</v>
      </c>
      <c r="M258" s="373">
        <f t="shared" si="16"/>
        <v>3.1616982836495028E-2</v>
      </c>
      <c r="N258" s="372">
        <v>216.9</v>
      </c>
      <c r="O258" s="373">
        <f t="shared" si="17"/>
        <v>5.5632823365786609E-3</v>
      </c>
      <c r="P258" s="372">
        <v>183.7</v>
      </c>
      <c r="Q258" s="373">
        <f t="shared" si="18"/>
        <v>5.5140723721998817E-2</v>
      </c>
      <c r="T258" s="355"/>
      <c r="U258" s="356"/>
    </row>
    <row r="259" spans="1:24" hidden="1" outlineLevel="1" x14ac:dyDescent="0.3">
      <c r="A259" s="293"/>
      <c r="B259" s="293">
        <v>2010</v>
      </c>
      <c r="C259" s="293" t="s">
        <v>1558</v>
      </c>
      <c r="D259" s="359">
        <v>8836</v>
      </c>
      <c r="E259" s="343">
        <f t="shared" si="19"/>
        <v>2.9117167481947356E-2</v>
      </c>
      <c r="F259" s="359">
        <v>4910</v>
      </c>
      <c r="G259" s="343">
        <f t="shared" si="19"/>
        <v>3.0646515533165407E-2</v>
      </c>
      <c r="H259" s="366">
        <v>141.95355470694744</v>
      </c>
      <c r="I259" s="343">
        <f t="shared" si="13"/>
        <v>0.13798799543547693</v>
      </c>
      <c r="J259" s="372">
        <v>212.4</v>
      </c>
      <c r="K259" s="364">
        <f t="shared" si="14"/>
        <v>3.4079844206426485E-2</v>
      </c>
      <c r="L259" s="372">
        <v>227.9</v>
      </c>
      <c r="M259" s="373">
        <f t="shared" si="16"/>
        <v>3.1221719457013599E-2</v>
      </c>
      <c r="N259" s="372">
        <v>217.6</v>
      </c>
      <c r="O259" s="373">
        <f t="shared" si="17"/>
        <v>1.4452214452214425E-2</v>
      </c>
      <c r="P259" s="372">
        <v>184.2</v>
      </c>
      <c r="Q259" s="373">
        <f t="shared" si="18"/>
        <v>6.6589461493920102E-2</v>
      </c>
    </row>
    <row r="260" spans="1:24" hidden="1" outlineLevel="1" x14ac:dyDescent="0.3">
      <c r="A260" s="293"/>
      <c r="B260" s="293">
        <v>2010</v>
      </c>
      <c r="C260" s="293" t="s">
        <v>1559</v>
      </c>
      <c r="D260" s="359">
        <v>8921</v>
      </c>
      <c r="E260" s="343">
        <f t="shared" si="19"/>
        <v>3.7808282922289438E-2</v>
      </c>
      <c r="F260" s="359">
        <v>4947</v>
      </c>
      <c r="G260" s="343">
        <f t="shared" si="19"/>
        <v>3.884922301553969E-2</v>
      </c>
      <c r="H260" s="366">
        <v>151.32847999057699</v>
      </c>
      <c r="I260" s="343">
        <f t="shared" si="13"/>
        <v>0.12250524803399407</v>
      </c>
      <c r="J260" s="372">
        <v>212.8</v>
      </c>
      <c r="K260" s="343">
        <f t="shared" si="14"/>
        <v>3.050847457627124E-2</v>
      </c>
      <c r="L260" s="372">
        <v>228.3</v>
      </c>
      <c r="M260" s="373">
        <f t="shared" si="16"/>
        <v>3.1165311653116555E-2</v>
      </c>
      <c r="N260" s="372">
        <v>218.2</v>
      </c>
      <c r="O260" s="373">
        <f t="shared" si="17"/>
        <v>1.2999071494893143E-2</v>
      </c>
      <c r="P260" s="372">
        <v>184.5</v>
      </c>
      <c r="Q260" s="373">
        <f t="shared" si="18"/>
        <v>5.3683609366076565E-2</v>
      </c>
      <c r="T260" s="355"/>
      <c r="W260" s="301"/>
      <c r="X260" s="301"/>
    </row>
    <row r="261" spans="1:24" hidden="1" outlineLevel="1" x14ac:dyDescent="0.3">
      <c r="A261" s="293"/>
      <c r="B261" s="293">
        <v>2010</v>
      </c>
      <c r="C261" s="293" t="s">
        <v>1560</v>
      </c>
      <c r="D261" s="359">
        <v>8951</v>
      </c>
      <c r="E261" s="343">
        <f t="shared" si="19"/>
        <v>4.1783054003724396E-2</v>
      </c>
      <c r="F261" s="359">
        <v>4968</v>
      </c>
      <c r="G261" s="343">
        <f t="shared" si="19"/>
        <v>4.4355686356947657E-2</v>
      </c>
      <c r="H261" s="366">
        <v>157.11840930046156</v>
      </c>
      <c r="I261" s="343">
        <f t="shared" si="13"/>
        <v>0.11574440310817891</v>
      </c>
      <c r="J261" s="372">
        <v>213.7</v>
      </c>
      <c r="K261" s="343">
        <f t="shared" si="14"/>
        <v>3.4866828087167012E-2</v>
      </c>
      <c r="L261" s="372">
        <v>229.9</v>
      </c>
      <c r="M261" s="373">
        <f t="shared" si="16"/>
        <v>3.7923250564334113E-2</v>
      </c>
      <c r="N261" s="372">
        <v>218.4</v>
      </c>
      <c r="O261" s="373">
        <f t="shared" si="17"/>
        <v>1.204819277108431E-2</v>
      </c>
      <c r="P261" s="372">
        <v>185.1</v>
      </c>
      <c r="Q261" s="373">
        <f t="shared" si="18"/>
        <v>6.0137457044673541E-2</v>
      </c>
      <c r="T261" s="355"/>
      <c r="W261" s="301"/>
      <c r="X261" s="301"/>
    </row>
    <row r="262" spans="1:24" hidden="1" outlineLevel="1" x14ac:dyDescent="0.3">
      <c r="A262" s="293"/>
      <c r="B262" s="293">
        <v>2010</v>
      </c>
      <c r="C262" s="293" t="s">
        <v>1561</v>
      </c>
      <c r="D262" s="359">
        <v>8952</v>
      </c>
      <c r="E262" s="343">
        <f t="shared" si="19"/>
        <v>3.5991204721675732E-2</v>
      </c>
      <c r="F262" s="359">
        <v>4970</v>
      </c>
      <c r="G262" s="343">
        <f t="shared" si="19"/>
        <v>3.6496350364963501E-2</v>
      </c>
      <c r="H262" s="366">
        <v>167.12547972628781</v>
      </c>
      <c r="I262" s="343">
        <f t="shared" si="13"/>
        <v>0.21242987352545931</v>
      </c>
      <c r="J262" s="372">
        <v>214.7</v>
      </c>
      <c r="K262" s="343">
        <f t="shared" si="14"/>
        <v>3.7699371677138632E-2</v>
      </c>
      <c r="L262" s="372">
        <v>230.8</v>
      </c>
      <c r="M262" s="373">
        <f t="shared" si="16"/>
        <v>4.245709123757907E-2</v>
      </c>
      <c r="N262" s="372">
        <v>218.9</v>
      </c>
      <c r="O262" s="373">
        <f t="shared" si="17"/>
        <v>1.1552680221811461E-2</v>
      </c>
      <c r="P262" s="372">
        <v>186.8</v>
      </c>
      <c r="Q262" s="373">
        <f t="shared" si="18"/>
        <v>6.5601825442099249E-2</v>
      </c>
      <c r="T262" s="374"/>
      <c r="W262" s="301"/>
      <c r="X262" s="301"/>
    </row>
    <row r="263" spans="1:24" hidden="1" outlineLevel="1" x14ac:dyDescent="0.3">
      <c r="A263" s="293"/>
      <c r="B263" s="293">
        <v>2011</v>
      </c>
      <c r="C263" s="371" t="s">
        <v>1550</v>
      </c>
      <c r="D263" s="359">
        <v>8938</v>
      </c>
      <c r="E263" s="343">
        <f t="shared" si="19"/>
        <v>3.2101616628175518E-2</v>
      </c>
      <c r="F263" s="359">
        <v>4969</v>
      </c>
      <c r="G263" s="343">
        <f t="shared" si="19"/>
        <v>3.5208333333333335E-2</v>
      </c>
      <c r="H263" s="366">
        <v>173.29610939302174</v>
      </c>
      <c r="I263" s="343">
        <f t="shared" si="13"/>
        <v>0.20563009401045859</v>
      </c>
      <c r="J263" s="372">
        <v>215.1</v>
      </c>
      <c r="K263" s="343">
        <f t="shared" si="14"/>
        <v>3.214971209213046E-2</v>
      </c>
      <c r="L263" s="372">
        <v>230.9</v>
      </c>
      <c r="M263" s="373">
        <f t="shared" si="16"/>
        <v>3.6355475763016128E-2</v>
      </c>
      <c r="N263" s="372">
        <v>219.1</v>
      </c>
      <c r="O263" s="373">
        <f t="shared" si="17"/>
        <v>8.2834790612056272E-3</v>
      </c>
      <c r="P263" s="372">
        <v>188</v>
      </c>
      <c r="Q263" s="373">
        <f t="shared" si="18"/>
        <v>5.7962858750703498E-2</v>
      </c>
      <c r="T263" s="355"/>
      <c r="W263" s="301"/>
      <c r="X263" s="301"/>
    </row>
    <row r="264" spans="1:24" hidden="1" outlineLevel="1" x14ac:dyDescent="0.3">
      <c r="A264" s="293"/>
      <c r="B264" s="293">
        <v>2011</v>
      </c>
      <c r="C264" s="371" t="s">
        <v>1551</v>
      </c>
      <c r="D264" s="359">
        <v>8998</v>
      </c>
      <c r="E264" s="343">
        <f t="shared" si="19"/>
        <v>3.7592250922509222E-2</v>
      </c>
      <c r="F264" s="359">
        <v>5007</v>
      </c>
      <c r="G264" s="343">
        <f t="shared" si="19"/>
        <v>4.0523690773067333E-2</v>
      </c>
      <c r="H264" s="366">
        <v>181.52999909104793</v>
      </c>
      <c r="I264" s="343">
        <f t="shared" si="13"/>
        <v>0.30317519555212757</v>
      </c>
      <c r="J264" s="372">
        <v>215.9</v>
      </c>
      <c r="K264" s="343">
        <f t="shared" si="14"/>
        <v>3.449928126497373E-2</v>
      </c>
      <c r="L264" s="372">
        <v>230.6</v>
      </c>
      <c r="M264" s="373">
        <f t="shared" si="16"/>
        <v>3.3154121863799312E-2</v>
      </c>
      <c r="N264" s="372">
        <v>220.3</v>
      </c>
      <c r="O264" s="373">
        <f t="shared" si="17"/>
        <v>1.2873563218390857E-2</v>
      </c>
      <c r="P264" s="372">
        <v>189.9</v>
      </c>
      <c r="Q264" s="373">
        <f t="shared" si="18"/>
        <v>6.6254912970241497E-2</v>
      </c>
      <c r="T264" s="355"/>
      <c r="W264" s="301"/>
      <c r="X264" s="301"/>
    </row>
    <row r="265" spans="1:24" hidden="1" outlineLevel="1" x14ac:dyDescent="0.3">
      <c r="A265" s="293"/>
      <c r="B265" s="293">
        <v>2011</v>
      </c>
      <c r="C265" s="371" t="s">
        <v>1552</v>
      </c>
      <c r="D265" s="359">
        <v>9011</v>
      </c>
      <c r="E265" s="343">
        <f t="shared" si="19"/>
        <v>3.9211163648944759E-2</v>
      </c>
      <c r="F265" s="359">
        <v>5010</v>
      </c>
      <c r="G265" s="343">
        <f t="shared" si="19"/>
        <v>4.136354188318437E-2</v>
      </c>
      <c r="H265" s="366">
        <v>198.74660596851237</v>
      </c>
      <c r="I265" s="343">
        <f t="shared" si="13"/>
        <v>0.35861848881646363</v>
      </c>
      <c r="J265" s="372">
        <v>217.4</v>
      </c>
      <c r="K265" s="343">
        <f t="shared" si="14"/>
        <v>3.5238095238095263E-2</v>
      </c>
      <c r="L265" s="372">
        <v>232.2</v>
      </c>
      <c r="M265" s="373">
        <f t="shared" si="16"/>
        <v>3.8461538461538436E-2</v>
      </c>
      <c r="N265" s="372">
        <v>221.1</v>
      </c>
      <c r="O265" s="373">
        <f t="shared" si="17"/>
        <v>1.6084558823529414E-2</v>
      </c>
      <c r="P265" s="372">
        <v>192.2</v>
      </c>
      <c r="Q265" s="373">
        <f t="shared" si="18"/>
        <v>5.6043956043955984E-2</v>
      </c>
      <c r="T265" s="355"/>
      <c r="W265" s="301"/>
      <c r="X265" s="301"/>
    </row>
    <row r="266" spans="1:24" hidden="1" outlineLevel="1" x14ac:dyDescent="0.3">
      <c r="A266" s="293"/>
      <c r="B266" s="293">
        <v>2011</v>
      </c>
      <c r="C266" s="293" t="s">
        <v>1553</v>
      </c>
      <c r="D266" s="359">
        <v>9027</v>
      </c>
      <c r="E266" s="343">
        <f t="shared" si="19"/>
        <v>4.0336521839345399E-2</v>
      </c>
      <c r="F266" s="359">
        <v>5028</v>
      </c>
      <c r="G266" s="343">
        <f t="shared" si="19"/>
        <v>4.3803197010587505E-2</v>
      </c>
      <c r="H266" s="366">
        <v>212.57410324337459</v>
      </c>
      <c r="I266" s="343">
        <f t="shared" si="13"/>
        <v>0.36947336797338864</v>
      </c>
      <c r="J266" s="372">
        <v>218.8</v>
      </c>
      <c r="K266" s="343">
        <f t="shared" ref="K266:K306" si="20">(J266-J254)/J254</f>
        <v>4.3395326657129342E-2</v>
      </c>
      <c r="L266" s="372">
        <v>232.4</v>
      </c>
      <c r="M266" s="373">
        <f t="shared" si="16"/>
        <v>3.9355992844364987E-2</v>
      </c>
      <c r="N266" s="372">
        <v>222.3</v>
      </c>
      <c r="O266" s="373">
        <f t="shared" si="17"/>
        <v>2.1599264705882432E-2</v>
      </c>
      <c r="P266" s="372">
        <v>195.5</v>
      </c>
      <c r="Q266" s="373">
        <f t="shared" si="18"/>
        <v>8.0707573244886643E-2</v>
      </c>
      <c r="T266" s="355"/>
      <c r="W266" s="301"/>
      <c r="X266" s="301"/>
    </row>
    <row r="267" spans="1:24" hidden="1" outlineLevel="1" x14ac:dyDescent="0.3">
      <c r="A267" s="293"/>
      <c r="B267" s="293">
        <v>2011</v>
      </c>
      <c r="C267" s="293" t="s">
        <v>1554</v>
      </c>
      <c r="D267" s="359">
        <v>9035</v>
      </c>
      <c r="E267" s="343">
        <f t="shared" si="19"/>
        <v>3.1274968610889166E-2</v>
      </c>
      <c r="F267" s="359">
        <v>5035</v>
      </c>
      <c r="G267" s="343">
        <f t="shared" si="19"/>
        <v>3.6434746809386576E-2</v>
      </c>
      <c r="H267" s="366">
        <v>199.94737191805154</v>
      </c>
      <c r="I267" s="343">
        <f t="shared" ref="I267:I306" si="21">(H267-H255)/H255</f>
        <v>0.41183816544438512</v>
      </c>
      <c r="J267" s="372">
        <v>220.5</v>
      </c>
      <c r="K267" s="343">
        <f t="shared" si="20"/>
        <v>4.7505938242280284E-2</v>
      </c>
      <c r="L267" s="372">
        <v>233</v>
      </c>
      <c r="M267" s="373">
        <f t="shared" ref="M267:M306" si="22">(L267-L255)/L255</f>
        <v>4.157353598569518E-2</v>
      </c>
      <c r="N267" s="372">
        <v>223.5</v>
      </c>
      <c r="O267" s="373">
        <f t="shared" ref="O267:O306" si="23">(N267-N255)/N255</f>
        <v>2.6642168121267854E-2</v>
      </c>
      <c r="P267" s="372">
        <v>199.1</v>
      </c>
      <c r="Q267" s="373">
        <f t="shared" ref="Q267:Q306" si="24">(P267-P255)/P255</f>
        <v>8.61974904528095E-2</v>
      </c>
      <c r="T267" s="355"/>
      <c r="W267" s="301"/>
      <c r="X267" s="301"/>
    </row>
    <row r="268" spans="1:24" hidden="1" outlineLevel="1" x14ac:dyDescent="0.3">
      <c r="A268" s="293"/>
      <c r="B268" s="293">
        <v>2011</v>
      </c>
      <c r="C268" s="293" t="s">
        <v>1555</v>
      </c>
      <c r="D268" s="359">
        <v>9053</v>
      </c>
      <c r="E268" s="343">
        <f t="shared" si="19"/>
        <v>2.8165814877910277E-2</v>
      </c>
      <c r="F268" s="359">
        <v>5059</v>
      </c>
      <c r="G268" s="343">
        <f t="shared" si="19"/>
        <v>3.4983633387888707E-2</v>
      </c>
      <c r="H268" s="366">
        <v>196.64882905028352</v>
      </c>
      <c r="I268" s="343">
        <f t="shared" si="21"/>
        <v>0.40327146699912703</v>
      </c>
      <c r="J268" s="372">
        <v>221.9</v>
      </c>
      <c r="K268" s="343">
        <f t="shared" si="20"/>
        <v>4.8676748582230679E-2</v>
      </c>
      <c r="L268" s="372">
        <v>233.2</v>
      </c>
      <c r="M268" s="373">
        <f t="shared" si="22"/>
        <v>3.2772364924712034E-2</v>
      </c>
      <c r="N268" s="372">
        <v>224.4</v>
      </c>
      <c r="O268" s="373">
        <f t="shared" si="23"/>
        <v>3.1250000000000056E-2</v>
      </c>
      <c r="P268" s="372">
        <v>202.8</v>
      </c>
      <c r="Q268" s="373">
        <f t="shared" si="24"/>
        <v>9.9783080260303719E-2</v>
      </c>
      <c r="T268" s="355"/>
      <c r="W268" s="301"/>
      <c r="X268" s="301"/>
    </row>
    <row r="269" spans="1:24" hidden="1" outlineLevel="1" x14ac:dyDescent="0.3">
      <c r="A269" s="293"/>
      <c r="B269" s="293">
        <v>2011</v>
      </c>
      <c r="C269" s="293" t="s">
        <v>1556</v>
      </c>
      <c r="D269" s="359">
        <v>9080</v>
      </c>
      <c r="E269" s="343">
        <f t="shared" si="19"/>
        <v>2.668475802804161E-2</v>
      </c>
      <c r="F269" s="359">
        <v>5074</v>
      </c>
      <c r="G269" s="343">
        <f t="shared" si="19"/>
        <v>3.3401221995926683E-2</v>
      </c>
      <c r="H269" s="366">
        <v>200.91926632268056</v>
      </c>
      <c r="I269" s="343">
        <f t="shared" si="21"/>
        <v>0.43774095400893426</v>
      </c>
      <c r="J269" s="372">
        <v>223</v>
      </c>
      <c r="K269" s="343">
        <f t="shared" si="20"/>
        <v>5.1390853371051419E-2</v>
      </c>
      <c r="L269" s="372">
        <v>234.8</v>
      </c>
      <c r="M269" s="373">
        <f t="shared" si="22"/>
        <v>3.4361233480176265E-2</v>
      </c>
      <c r="N269" s="372">
        <v>224.8</v>
      </c>
      <c r="O269" s="373">
        <f t="shared" si="23"/>
        <v>3.499079189686935E-2</v>
      </c>
      <c r="P269" s="372">
        <v>204.2</v>
      </c>
      <c r="Q269" s="373">
        <f t="shared" si="24"/>
        <v>0.10378378378378372</v>
      </c>
      <c r="T269" s="355"/>
      <c r="W269" s="301"/>
      <c r="X269" s="301"/>
    </row>
    <row r="270" spans="1:24" hidden="1" outlineLevel="1" x14ac:dyDescent="0.3">
      <c r="A270" s="293"/>
      <c r="B270" s="293">
        <v>2011</v>
      </c>
      <c r="C270" s="293" t="s">
        <v>1557</v>
      </c>
      <c r="D270" s="359">
        <v>9088</v>
      </c>
      <c r="E270" s="343">
        <f t="shared" si="19"/>
        <v>2.8403304288785788E-2</v>
      </c>
      <c r="F270" s="359">
        <v>5091</v>
      </c>
      <c r="G270" s="343">
        <f t="shared" si="19"/>
        <v>3.7920489296636085E-2</v>
      </c>
      <c r="H270" s="366">
        <v>189.64944150258654</v>
      </c>
      <c r="I270" s="343">
        <f t="shared" si="21"/>
        <v>0.34172510698088182</v>
      </c>
      <c r="J270" s="372">
        <v>222.7</v>
      </c>
      <c r="K270" s="343">
        <f t="shared" si="20"/>
        <v>4.9481621112158342E-2</v>
      </c>
      <c r="L270" s="372">
        <v>234.6</v>
      </c>
      <c r="M270" s="373">
        <f t="shared" si="22"/>
        <v>2.7145359019264396E-2</v>
      </c>
      <c r="N270" s="372">
        <v>224.3</v>
      </c>
      <c r="O270" s="373">
        <f t="shared" si="23"/>
        <v>3.4117104656523768E-2</v>
      </c>
      <c r="P270" s="372">
        <v>204</v>
      </c>
      <c r="Q270" s="373">
        <f t="shared" si="24"/>
        <v>0.11050626020685908</v>
      </c>
      <c r="T270" s="355"/>
      <c r="W270" s="301"/>
      <c r="X270" s="301"/>
    </row>
    <row r="271" spans="1:24" hidden="1" outlineLevel="1" x14ac:dyDescent="0.3">
      <c r="A271" s="293"/>
      <c r="B271" s="293">
        <v>2011</v>
      </c>
      <c r="C271" s="293" t="s">
        <v>1558</v>
      </c>
      <c r="D271" s="359">
        <v>9116</v>
      </c>
      <c r="E271" s="343">
        <f t="shared" si="19"/>
        <v>3.1688546853779989E-2</v>
      </c>
      <c r="F271" s="359">
        <v>5098</v>
      </c>
      <c r="G271" s="343">
        <f t="shared" si="19"/>
        <v>3.8289205702647655E-2</v>
      </c>
      <c r="H271" s="366">
        <v>190.44861313701148</v>
      </c>
      <c r="I271" s="343">
        <f t="shared" si="21"/>
        <v>0.34162623493422534</v>
      </c>
      <c r="J271" s="372">
        <v>223.4</v>
      </c>
      <c r="K271" s="343">
        <f t="shared" si="20"/>
        <v>5.1789077212806026E-2</v>
      </c>
      <c r="L271" s="372">
        <v>235</v>
      </c>
      <c r="M271" s="373">
        <f t="shared" si="22"/>
        <v>3.1154014918824021E-2</v>
      </c>
      <c r="N271" s="372">
        <v>225.4</v>
      </c>
      <c r="O271" s="373">
        <f t="shared" si="23"/>
        <v>3.5845588235294171E-2</v>
      </c>
      <c r="P271" s="372">
        <v>204.6</v>
      </c>
      <c r="Q271" s="373">
        <f t="shared" si="24"/>
        <v>0.11074918566775248</v>
      </c>
      <c r="T271" s="355"/>
      <c r="W271" s="301"/>
      <c r="X271" s="301"/>
    </row>
    <row r="272" spans="1:24" hidden="1" outlineLevel="1" x14ac:dyDescent="0.3">
      <c r="A272" s="293"/>
      <c r="B272" s="293">
        <v>2011</v>
      </c>
      <c r="C272" s="293" t="s">
        <v>1559</v>
      </c>
      <c r="D272" s="359">
        <v>9147</v>
      </c>
      <c r="E272" s="343">
        <f t="shared" si="19"/>
        <v>2.5333482793408812E-2</v>
      </c>
      <c r="F272" s="359">
        <v>5104</v>
      </c>
      <c r="G272" s="343">
        <f t="shared" si="19"/>
        <v>3.1736405902567211E-2</v>
      </c>
      <c r="H272" s="366">
        <v>189.21551546835144</v>
      </c>
      <c r="I272" s="343">
        <f t="shared" si="21"/>
        <v>0.25036288926006273</v>
      </c>
      <c r="J272" s="372">
        <v>223.6</v>
      </c>
      <c r="K272" s="343">
        <f t="shared" si="20"/>
        <v>5.0751879699248034E-2</v>
      </c>
      <c r="L272" s="372">
        <v>235.6</v>
      </c>
      <c r="M272" s="373">
        <f t="shared" si="22"/>
        <v>3.1975470871660021E-2</v>
      </c>
      <c r="N272" s="372">
        <v>226.3</v>
      </c>
      <c r="O272" s="373">
        <f t="shared" si="23"/>
        <v>3.7121906507791125E-2</v>
      </c>
      <c r="P272" s="372">
        <v>203.2</v>
      </c>
      <c r="Q272" s="373">
        <f t="shared" si="24"/>
        <v>0.10135501355013544</v>
      </c>
      <c r="T272" s="355"/>
      <c r="W272" s="301"/>
      <c r="X272" s="301"/>
    </row>
    <row r="273" spans="1:21" hidden="1" outlineLevel="1" x14ac:dyDescent="0.3">
      <c r="A273" s="293"/>
      <c r="B273" s="293">
        <v>2011</v>
      </c>
      <c r="C273" s="293" t="s">
        <v>1560</v>
      </c>
      <c r="D273" s="359">
        <v>9173</v>
      </c>
      <c r="E273" s="343">
        <f t="shared" si="19"/>
        <v>2.4801698134286673E-2</v>
      </c>
      <c r="F273" s="359">
        <v>5113</v>
      </c>
      <c r="G273" s="343">
        <f t="shared" si="19"/>
        <v>2.9186795491143318E-2</v>
      </c>
      <c r="H273" s="366">
        <v>197.2156676352482</v>
      </c>
      <c r="I273" s="343">
        <f t="shared" si="21"/>
        <v>0.25520407515142046</v>
      </c>
      <c r="J273" s="372">
        <v>224.2</v>
      </c>
      <c r="K273" s="343">
        <f t="shared" si="20"/>
        <v>4.9134300421151147E-2</v>
      </c>
      <c r="L273" s="372">
        <v>236.2</v>
      </c>
      <c r="M273" s="373">
        <f t="shared" si="22"/>
        <v>2.7403218790778526E-2</v>
      </c>
      <c r="N273" s="372">
        <v>227</v>
      </c>
      <c r="O273" s="373">
        <f t="shared" si="23"/>
        <v>3.9377289377289348E-2</v>
      </c>
      <c r="P273" s="372">
        <v>204</v>
      </c>
      <c r="Q273" s="373">
        <f t="shared" si="24"/>
        <v>0.10210696920583472</v>
      </c>
      <c r="T273" s="355"/>
      <c r="U273" s="356"/>
    </row>
    <row r="274" spans="1:21" hidden="1" outlineLevel="1" x14ac:dyDescent="0.3">
      <c r="A274" s="293"/>
      <c r="B274" s="293">
        <v>2011</v>
      </c>
      <c r="C274" s="293" t="s">
        <v>1561</v>
      </c>
      <c r="D274" s="359">
        <v>9172</v>
      </c>
      <c r="E274" s="343">
        <f t="shared" si="19"/>
        <v>2.4575513851653262E-2</v>
      </c>
      <c r="F274" s="359">
        <v>5115</v>
      </c>
      <c r="G274" s="343">
        <f t="shared" si="19"/>
        <v>2.9175050301810865E-2</v>
      </c>
      <c r="H274" s="366">
        <v>195.27910330415199</v>
      </c>
      <c r="I274" s="343">
        <f t="shared" si="21"/>
        <v>0.16845799709280229</v>
      </c>
      <c r="J274" s="372">
        <v>223.7</v>
      </c>
      <c r="K274" s="343">
        <f t="shared" si="20"/>
        <v>4.1918956683744762E-2</v>
      </c>
      <c r="L274" s="372">
        <v>236.8</v>
      </c>
      <c r="M274" s="373">
        <f t="shared" si="22"/>
        <v>2.5996533795493933E-2</v>
      </c>
      <c r="N274" s="372">
        <v>226.8</v>
      </c>
      <c r="O274" s="373">
        <f t="shared" si="23"/>
        <v>3.6089538602101442E-2</v>
      </c>
      <c r="P274" s="372">
        <v>201.3</v>
      </c>
      <c r="Q274" s="373">
        <f t="shared" si="24"/>
        <v>7.7623126338329754E-2</v>
      </c>
      <c r="T274" s="355"/>
      <c r="U274" s="356"/>
    </row>
    <row r="275" spans="1:21" hidden="1" outlineLevel="1" x14ac:dyDescent="0.3">
      <c r="A275" s="293"/>
      <c r="B275" s="293">
        <v>2012</v>
      </c>
      <c r="C275" s="371" t="s">
        <v>1550</v>
      </c>
      <c r="D275" s="359">
        <v>9176</v>
      </c>
      <c r="E275" s="343">
        <f t="shared" si="19"/>
        <v>2.6627880957708659E-2</v>
      </c>
      <c r="F275" s="359">
        <v>5120</v>
      </c>
      <c r="G275" s="343">
        <f t="shared" si="19"/>
        <v>3.0388408130408533E-2</v>
      </c>
      <c r="H275" s="366">
        <v>199.69104442916662</v>
      </c>
      <c r="I275" s="343">
        <f t="shared" si="21"/>
        <v>0.15231118072179728</v>
      </c>
      <c r="J275" s="372">
        <v>223.8</v>
      </c>
      <c r="K275" s="343">
        <f t="shared" si="20"/>
        <v>4.0446304044630482E-2</v>
      </c>
      <c r="L275" s="372">
        <v>236.8</v>
      </c>
      <c r="M275" s="373">
        <f t="shared" si="22"/>
        <v>2.5552187093980102E-2</v>
      </c>
      <c r="N275" s="372">
        <v>226.7</v>
      </c>
      <c r="O275" s="373">
        <f t="shared" si="23"/>
        <v>3.4687357371063418E-2</v>
      </c>
      <c r="P275" s="372">
        <v>202</v>
      </c>
      <c r="Q275" s="373">
        <f t="shared" si="24"/>
        <v>7.4468085106382975E-2</v>
      </c>
      <c r="T275" s="355"/>
      <c r="U275" s="356"/>
    </row>
    <row r="276" spans="1:21" hidden="1" outlineLevel="1" x14ac:dyDescent="0.3">
      <c r="A276" s="293"/>
      <c r="B276" s="293">
        <v>2012</v>
      </c>
      <c r="C276" s="371" t="s">
        <v>1551</v>
      </c>
      <c r="D276" s="359">
        <v>9198</v>
      </c>
      <c r="E276" s="343">
        <f t="shared" si="19"/>
        <v>2.2227161591464768E-2</v>
      </c>
      <c r="F276" s="359">
        <v>5122</v>
      </c>
      <c r="G276" s="343">
        <f t="shared" si="19"/>
        <v>2.2967845016976234E-2</v>
      </c>
      <c r="H276" s="366">
        <v>208.64637231686126</v>
      </c>
      <c r="I276" s="343">
        <f t="shared" si="21"/>
        <v>0.14937681574169392</v>
      </c>
      <c r="J276" s="372">
        <v>223.4</v>
      </c>
      <c r="K276" s="343">
        <f t="shared" si="20"/>
        <v>3.4738304770727188E-2</v>
      </c>
      <c r="L276" s="372">
        <v>237</v>
      </c>
      <c r="M276" s="373">
        <f t="shared" si="22"/>
        <v>2.775368603642674E-2</v>
      </c>
      <c r="N276" s="372">
        <v>226.7</v>
      </c>
      <c r="O276" s="373">
        <f t="shared" si="23"/>
        <v>2.9051293690422048E-2</v>
      </c>
      <c r="P276" s="372">
        <v>200.2</v>
      </c>
      <c r="Q276" s="373">
        <f t="shared" si="24"/>
        <v>5.4239073196419074E-2</v>
      </c>
      <c r="T276" s="355"/>
      <c r="U276" s="356"/>
    </row>
    <row r="277" spans="1:21" hidden="1" outlineLevel="1" x14ac:dyDescent="0.3">
      <c r="A277" s="293"/>
      <c r="B277" s="293">
        <v>2012</v>
      </c>
      <c r="C277" s="371" t="s">
        <v>1552</v>
      </c>
      <c r="D277" s="359">
        <v>9268</v>
      </c>
      <c r="E277" s="343">
        <f t="shared" si="19"/>
        <v>2.8520696925979357E-2</v>
      </c>
      <c r="F277" s="359">
        <v>5144</v>
      </c>
      <c r="G277" s="343">
        <f t="shared" si="19"/>
        <v>2.6746506986027943E-2</v>
      </c>
      <c r="H277" s="366">
        <v>216.9763816061058</v>
      </c>
      <c r="I277" s="343">
        <f t="shared" si="21"/>
        <v>9.1723707928283299E-2</v>
      </c>
      <c r="J277" s="372">
        <v>223.9</v>
      </c>
      <c r="K277" s="343">
        <f t="shared" si="20"/>
        <v>2.9898804047838085E-2</v>
      </c>
      <c r="L277" s="372">
        <v>237.4</v>
      </c>
      <c r="M277" s="373">
        <f t="shared" si="22"/>
        <v>2.2394487510766656E-2</v>
      </c>
      <c r="N277" s="372">
        <v>227.5</v>
      </c>
      <c r="O277" s="373">
        <f t="shared" si="23"/>
        <v>2.8946178199909571E-2</v>
      </c>
      <c r="P277" s="372">
        <v>200.6</v>
      </c>
      <c r="Q277" s="373">
        <f t="shared" si="24"/>
        <v>4.3704474505723234E-2</v>
      </c>
      <c r="T277" s="355"/>
      <c r="U277" s="356"/>
    </row>
    <row r="278" spans="1:21" s="301" customFormat="1" hidden="1" outlineLevel="1" x14ac:dyDescent="0.3">
      <c r="A278" s="293"/>
      <c r="B278" s="293">
        <v>2012</v>
      </c>
      <c r="C278" s="293" t="s">
        <v>1553</v>
      </c>
      <c r="D278" s="359">
        <v>9273</v>
      </c>
      <c r="E278" s="343">
        <f t="shared" si="19"/>
        <v>2.725157859754071E-2</v>
      </c>
      <c r="F278" s="359">
        <v>5150</v>
      </c>
      <c r="G278" s="343">
        <f t="shared" si="19"/>
        <v>2.4264120922832141E-2</v>
      </c>
      <c r="H278" s="366">
        <v>210.6219546971673</v>
      </c>
      <c r="I278" s="343">
        <f t="shared" si="21"/>
        <v>-9.1833789554896829E-3</v>
      </c>
      <c r="J278" s="372">
        <v>225.1</v>
      </c>
      <c r="K278" s="343">
        <f t="shared" si="20"/>
        <v>2.8793418647166284E-2</v>
      </c>
      <c r="L278" s="372">
        <v>239</v>
      </c>
      <c r="M278" s="373">
        <f t="shared" si="22"/>
        <v>2.8399311531841626E-2</v>
      </c>
      <c r="N278" s="372">
        <v>228.4</v>
      </c>
      <c r="O278" s="373">
        <f t="shared" si="23"/>
        <v>2.7440395861448467E-2</v>
      </c>
      <c r="P278" s="372">
        <v>201.6</v>
      </c>
      <c r="Q278" s="373">
        <f t="shared" si="24"/>
        <v>3.1202046035805599E-2</v>
      </c>
      <c r="R278" s="299"/>
      <c r="T278" s="355"/>
      <c r="U278" s="356"/>
    </row>
    <row r="279" spans="1:21" s="301" customFormat="1" hidden="1" outlineLevel="1" x14ac:dyDescent="0.3">
      <c r="A279" s="293"/>
      <c r="B279" s="293">
        <v>2012</v>
      </c>
      <c r="C279" s="293" t="s">
        <v>1554</v>
      </c>
      <c r="D279" s="359">
        <v>9290</v>
      </c>
      <c r="E279" s="343">
        <f t="shared" si="19"/>
        <v>2.8223574986164915E-2</v>
      </c>
      <c r="F279" s="359">
        <v>5167</v>
      </c>
      <c r="G279" s="343">
        <f t="shared" si="19"/>
        <v>2.6216484607745779E-2</v>
      </c>
      <c r="H279" s="366">
        <v>194.23447324592209</v>
      </c>
      <c r="I279" s="343">
        <f t="shared" si="21"/>
        <v>-2.8572011811542525E-2</v>
      </c>
      <c r="J279" s="372">
        <v>226.2</v>
      </c>
      <c r="K279" s="343">
        <f t="shared" si="20"/>
        <v>2.5850340136054369E-2</v>
      </c>
      <c r="L279" s="372">
        <v>239.1</v>
      </c>
      <c r="M279" s="373">
        <f t="shared" si="22"/>
        <v>2.6180257510729589E-2</v>
      </c>
      <c r="N279" s="372">
        <v>229.1</v>
      </c>
      <c r="O279" s="373">
        <f t="shared" si="23"/>
        <v>2.5055928411633083E-2</v>
      </c>
      <c r="P279" s="372">
        <v>204.3</v>
      </c>
      <c r="Q279" s="373">
        <f t="shared" si="24"/>
        <v>2.6117528879959905E-2</v>
      </c>
      <c r="R279" s="299"/>
      <c r="T279" s="355"/>
      <c r="U279" s="356"/>
    </row>
    <row r="280" spans="1:21" s="301" customFormat="1" hidden="1" outlineLevel="1" x14ac:dyDescent="0.3">
      <c r="A280" s="293"/>
      <c r="B280" s="293">
        <v>2012</v>
      </c>
      <c r="C280" s="293" t="s">
        <v>1555</v>
      </c>
      <c r="D280" s="359">
        <v>9291</v>
      </c>
      <c r="E280" s="343">
        <f t="shared" si="19"/>
        <v>2.6289627747707944E-2</v>
      </c>
      <c r="F280" s="359">
        <v>5170</v>
      </c>
      <c r="G280" s="343">
        <f t="shared" si="19"/>
        <v>2.1941095078078673E-2</v>
      </c>
      <c r="H280" s="366">
        <v>172.46719178684938</v>
      </c>
      <c r="I280" s="343">
        <f t="shared" si="21"/>
        <v>-0.12296863083405823</v>
      </c>
      <c r="J280" s="372">
        <v>226.3</v>
      </c>
      <c r="K280" s="343">
        <f t="shared" si="20"/>
        <v>1.9828751689950453E-2</v>
      </c>
      <c r="L280" s="372">
        <v>239.7</v>
      </c>
      <c r="M280" s="373">
        <f t="shared" si="22"/>
        <v>2.7873070325900515E-2</v>
      </c>
      <c r="N280" s="372">
        <v>229.2</v>
      </c>
      <c r="O280" s="373">
        <f t="shared" si="23"/>
        <v>2.1390374331550725E-2</v>
      </c>
      <c r="P280" s="372">
        <v>203.9</v>
      </c>
      <c r="Q280" s="373">
        <f t="shared" si="24"/>
        <v>5.42406311637078E-3</v>
      </c>
      <c r="R280" s="299"/>
      <c r="T280" s="355"/>
      <c r="U280" s="356"/>
    </row>
    <row r="281" spans="1:21" s="301" customFormat="1" hidden="1" outlineLevel="1" x14ac:dyDescent="0.3">
      <c r="A281" s="293"/>
      <c r="B281" s="293">
        <v>2012</v>
      </c>
      <c r="C281" s="293" t="s">
        <v>1556</v>
      </c>
      <c r="D281" s="359">
        <v>9324</v>
      </c>
      <c r="E281" s="343">
        <f t="shared" ref="E281:G306" si="25">(D281-D269)/D269</f>
        <v>2.6872246696035242E-2</v>
      </c>
      <c r="F281" s="359">
        <v>5184</v>
      </c>
      <c r="G281" s="343">
        <f t="shared" si="25"/>
        <v>2.1679148600709498E-2</v>
      </c>
      <c r="H281" s="366">
        <v>181.19039502300961</v>
      </c>
      <c r="I281" s="343">
        <f t="shared" si="21"/>
        <v>-9.8193028775975924E-2</v>
      </c>
      <c r="J281" s="372">
        <v>225.6</v>
      </c>
      <c r="K281" s="343">
        <f t="shared" si="20"/>
        <v>1.1659192825112082E-2</v>
      </c>
      <c r="L281" s="372">
        <v>239.7</v>
      </c>
      <c r="M281" s="373">
        <f t="shared" si="22"/>
        <v>2.0868824531516086E-2</v>
      </c>
      <c r="N281" s="372">
        <v>228.5</v>
      </c>
      <c r="O281" s="373">
        <f t="shared" si="23"/>
        <v>1.6459074733096032E-2</v>
      </c>
      <c r="P281" s="372">
        <v>202.3</v>
      </c>
      <c r="Q281" s="373">
        <f t="shared" si="24"/>
        <v>-9.3046033300684498E-3</v>
      </c>
      <c r="R281" s="299"/>
      <c r="T281" s="355"/>
      <c r="U281" s="356"/>
    </row>
    <row r="282" spans="1:21" s="301" customFormat="1" hidden="1" outlineLevel="1" x14ac:dyDescent="0.3">
      <c r="A282" s="293"/>
      <c r="B282" s="293">
        <v>2012</v>
      </c>
      <c r="C282" s="293" t="s">
        <v>1557</v>
      </c>
      <c r="D282" s="359">
        <v>9351</v>
      </c>
      <c r="E282" s="343">
        <f t="shared" si="25"/>
        <v>2.8939260563380281E-2</v>
      </c>
      <c r="F282" s="359">
        <v>5204</v>
      </c>
      <c r="G282" s="343">
        <f t="shared" si="25"/>
        <v>2.219603221371047E-2</v>
      </c>
      <c r="H282" s="366">
        <v>194.78724055409813</v>
      </c>
      <c r="I282" s="343">
        <f t="shared" si="21"/>
        <v>2.7091031804812989E-2</v>
      </c>
      <c r="J282" s="372">
        <v>225.5</v>
      </c>
      <c r="K282" s="343">
        <f t="shared" si="20"/>
        <v>1.2572968118545179E-2</v>
      </c>
      <c r="L282" s="372">
        <v>240.5</v>
      </c>
      <c r="M282" s="373">
        <f t="shared" si="22"/>
        <v>2.5149190110826964E-2</v>
      </c>
      <c r="N282" s="372">
        <v>228.6</v>
      </c>
      <c r="O282" s="373">
        <f t="shared" si="23"/>
        <v>1.917075345519386E-2</v>
      </c>
      <c r="P282" s="372">
        <v>200.4</v>
      </c>
      <c r="Q282" s="373">
        <f t="shared" si="24"/>
        <v>-1.7647058823529384E-2</v>
      </c>
      <c r="R282" s="299"/>
      <c r="T282" s="355"/>
      <c r="U282" s="356"/>
    </row>
    <row r="283" spans="1:21" s="301" customFormat="1" hidden="1" outlineLevel="1" x14ac:dyDescent="0.3">
      <c r="A283" s="293"/>
      <c r="B283" s="293">
        <v>2012</v>
      </c>
      <c r="C283" s="293" t="s">
        <v>1558</v>
      </c>
      <c r="D283" s="359">
        <v>9341</v>
      </c>
      <c r="E283" s="343">
        <f t="shared" si="25"/>
        <v>2.4681878016673979E-2</v>
      </c>
      <c r="F283" s="359">
        <v>5195</v>
      </c>
      <c r="G283" s="343">
        <f t="shared" si="25"/>
        <v>1.9027069438995684E-2</v>
      </c>
      <c r="H283" s="366">
        <v>196.47914691959184</v>
      </c>
      <c r="I283" s="343">
        <f t="shared" si="21"/>
        <v>3.1664886833499335E-2</v>
      </c>
      <c r="J283" s="372">
        <v>225.7</v>
      </c>
      <c r="K283" s="343">
        <f t="shared" si="20"/>
        <v>1.0295434198746567E-2</v>
      </c>
      <c r="L283" s="372">
        <v>241.3</v>
      </c>
      <c r="M283" s="373">
        <f t="shared" si="22"/>
        <v>2.6808510638297922E-2</v>
      </c>
      <c r="N283" s="372">
        <v>228.7</v>
      </c>
      <c r="O283" s="373">
        <f t="shared" si="23"/>
        <v>1.4640638864241273E-2</v>
      </c>
      <c r="P283" s="372">
        <v>200</v>
      </c>
      <c r="Q283" s="373">
        <f t="shared" si="24"/>
        <v>-2.2482893450635359E-2</v>
      </c>
      <c r="R283" s="299"/>
      <c r="T283" s="355"/>
      <c r="U283" s="356"/>
    </row>
    <row r="284" spans="1:21" s="301" customFormat="1" hidden="1" outlineLevel="1" x14ac:dyDescent="0.3">
      <c r="A284" s="293"/>
      <c r="B284" s="293">
        <v>2012</v>
      </c>
      <c r="C284" s="293" t="s">
        <v>1559</v>
      </c>
      <c r="D284" s="359">
        <v>9376</v>
      </c>
      <c r="E284" s="343">
        <f t="shared" si="25"/>
        <v>2.5035530775117526E-2</v>
      </c>
      <c r="F284" s="359">
        <v>5204</v>
      </c>
      <c r="G284" s="343">
        <f t="shared" si="25"/>
        <v>1.9592476489028215E-2</v>
      </c>
      <c r="H284" s="366">
        <v>191.01797329984197</v>
      </c>
      <c r="I284" s="343">
        <f t="shared" si="21"/>
        <v>9.5259515427634743E-3</v>
      </c>
      <c r="J284" s="372">
        <v>226.8</v>
      </c>
      <c r="K284" s="343">
        <f t="shared" si="20"/>
        <v>1.431127012522369E-2</v>
      </c>
      <c r="L284" s="372">
        <v>241</v>
      </c>
      <c r="M284" s="373">
        <f t="shared" si="22"/>
        <v>2.2920203735144338E-2</v>
      </c>
      <c r="N284" s="372">
        <v>230.1</v>
      </c>
      <c r="O284" s="373">
        <f t="shared" si="23"/>
        <v>1.6791869200176682E-2</v>
      </c>
      <c r="P284" s="372">
        <v>202.6</v>
      </c>
      <c r="Q284" s="373">
        <f t="shared" si="24"/>
        <v>-2.9527559055117832E-3</v>
      </c>
      <c r="R284" s="299"/>
      <c r="T284" s="355"/>
      <c r="U284" s="356"/>
    </row>
    <row r="285" spans="1:21" s="301" customFormat="1" hidden="1" outlineLevel="1" x14ac:dyDescent="0.3">
      <c r="A285" s="293"/>
      <c r="B285" s="293">
        <v>2012</v>
      </c>
      <c r="C285" s="293" t="s">
        <v>1560</v>
      </c>
      <c r="D285" s="359">
        <v>9398</v>
      </c>
      <c r="E285" s="343">
        <f t="shared" si="25"/>
        <v>2.4528507576583453E-2</v>
      </c>
      <c r="F285" s="359">
        <v>5213</v>
      </c>
      <c r="G285" s="343">
        <f t="shared" si="25"/>
        <v>1.9557989438685704E-2</v>
      </c>
      <c r="H285" s="366">
        <v>187.79993159269929</v>
      </c>
      <c r="I285" s="343">
        <f t="shared" si="21"/>
        <v>-4.7743346943222444E-2</v>
      </c>
      <c r="J285" s="372">
        <v>228</v>
      </c>
      <c r="K285" s="343">
        <f t="shared" si="20"/>
        <v>1.6949152542372933E-2</v>
      </c>
      <c r="L285" s="372">
        <v>241.7</v>
      </c>
      <c r="M285" s="373">
        <f t="shared" si="22"/>
        <v>2.3285351397121085E-2</v>
      </c>
      <c r="N285" s="372">
        <v>231.4</v>
      </c>
      <c r="O285" s="373">
        <f t="shared" si="23"/>
        <v>1.93832599118943E-2</v>
      </c>
      <c r="P285" s="372">
        <v>204.5</v>
      </c>
      <c r="Q285" s="373">
        <f t="shared" si="24"/>
        <v>2.4509803921568627E-3</v>
      </c>
      <c r="R285" s="299"/>
      <c r="T285" s="355"/>
      <c r="U285" s="356"/>
    </row>
    <row r="286" spans="1:21" s="301" customFormat="1" hidden="1" outlineLevel="1" x14ac:dyDescent="0.3">
      <c r="A286" s="293"/>
      <c r="B286" s="293">
        <v>2012</v>
      </c>
      <c r="C286" s="293" t="s">
        <v>1561</v>
      </c>
      <c r="D286" s="359">
        <v>9412</v>
      </c>
      <c r="E286" s="343">
        <f t="shared" si="25"/>
        <v>2.6166593981683386E-2</v>
      </c>
      <c r="F286" s="359">
        <v>5210</v>
      </c>
      <c r="G286" s="343">
        <f t="shared" si="25"/>
        <v>1.8572825024437929E-2</v>
      </c>
      <c r="H286" s="366">
        <v>188.4638819817788</v>
      </c>
      <c r="I286" s="343">
        <f t="shared" si="21"/>
        <v>-3.4899900742366256E-2</v>
      </c>
      <c r="J286" s="372">
        <v>228.1</v>
      </c>
      <c r="K286" s="343">
        <f t="shared" si="20"/>
        <v>1.9669199821189118E-2</v>
      </c>
      <c r="L286" s="372">
        <v>242.3</v>
      </c>
      <c r="M286" s="373">
        <f t="shared" si="22"/>
        <v>2.322635135135135E-2</v>
      </c>
      <c r="N286" s="372">
        <v>231.8</v>
      </c>
      <c r="O286" s="373">
        <f t="shared" si="23"/>
        <v>2.2045855379188711E-2</v>
      </c>
      <c r="P286" s="372">
        <v>203.5</v>
      </c>
      <c r="Q286" s="373">
        <f t="shared" si="24"/>
        <v>1.0928961748633823E-2</v>
      </c>
      <c r="R286" s="299"/>
      <c r="T286" s="355"/>
      <c r="U286" s="356"/>
    </row>
    <row r="287" spans="1:21" s="301" customFormat="1" hidden="1" outlineLevel="1" x14ac:dyDescent="0.3">
      <c r="A287" s="293"/>
      <c r="B287" s="293">
        <v>2013</v>
      </c>
      <c r="C287" s="371" t="s">
        <v>1550</v>
      </c>
      <c r="D287" s="359">
        <v>9437</v>
      </c>
      <c r="E287" s="343">
        <f t="shared" si="25"/>
        <v>2.8443766346992153E-2</v>
      </c>
      <c r="F287" s="359">
        <v>5226</v>
      </c>
      <c r="G287" s="343">
        <f t="shared" si="25"/>
        <v>2.0703124999999999E-2</v>
      </c>
      <c r="H287" s="366">
        <v>194.33115265295461</v>
      </c>
      <c r="I287" s="343">
        <f t="shared" si="21"/>
        <v>-2.6840922143172238E-2</v>
      </c>
      <c r="J287" s="372">
        <v>227.4</v>
      </c>
      <c r="K287" s="343">
        <f t="shared" si="20"/>
        <v>1.6085790884718471E-2</v>
      </c>
      <c r="L287" s="372">
        <v>242.5</v>
      </c>
      <c r="M287" s="373">
        <f t="shared" si="22"/>
        <v>2.4070945945945898E-2</v>
      </c>
      <c r="N287" s="372">
        <v>231</v>
      </c>
      <c r="O287" s="373">
        <f t="shared" si="23"/>
        <v>1.8967798853109889E-2</v>
      </c>
      <c r="P287" s="372">
        <v>201.8</v>
      </c>
      <c r="Q287" s="373">
        <f t="shared" si="24"/>
        <v>-9.9009900990093373E-4</v>
      </c>
      <c r="R287" s="299"/>
      <c r="T287" s="355"/>
      <c r="U287" s="356"/>
    </row>
    <row r="288" spans="1:21" s="301" customFormat="1" hidden="1" outlineLevel="1" x14ac:dyDescent="0.3">
      <c r="A288" s="293"/>
      <c r="B288" s="293">
        <v>2013</v>
      </c>
      <c r="C288" s="371" t="s">
        <v>1551</v>
      </c>
      <c r="D288" s="359">
        <v>9453</v>
      </c>
      <c r="E288" s="343">
        <f t="shared" si="25"/>
        <v>2.7723418134377037E-2</v>
      </c>
      <c r="F288" s="359">
        <v>5246</v>
      </c>
      <c r="G288" s="343">
        <f t="shared" si="25"/>
        <v>2.4209293244826239E-2</v>
      </c>
      <c r="H288" s="366">
        <v>198.68321146632201</v>
      </c>
      <c r="I288" s="343">
        <f t="shared" si="21"/>
        <v>-4.7751421411768802E-2</v>
      </c>
      <c r="J288" s="372">
        <v>227.6</v>
      </c>
      <c r="K288" s="343">
        <f t="shared" si="20"/>
        <v>1.8800358102059034E-2</v>
      </c>
      <c r="L288" s="372">
        <v>243.2</v>
      </c>
      <c r="M288" s="373">
        <f t="shared" si="22"/>
        <v>2.6160337552742569E-2</v>
      </c>
      <c r="N288" s="372">
        <v>231</v>
      </c>
      <c r="O288" s="373">
        <f t="shared" si="23"/>
        <v>1.8967798853109889E-2</v>
      </c>
      <c r="P288" s="372">
        <v>201.5</v>
      </c>
      <c r="Q288" s="373">
        <f t="shared" si="24"/>
        <v>6.4935064935065503E-3</v>
      </c>
      <c r="R288" s="299"/>
      <c r="T288" s="355"/>
      <c r="U288" s="356"/>
    </row>
    <row r="289" spans="1:24" s="301" customFormat="1" hidden="1" outlineLevel="1" x14ac:dyDescent="0.3">
      <c r="A289" s="293"/>
      <c r="B289" s="293">
        <v>2013</v>
      </c>
      <c r="C289" s="371" t="s">
        <v>1552</v>
      </c>
      <c r="D289" s="359">
        <v>9456</v>
      </c>
      <c r="E289" s="343">
        <f t="shared" si="25"/>
        <v>2.0284851100561069E-2</v>
      </c>
      <c r="F289" s="359">
        <v>5249</v>
      </c>
      <c r="G289" s="343">
        <f t="shared" si="25"/>
        <v>2.041213063763608E-2</v>
      </c>
      <c r="H289" s="366">
        <v>190.62430267859068</v>
      </c>
      <c r="I289" s="343">
        <f t="shared" si="21"/>
        <v>-0.12145137057061867</v>
      </c>
      <c r="J289" s="372">
        <v>227.9</v>
      </c>
      <c r="K289" s="343">
        <f t="shared" si="20"/>
        <v>1.786511835640911E-2</v>
      </c>
      <c r="L289" s="372">
        <v>243.2</v>
      </c>
      <c r="M289" s="373">
        <f t="shared" si="22"/>
        <v>2.4431339511373138E-2</v>
      </c>
      <c r="N289" s="372">
        <v>231.2</v>
      </c>
      <c r="O289" s="373">
        <f t="shared" si="23"/>
        <v>1.6263736263736214E-2</v>
      </c>
      <c r="P289" s="372">
        <v>202.4</v>
      </c>
      <c r="Q289" s="373">
        <f t="shared" si="24"/>
        <v>8.9730807577268756E-3</v>
      </c>
      <c r="R289" s="299"/>
      <c r="T289" s="355"/>
      <c r="U289" s="356"/>
    </row>
    <row r="290" spans="1:24" s="301" customFormat="1" hidden="1" outlineLevel="1" x14ac:dyDescent="0.3">
      <c r="A290" s="293"/>
      <c r="B290" s="293">
        <v>2013</v>
      </c>
      <c r="C290" s="293" t="s">
        <v>1553</v>
      </c>
      <c r="D290" s="359">
        <v>9484</v>
      </c>
      <c r="E290" s="343">
        <f t="shared" si="25"/>
        <v>2.2754232718645531E-2</v>
      </c>
      <c r="F290" s="359">
        <v>5257</v>
      </c>
      <c r="G290" s="343">
        <f t="shared" si="25"/>
        <v>2.0776699029126214E-2</v>
      </c>
      <c r="H290" s="366">
        <v>184.43604890164741</v>
      </c>
      <c r="I290" s="343">
        <f t="shared" si="21"/>
        <v>-0.12432657285500004</v>
      </c>
      <c r="J290" s="372">
        <v>229.5</v>
      </c>
      <c r="K290" s="343">
        <f t="shared" si="20"/>
        <v>1.9546868058640629E-2</v>
      </c>
      <c r="L290" s="372">
        <v>244.5</v>
      </c>
      <c r="M290" s="373">
        <f t="shared" si="22"/>
        <v>2.3012552301255231E-2</v>
      </c>
      <c r="N290" s="372">
        <v>232.8</v>
      </c>
      <c r="O290" s="373">
        <f t="shared" si="23"/>
        <v>1.9264448336252214E-2</v>
      </c>
      <c r="P290" s="372">
        <v>204.3</v>
      </c>
      <c r="Q290" s="373">
        <f t="shared" si="24"/>
        <v>1.3392857142857227E-2</v>
      </c>
      <c r="R290" s="299"/>
      <c r="T290" s="298"/>
      <c r="U290" s="298"/>
    </row>
    <row r="291" spans="1:24" s="301" customFormat="1" hidden="1" outlineLevel="1" x14ac:dyDescent="0.3">
      <c r="A291" s="293"/>
      <c r="B291" s="293">
        <v>2013</v>
      </c>
      <c r="C291" s="293" t="s">
        <v>1554</v>
      </c>
      <c r="D291" s="359">
        <v>9516</v>
      </c>
      <c r="E291" s="343">
        <f t="shared" si="25"/>
        <v>2.4327233584499463E-2</v>
      </c>
      <c r="F291" s="359">
        <v>5272</v>
      </c>
      <c r="G291" s="343">
        <f t="shared" si="25"/>
        <v>2.0321269595509967E-2</v>
      </c>
      <c r="H291" s="366">
        <v>184.51579962112882</v>
      </c>
      <c r="I291" s="343">
        <f t="shared" si="21"/>
        <v>-5.0035781302778137E-2</v>
      </c>
      <c r="J291" s="372">
        <v>229.6</v>
      </c>
      <c r="K291" s="343">
        <f t="shared" si="20"/>
        <v>1.503094606542885E-2</v>
      </c>
      <c r="L291" s="372">
        <v>245.2</v>
      </c>
      <c r="M291" s="373">
        <f t="shared" si="22"/>
        <v>2.5512337933918838E-2</v>
      </c>
      <c r="N291" s="372">
        <v>232.3</v>
      </c>
      <c r="O291" s="373">
        <f t="shared" si="23"/>
        <v>1.3967699694456643E-2</v>
      </c>
      <c r="P291" s="372">
        <v>204.1</v>
      </c>
      <c r="Q291" s="373">
        <f t="shared" si="24"/>
        <v>-9.7895252080282442E-4</v>
      </c>
      <c r="R291" s="299"/>
      <c r="T291" s="298"/>
      <c r="U291" s="298"/>
    </row>
    <row r="292" spans="1:24" s="301" customFormat="1" hidden="1" outlineLevel="1" x14ac:dyDescent="0.3">
      <c r="A292" s="293"/>
      <c r="B292" s="293">
        <v>2013</v>
      </c>
      <c r="C292" s="293" t="s">
        <v>1555</v>
      </c>
      <c r="D292" s="359">
        <v>9542</v>
      </c>
      <c r="E292" s="343">
        <f t="shared" si="25"/>
        <v>2.7015391238833279E-2</v>
      </c>
      <c r="F292" s="359">
        <v>5286</v>
      </c>
      <c r="G292" s="343">
        <f t="shared" si="25"/>
        <v>2.243713733075435E-2</v>
      </c>
      <c r="H292" s="366">
        <v>184.85141477338112</v>
      </c>
      <c r="I292" s="343">
        <f t="shared" si="21"/>
        <v>7.1806254037215883E-2</v>
      </c>
      <c r="J292" s="372">
        <v>229.4</v>
      </c>
      <c r="K292" s="343">
        <f t="shared" si="20"/>
        <v>1.3698630136986276E-2</v>
      </c>
      <c r="L292" s="372">
        <v>245.9</v>
      </c>
      <c r="M292" s="373">
        <f t="shared" si="22"/>
        <v>2.5865665415102282E-2</v>
      </c>
      <c r="N292" s="372">
        <v>231.5</v>
      </c>
      <c r="O292" s="373">
        <f t="shared" si="23"/>
        <v>1.0034904013961655E-2</v>
      </c>
      <c r="P292" s="372">
        <v>203.6</v>
      </c>
      <c r="Q292" s="373">
        <f t="shared" si="24"/>
        <v>-1.4713094654242832E-3</v>
      </c>
      <c r="R292" s="299"/>
      <c r="T292" s="298"/>
      <c r="U292" s="298"/>
    </row>
    <row r="293" spans="1:24" s="301" customFormat="1" hidden="1" outlineLevel="1" x14ac:dyDescent="0.3">
      <c r="A293" s="293"/>
      <c r="B293" s="293">
        <v>2013</v>
      </c>
      <c r="C293" s="293" t="s">
        <v>1556</v>
      </c>
      <c r="D293" s="359">
        <v>9552</v>
      </c>
      <c r="E293" s="343">
        <f t="shared" si="25"/>
        <v>2.4453024453024452E-2</v>
      </c>
      <c r="F293" s="359">
        <v>5281</v>
      </c>
      <c r="G293" s="343">
        <f t="shared" si="25"/>
        <v>1.871141975308642E-2</v>
      </c>
      <c r="H293" s="366">
        <v>192.25652457077723</v>
      </c>
      <c r="I293" s="343">
        <f t="shared" si="21"/>
        <v>6.1074592537658047E-2</v>
      </c>
      <c r="J293" s="372">
        <v>229.8</v>
      </c>
      <c r="K293" s="343">
        <f t="shared" si="20"/>
        <v>1.861702127659582E-2</v>
      </c>
      <c r="L293" s="372">
        <v>246</v>
      </c>
      <c r="M293" s="373">
        <f t="shared" si="22"/>
        <v>2.6282853566958746E-2</v>
      </c>
      <c r="N293" s="372">
        <v>231.8</v>
      </c>
      <c r="O293" s="373">
        <f t="shared" si="23"/>
        <v>1.4442013129102895E-2</v>
      </c>
      <c r="P293" s="372">
        <v>204.2</v>
      </c>
      <c r="Q293" s="373">
        <f t="shared" si="24"/>
        <v>9.3919920909539163E-3</v>
      </c>
      <c r="R293" s="299"/>
    </row>
    <row r="294" spans="1:24" s="301" customFormat="1" hidden="1" outlineLevel="1" x14ac:dyDescent="0.3">
      <c r="A294" s="293"/>
      <c r="B294" s="293">
        <v>2013</v>
      </c>
      <c r="C294" s="293" t="s">
        <v>1557</v>
      </c>
      <c r="D294" s="359">
        <v>9545</v>
      </c>
      <c r="E294" s="343">
        <f t="shared" si="25"/>
        <v>2.0746444230563574E-2</v>
      </c>
      <c r="F294" s="359">
        <v>5277</v>
      </c>
      <c r="G294" s="343">
        <f t="shared" si="25"/>
        <v>1.4027671022290546E-2</v>
      </c>
      <c r="H294" s="366">
        <v>196.76559061767168</v>
      </c>
      <c r="I294" s="343">
        <f t="shared" si="21"/>
        <v>1.0156466398650468E-2</v>
      </c>
      <c r="J294" s="372">
        <v>230.3</v>
      </c>
      <c r="K294" s="343">
        <f t="shared" si="20"/>
        <v>2.1286031042128655E-2</v>
      </c>
      <c r="L294" s="372">
        <v>246</v>
      </c>
      <c r="M294" s="373">
        <f t="shared" si="22"/>
        <v>2.286902286902287E-2</v>
      </c>
      <c r="N294" s="372">
        <v>232.9</v>
      </c>
      <c r="O294" s="373">
        <f t="shared" si="23"/>
        <v>1.8810148731408623E-2</v>
      </c>
      <c r="P294" s="372">
        <v>204.7</v>
      </c>
      <c r="Q294" s="373">
        <f t="shared" si="24"/>
        <v>2.1457085828343228E-2</v>
      </c>
      <c r="R294" s="299"/>
      <c r="W294" s="299"/>
      <c r="X294" s="299"/>
    </row>
    <row r="295" spans="1:24" s="301" customFormat="1" hidden="1" outlineLevel="1" x14ac:dyDescent="0.3">
      <c r="A295" s="293"/>
      <c r="B295" s="293">
        <v>2013</v>
      </c>
      <c r="C295" s="293" t="s">
        <v>1558</v>
      </c>
      <c r="D295" s="359">
        <v>9552</v>
      </c>
      <c r="E295" s="343">
        <f t="shared" si="25"/>
        <v>2.25885879456161E-2</v>
      </c>
      <c r="F295" s="359">
        <v>5285</v>
      </c>
      <c r="G295" s="343">
        <f t="shared" si="25"/>
        <v>1.7324350336862367E-2</v>
      </c>
      <c r="H295" s="366">
        <v>198.0995851349785</v>
      </c>
      <c r="I295" s="343">
        <f t="shared" si="21"/>
        <v>8.2473801458931052E-3</v>
      </c>
      <c r="J295" s="372">
        <v>230.4</v>
      </c>
      <c r="K295" s="343">
        <f t="shared" si="20"/>
        <v>2.0824102791315982E-2</v>
      </c>
      <c r="L295" s="372">
        <v>246.1</v>
      </c>
      <c r="M295" s="373">
        <f t="shared" si="22"/>
        <v>1.9892250310816338E-2</v>
      </c>
      <c r="N295" s="372">
        <v>233.3</v>
      </c>
      <c r="O295" s="373">
        <f t="shared" si="23"/>
        <v>2.0113686051596077E-2</v>
      </c>
      <c r="P295" s="372">
        <v>204.6</v>
      </c>
      <c r="Q295" s="373">
        <f t="shared" si="24"/>
        <v>2.2999999999999972E-2</v>
      </c>
      <c r="R295" s="299"/>
      <c r="W295" s="299"/>
      <c r="X295" s="299"/>
    </row>
    <row r="296" spans="1:24" s="301" customFormat="1" hidden="1" outlineLevel="1" x14ac:dyDescent="0.3">
      <c r="A296" s="293"/>
      <c r="B296" s="293">
        <v>2013</v>
      </c>
      <c r="C296" s="293" t="s">
        <v>1559</v>
      </c>
      <c r="D296" s="359">
        <v>9689</v>
      </c>
      <c r="E296" s="343">
        <f t="shared" si="25"/>
        <v>3.3383105802047779E-2</v>
      </c>
      <c r="F296" s="359">
        <v>5308</v>
      </c>
      <c r="G296" s="343">
        <f t="shared" si="25"/>
        <v>1.9984627209838585E-2</v>
      </c>
      <c r="H296" s="366">
        <v>192.95155235306905</v>
      </c>
      <c r="I296" s="343">
        <f t="shared" si="21"/>
        <v>1.0122498002802741E-2</v>
      </c>
      <c r="J296" s="372">
        <v>231.5</v>
      </c>
      <c r="K296" s="343">
        <f t="shared" si="20"/>
        <v>2.072310405643734E-2</v>
      </c>
      <c r="L296" s="372">
        <v>248.9</v>
      </c>
      <c r="M296" s="373">
        <f t="shared" si="22"/>
        <v>3.278008298755189E-2</v>
      </c>
      <c r="N296" s="372">
        <v>233.5</v>
      </c>
      <c r="O296" s="373">
        <f t="shared" si="23"/>
        <v>1.4776184267709717E-2</v>
      </c>
      <c r="P296" s="372">
        <v>204.3</v>
      </c>
      <c r="Q296" s="373">
        <f t="shared" si="24"/>
        <v>8.3909180651530954E-3</v>
      </c>
      <c r="R296" s="299"/>
      <c r="W296" s="299"/>
      <c r="X296" s="299"/>
    </row>
    <row r="297" spans="1:24" s="301" customFormat="1" hidden="1" outlineLevel="1" x14ac:dyDescent="0.3">
      <c r="A297" s="293"/>
      <c r="B297" s="293">
        <v>2013</v>
      </c>
      <c r="C297" s="293" t="s">
        <v>1560</v>
      </c>
      <c r="D297" s="359">
        <v>9666</v>
      </c>
      <c r="E297" s="343">
        <f t="shared" si="25"/>
        <v>2.8516705682060012E-2</v>
      </c>
      <c r="F297" s="359">
        <v>5317</v>
      </c>
      <c r="G297" s="343">
        <f t="shared" si="25"/>
        <v>1.9950124688279301E-2</v>
      </c>
      <c r="H297" s="366">
        <v>188.91342310824601</v>
      </c>
      <c r="I297" s="343">
        <f t="shared" si="21"/>
        <v>5.9291369602926924E-3</v>
      </c>
      <c r="J297" s="372">
        <v>231.5</v>
      </c>
      <c r="K297" s="343">
        <f t="shared" si="20"/>
        <v>1.5350877192982455E-2</v>
      </c>
      <c r="L297" s="372">
        <v>248</v>
      </c>
      <c r="M297" s="373">
        <f t="shared" si="22"/>
        <v>2.6065370293752634E-2</v>
      </c>
      <c r="N297" s="372">
        <v>233.9</v>
      </c>
      <c r="O297" s="373">
        <f t="shared" si="23"/>
        <v>1.0803802938634399E-2</v>
      </c>
      <c r="P297" s="372">
        <v>204</v>
      </c>
      <c r="Q297" s="373">
        <f t="shared" si="24"/>
        <v>-2.4449877750611247E-3</v>
      </c>
      <c r="R297" s="299"/>
      <c r="W297" s="299"/>
      <c r="X297" s="299"/>
    </row>
    <row r="298" spans="1:24" s="301" customFormat="1" hidden="1" outlineLevel="1" x14ac:dyDescent="0.3">
      <c r="A298" s="293"/>
      <c r="B298" s="293">
        <v>2013</v>
      </c>
      <c r="C298" s="293" t="s">
        <v>1561</v>
      </c>
      <c r="D298" s="359">
        <v>9668</v>
      </c>
      <c r="E298" s="343">
        <f t="shared" si="25"/>
        <v>2.7199320016999574E-2</v>
      </c>
      <c r="F298" s="359">
        <v>5326</v>
      </c>
      <c r="G298" s="343">
        <f t="shared" si="25"/>
        <v>2.2264875239923224E-2</v>
      </c>
      <c r="H298" s="366">
        <v>194.29704476066524</v>
      </c>
      <c r="I298" s="343">
        <f t="shared" si="21"/>
        <v>3.0951091092618014E-2</v>
      </c>
      <c r="J298" s="372">
        <v>231</v>
      </c>
      <c r="K298" s="343">
        <f t="shared" si="20"/>
        <v>1.2713722051731722E-2</v>
      </c>
      <c r="L298" s="372">
        <v>248.7</v>
      </c>
      <c r="M298" s="373">
        <f t="shared" si="22"/>
        <v>2.6413536937680466E-2</v>
      </c>
      <c r="N298" s="372">
        <v>233.8</v>
      </c>
      <c r="O298" s="373">
        <f t="shared" si="23"/>
        <v>8.6281276962899053E-3</v>
      </c>
      <c r="P298" s="372">
        <v>202.5</v>
      </c>
      <c r="Q298" s="373">
        <f t="shared" si="24"/>
        <v>-4.9140049140049139E-3</v>
      </c>
      <c r="R298" s="299"/>
      <c r="W298" s="299"/>
      <c r="X298" s="299"/>
    </row>
    <row r="299" spans="1:24" s="301" customFormat="1" hidden="1" outlineLevel="1" x14ac:dyDescent="0.3">
      <c r="A299" s="293"/>
      <c r="B299" s="293">
        <v>2014</v>
      </c>
      <c r="C299" s="371" t="s">
        <v>1550</v>
      </c>
      <c r="D299" s="359">
        <v>9664</v>
      </c>
      <c r="E299" s="343">
        <f t="shared" si="25"/>
        <v>2.4054254530041327E-2</v>
      </c>
      <c r="F299" s="359">
        <v>5324</v>
      </c>
      <c r="G299" s="343">
        <f t="shared" si="25"/>
        <v>1.8752391886720246E-2</v>
      </c>
      <c r="H299" s="366">
        <v>189.0412724833663</v>
      </c>
      <c r="I299" s="343">
        <f t="shared" si="21"/>
        <v>-2.7220958129318684E-2</v>
      </c>
      <c r="J299" s="372">
        <v>230.6</v>
      </c>
      <c r="K299" s="343">
        <f t="shared" si="20"/>
        <v>1.4072119613016661E-2</v>
      </c>
      <c r="L299" s="372">
        <v>248.7</v>
      </c>
      <c r="M299" s="373">
        <f t="shared" si="22"/>
        <v>2.5567010309278302E-2</v>
      </c>
      <c r="N299" s="372">
        <v>233.9</v>
      </c>
      <c r="O299" s="373">
        <f t="shared" si="23"/>
        <v>1.2554112554112578E-2</v>
      </c>
      <c r="P299" s="372">
        <v>201</v>
      </c>
      <c r="Q299" s="373">
        <f t="shared" si="24"/>
        <v>-3.9643211100099671E-3</v>
      </c>
      <c r="R299" s="299"/>
      <c r="W299" s="299"/>
      <c r="X299" s="299"/>
    </row>
    <row r="300" spans="1:24" s="301" customFormat="1" hidden="1" outlineLevel="1" x14ac:dyDescent="0.3">
      <c r="A300" s="293"/>
      <c r="B300" s="293">
        <v>2014</v>
      </c>
      <c r="C300" s="371" t="s">
        <v>1551</v>
      </c>
      <c r="D300" s="359">
        <v>9681</v>
      </c>
      <c r="E300" s="343">
        <f t="shared" si="25"/>
        <v>2.411932719771501E-2</v>
      </c>
      <c r="F300" s="359">
        <v>5321</v>
      </c>
      <c r="G300" s="343">
        <f t="shared" si="25"/>
        <v>1.42966069386199E-2</v>
      </c>
      <c r="H300" s="366">
        <v>192.89709569827195</v>
      </c>
      <c r="I300" s="343">
        <f t="shared" si="21"/>
        <v>-2.9122318515728409E-2</v>
      </c>
      <c r="J300" s="372">
        <v>231.2</v>
      </c>
      <c r="K300" s="343">
        <f t="shared" si="20"/>
        <v>1.5817223198594001E-2</v>
      </c>
      <c r="L300" s="372">
        <v>248.9</v>
      </c>
      <c r="M300" s="373">
        <f t="shared" si="22"/>
        <v>2.3437500000000073E-2</v>
      </c>
      <c r="N300" s="372">
        <v>234.6</v>
      </c>
      <c r="O300" s="373">
        <f t="shared" si="23"/>
        <v>1.558441558441556E-2</v>
      </c>
      <c r="P300" s="372">
        <v>203.5</v>
      </c>
      <c r="Q300" s="373">
        <f t="shared" si="24"/>
        <v>9.9255583126550868E-3</v>
      </c>
      <c r="R300" s="299"/>
      <c r="W300" s="299"/>
      <c r="X300" s="299"/>
    </row>
    <row r="301" spans="1:24" s="301" customFormat="1" hidden="1" outlineLevel="1" x14ac:dyDescent="0.3">
      <c r="A301" s="293"/>
      <c r="B301" s="293">
        <v>2014</v>
      </c>
      <c r="C301" s="371" t="s">
        <v>1552</v>
      </c>
      <c r="D301" s="359">
        <v>9702</v>
      </c>
      <c r="E301" s="343">
        <f t="shared" si="25"/>
        <v>2.6015228426395941E-2</v>
      </c>
      <c r="F301" s="359">
        <v>5336</v>
      </c>
      <c r="G301" s="343">
        <f t="shared" si="25"/>
        <v>1.6574585635359115E-2</v>
      </c>
      <c r="H301" s="366">
        <v>190.83703076329607</v>
      </c>
      <c r="I301" s="343">
        <f t="shared" si="21"/>
        <v>1.115954690541572E-3</v>
      </c>
      <c r="J301" s="372">
        <v>232.7</v>
      </c>
      <c r="K301" s="343">
        <f t="shared" si="20"/>
        <v>2.1061869240895054E-2</v>
      </c>
      <c r="L301" s="372">
        <v>249.5</v>
      </c>
      <c r="M301" s="373">
        <f t="shared" si="22"/>
        <v>2.5904605263157944E-2</v>
      </c>
      <c r="N301" s="372">
        <v>234.9</v>
      </c>
      <c r="O301" s="373">
        <f t="shared" si="23"/>
        <v>1.6003460207612532E-2</v>
      </c>
      <c r="P301" s="372">
        <v>206</v>
      </c>
      <c r="Q301" s="373">
        <f t="shared" si="24"/>
        <v>1.7786561264822105E-2</v>
      </c>
      <c r="R301" s="299"/>
      <c r="W301" s="299"/>
      <c r="X301" s="299"/>
    </row>
    <row r="302" spans="1:24" s="301" customFormat="1" hidden="1" outlineLevel="1" x14ac:dyDescent="0.3">
      <c r="A302" s="293"/>
      <c r="B302" s="293">
        <v>2014</v>
      </c>
      <c r="C302" s="293" t="s">
        <v>1553</v>
      </c>
      <c r="D302" s="359">
        <v>9750</v>
      </c>
      <c r="E302" s="343">
        <f t="shared" si="25"/>
        <v>2.8047237452551665E-2</v>
      </c>
      <c r="F302" s="359">
        <v>5357</v>
      </c>
      <c r="G302" s="343">
        <f t="shared" si="25"/>
        <v>1.9022256039566292E-2</v>
      </c>
      <c r="H302" s="366">
        <v>192.17894856225044</v>
      </c>
      <c r="I302" s="343">
        <f t="shared" si="21"/>
        <v>4.1981487386622655E-2</v>
      </c>
      <c r="J302" s="372">
        <v>233.6</v>
      </c>
      <c r="K302" s="343">
        <f t="shared" si="20"/>
        <v>1.7864923747276662E-2</v>
      </c>
      <c r="L302" s="372">
        <v>250.6</v>
      </c>
      <c r="M302" s="373">
        <f t="shared" si="22"/>
        <v>2.4948875255623698E-2</v>
      </c>
      <c r="N302" s="372">
        <v>235.6</v>
      </c>
      <c r="O302" s="373">
        <f t="shared" si="23"/>
        <v>1.2027491408934634E-2</v>
      </c>
      <c r="P302" s="372">
        <v>207</v>
      </c>
      <c r="Q302" s="373">
        <f t="shared" si="24"/>
        <v>1.3215859030836948E-2</v>
      </c>
      <c r="R302" s="299"/>
      <c r="W302" s="299"/>
      <c r="X302" s="299"/>
    </row>
    <row r="303" spans="1:24" s="301" customFormat="1" hidden="1" outlineLevel="1" x14ac:dyDescent="0.3">
      <c r="A303" s="293"/>
      <c r="B303" s="293">
        <v>2014</v>
      </c>
      <c r="C303" s="293" t="s">
        <v>1554</v>
      </c>
      <c r="D303" s="359">
        <v>9796</v>
      </c>
      <c r="E303" s="343">
        <f t="shared" si="25"/>
        <v>2.9424127784783524E-2</v>
      </c>
      <c r="F303" s="359">
        <v>5370</v>
      </c>
      <c r="G303" s="343">
        <f t="shared" si="25"/>
        <v>1.8588770864946889E-2</v>
      </c>
      <c r="H303" s="366">
        <v>193.371180962701</v>
      </c>
      <c r="I303" s="343">
        <f t="shared" si="21"/>
        <v>4.7992537006344024E-2</v>
      </c>
      <c r="J303" s="372">
        <v>234.6</v>
      </c>
      <c r="K303" s="343">
        <f t="shared" si="20"/>
        <v>2.1777003484320559E-2</v>
      </c>
      <c r="L303" s="372">
        <v>251.7</v>
      </c>
      <c r="M303" s="373">
        <f t="shared" si="22"/>
        <v>2.6508972267536707E-2</v>
      </c>
      <c r="N303" s="372">
        <v>236.3</v>
      </c>
      <c r="O303" s="373">
        <f t="shared" si="23"/>
        <v>1.7219113215669393E-2</v>
      </c>
      <c r="P303" s="372">
        <v>208</v>
      </c>
      <c r="Q303" s="373">
        <f t="shared" si="24"/>
        <v>1.9108280254777097E-2</v>
      </c>
      <c r="R303" s="299"/>
      <c r="W303" s="299"/>
      <c r="X303" s="299"/>
    </row>
    <row r="304" spans="1:24" hidden="1" outlineLevel="1" x14ac:dyDescent="0.3">
      <c r="A304" s="293"/>
      <c r="B304" s="293">
        <v>2014</v>
      </c>
      <c r="C304" s="293" t="s">
        <v>1555</v>
      </c>
      <c r="D304" s="359">
        <v>9800</v>
      </c>
      <c r="E304" s="343">
        <f t="shared" si="25"/>
        <v>2.703835673862922E-2</v>
      </c>
      <c r="F304" s="359">
        <v>5375</v>
      </c>
      <c r="G304" s="343">
        <f t="shared" si="25"/>
        <v>1.6836927733636018E-2</v>
      </c>
      <c r="H304" s="366">
        <v>197.20289635700135</v>
      </c>
      <c r="I304" s="343">
        <f t="shared" si="21"/>
        <v>6.6818431434579745E-2</v>
      </c>
      <c r="J304" s="372">
        <v>234.8</v>
      </c>
      <c r="K304" s="343">
        <f t="shared" si="20"/>
        <v>2.3539668700959047E-2</v>
      </c>
      <c r="L304" s="372">
        <v>251.8</v>
      </c>
      <c r="M304" s="373">
        <f t="shared" si="22"/>
        <v>2.399349328995529E-2</v>
      </c>
      <c r="N304" s="372">
        <v>237.1</v>
      </c>
      <c r="O304" s="373">
        <f t="shared" si="23"/>
        <v>2.419006479481639E-2</v>
      </c>
      <c r="P304" s="372">
        <v>208</v>
      </c>
      <c r="Q304" s="373">
        <f t="shared" si="24"/>
        <v>2.161100196463657E-2</v>
      </c>
    </row>
    <row r="305" spans="1:22" hidden="1" outlineLevel="1" x14ac:dyDescent="0.3">
      <c r="A305" s="293"/>
      <c r="B305" s="293">
        <v>2014</v>
      </c>
      <c r="C305" s="293" t="s">
        <v>1556</v>
      </c>
      <c r="D305" s="359">
        <v>9835</v>
      </c>
      <c r="E305" s="343">
        <f t="shared" si="25"/>
        <v>2.9627303182579563E-2</v>
      </c>
      <c r="F305" s="359">
        <v>5383</v>
      </c>
      <c r="G305" s="343">
        <f t="shared" si="25"/>
        <v>1.9314523764438554E-2</v>
      </c>
      <c r="H305" s="366">
        <v>190.72993935893317</v>
      </c>
      <c r="I305" s="343">
        <f t="shared" si="21"/>
        <v>-7.9403558097819894E-3</v>
      </c>
      <c r="J305" s="372">
        <v>235.4</v>
      </c>
      <c r="K305" s="343">
        <f t="shared" si="20"/>
        <v>2.4369016536118338E-2</v>
      </c>
      <c r="L305" s="372">
        <v>252.6</v>
      </c>
      <c r="M305" s="373">
        <f t="shared" si="22"/>
        <v>2.6829268292682902E-2</v>
      </c>
      <c r="N305" s="372">
        <v>237.7</v>
      </c>
      <c r="O305" s="373">
        <f t="shared" si="23"/>
        <v>2.5452976704055122E-2</v>
      </c>
      <c r="P305" s="372">
        <v>208.3</v>
      </c>
      <c r="Q305" s="373">
        <f t="shared" si="24"/>
        <v>2.0078354554358583E-2</v>
      </c>
    </row>
    <row r="306" spans="1:22" hidden="1" outlineLevel="1" x14ac:dyDescent="0.3">
      <c r="A306" s="293"/>
      <c r="B306" s="294">
        <v>2014</v>
      </c>
      <c r="C306" s="294" t="s">
        <v>1557</v>
      </c>
      <c r="D306" s="359">
        <v>9846</v>
      </c>
      <c r="E306" s="343">
        <f t="shared" si="25"/>
        <v>3.1534834992142484E-2</v>
      </c>
      <c r="F306" s="359">
        <v>5390</v>
      </c>
      <c r="G306" s="343">
        <f t="shared" si="25"/>
        <v>2.1413682016297137E-2</v>
      </c>
      <c r="H306" s="366">
        <v>183.36452758986937</v>
      </c>
      <c r="I306" s="343">
        <f t="shared" si="21"/>
        <v>-6.810674054205669E-2</v>
      </c>
      <c r="J306" s="375">
        <v>235.5</v>
      </c>
      <c r="K306" s="343">
        <f t="shared" si="20"/>
        <v>2.2579244463742893E-2</v>
      </c>
      <c r="L306" s="375">
        <v>252.9</v>
      </c>
      <c r="M306" s="376">
        <f t="shared" si="22"/>
        <v>2.8048780487804899E-2</v>
      </c>
      <c r="N306" s="375">
        <v>237.9</v>
      </c>
      <c r="O306" s="376">
        <f t="shared" si="23"/>
        <v>2.1468441391155002E-2</v>
      </c>
      <c r="P306" s="375">
        <v>208</v>
      </c>
      <c r="Q306" s="376">
        <f t="shared" si="24"/>
        <v>1.6121152906692776E-2</v>
      </c>
    </row>
    <row r="307" spans="1:22" s="303" customFormat="1" collapsed="1" x14ac:dyDescent="0.3">
      <c r="D307" s="377"/>
      <c r="E307" s="377"/>
      <c r="H307" s="294"/>
      <c r="I307" s="294"/>
      <c r="S307" s="378"/>
      <c r="T307" s="378"/>
      <c r="U307" s="378"/>
      <c r="V307" s="378"/>
    </row>
    <row r="308" spans="1:22" x14ac:dyDescent="0.3">
      <c r="D308" s="299"/>
      <c r="E308" s="299"/>
    </row>
    <row r="309" spans="1:22" x14ac:dyDescent="0.3">
      <c r="D309" s="299"/>
      <c r="E309" s="299"/>
    </row>
    <row r="310" spans="1:22" x14ac:dyDescent="0.3">
      <c r="D310" s="299"/>
      <c r="E310" s="299"/>
    </row>
    <row r="311" spans="1:22" ht="16.2" thickBot="1" x14ac:dyDescent="0.35">
      <c r="D311" s="299"/>
      <c r="E311" s="299"/>
    </row>
    <row r="312" spans="1:22" ht="16.2" thickBot="1" x14ac:dyDescent="0.35">
      <c r="C312" s="642" t="s">
        <v>1791</v>
      </c>
      <c r="D312" s="643" t="s">
        <v>1776</v>
      </c>
    </row>
    <row r="313" spans="1:22" ht="16.2" thickBot="1" x14ac:dyDescent="0.35">
      <c r="C313" s="645">
        <v>10</v>
      </c>
      <c r="D313" s="644" t="s">
        <v>1777</v>
      </c>
    </row>
    <row r="314" spans="1:22" ht="16.2" thickBot="1" x14ac:dyDescent="0.35">
      <c r="C314" s="646">
        <v>110</v>
      </c>
      <c r="D314" s="644" t="s">
        <v>1778</v>
      </c>
    </row>
    <row r="315" spans="1:22" ht="16.2" thickBot="1" x14ac:dyDescent="0.35">
      <c r="C315" s="646">
        <v>150</v>
      </c>
      <c r="D315" s="644" t="s">
        <v>1779</v>
      </c>
    </row>
    <row r="316" spans="1:22" ht="16.2" thickBot="1" x14ac:dyDescent="0.35">
      <c r="C316" s="646">
        <v>210</v>
      </c>
      <c r="D316" s="644" t="s">
        <v>1780</v>
      </c>
    </row>
    <row r="317" spans="1:22" ht="16.2" thickBot="1" x14ac:dyDescent="0.35">
      <c r="C317" s="646">
        <v>211</v>
      </c>
      <c r="D317" s="644" t="s">
        <v>1781</v>
      </c>
    </row>
    <row r="318" spans="1:22" ht="16.2" thickBot="1" x14ac:dyDescent="0.35">
      <c r="C318" s="646">
        <v>212</v>
      </c>
      <c r="D318" s="644" t="s">
        <v>1591</v>
      </c>
    </row>
    <row r="319" spans="1:22" ht="16.2" thickBot="1" x14ac:dyDescent="0.35">
      <c r="C319" s="646">
        <v>310</v>
      </c>
      <c r="D319" s="644" t="s">
        <v>1782</v>
      </c>
    </row>
    <row r="320" spans="1:22" ht="16.2" thickBot="1" x14ac:dyDescent="0.35">
      <c r="C320" s="646">
        <v>320</v>
      </c>
      <c r="D320" s="644" t="s">
        <v>1783</v>
      </c>
    </row>
    <row r="321" spans="3:4" ht="16.2" thickBot="1" x14ac:dyDescent="0.35">
      <c r="C321" s="646">
        <v>330</v>
      </c>
      <c r="D321" s="644" t="s">
        <v>1784</v>
      </c>
    </row>
    <row r="322" spans="3:4" ht="16.2" thickBot="1" x14ac:dyDescent="0.35">
      <c r="C322" s="646">
        <v>335</v>
      </c>
      <c r="D322" s="644" t="s">
        <v>1785</v>
      </c>
    </row>
    <row r="323" spans="3:4" ht="16.2" thickBot="1" x14ac:dyDescent="0.35">
      <c r="C323" s="646">
        <v>340</v>
      </c>
      <c r="D323" s="644" t="s">
        <v>1786</v>
      </c>
    </row>
    <row r="324" spans="3:4" ht="16.2" thickBot="1" x14ac:dyDescent="0.35">
      <c r="C324" s="646">
        <v>350</v>
      </c>
      <c r="D324" s="644" t="s">
        <v>1787</v>
      </c>
    </row>
    <row r="325" spans="3:4" ht="16.2" thickBot="1" x14ac:dyDescent="0.35">
      <c r="C325" s="646">
        <v>360</v>
      </c>
      <c r="D325" s="644" t="s">
        <v>262</v>
      </c>
    </row>
    <row r="326" spans="3:4" ht="16.2" thickBot="1" x14ac:dyDescent="0.35">
      <c r="C326" s="646">
        <v>370</v>
      </c>
      <c r="D326" s="644" t="s">
        <v>1788</v>
      </c>
    </row>
    <row r="327" spans="3:4" ht="16.2" thickBot="1" x14ac:dyDescent="0.35">
      <c r="C327" s="646">
        <v>380</v>
      </c>
      <c r="D327" s="644" t="s">
        <v>1789</v>
      </c>
    </row>
    <row r="328" spans="3:4" ht="16.2" thickBot="1" x14ac:dyDescent="0.35">
      <c r="C328" s="646">
        <v>410</v>
      </c>
      <c r="D328" s="644" t="s">
        <v>200</v>
      </c>
    </row>
    <row r="329" spans="3:4" ht="16.2" thickBot="1" x14ac:dyDescent="0.35">
      <c r="C329" s="646">
        <v>610</v>
      </c>
      <c r="D329" s="644" t="s">
        <v>199</v>
      </c>
    </row>
    <row r="330" spans="3:4" ht="16.2" thickBot="1" x14ac:dyDescent="0.35">
      <c r="C330" s="646">
        <v>900</v>
      </c>
      <c r="D330" s="644" t="s">
        <v>1790</v>
      </c>
    </row>
  </sheetData>
  <mergeCells count="13">
    <mergeCell ref="D18:G18"/>
    <mergeCell ref="H18:I18"/>
    <mergeCell ref="J18:Q18"/>
    <mergeCell ref="D19:G19"/>
    <mergeCell ref="H19:I19"/>
    <mergeCell ref="J19:Q19"/>
    <mergeCell ref="P20:Q20"/>
    <mergeCell ref="D20:E20"/>
    <mergeCell ref="F20:G20"/>
    <mergeCell ref="H20:I20"/>
    <mergeCell ref="J20:K20"/>
    <mergeCell ref="L20:M20"/>
    <mergeCell ref="N20:O20"/>
  </mergeCells>
  <dataValidations count="2">
    <dataValidation type="list" allowBlank="1" showInputMessage="1" showErrorMessage="1" sqref="D22 F22:Q22">
      <formula1>$B$27:$B$91</formula1>
    </dataValidation>
    <dataValidation type="list" allowBlank="1" showInputMessage="1" showErrorMessage="1" sqref="E22">
      <formula1>$B$27:$B$92</formula1>
    </dataValidation>
  </dataValidations>
  <hyperlinks>
    <hyperlink ref="D18" r:id="rId1" display="Web"/>
    <hyperlink ref="H18:I18" r:id="rId2" display="IMF Website"/>
    <hyperlink ref="J18:K18" r:id="rId3" display="IMF Website"/>
    <hyperlink ref="J18:Q18" r:id="rId4" display="ACC Website"/>
    <hyperlink ref="D18:G18" r:id="rId5" display="ENR Website"/>
  </hyperlinks>
  <pageMargins left="0.1" right="0.1" top="0.4" bottom="0.3" header="0.15" footer="0.1"/>
  <pageSetup scale="42" fitToHeight="3" orientation="landscape" r:id="rId6"/>
  <headerFooter alignWithMargins="0">
    <oddHeader>&amp;C&amp;F</oddHeader>
    <oddFooter>&amp;R&amp;D&amp;CPage &amp;P of &amp;N</oddFooter>
  </headerFooter>
  <rowBreaks count="3" manualBreakCount="3">
    <brk id="141" max="17" man="1"/>
    <brk id="202" max="17" man="1"/>
    <brk id="250" max="16383" man="1"/>
  </rowBreaks>
  <ignoredErrors>
    <ignoredError sqref="E24:Q91" formula="1"/>
  </ignoredErrors>
  <drawing r:id="rId7"/>
  <legacy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281"/>
  <sheetViews>
    <sheetView topLeftCell="A2248" workbookViewId="0">
      <selection activeCell="P2253" sqref="P2253"/>
    </sheetView>
  </sheetViews>
  <sheetFormatPr defaultColWidth="9" defaultRowHeight="14.4" x14ac:dyDescent="0.3"/>
  <cols>
    <col min="1" max="1" width="4.5" style="123" customWidth="1"/>
    <col min="2" max="2" width="9.19921875" style="123" bestFit="1" customWidth="1"/>
    <col min="3" max="3" width="9.09765625" style="123" bestFit="1" customWidth="1"/>
    <col min="4" max="4" width="2.19921875" style="530" customWidth="1"/>
    <col min="5" max="5" width="9.59765625" style="535" customWidth="1"/>
    <col min="6" max="6" width="11.19921875" style="535" bestFit="1" customWidth="1"/>
    <col min="7" max="7" width="12" style="535" customWidth="1"/>
    <col min="8" max="8" width="2.19921875" style="530" customWidth="1"/>
    <col min="9" max="9" width="9.59765625" style="535" customWidth="1"/>
    <col min="10" max="10" width="13.19921875" style="535" bestFit="1" customWidth="1"/>
    <col min="11" max="11" width="11.09765625" style="535" customWidth="1"/>
    <col min="12" max="12" width="2.19921875" style="530" customWidth="1"/>
    <col min="13" max="14" width="9.09765625" style="123" bestFit="1" customWidth="1"/>
    <col min="15" max="15" width="2.19921875" style="530" customWidth="1"/>
    <col min="16" max="16" width="11.09765625" style="123" bestFit="1" customWidth="1"/>
    <col min="17" max="17" width="9" style="123"/>
    <col min="18" max="18" width="2.19921875" style="530" customWidth="1"/>
    <col min="19" max="19" width="11.3984375" style="123" customWidth="1"/>
    <col min="20" max="20" width="10.59765625" style="123" customWidth="1"/>
    <col min="21" max="16384" width="9" style="123"/>
  </cols>
  <sheetData>
    <row r="1" spans="2:17" x14ac:dyDescent="0.3">
      <c r="E1" s="531"/>
      <c r="F1" s="532" t="s">
        <v>1690</v>
      </c>
      <c r="G1" s="531"/>
      <c r="I1" s="531"/>
      <c r="J1" s="532" t="s">
        <v>1695</v>
      </c>
      <c r="K1" s="531"/>
    </row>
    <row r="2" spans="2:17" x14ac:dyDescent="0.3">
      <c r="B2" s="1325" t="s">
        <v>1687</v>
      </c>
      <c r="C2" s="1325"/>
      <c r="E2" s="531"/>
      <c r="F2" s="532" t="s">
        <v>1691</v>
      </c>
      <c r="G2" s="531"/>
      <c r="I2" s="531"/>
      <c r="J2" s="532" t="s">
        <v>1691</v>
      </c>
      <c r="K2" s="531"/>
    </row>
    <row r="3" spans="2:17" ht="28.8" x14ac:dyDescent="0.3">
      <c r="B3" s="1326" t="s">
        <v>1688</v>
      </c>
      <c r="C3" s="1326"/>
      <c r="E3" s="533" t="s">
        <v>1692</v>
      </c>
      <c r="F3" s="533" t="s">
        <v>1693</v>
      </c>
      <c r="G3" s="533" t="s">
        <v>1694</v>
      </c>
      <c r="I3" s="533" t="s">
        <v>1692</v>
      </c>
      <c r="J3" s="533" t="s">
        <v>1693</v>
      </c>
      <c r="K3" s="533" t="s">
        <v>1694</v>
      </c>
    </row>
    <row r="4" spans="2:17" x14ac:dyDescent="0.3">
      <c r="B4" s="532" t="s">
        <v>1689</v>
      </c>
      <c r="C4" s="529">
        <v>0</v>
      </c>
      <c r="E4" s="534">
        <v>12689</v>
      </c>
      <c r="F4" s="534">
        <v>0</v>
      </c>
      <c r="G4" s="534">
        <v>0</v>
      </c>
      <c r="I4" s="534">
        <v>765</v>
      </c>
      <c r="J4" s="534">
        <v>0</v>
      </c>
      <c r="K4" s="534">
        <v>0</v>
      </c>
    </row>
    <row r="5" spans="2:17" x14ac:dyDescent="0.3">
      <c r="B5" s="529">
        <v>0</v>
      </c>
      <c r="C5" s="529">
        <v>1</v>
      </c>
      <c r="E5" s="534">
        <v>3167</v>
      </c>
      <c r="F5" s="534">
        <v>3167</v>
      </c>
      <c r="G5" s="534">
        <v>124153</v>
      </c>
      <c r="I5" s="534">
        <v>153</v>
      </c>
      <c r="J5" s="534">
        <v>153</v>
      </c>
      <c r="K5" s="534">
        <v>8823</v>
      </c>
    </row>
    <row r="6" spans="2:17" x14ac:dyDescent="0.3">
      <c r="B6" s="529">
        <f>C5*1000+1</f>
        <v>1001</v>
      </c>
      <c r="C6" s="529">
        <f>C5+1</f>
        <v>2</v>
      </c>
      <c r="E6" s="534">
        <v>4863</v>
      </c>
      <c r="F6" s="534">
        <v>9726</v>
      </c>
      <c r="G6" s="534">
        <v>120986</v>
      </c>
      <c r="I6" s="534">
        <v>181</v>
      </c>
      <c r="J6" s="534">
        <v>362</v>
      </c>
      <c r="K6" s="534">
        <v>8670</v>
      </c>
    </row>
    <row r="7" spans="2:17" x14ac:dyDescent="0.3">
      <c r="B7" s="529">
        <f t="shared" ref="B7:B70" si="0">C6*1000+1</f>
        <v>2001</v>
      </c>
      <c r="C7" s="529">
        <f t="shared" ref="C7:C70" si="1">C6+1</f>
        <v>3</v>
      </c>
      <c r="E7" s="534">
        <v>7095</v>
      </c>
      <c r="F7" s="534">
        <v>21285</v>
      </c>
      <c r="G7" s="534">
        <v>116123</v>
      </c>
      <c r="I7" s="534">
        <v>349</v>
      </c>
      <c r="J7" s="534">
        <v>1047</v>
      </c>
      <c r="K7" s="534">
        <v>8489</v>
      </c>
    </row>
    <row r="8" spans="2:17" x14ac:dyDescent="0.3">
      <c r="B8" s="529">
        <f t="shared" si="0"/>
        <v>3001</v>
      </c>
      <c r="C8" s="529">
        <f t="shared" si="1"/>
        <v>4</v>
      </c>
      <c r="E8" s="534">
        <v>8149</v>
      </c>
      <c r="F8" s="534">
        <v>32596</v>
      </c>
      <c r="G8" s="534">
        <v>109028</v>
      </c>
      <c r="I8" s="534">
        <v>461</v>
      </c>
      <c r="J8" s="534">
        <v>1844</v>
      </c>
      <c r="K8" s="534">
        <v>8140</v>
      </c>
      <c r="M8" s="123" t="s">
        <v>2146</v>
      </c>
      <c r="N8" s="123" t="s">
        <v>2147</v>
      </c>
      <c r="P8" s="123" t="s">
        <v>2148</v>
      </c>
      <c r="Q8" s="123" t="s">
        <v>2149</v>
      </c>
    </row>
    <row r="9" spans="2:17" x14ac:dyDescent="0.3">
      <c r="B9" s="529">
        <f t="shared" si="0"/>
        <v>4001</v>
      </c>
      <c r="C9" s="529">
        <f t="shared" si="1"/>
        <v>5</v>
      </c>
      <c r="E9" s="534">
        <v>8840</v>
      </c>
      <c r="F9" s="534">
        <v>44200</v>
      </c>
      <c r="G9" s="534">
        <v>100879</v>
      </c>
      <c r="I9" s="534">
        <v>552</v>
      </c>
      <c r="J9" s="534">
        <v>2760</v>
      </c>
      <c r="K9" s="534">
        <v>7679</v>
      </c>
      <c r="M9" s="617">
        <f>SUM(E$4:E9)+SUM(I$4:I9)</f>
        <v>47264</v>
      </c>
      <c r="N9" s="960">
        <f>M9/M$2252</f>
        <v>0.32277538755719454</v>
      </c>
      <c r="P9" s="617">
        <f>SUM(G$4:G9)+SUM(K$4:K9)</f>
        <v>612970</v>
      </c>
      <c r="Q9" s="960">
        <f>P9/P$2252</f>
        <v>0.33089906382831707</v>
      </c>
    </row>
    <row r="10" spans="2:17" x14ac:dyDescent="0.3">
      <c r="B10" s="529">
        <f t="shared" si="0"/>
        <v>5001</v>
      </c>
      <c r="C10" s="529">
        <f t="shared" si="1"/>
        <v>6</v>
      </c>
      <c r="E10" s="534">
        <v>9301</v>
      </c>
      <c r="F10" s="534">
        <v>55806</v>
      </c>
      <c r="G10" s="534">
        <v>92039</v>
      </c>
      <c r="I10" s="534">
        <v>667</v>
      </c>
      <c r="J10" s="534">
        <v>4002</v>
      </c>
      <c r="K10" s="534">
        <v>7127</v>
      </c>
      <c r="M10" s="617">
        <f>SUM(E$4:E10)+SUM(I$4:I10)</f>
        <v>57232</v>
      </c>
      <c r="N10" s="960">
        <f t="shared" ref="N10:N14" si="2">M10/M$2252</f>
        <v>0.39084886976712424</v>
      </c>
      <c r="P10" s="617">
        <f>SUM(G$4:G10)+SUM(K$4:K10)</f>
        <v>712136</v>
      </c>
      <c r="Q10" s="960">
        <f t="shared" ref="Q10:Q14" si="3">P10/P$2252</f>
        <v>0.3844317596594326</v>
      </c>
    </row>
    <row r="11" spans="2:17" x14ac:dyDescent="0.3">
      <c r="B11" s="529">
        <f t="shared" si="0"/>
        <v>6001</v>
      </c>
      <c r="C11" s="529">
        <f t="shared" si="1"/>
        <v>7</v>
      </c>
      <c r="E11" s="534">
        <v>9455</v>
      </c>
      <c r="F11" s="534">
        <v>66185</v>
      </c>
      <c r="G11" s="534">
        <v>82738</v>
      </c>
      <c r="I11" s="534">
        <v>695</v>
      </c>
      <c r="J11" s="534">
        <v>4865</v>
      </c>
      <c r="K11" s="534">
        <v>6460</v>
      </c>
      <c r="M11" s="617">
        <f>SUM(E$4:E11)+SUM(I$4:I11)</f>
        <v>67382</v>
      </c>
      <c r="N11" s="960">
        <f t="shared" si="2"/>
        <v>0.46016526668032509</v>
      </c>
      <c r="P11" s="617">
        <f>SUM(G$4:G11)+SUM(K$4:K11)</f>
        <v>801334</v>
      </c>
      <c r="Q11" s="960">
        <f t="shared" si="3"/>
        <v>0.43258343868998583</v>
      </c>
    </row>
    <row r="12" spans="2:17" x14ac:dyDescent="0.3">
      <c r="B12" s="529">
        <f t="shared" si="0"/>
        <v>7001</v>
      </c>
      <c r="C12" s="529">
        <f t="shared" si="1"/>
        <v>8</v>
      </c>
      <c r="E12" s="534">
        <v>9109</v>
      </c>
      <c r="F12" s="534">
        <v>72872</v>
      </c>
      <c r="G12" s="534">
        <v>73283</v>
      </c>
      <c r="I12" s="534">
        <v>729</v>
      </c>
      <c r="J12" s="534">
        <v>5832</v>
      </c>
      <c r="K12" s="534">
        <v>5765</v>
      </c>
      <c r="M12" s="617">
        <f>SUM(E$4:E12)+SUM(I$4:I12)</f>
        <v>77220</v>
      </c>
      <c r="N12" s="960">
        <f t="shared" si="2"/>
        <v>0.52735095267363241</v>
      </c>
      <c r="P12" s="617">
        <f>SUM(G$4:G12)+SUM(K$4:K12)</f>
        <v>880382</v>
      </c>
      <c r="Q12" s="960">
        <f t="shared" si="3"/>
        <v>0.47525585201771936</v>
      </c>
    </row>
    <row r="13" spans="2:17" x14ac:dyDescent="0.3">
      <c r="B13" s="529">
        <f t="shared" si="0"/>
        <v>8001</v>
      </c>
      <c r="C13" s="529">
        <f t="shared" si="1"/>
        <v>9</v>
      </c>
      <c r="E13" s="534">
        <v>8391</v>
      </c>
      <c r="F13" s="534">
        <v>75519</v>
      </c>
      <c r="G13" s="534">
        <v>64174</v>
      </c>
      <c r="I13" s="534">
        <v>650</v>
      </c>
      <c r="J13" s="534">
        <v>5850</v>
      </c>
      <c r="K13" s="534">
        <v>5036</v>
      </c>
      <c r="M13" s="617">
        <f>SUM(E$4:E13)+SUM(I$4:I13)</f>
        <v>86261</v>
      </c>
      <c r="N13" s="960">
        <f t="shared" si="2"/>
        <v>0.58909376493887866</v>
      </c>
      <c r="P13" s="617">
        <f>SUM(G$4:G13)+SUM(K$4:K13)</f>
        <v>949592</v>
      </c>
      <c r="Q13" s="960">
        <f t="shared" si="3"/>
        <v>0.5126174263322173</v>
      </c>
    </row>
    <row r="14" spans="2:17" x14ac:dyDescent="0.3">
      <c r="B14" s="529">
        <f t="shared" si="0"/>
        <v>9001</v>
      </c>
      <c r="C14" s="529">
        <f t="shared" si="1"/>
        <v>10</v>
      </c>
      <c r="E14" s="534">
        <v>7569</v>
      </c>
      <c r="F14" s="534">
        <v>75690</v>
      </c>
      <c r="G14" s="534">
        <v>55783</v>
      </c>
      <c r="I14" s="534">
        <v>601</v>
      </c>
      <c r="J14" s="534">
        <v>6010</v>
      </c>
      <c r="K14" s="534">
        <v>4386</v>
      </c>
      <c r="M14" s="617">
        <f>SUM(E$4:E14)+SUM(I$4:I14)</f>
        <v>94431</v>
      </c>
      <c r="N14" s="960">
        <f t="shared" si="2"/>
        <v>0.64488834255275562</v>
      </c>
      <c r="P14" s="617">
        <f>SUM(G$4:G14)+SUM(K$4:K14)</f>
        <v>1009761</v>
      </c>
      <c r="Q14" s="960">
        <f t="shared" si="3"/>
        <v>0.54509840545270616</v>
      </c>
    </row>
    <row r="15" spans="2:17" x14ac:dyDescent="0.3">
      <c r="B15" s="529">
        <f t="shared" si="0"/>
        <v>10001</v>
      </c>
      <c r="C15" s="529">
        <f t="shared" si="1"/>
        <v>11</v>
      </c>
      <c r="E15" s="534">
        <v>6597</v>
      </c>
      <c r="F15" s="534">
        <v>72567</v>
      </c>
      <c r="G15" s="534">
        <v>48214</v>
      </c>
      <c r="I15" s="534">
        <v>565</v>
      </c>
      <c r="J15" s="534">
        <v>6215</v>
      </c>
      <c r="K15" s="534">
        <v>3785</v>
      </c>
      <c r="M15" s="617">
        <f>SUM(E$4:E15)+SUM(I$4:I15)</f>
        <v>101593</v>
      </c>
      <c r="N15" s="960">
        <f t="shared" ref="N15:N26" si="4">M15/M$2252</f>
        <v>0.69379908488697672</v>
      </c>
      <c r="P15" s="617">
        <f>SUM(G$4:G15)+SUM(K$4:K15)</f>
        <v>1061760</v>
      </c>
      <c r="Q15" s="960">
        <f t="shared" ref="Q15:Q26" si="5">P15/P$2252</f>
        <v>0.57316898055427501</v>
      </c>
    </row>
    <row r="16" spans="2:17" x14ac:dyDescent="0.3">
      <c r="B16" s="529">
        <f t="shared" si="0"/>
        <v>11001</v>
      </c>
      <c r="C16" s="529">
        <f t="shared" si="1"/>
        <v>12</v>
      </c>
      <c r="E16" s="534">
        <v>5620</v>
      </c>
      <c r="F16" s="534">
        <v>67440</v>
      </c>
      <c r="G16" s="534">
        <v>41617</v>
      </c>
      <c r="I16" s="534">
        <v>471</v>
      </c>
      <c r="J16" s="534">
        <v>5652</v>
      </c>
      <c r="K16" s="534">
        <v>3220</v>
      </c>
      <c r="M16" s="617">
        <f>SUM(E$4:E16)+SUM(I$4:I16)</f>
        <v>107684</v>
      </c>
      <c r="N16" s="960">
        <f t="shared" si="4"/>
        <v>0.7353957522365635</v>
      </c>
      <c r="P16" s="617">
        <f>SUM(G$4:G16)+SUM(K$4:K16)</f>
        <v>1106597</v>
      </c>
      <c r="Q16" s="960">
        <f t="shared" si="5"/>
        <v>0.59737329940327288</v>
      </c>
    </row>
    <row r="17" spans="2:17" x14ac:dyDescent="0.3">
      <c r="B17" s="529">
        <f t="shared" si="0"/>
        <v>12001</v>
      </c>
      <c r="C17" s="529">
        <f t="shared" si="1"/>
        <v>13</v>
      </c>
      <c r="E17" s="534">
        <v>4803</v>
      </c>
      <c r="F17" s="534">
        <v>62439</v>
      </c>
      <c r="G17" s="534">
        <v>35997</v>
      </c>
      <c r="I17" s="534">
        <v>426</v>
      </c>
      <c r="J17" s="534">
        <v>5538</v>
      </c>
      <c r="K17" s="534">
        <v>2749</v>
      </c>
      <c r="M17" s="617">
        <f>SUM(E$4:E17)+SUM(I$4:I17)</f>
        <v>112913</v>
      </c>
      <c r="N17" s="960">
        <f t="shared" si="4"/>
        <v>0.77110564774977808</v>
      </c>
      <c r="P17" s="617">
        <f>SUM(G$4:G17)+SUM(K$4:K17)</f>
        <v>1145343</v>
      </c>
      <c r="Q17" s="960">
        <f t="shared" si="5"/>
        <v>0.61828951900144569</v>
      </c>
    </row>
    <row r="18" spans="2:17" x14ac:dyDescent="0.3">
      <c r="B18" s="529">
        <f t="shared" si="0"/>
        <v>13001</v>
      </c>
      <c r="C18" s="529">
        <f t="shared" si="1"/>
        <v>14</v>
      </c>
      <c r="E18" s="534">
        <v>3996</v>
      </c>
      <c r="F18" s="534">
        <v>55944</v>
      </c>
      <c r="G18" s="534">
        <v>31194</v>
      </c>
      <c r="I18" s="534">
        <v>330</v>
      </c>
      <c r="J18" s="534">
        <v>4620</v>
      </c>
      <c r="K18" s="534">
        <v>2323</v>
      </c>
      <c r="M18" s="617">
        <f>SUM(E$4:E18)+SUM(I$4:I18)</f>
        <v>117239</v>
      </c>
      <c r="N18" s="960">
        <f t="shared" si="4"/>
        <v>0.80064877415830094</v>
      </c>
      <c r="P18" s="617">
        <f>SUM(G$4:G18)+SUM(K$4:K18)</f>
        <v>1178860</v>
      </c>
      <c r="Q18" s="960">
        <f t="shared" si="5"/>
        <v>0.63638297206168304</v>
      </c>
    </row>
    <row r="19" spans="2:17" x14ac:dyDescent="0.3">
      <c r="B19" s="529">
        <f t="shared" si="0"/>
        <v>14001</v>
      </c>
      <c r="C19" s="529">
        <f t="shared" si="1"/>
        <v>15</v>
      </c>
      <c r="E19" s="534">
        <v>3328</v>
      </c>
      <c r="F19" s="534">
        <v>49920</v>
      </c>
      <c r="G19" s="534">
        <v>27198</v>
      </c>
      <c r="I19" s="534">
        <v>318</v>
      </c>
      <c r="J19" s="534">
        <v>4770</v>
      </c>
      <c r="K19" s="534">
        <v>1993</v>
      </c>
      <c r="M19" s="617">
        <f>SUM(E$4:E19)+SUM(I$4:I19)</f>
        <v>120885</v>
      </c>
      <c r="N19" s="960">
        <f t="shared" si="4"/>
        <v>0.82554804343372257</v>
      </c>
      <c r="P19" s="617">
        <f>SUM(G$4:G19)+SUM(K$4:K19)</f>
        <v>1208051</v>
      </c>
      <c r="Q19" s="960">
        <f t="shared" si="5"/>
        <v>0.6521411242913393</v>
      </c>
    </row>
    <row r="20" spans="2:17" x14ac:dyDescent="0.3">
      <c r="B20" s="529">
        <f t="shared" si="0"/>
        <v>15001</v>
      </c>
      <c r="C20" s="529">
        <f t="shared" si="1"/>
        <v>16</v>
      </c>
      <c r="E20" s="534">
        <v>2735</v>
      </c>
      <c r="F20" s="534">
        <v>43760</v>
      </c>
      <c r="G20" s="534">
        <v>23870</v>
      </c>
      <c r="I20" s="534">
        <v>256</v>
      </c>
      <c r="J20" s="534">
        <v>4096</v>
      </c>
      <c r="K20" s="534">
        <v>1675</v>
      </c>
      <c r="M20" s="617">
        <f>SUM(E$4:E20)+SUM(I$4:I20)</f>
        <v>123876</v>
      </c>
      <c r="N20" s="960">
        <f t="shared" si="4"/>
        <v>0.84597418561770132</v>
      </c>
      <c r="P20" s="617">
        <f>SUM(G$4:G20)+SUM(K$4:K20)</f>
        <v>1233596</v>
      </c>
      <c r="Q20" s="960">
        <f t="shared" si="5"/>
        <v>0.6659310595010467</v>
      </c>
    </row>
    <row r="21" spans="2:17" x14ac:dyDescent="0.3">
      <c r="B21" s="529">
        <f t="shared" si="0"/>
        <v>16001</v>
      </c>
      <c r="C21" s="529">
        <f t="shared" si="1"/>
        <v>17</v>
      </c>
      <c r="E21" s="534">
        <v>2274</v>
      </c>
      <c r="F21" s="534">
        <v>38658</v>
      </c>
      <c r="G21" s="534">
        <v>21135</v>
      </c>
      <c r="I21" s="534">
        <v>192</v>
      </c>
      <c r="J21" s="534">
        <v>3264</v>
      </c>
      <c r="K21" s="534">
        <v>1419</v>
      </c>
      <c r="M21" s="617">
        <f>SUM(E$4:E21)+SUM(I$4:I21)</f>
        <v>126342</v>
      </c>
      <c r="N21" s="960">
        <f t="shared" si="4"/>
        <v>0.86281499692685926</v>
      </c>
      <c r="P21" s="617">
        <f>SUM(G$4:G21)+SUM(K$4:K21)</f>
        <v>1256150</v>
      </c>
      <c r="Q21" s="960">
        <f t="shared" si="5"/>
        <v>0.67810636577310546</v>
      </c>
    </row>
    <row r="22" spans="2:17" x14ac:dyDescent="0.3">
      <c r="B22" s="529">
        <f t="shared" si="0"/>
        <v>17001</v>
      </c>
      <c r="C22" s="529">
        <f t="shared" si="1"/>
        <v>18</v>
      </c>
      <c r="E22" s="534">
        <v>1805</v>
      </c>
      <c r="F22" s="534">
        <v>32490</v>
      </c>
      <c r="G22" s="534">
        <v>18861</v>
      </c>
      <c r="I22" s="534">
        <v>156</v>
      </c>
      <c r="J22" s="534">
        <v>2808</v>
      </c>
      <c r="K22" s="534">
        <v>1227</v>
      </c>
      <c r="M22" s="617">
        <f>SUM(E$4:E22)+SUM(I$4:I22)</f>
        <v>128303</v>
      </c>
      <c r="N22" s="960">
        <f t="shared" si="4"/>
        <v>0.87620706139452298</v>
      </c>
      <c r="P22" s="617">
        <f>SUM(G$4:G22)+SUM(K$4:K22)</f>
        <v>1276238</v>
      </c>
      <c r="Q22" s="960">
        <f t="shared" si="5"/>
        <v>0.68895045340248906</v>
      </c>
    </row>
    <row r="23" spans="2:17" x14ac:dyDescent="0.3">
      <c r="B23" s="529">
        <f t="shared" si="0"/>
        <v>18001</v>
      </c>
      <c r="C23" s="529">
        <f t="shared" si="1"/>
        <v>19</v>
      </c>
      <c r="E23" s="534">
        <v>1661</v>
      </c>
      <c r="F23" s="534">
        <v>31559</v>
      </c>
      <c r="G23" s="534">
        <v>17056</v>
      </c>
      <c r="I23" s="534">
        <v>118</v>
      </c>
      <c r="J23" s="534">
        <v>2242</v>
      </c>
      <c r="K23" s="534">
        <v>1071</v>
      </c>
      <c r="M23" s="617">
        <f>SUM(E$4:E23)+SUM(I$4:I23)</f>
        <v>130082</v>
      </c>
      <c r="N23" s="960">
        <f t="shared" si="4"/>
        <v>0.8883562111589155</v>
      </c>
      <c r="P23" s="617">
        <f>SUM(G$4:G23)+SUM(K$4:K23)</f>
        <v>1294365</v>
      </c>
      <c r="Q23" s="960">
        <f t="shared" si="5"/>
        <v>0.6987359361015052</v>
      </c>
    </row>
    <row r="24" spans="2:17" x14ac:dyDescent="0.3">
      <c r="B24" s="529">
        <f t="shared" si="0"/>
        <v>19001</v>
      </c>
      <c r="C24" s="529">
        <f t="shared" si="1"/>
        <v>20</v>
      </c>
      <c r="E24" s="534">
        <v>1432</v>
      </c>
      <c r="F24" s="534">
        <v>28640</v>
      </c>
      <c r="G24" s="534">
        <v>15395</v>
      </c>
      <c r="I24" s="534">
        <v>115</v>
      </c>
      <c r="J24" s="534">
        <v>2300</v>
      </c>
      <c r="K24" s="534">
        <v>953</v>
      </c>
      <c r="M24" s="617">
        <f>SUM(E$4:E24)+SUM(I$4:I24)</f>
        <v>131629</v>
      </c>
      <c r="N24" s="960">
        <f t="shared" si="4"/>
        <v>0.89892098613672067</v>
      </c>
      <c r="P24" s="617">
        <f>SUM(G$4:G24)+SUM(K$4:K24)</f>
        <v>1310713</v>
      </c>
      <c r="Q24" s="960">
        <f t="shared" si="5"/>
        <v>0.70756106277241126</v>
      </c>
    </row>
    <row r="25" spans="2:17" x14ac:dyDescent="0.3">
      <c r="B25" s="529">
        <f t="shared" si="0"/>
        <v>20001</v>
      </c>
      <c r="C25" s="529">
        <f t="shared" si="1"/>
        <v>21</v>
      </c>
      <c r="E25" s="534">
        <v>1180</v>
      </c>
      <c r="F25" s="534">
        <v>24780</v>
      </c>
      <c r="G25" s="534">
        <v>13963</v>
      </c>
      <c r="I25" s="534">
        <v>102</v>
      </c>
      <c r="J25" s="534">
        <v>2142</v>
      </c>
      <c r="K25" s="534">
        <v>838</v>
      </c>
      <c r="M25" s="617">
        <f>SUM(E$4:E25)+SUM(I$4:I25)</f>
        <v>132911</v>
      </c>
      <c r="N25" s="960">
        <f t="shared" si="4"/>
        <v>0.90767602267294956</v>
      </c>
      <c r="P25" s="617">
        <f>SUM(G$4:G25)+SUM(K$4:K25)</f>
        <v>1325514</v>
      </c>
      <c r="Q25" s="960">
        <f t="shared" si="5"/>
        <v>0.71555107377412897</v>
      </c>
    </row>
    <row r="26" spans="2:17" x14ac:dyDescent="0.3">
      <c r="B26" s="529">
        <f t="shared" si="0"/>
        <v>21001</v>
      </c>
      <c r="C26" s="529">
        <f t="shared" si="1"/>
        <v>22</v>
      </c>
      <c r="E26" s="534">
        <v>973</v>
      </c>
      <c r="F26" s="534">
        <v>21406</v>
      </c>
      <c r="G26" s="534">
        <v>12783</v>
      </c>
      <c r="I26" s="534">
        <v>76</v>
      </c>
      <c r="J26" s="534">
        <v>1672</v>
      </c>
      <c r="K26" s="534">
        <v>736</v>
      </c>
      <c r="M26" s="617">
        <f>SUM(E$4:E26)+SUM(I$4:I26)</f>
        <v>133960</v>
      </c>
      <c r="N26" s="960">
        <f t="shared" si="4"/>
        <v>0.9148398552209247</v>
      </c>
      <c r="P26" s="617">
        <f>SUM(G$4:G26)+SUM(K$4:K26)</f>
        <v>1339033</v>
      </c>
      <c r="Q26" s="960">
        <f t="shared" si="5"/>
        <v>0.72284902382697824</v>
      </c>
    </row>
    <row r="27" spans="2:17" x14ac:dyDescent="0.3">
      <c r="B27" s="529">
        <f t="shared" si="0"/>
        <v>22001</v>
      </c>
      <c r="C27" s="529">
        <f t="shared" si="1"/>
        <v>23</v>
      </c>
      <c r="E27" s="534">
        <v>861</v>
      </c>
      <c r="F27" s="534">
        <v>19803</v>
      </c>
      <c r="G27" s="534">
        <v>11810</v>
      </c>
      <c r="I27" s="534">
        <v>52</v>
      </c>
      <c r="J27" s="534">
        <v>1196</v>
      </c>
      <c r="K27" s="534">
        <v>660</v>
      </c>
    </row>
    <row r="28" spans="2:17" x14ac:dyDescent="0.3">
      <c r="B28" s="529">
        <f t="shared" si="0"/>
        <v>23001</v>
      </c>
      <c r="C28" s="529">
        <f t="shared" si="1"/>
        <v>24</v>
      </c>
      <c r="E28" s="534">
        <v>775</v>
      </c>
      <c r="F28" s="534">
        <v>18600</v>
      </c>
      <c r="G28" s="534">
        <v>10949</v>
      </c>
      <c r="I28" s="534">
        <v>61</v>
      </c>
      <c r="J28" s="534">
        <v>1464</v>
      </c>
      <c r="K28" s="534">
        <v>608</v>
      </c>
    </row>
    <row r="29" spans="2:17" x14ac:dyDescent="0.3">
      <c r="B29" s="529">
        <f t="shared" si="0"/>
        <v>24001</v>
      </c>
      <c r="C29" s="529">
        <f t="shared" si="1"/>
        <v>25</v>
      </c>
      <c r="E29" s="534">
        <v>709</v>
      </c>
      <c r="F29" s="534">
        <v>17725</v>
      </c>
      <c r="G29" s="534">
        <v>10174</v>
      </c>
      <c r="I29" s="534">
        <v>53</v>
      </c>
      <c r="J29" s="534">
        <v>1325</v>
      </c>
      <c r="K29" s="534">
        <v>547</v>
      </c>
    </row>
    <row r="30" spans="2:17" x14ac:dyDescent="0.3">
      <c r="B30" s="529">
        <f t="shared" si="0"/>
        <v>25001</v>
      </c>
      <c r="C30" s="529">
        <f t="shared" si="1"/>
        <v>26</v>
      </c>
      <c r="E30" s="534">
        <v>567</v>
      </c>
      <c r="F30" s="534">
        <v>14742</v>
      </c>
      <c r="G30" s="534">
        <v>9465</v>
      </c>
      <c r="I30" s="534">
        <v>45</v>
      </c>
      <c r="J30" s="534">
        <v>1170</v>
      </c>
      <c r="K30" s="534">
        <v>494</v>
      </c>
    </row>
    <row r="31" spans="2:17" x14ac:dyDescent="0.3">
      <c r="B31" s="529">
        <f t="shared" si="0"/>
        <v>26001</v>
      </c>
      <c r="C31" s="529">
        <f t="shared" si="1"/>
        <v>27</v>
      </c>
      <c r="E31" s="534">
        <v>520</v>
      </c>
      <c r="F31" s="534">
        <v>14040</v>
      </c>
      <c r="G31" s="534">
        <v>8898</v>
      </c>
      <c r="I31" s="534">
        <v>45</v>
      </c>
      <c r="J31" s="534">
        <v>1215</v>
      </c>
      <c r="K31" s="534">
        <v>449</v>
      </c>
    </row>
    <row r="32" spans="2:17" x14ac:dyDescent="0.3">
      <c r="B32" s="529">
        <f t="shared" si="0"/>
        <v>27001</v>
      </c>
      <c r="C32" s="529">
        <f t="shared" si="1"/>
        <v>28</v>
      </c>
      <c r="E32" s="534">
        <v>504</v>
      </c>
      <c r="F32" s="534">
        <v>14112</v>
      </c>
      <c r="G32" s="534">
        <v>8378</v>
      </c>
      <c r="I32" s="534">
        <v>35</v>
      </c>
      <c r="J32" s="534">
        <v>980</v>
      </c>
      <c r="K32" s="534">
        <v>404</v>
      </c>
    </row>
    <row r="33" spans="2:11" x14ac:dyDescent="0.3">
      <c r="B33" s="529">
        <f t="shared" si="0"/>
        <v>28001</v>
      </c>
      <c r="C33" s="529">
        <f t="shared" si="1"/>
        <v>29</v>
      </c>
      <c r="E33" s="534">
        <v>426</v>
      </c>
      <c r="F33" s="534">
        <v>12354</v>
      </c>
      <c r="G33" s="534">
        <v>7874</v>
      </c>
      <c r="I33" s="534">
        <v>25</v>
      </c>
      <c r="J33" s="534">
        <v>725</v>
      </c>
      <c r="K33" s="534">
        <v>369</v>
      </c>
    </row>
    <row r="34" spans="2:11" x14ac:dyDescent="0.3">
      <c r="B34" s="529">
        <f t="shared" si="0"/>
        <v>29001</v>
      </c>
      <c r="C34" s="529">
        <f t="shared" si="1"/>
        <v>30</v>
      </c>
      <c r="E34" s="534">
        <v>410</v>
      </c>
      <c r="F34" s="534">
        <v>12300</v>
      </c>
      <c r="G34" s="534">
        <v>7448</v>
      </c>
      <c r="I34" s="534">
        <v>29</v>
      </c>
      <c r="J34" s="534">
        <v>870</v>
      </c>
      <c r="K34" s="534">
        <v>344</v>
      </c>
    </row>
    <row r="35" spans="2:11" x14ac:dyDescent="0.3">
      <c r="B35" s="529">
        <f t="shared" si="0"/>
        <v>30001</v>
      </c>
      <c r="C35" s="529">
        <f t="shared" si="1"/>
        <v>31</v>
      </c>
      <c r="E35" s="534">
        <v>336</v>
      </c>
      <c r="F35" s="534">
        <v>10416</v>
      </c>
      <c r="G35" s="534">
        <v>7038</v>
      </c>
      <c r="I35" s="534">
        <v>23</v>
      </c>
      <c r="J35" s="534">
        <v>713</v>
      </c>
      <c r="K35" s="534">
        <v>315</v>
      </c>
    </row>
    <row r="36" spans="2:11" x14ac:dyDescent="0.3">
      <c r="B36" s="529">
        <f t="shared" si="0"/>
        <v>31001</v>
      </c>
      <c r="C36" s="529">
        <f t="shared" si="1"/>
        <v>32</v>
      </c>
      <c r="E36" s="534">
        <v>301</v>
      </c>
      <c r="F36" s="534">
        <v>9632</v>
      </c>
      <c r="G36" s="534">
        <v>6702</v>
      </c>
      <c r="I36" s="534">
        <v>14</v>
      </c>
      <c r="J36" s="534">
        <v>448</v>
      </c>
      <c r="K36" s="534">
        <v>292</v>
      </c>
    </row>
    <row r="37" spans="2:11" x14ac:dyDescent="0.3">
      <c r="B37" s="529">
        <f t="shared" si="0"/>
        <v>32001</v>
      </c>
      <c r="C37" s="529">
        <f t="shared" si="1"/>
        <v>33</v>
      </c>
      <c r="E37" s="534">
        <v>296</v>
      </c>
      <c r="F37" s="534">
        <v>9768</v>
      </c>
      <c r="G37" s="534">
        <v>6401</v>
      </c>
      <c r="I37" s="534">
        <v>17</v>
      </c>
      <c r="J37" s="534">
        <v>561</v>
      </c>
      <c r="K37" s="534">
        <v>278</v>
      </c>
    </row>
    <row r="38" spans="2:11" x14ac:dyDescent="0.3">
      <c r="B38" s="529">
        <f t="shared" si="0"/>
        <v>33001</v>
      </c>
      <c r="C38" s="529">
        <f t="shared" si="1"/>
        <v>34</v>
      </c>
      <c r="E38" s="534">
        <v>252</v>
      </c>
      <c r="F38" s="534">
        <v>8568</v>
      </c>
      <c r="G38" s="534">
        <v>6105</v>
      </c>
      <c r="I38" s="534">
        <v>18</v>
      </c>
      <c r="J38" s="534">
        <v>612</v>
      </c>
      <c r="K38" s="534">
        <v>261</v>
      </c>
    </row>
    <row r="39" spans="2:11" x14ac:dyDescent="0.3">
      <c r="B39" s="529">
        <f t="shared" si="0"/>
        <v>34001</v>
      </c>
      <c r="C39" s="529">
        <f t="shared" si="1"/>
        <v>35</v>
      </c>
      <c r="E39" s="534">
        <v>271</v>
      </c>
      <c r="F39" s="534">
        <v>9485</v>
      </c>
      <c r="G39" s="534">
        <v>5853</v>
      </c>
      <c r="I39" s="534">
        <v>18</v>
      </c>
      <c r="J39" s="534">
        <v>630</v>
      </c>
      <c r="K39" s="534">
        <v>243</v>
      </c>
    </row>
    <row r="40" spans="2:11" x14ac:dyDescent="0.3">
      <c r="B40" s="529">
        <f t="shared" si="0"/>
        <v>35001</v>
      </c>
      <c r="C40" s="529">
        <f t="shared" si="1"/>
        <v>36</v>
      </c>
      <c r="E40" s="534">
        <v>249</v>
      </c>
      <c r="F40" s="534">
        <v>8964</v>
      </c>
      <c r="G40" s="534">
        <v>5582</v>
      </c>
      <c r="I40" s="534">
        <v>7</v>
      </c>
      <c r="J40" s="534">
        <v>252</v>
      </c>
      <c r="K40" s="534">
        <v>225</v>
      </c>
    </row>
    <row r="41" spans="2:11" x14ac:dyDescent="0.3">
      <c r="B41" s="529">
        <f t="shared" si="0"/>
        <v>36001</v>
      </c>
      <c r="C41" s="529">
        <f t="shared" si="1"/>
        <v>37</v>
      </c>
      <c r="E41" s="534">
        <v>204</v>
      </c>
      <c r="F41" s="534">
        <v>7548</v>
      </c>
      <c r="G41" s="534">
        <v>5333</v>
      </c>
      <c r="I41" s="534">
        <v>6</v>
      </c>
      <c r="J41" s="534">
        <v>222</v>
      </c>
      <c r="K41" s="534">
        <v>218</v>
      </c>
    </row>
    <row r="42" spans="2:11" x14ac:dyDescent="0.3">
      <c r="B42" s="529">
        <f t="shared" si="0"/>
        <v>37001</v>
      </c>
      <c r="C42" s="529">
        <f t="shared" si="1"/>
        <v>38</v>
      </c>
      <c r="E42" s="534">
        <v>215</v>
      </c>
      <c r="F42" s="534">
        <v>8170</v>
      </c>
      <c r="G42" s="534">
        <v>5129</v>
      </c>
      <c r="I42" s="534">
        <v>11</v>
      </c>
      <c r="J42" s="534">
        <v>418</v>
      </c>
      <c r="K42" s="534">
        <v>212</v>
      </c>
    </row>
    <row r="43" spans="2:11" x14ac:dyDescent="0.3">
      <c r="B43" s="529">
        <f t="shared" si="0"/>
        <v>38001</v>
      </c>
      <c r="C43" s="529">
        <f t="shared" si="1"/>
        <v>39</v>
      </c>
      <c r="E43" s="534">
        <v>201</v>
      </c>
      <c r="F43" s="534">
        <v>7839</v>
      </c>
      <c r="G43" s="534">
        <v>4914</v>
      </c>
      <c r="I43" s="534">
        <v>9</v>
      </c>
      <c r="J43" s="534">
        <v>351</v>
      </c>
      <c r="K43" s="534">
        <v>201</v>
      </c>
    </row>
    <row r="44" spans="2:11" x14ac:dyDescent="0.3">
      <c r="B44" s="529">
        <f t="shared" si="0"/>
        <v>39001</v>
      </c>
      <c r="C44" s="529">
        <f t="shared" si="1"/>
        <v>40</v>
      </c>
      <c r="E44" s="534">
        <v>198</v>
      </c>
      <c r="F44" s="534">
        <v>7920</v>
      </c>
      <c r="G44" s="534">
        <v>4713</v>
      </c>
      <c r="I44" s="534">
        <v>12</v>
      </c>
      <c r="J44" s="534">
        <v>480</v>
      </c>
      <c r="K44" s="534">
        <v>192</v>
      </c>
    </row>
    <row r="45" spans="2:11" x14ac:dyDescent="0.3">
      <c r="B45" s="529">
        <f t="shared" si="0"/>
        <v>40001</v>
      </c>
      <c r="C45" s="529">
        <f t="shared" si="1"/>
        <v>41</v>
      </c>
      <c r="E45" s="534">
        <v>148</v>
      </c>
      <c r="F45" s="534">
        <v>6068</v>
      </c>
      <c r="G45" s="534">
        <v>4515</v>
      </c>
      <c r="I45" s="534">
        <v>10</v>
      </c>
      <c r="J45" s="534">
        <v>410</v>
      </c>
      <c r="K45" s="534">
        <v>180</v>
      </c>
    </row>
    <row r="46" spans="2:11" x14ac:dyDescent="0.3">
      <c r="B46" s="529">
        <f t="shared" si="0"/>
        <v>41001</v>
      </c>
      <c r="C46" s="529">
        <f t="shared" si="1"/>
        <v>42</v>
      </c>
      <c r="E46" s="534">
        <v>150</v>
      </c>
      <c r="F46" s="534">
        <v>6300</v>
      </c>
      <c r="G46" s="534">
        <v>4367</v>
      </c>
      <c r="I46" s="534">
        <v>4</v>
      </c>
      <c r="J46" s="534">
        <v>168</v>
      </c>
      <c r="K46" s="534">
        <v>170</v>
      </c>
    </row>
    <row r="47" spans="2:11" x14ac:dyDescent="0.3">
      <c r="B47" s="529">
        <f t="shared" si="0"/>
        <v>42001</v>
      </c>
      <c r="C47" s="529">
        <f t="shared" si="1"/>
        <v>43</v>
      </c>
      <c r="E47" s="534">
        <v>148</v>
      </c>
      <c r="F47" s="534">
        <v>6364</v>
      </c>
      <c r="G47" s="534">
        <v>4217</v>
      </c>
      <c r="I47" s="534">
        <v>6</v>
      </c>
      <c r="J47" s="534">
        <v>258</v>
      </c>
      <c r="K47" s="534">
        <v>166</v>
      </c>
    </row>
    <row r="48" spans="2:11" x14ac:dyDescent="0.3">
      <c r="B48" s="529">
        <f t="shared" si="0"/>
        <v>43001</v>
      </c>
      <c r="C48" s="529">
        <f t="shared" si="1"/>
        <v>44</v>
      </c>
      <c r="E48" s="534">
        <v>135</v>
      </c>
      <c r="F48" s="534">
        <v>5940</v>
      </c>
      <c r="G48" s="534">
        <v>4069</v>
      </c>
      <c r="I48" s="534">
        <v>4</v>
      </c>
      <c r="J48" s="534">
        <v>176</v>
      </c>
      <c r="K48" s="534">
        <v>160</v>
      </c>
    </row>
    <row r="49" spans="2:11" x14ac:dyDescent="0.3">
      <c r="B49" s="529">
        <f t="shared" si="0"/>
        <v>44001</v>
      </c>
      <c r="C49" s="529">
        <f t="shared" si="1"/>
        <v>45</v>
      </c>
      <c r="E49" s="534">
        <v>115</v>
      </c>
      <c r="F49" s="534">
        <v>5175</v>
      </c>
      <c r="G49" s="534">
        <v>3934</v>
      </c>
      <c r="I49" s="534">
        <v>2</v>
      </c>
      <c r="J49" s="534">
        <v>90</v>
      </c>
      <c r="K49" s="534">
        <v>156</v>
      </c>
    </row>
    <row r="50" spans="2:11" x14ac:dyDescent="0.3">
      <c r="B50" s="529">
        <f t="shared" si="0"/>
        <v>45001</v>
      </c>
      <c r="C50" s="529">
        <f t="shared" si="1"/>
        <v>46</v>
      </c>
      <c r="E50" s="534">
        <v>111</v>
      </c>
      <c r="F50" s="534">
        <v>5106</v>
      </c>
      <c r="G50" s="534">
        <v>3819</v>
      </c>
      <c r="I50" s="534">
        <v>1</v>
      </c>
      <c r="J50" s="534">
        <v>46</v>
      </c>
      <c r="K50" s="534">
        <v>154</v>
      </c>
    </row>
    <row r="51" spans="2:11" x14ac:dyDescent="0.3">
      <c r="B51" s="529">
        <f t="shared" si="0"/>
        <v>46001</v>
      </c>
      <c r="C51" s="529">
        <f t="shared" si="1"/>
        <v>47</v>
      </c>
      <c r="E51" s="534">
        <v>105</v>
      </c>
      <c r="F51" s="534">
        <v>4935</v>
      </c>
      <c r="G51" s="534">
        <v>3708</v>
      </c>
      <c r="I51" s="534">
        <v>8</v>
      </c>
      <c r="J51" s="534">
        <v>376</v>
      </c>
      <c r="K51" s="534">
        <v>153</v>
      </c>
    </row>
    <row r="52" spans="2:11" x14ac:dyDescent="0.3">
      <c r="B52" s="529">
        <f t="shared" si="0"/>
        <v>47001</v>
      </c>
      <c r="C52" s="529">
        <f t="shared" si="1"/>
        <v>48</v>
      </c>
      <c r="E52" s="534">
        <v>110</v>
      </c>
      <c r="F52" s="534">
        <v>5280</v>
      </c>
      <c r="G52" s="534">
        <v>3603</v>
      </c>
      <c r="I52" s="534">
        <v>3</v>
      </c>
      <c r="J52" s="534">
        <v>144</v>
      </c>
      <c r="K52" s="534">
        <v>145</v>
      </c>
    </row>
    <row r="53" spans="2:11" x14ac:dyDescent="0.3">
      <c r="B53" s="529">
        <f t="shared" si="0"/>
        <v>48001</v>
      </c>
      <c r="C53" s="529">
        <f t="shared" si="1"/>
        <v>49</v>
      </c>
      <c r="E53" s="534">
        <v>145</v>
      </c>
      <c r="F53" s="534">
        <v>7105</v>
      </c>
      <c r="G53" s="534">
        <v>3493</v>
      </c>
      <c r="I53" s="534">
        <v>2</v>
      </c>
      <c r="J53" s="534">
        <v>98</v>
      </c>
      <c r="K53" s="534">
        <v>142</v>
      </c>
    </row>
    <row r="54" spans="2:11" x14ac:dyDescent="0.3">
      <c r="B54" s="529">
        <f t="shared" si="0"/>
        <v>49001</v>
      </c>
      <c r="C54" s="529">
        <f t="shared" si="1"/>
        <v>50</v>
      </c>
      <c r="E54" s="534">
        <v>114</v>
      </c>
      <c r="F54" s="534">
        <v>5700</v>
      </c>
      <c r="G54" s="534">
        <v>3348</v>
      </c>
      <c r="I54" s="534">
        <v>2</v>
      </c>
      <c r="J54" s="534">
        <v>100</v>
      </c>
      <c r="K54" s="534">
        <v>140</v>
      </c>
    </row>
    <row r="55" spans="2:11" x14ac:dyDescent="0.3">
      <c r="B55" s="529">
        <f t="shared" si="0"/>
        <v>50001</v>
      </c>
      <c r="C55" s="529">
        <f t="shared" si="1"/>
        <v>51</v>
      </c>
      <c r="E55" s="534">
        <v>95</v>
      </c>
      <c r="F55" s="534">
        <v>4845</v>
      </c>
      <c r="G55" s="534">
        <v>3234</v>
      </c>
      <c r="I55" s="534">
        <v>1</v>
      </c>
      <c r="J55" s="534">
        <v>51</v>
      </c>
      <c r="K55" s="534">
        <v>138</v>
      </c>
    </row>
    <row r="56" spans="2:11" x14ac:dyDescent="0.3">
      <c r="B56" s="529">
        <f t="shared" si="0"/>
        <v>51001</v>
      </c>
      <c r="C56" s="529">
        <f t="shared" si="1"/>
        <v>52</v>
      </c>
      <c r="E56" s="534">
        <v>87</v>
      </c>
      <c r="F56" s="534">
        <v>4524</v>
      </c>
      <c r="G56" s="534">
        <v>3139</v>
      </c>
      <c r="I56" s="534">
        <v>1</v>
      </c>
      <c r="J56" s="534">
        <v>52</v>
      </c>
      <c r="K56" s="534">
        <v>137</v>
      </c>
    </row>
    <row r="57" spans="2:11" x14ac:dyDescent="0.3">
      <c r="B57" s="529">
        <f t="shared" si="0"/>
        <v>52001</v>
      </c>
      <c r="C57" s="529">
        <f t="shared" si="1"/>
        <v>53</v>
      </c>
      <c r="E57" s="534">
        <v>89</v>
      </c>
      <c r="F57" s="534">
        <v>4717</v>
      </c>
      <c r="G57" s="534">
        <v>3052</v>
      </c>
      <c r="I57" s="534">
        <v>2</v>
      </c>
      <c r="J57" s="534">
        <v>106</v>
      </c>
      <c r="K57" s="534">
        <v>136</v>
      </c>
    </row>
    <row r="58" spans="2:11" x14ac:dyDescent="0.3">
      <c r="B58" s="529">
        <f t="shared" si="0"/>
        <v>53001</v>
      </c>
      <c r="C58" s="529">
        <f t="shared" si="1"/>
        <v>54</v>
      </c>
      <c r="E58" s="534">
        <v>87</v>
      </c>
      <c r="F58" s="534">
        <v>4698</v>
      </c>
      <c r="G58" s="534">
        <v>2963</v>
      </c>
      <c r="I58" s="534">
        <v>2</v>
      </c>
      <c r="J58" s="534">
        <v>108</v>
      </c>
      <c r="K58" s="534">
        <v>134</v>
      </c>
    </row>
    <row r="59" spans="2:11" x14ac:dyDescent="0.3">
      <c r="B59" s="529">
        <f t="shared" si="0"/>
        <v>54001</v>
      </c>
      <c r="C59" s="529">
        <f t="shared" si="1"/>
        <v>55</v>
      </c>
      <c r="E59" s="534">
        <v>77</v>
      </c>
      <c r="F59" s="534">
        <v>4235</v>
      </c>
      <c r="G59" s="534">
        <v>2876</v>
      </c>
      <c r="I59" s="534">
        <v>3</v>
      </c>
      <c r="J59" s="534">
        <v>165</v>
      </c>
      <c r="K59" s="534">
        <v>132</v>
      </c>
    </row>
    <row r="60" spans="2:11" x14ac:dyDescent="0.3">
      <c r="B60" s="529">
        <f t="shared" si="0"/>
        <v>55001</v>
      </c>
      <c r="C60" s="529">
        <f t="shared" si="1"/>
        <v>56</v>
      </c>
      <c r="E60" s="534">
        <v>64</v>
      </c>
      <c r="F60" s="534">
        <v>3584</v>
      </c>
      <c r="G60" s="534">
        <v>2799</v>
      </c>
      <c r="I60" s="534">
        <v>4</v>
      </c>
      <c r="J60" s="534">
        <v>224</v>
      </c>
      <c r="K60" s="534">
        <v>129</v>
      </c>
    </row>
    <row r="61" spans="2:11" x14ac:dyDescent="0.3">
      <c r="B61" s="529">
        <f t="shared" si="0"/>
        <v>56001</v>
      </c>
      <c r="C61" s="529">
        <f t="shared" si="1"/>
        <v>57</v>
      </c>
      <c r="E61" s="534">
        <v>76</v>
      </c>
      <c r="F61" s="534">
        <v>4332</v>
      </c>
      <c r="G61" s="534">
        <v>2735</v>
      </c>
      <c r="I61" s="534">
        <v>2</v>
      </c>
      <c r="J61" s="534">
        <v>114</v>
      </c>
      <c r="K61" s="534">
        <v>125</v>
      </c>
    </row>
    <row r="62" spans="2:11" x14ac:dyDescent="0.3">
      <c r="B62" s="529">
        <f t="shared" si="0"/>
        <v>57001</v>
      </c>
      <c r="C62" s="529">
        <f t="shared" si="1"/>
        <v>58</v>
      </c>
      <c r="E62" s="534">
        <v>68</v>
      </c>
      <c r="F62" s="534">
        <v>3944</v>
      </c>
      <c r="G62" s="534">
        <v>2659</v>
      </c>
      <c r="I62" s="534">
        <v>3</v>
      </c>
      <c r="J62" s="534">
        <v>174</v>
      </c>
      <c r="K62" s="534">
        <v>123</v>
      </c>
    </row>
    <row r="63" spans="2:11" x14ac:dyDescent="0.3">
      <c r="B63" s="529">
        <f t="shared" si="0"/>
        <v>58001</v>
      </c>
      <c r="C63" s="529">
        <f t="shared" si="1"/>
        <v>59</v>
      </c>
      <c r="E63" s="534">
        <v>57</v>
      </c>
      <c r="F63" s="534">
        <v>3363</v>
      </c>
      <c r="G63" s="534">
        <v>2591</v>
      </c>
      <c r="I63" s="534">
        <v>3</v>
      </c>
      <c r="J63" s="534">
        <v>177</v>
      </c>
      <c r="K63" s="534">
        <v>120</v>
      </c>
    </row>
    <row r="64" spans="2:11" x14ac:dyDescent="0.3">
      <c r="B64" s="529">
        <f t="shared" si="0"/>
        <v>59001</v>
      </c>
      <c r="C64" s="529">
        <f t="shared" si="1"/>
        <v>60</v>
      </c>
      <c r="E64" s="534">
        <v>83</v>
      </c>
      <c r="F64" s="534">
        <v>4980</v>
      </c>
      <c r="G64" s="534">
        <v>2534</v>
      </c>
      <c r="I64" s="534">
        <v>2</v>
      </c>
      <c r="J64" s="534">
        <v>120</v>
      </c>
      <c r="K64" s="534">
        <v>117</v>
      </c>
    </row>
    <row r="65" spans="2:11" x14ac:dyDescent="0.3">
      <c r="B65" s="529">
        <f t="shared" si="0"/>
        <v>60001</v>
      </c>
      <c r="C65" s="529">
        <f t="shared" si="1"/>
        <v>61</v>
      </c>
      <c r="E65" s="534">
        <v>66</v>
      </c>
      <c r="F65" s="534">
        <v>4026</v>
      </c>
      <c r="G65" s="534">
        <v>2451</v>
      </c>
      <c r="I65" s="534">
        <v>1</v>
      </c>
      <c r="J65" s="534">
        <v>61</v>
      </c>
      <c r="K65" s="534">
        <v>115</v>
      </c>
    </row>
    <row r="66" spans="2:11" x14ac:dyDescent="0.3">
      <c r="B66" s="529">
        <f t="shared" si="0"/>
        <v>61001</v>
      </c>
      <c r="C66" s="529">
        <f t="shared" si="1"/>
        <v>62</v>
      </c>
      <c r="E66" s="534">
        <v>53</v>
      </c>
      <c r="F66" s="534">
        <v>3286</v>
      </c>
      <c r="G66" s="534">
        <v>2385</v>
      </c>
      <c r="I66" s="534">
        <v>2</v>
      </c>
      <c r="J66" s="534">
        <v>124</v>
      </c>
      <c r="K66" s="534">
        <v>114</v>
      </c>
    </row>
    <row r="67" spans="2:11" x14ac:dyDescent="0.3">
      <c r="B67" s="529">
        <f t="shared" si="0"/>
        <v>62001</v>
      </c>
      <c r="C67" s="529">
        <f t="shared" si="1"/>
        <v>63</v>
      </c>
      <c r="E67" s="534">
        <v>47</v>
      </c>
      <c r="F67" s="534">
        <v>2961</v>
      </c>
      <c r="G67" s="534">
        <v>2332</v>
      </c>
      <c r="I67" s="534">
        <v>0</v>
      </c>
      <c r="J67" s="534">
        <v>0</v>
      </c>
      <c r="K67" s="534">
        <v>112</v>
      </c>
    </row>
    <row r="68" spans="2:11" x14ac:dyDescent="0.3">
      <c r="B68" s="529">
        <f t="shared" si="0"/>
        <v>63001</v>
      </c>
      <c r="C68" s="529">
        <f t="shared" si="1"/>
        <v>64</v>
      </c>
      <c r="E68" s="534">
        <v>48</v>
      </c>
      <c r="F68" s="534">
        <v>3072</v>
      </c>
      <c r="G68" s="534">
        <v>2285</v>
      </c>
      <c r="I68" s="534">
        <v>1</v>
      </c>
      <c r="J68" s="534">
        <v>64</v>
      </c>
      <c r="K68" s="534">
        <v>112</v>
      </c>
    </row>
    <row r="69" spans="2:11" x14ac:dyDescent="0.3">
      <c r="B69" s="529">
        <f t="shared" si="0"/>
        <v>64001</v>
      </c>
      <c r="C69" s="529">
        <f t="shared" si="1"/>
        <v>65</v>
      </c>
      <c r="E69" s="534">
        <v>61</v>
      </c>
      <c r="F69" s="534">
        <v>3965</v>
      </c>
      <c r="G69" s="534">
        <v>2237</v>
      </c>
      <c r="I69" s="534">
        <v>2</v>
      </c>
      <c r="J69" s="534">
        <v>130</v>
      </c>
      <c r="K69" s="534">
        <v>111</v>
      </c>
    </row>
    <row r="70" spans="2:11" x14ac:dyDescent="0.3">
      <c r="B70" s="529">
        <f t="shared" si="0"/>
        <v>65001</v>
      </c>
      <c r="C70" s="529">
        <f t="shared" si="1"/>
        <v>66</v>
      </c>
      <c r="E70" s="534">
        <v>33</v>
      </c>
      <c r="F70" s="534">
        <v>2178</v>
      </c>
      <c r="G70" s="534">
        <v>2176</v>
      </c>
      <c r="I70" s="534">
        <v>1</v>
      </c>
      <c r="J70" s="534">
        <v>66</v>
      </c>
      <c r="K70" s="534">
        <v>109</v>
      </c>
    </row>
    <row r="71" spans="2:11" x14ac:dyDescent="0.3">
      <c r="B71" s="529">
        <f t="shared" ref="B71:B134" si="6">C70*1000+1</f>
        <v>66001</v>
      </c>
      <c r="C71" s="529">
        <f t="shared" ref="C71:C134" si="7">C70+1</f>
        <v>67</v>
      </c>
      <c r="E71" s="534">
        <v>44</v>
      </c>
      <c r="F71" s="534">
        <v>2948</v>
      </c>
      <c r="G71" s="534">
        <v>2143</v>
      </c>
      <c r="I71" s="534">
        <v>0</v>
      </c>
      <c r="J71" s="534">
        <v>0</v>
      </c>
      <c r="K71" s="534">
        <v>108</v>
      </c>
    </row>
    <row r="72" spans="2:11" x14ac:dyDescent="0.3">
      <c r="B72" s="529">
        <f t="shared" si="6"/>
        <v>67001</v>
      </c>
      <c r="C72" s="529">
        <f t="shared" si="7"/>
        <v>68</v>
      </c>
      <c r="E72" s="534">
        <v>36</v>
      </c>
      <c r="F72" s="534">
        <v>2448</v>
      </c>
      <c r="G72" s="534">
        <v>2099</v>
      </c>
      <c r="I72" s="534">
        <v>2</v>
      </c>
      <c r="J72" s="534">
        <v>136</v>
      </c>
      <c r="K72" s="534">
        <v>108</v>
      </c>
    </row>
    <row r="73" spans="2:11" x14ac:dyDescent="0.3">
      <c r="B73" s="529">
        <f t="shared" si="6"/>
        <v>68001</v>
      </c>
      <c r="C73" s="529">
        <f t="shared" si="7"/>
        <v>69</v>
      </c>
      <c r="E73" s="534">
        <v>33</v>
      </c>
      <c r="F73" s="534">
        <v>2277</v>
      </c>
      <c r="G73" s="534">
        <v>2063</v>
      </c>
      <c r="I73" s="534">
        <v>1</v>
      </c>
      <c r="J73" s="534">
        <v>69</v>
      </c>
      <c r="K73" s="534">
        <v>106</v>
      </c>
    </row>
    <row r="74" spans="2:11" x14ac:dyDescent="0.3">
      <c r="B74" s="529">
        <f t="shared" si="6"/>
        <v>69001</v>
      </c>
      <c r="C74" s="529">
        <f t="shared" si="7"/>
        <v>70</v>
      </c>
      <c r="E74" s="534">
        <v>38</v>
      </c>
      <c r="F74" s="534">
        <v>2660</v>
      </c>
      <c r="G74" s="534">
        <v>2030</v>
      </c>
      <c r="I74" s="534">
        <v>1</v>
      </c>
      <c r="J74" s="534">
        <v>70</v>
      </c>
      <c r="K74" s="534">
        <v>105</v>
      </c>
    </row>
    <row r="75" spans="2:11" x14ac:dyDescent="0.3">
      <c r="B75" s="529">
        <f t="shared" si="6"/>
        <v>70001</v>
      </c>
      <c r="C75" s="529">
        <f t="shared" si="7"/>
        <v>71</v>
      </c>
      <c r="E75" s="534">
        <v>43</v>
      </c>
      <c r="F75" s="534">
        <v>3053</v>
      </c>
      <c r="G75" s="534">
        <v>1992</v>
      </c>
      <c r="I75" s="534">
        <v>1</v>
      </c>
      <c r="J75" s="534">
        <v>71</v>
      </c>
      <c r="K75" s="534">
        <v>104</v>
      </c>
    </row>
    <row r="76" spans="2:11" x14ac:dyDescent="0.3">
      <c r="B76" s="529">
        <f t="shared" si="6"/>
        <v>71001</v>
      </c>
      <c r="C76" s="529">
        <f t="shared" si="7"/>
        <v>72</v>
      </c>
      <c r="E76" s="534">
        <v>43</v>
      </c>
      <c r="F76" s="534">
        <v>3096</v>
      </c>
      <c r="G76" s="534">
        <v>1949</v>
      </c>
      <c r="I76" s="534">
        <v>1</v>
      </c>
      <c r="J76" s="534">
        <v>72</v>
      </c>
      <c r="K76" s="534">
        <v>103</v>
      </c>
    </row>
    <row r="77" spans="2:11" x14ac:dyDescent="0.3">
      <c r="B77" s="529">
        <f t="shared" si="6"/>
        <v>72001</v>
      </c>
      <c r="C77" s="529">
        <f t="shared" si="7"/>
        <v>73</v>
      </c>
      <c r="E77" s="534">
        <v>32</v>
      </c>
      <c r="F77" s="534">
        <v>2336</v>
      </c>
      <c r="G77" s="534">
        <v>1906</v>
      </c>
      <c r="I77" s="534">
        <v>2</v>
      </c>
      <c r="J77" s="534">
        <v>146</v>
      </c>
      <c r="K77" s="534">
        <v>102</v>
      </c>
    </row>
    <row r="78" spans="2:11" x14ac:dyDescent="0.3">
      <c r="B78" s="529">
        <f t="shared" si="6"/>
        <v>73001</v>
      </c>
      <c r="C78" s="529">
        <f t="shared" si="7"/>
        <v>74</v>
      </c>
      <c r="E78" s="534">
        <v>46</v>
      </c>
      <c r="F78" s="534">
        <v>3404</v>
      </c>
      <c r="G78" s="534">
        <v>1874</v>
      </c>
      <c r="I78" s="534">
        <v>1</v>
      </c>
      <c r="J78" s="534">
        <v>74</v>
      </c>
      <c r="K78" s="534">
        <v>100</v>
      </c>
    </row>
    <row r="79" spans="2:11" x14ac:dyDescent="0.3">
      <c r="B79" s="529">
        <f t="shared" si="6"/>
        <v>74001</v>
      </c>
      <c r="C79" s="529">
        <f t="shared" si="7"/>
        <v>75</v>
      </c>
      <c r="E79" s="534">
        <v>28</v>
      </c>
      <c r="F79" s="534">
        <v>2100</v>
      </c>
      <c r="G79" s="534">
        <v>1828</v>
      </c>
      <c r="I79" s="534">
        <v>0</v>
      </c>
      <c r="J79" s="534">
        <v>0</v>
      </c>
      <c r="K79" s="534">
        <v>99</v>
      </c>
    </row>
    <row r="80" spans="2:11" x14ac:dyDescent="0.3">
      <c r="B80" s="529">
        <f t="shared" si="6"/>
        <v>75001</v>
      </c>
      <c r="C80" s="529">
        <f t="shared" si="7"/>
        <v>76</v>
      </c>
      <c r="E80" s="534">
        <v>26</v>
      </c>
      <c r="F80" s="534">
        <v>1976</v>
      </c>
      <c r="G80" s="534">
        <v>1800</v>
      </c>
      <c r="I80" s="534">
        <v>2</v>
      </c>
      <c r="J80" s="534">
        <v>152</v>
      </c>
      <c r="K80" s="534">
        <v>99</v>
      </c>
    </row>
    <row r="81" spans="2:11" x14ac:dyDescent="0.3">
      <c r="B81" s="529">
        <f t="shared" si="6"/>
        <v>76001</v>
      </c>
      <c r="C81" s="529">
        <f t="shared" si="7"/>
        <v>77</v>
      </c>
      <c r="E81" s="534">
        <v>34</v>
      </c>
      <c r="F81" s="534">
        <v>2618</v>
      </c>
      <c r="G81" s="534">
        <v>1774</v>
      </c>
      <c r="I81" s="534">
        <v>0</v>
      </c>
      <c r="J81" s="534">
        <v>0</v>
      </c>
      <c r="K81" s="534">
        <v>97</v>
      </c>
    </row>
    <row r="82" spans="2:11" x14ac:dyDescent="0.3">
      <c r="B82" s="529">
        <f t="shared" si="6"/>
        <v>77001</v>
      </c>
      <c r="C82" s="529">
        <f t="shared" si="7"/>
        <v>78</v>
      </c>
      <c r="E82" s="534">
        <v>39</v>
      </c>
      <c r="F82" s="534">
        <v>3042</v>
      </c>
      <c r="G82" s="534">
        <v>1740</v>
      </c>
      <c r="I82" s="534">
        <v>1</v>
      </c>
      <c r="J82" s="534">
        <v>78</v>
      </c>
      <c r="K82" s="534">
        <v>97</v>
      </c>
    </row>
    <row r="83" spans="2:11" x14ac:dyDescent="0.3">
      <c r="B83" s="529">
        <f t="shared" si="6"/>
        <v>78001</v>
      </c>
      <c r="C83" s="529">
        <f t="shared" si="7"/>
        <v>79</v>
      </c>
      <c r="E83" s="534">
        <v>23</v>
      </c>
      <c r="F83" s="534">
        <v>1817</v>
      </c>
      <c r="G83" s="534">
        <v>1701</v>
      </c>
      <c r="I83" s="534">
        <v>0</v>
      </c>
      <c r="J83" s="534">
        <v>0</v>
      </c>
      <c r="K83" s="534">
        <v>96</v>
      </c>
    </row>
    <row r="84" spans="2:11" x14ac:dyDescent="0.3">
      <c r="B84" s="529">
        <f t="shared" si="6"/>
        <v>79001</v>
      </c>
      <c r="C84" s="529">
        <f t="shared" si="7"/>
        <v>80</v>
      </c>
      <c r="E84" s="534">
        <v>26</v>
      </c>
      <c r="F84" s="534">
        <v>2080</v>
      </c>
      <c r="G84" s="534">
        <v>1678</v>
      </c>
      <c r="I84" s="534">
        <v>2</v>
      </c>
      <c r="J84" s="534">
        <v>160</v>
      </c>
      <c r="K84" s="534">
        <v>96</v>
      </c>
    </row>
    <row r="85" spans="2:11" x14ac:dyDescent="0.3">
      <c r="B85" s="529">
        <f t="shared" si="6"/>
        <v>80001</v>
      </c>
      <c r="C85" s="529">
        <f t="shared" si="7"/>
        <v>81</v>
      </c>
      <c r="E85" s="534">
        <v>24</v>
      </c>
      <c r="F85" s="534">
        <v>1944</v>
      </c>
      <c r="G85" s="534">
        <v>1652</v>
      </c>
      <c r="I85" s="534">
        <v>0</v>
      </c>
      <c r="J85" s="534">
        <v>0</v>
      </c>
      <c r="K85" s="534">
        <v>94</v>
      </c>
    </row>
    <row r="86" spans="2:11" x14ac:dyDescent="0.3">
      <c r="B86" s="529">
        <f t="shared" si="6"/>
        <v>81001</v>
      </c>
      <c r="C86" s="529">
        <f t="shared" si="7"/>
        <v>82</v>
      </c>
      <c r="E86" s="534">
        <v>17</v>
      </c>
      <c r="F86" s="534">
        <v>1394</v>
      </c>
      <c r="G86" s="534">
        <v>1628</v>
      </c>
      <c r="I86" s="534">
        <v>3</v>
      </c>
      <c r="J86" s="534">
        <v>246</v>
      </c>
      <c r="K86" s="534">
        <v>94</v>
      </c>
    </row>
    <row r="87" spans="2:11" x14ac:dyDescent="0.3">
      <c r="B87" s="529">
        <f t="shared" si="6"/>
        <v>82001</v>
      </c>
      <c r="C87" s="529">
        <f t="shared" si="7"/>
        <v>83</v>
      </c>
      <c r="E87" s="534">
        <v>18</v>
      </c>
      <c r="F87" s="534">
        <v>1494</v>
      </c>
      <c r="G87" s="534">
        <v>1611</v>
      </c>
      <c r="I87" s="534">
        <v>0</v>
      </c>
      <c r="J87" s="534">
        <v>0</v>
      </c>
      <c r="K87" s="534">
        <v>91</v>
      </c>
    </row>
    <row r="88" spans="2:11" x14ac:dyDescent="0.3">
      <c r="B88" s="529">
        <f t="shared" si="6"/>
        <v>83001</v>
      </c>
      <c r="C88" s="529">
        <f t="shared" si="7"/>
        <v>84</v>
      </c>
      <c r="E88" s="534">
        <v>24</v>
      </c>
      <c r="F88" s="534">
        <v>2016</v>
      </c>
      <c r="G88" s="534">
        <v>1593</v>
      </c>
      <c r="I88" s="534">
        <v>1</v>
      </c>
      <c r="J88" s="534">
        <v>84</v>
      </c>
      <c r="K88" s="534">
        <v>91</v>
      </c>
    </row>
    <row r="89" spans="2:11" x14ac:dyDescent="0.3">
      <c r="B89" s="529">
        <f t="shared" si="6"/>
        <v>84001</v>
      </c>
      <c r="C89" s="529">
        <f t="shared" si="7"/>
        <v>85</v>
      </c>
      <c r="E89" s="534">
        <v>30</v>
      </c>
      <c r="F89" s="534">
        <v>2550</v>
      </c>
      <c r="G89" s="534">
        <v>1569</v>
      </c>
      <c r="I89" s="534">
        <v>1</v>
      </c>
      <c r="J89" s="534">
        <v>85</v>
      </c>
      <c r="K89" s="534">
        <v>90</v>
      </c>
    </row>
    <row r="90" spans="2:11" x14ac:dyDescent="0.3">
      <c r="B90" s="529">
        <f t="shared" si="6"/>
        <v>85001</v>
      </c>
      <c r="C90" s="529">
        <f t="shared" si="7"/>
        <v>86</v>
      </c>
      <c r="E90" s="534">
        <v>20</v>
      </c>
      <c r="F90" s="534">
        <v>1720</v>
      </c>
      <c r="G90" s="534">
        <v>1539</v>
      </c>
      <c r="I90" s="534">
        <v>2</v>
      </c>
      <c r="J90" s="534">
        <v>172</v>
      </c>
      <c r="K90" s="534">
        <v>89</v>
      </c>
    </row>
    <row r="91" spans="2:11" x14ac:dyDescent="0.3">
      <c r="B91" s="529">
        <f t="shared" si="6"/>
        <v>86001</v>
      </c>
      <c r="C91" s="529">
        <f t="shared" si="7"/>
        <v>87</v>
      </c>
      <c r="E91" s="534">
        <v>24</v>
      </c>
      <c r="F91" s="534">
        <v>2088</v>
      </c>
      <c r="G91" s="534">
        <v>1519</v>
      </c>
      <c r="I91" s="534">
        <v>3</v>
      </c>
      <c r="J91" s="534">
        <v>261</v>
      </c>
      <c r="K91" s="534">
        <v>87</v>
      </c>
    </row>
    <row r="92" spans="2:11" x14ac:dyDescent="0.3">
      <c r="B92" s="529">
        <f t="shared" si="6"/>
        <v>87001</v>
      </c>
      <c r="C92" s="529">
        <f t="shared" si="7"/>
        <v>88</v>
      </c>
      <c r="E92" s="534">
        <v>17</v>
      </c>
      <c r="F92" s="534">
        <v>1496</v>
      </c>
      <c r="G92" s="534">
        <v>1495</v>
      </c>
      <c r="I92" s="534">
        <v>0</v>
      </c>
      <c r="J92" s="534">
        <v>0</v>
      </c>
      <c r="K92" s="534">
        <v>84</v>
      </c>
    </row>
    <row r="93" spans="2:11" x14ac:dyDescent="0.3">
      <c r="B93" s="529">
        <f t="shared" si="6"/>
        <v>88001</v>
      </c>
      <c r="C93" s="529">
        <f t="shared" si="7"/>
        <v>89</v>
      </c>
      <c r="E93" s="534">
        <v>17</v>
      </c>
      <c r="F93" s="534">
        <v>1513</v>
      </c>
      <c r="G93" s="534">
        <v>1478</v>
      </c>
      <c r="I93" s="534">
        <v>1</v>
      </c>
      <c r="J93" s="534">
        <v>89</v>
      </c>
      <c r="K93" s="534">
        <v>84</v>
      </c>
    </row>
    <row r="94" spans="2:11" x14ac:dyDescent="0.3">
      <c r="B94" s="529">
        <f t="shared" si="6"/>
        <v>89001</v>
      </c>
      <c r="C94" s="529">
        <f t="shared" si="7"/>
        <v>90</v>
      </c>
      <c r="E94" s="534">
        <v>30</v>
      </c>
      <c r="F94" s="534">
        <v>2700</v>
      </c>
      <c r="G94" s="534">
        <v>1461</v>
      </c>
      <c r="I94" s="534">
        <v>0</v>
      </c>
      <c r="J94" s="534">
        <v>0</v>
      </c>
      <c r="K94" s="534">
        <v>83</v>
      </c>
    </row>
    <row r="95" spans="2:11" x14ac:dyDescent="0.3">
      <c r="B95" s="529">
        <f t="shared" si="6"/>
        <v>90001</v>
      </c>
      <c r="C95" s="529">
        <f t="shared" si="7"/>
        <v>91</v>
      </c>
      <c r="E95" s="534">
        <v>20</v>
      </c>
      <c r="F95" s="534">
        <v>1820</v>
      </c>
      <c r="G95" s="534">
        <v>1431</v>
      </c>
      <c r="I95" s="534">
        <v>0</v>
      </c>
      <c r="J95" s="534">
        <v>0</v>
      </c>
      <c r="K95" s="534">
        <v>83</v>
      </c>
    </row>
    <row r="96" spans="2:11" x14ac:dyDescent="0.3">
      <c r="B96" s="529">
        <f t="shared" si="6"/>
        <v>91001</v>
      </c>
      <c r="C96" s="529">
        <f t="shared" si="7"/>
        <v>92</v>
      </c>
      <c r="E96" s="534">
        <v>18</v>
      </c>
      <c r="F96" s="534">
        <v>1656</v>
      </c>
      <c r="G96" s="534">
        <v>1411</v>
      </c>
      <c r="I96" s="534">
        <v>2</v>
      </c>
      <c r="J96" s="534">
        <v>184</v>
      </c>
      <c r="K96" s="534">
        <v>83</v>
      </c>
    </row>
    <row r="97" spans="2:11" x14ac:dyDescent="0.3">
      <c r="B97" s="529">
        <f t="shared" si="6"/>
        <v>92001</v>
      </c>
      <c r="C97" s="529">
        <f t="shared" si="7"/>
        <v>93</v>
      </c>
      <c r="E97" s="534">
        <v>14</v>
      </c>
      <c r="F97" s="534">
        <v>1302</v>
      </c>
      <c r="G97" s="534">
        <v>1393</v>
      </c>
      <c r="I97" s="534">
        <v>0</v>
      </c>
      <c r="J97" s="534">
        <v>0</v>
      </c>
      <c r="K97" s="534">
        <v>81</v>
      </c>
    </row>
    <row r="98" spans="2:11" x14ac:dyDescent="0.3">
      <c r="B98" s="529">
        <f t="shared" si="6"/>
        <v>93001</v>
      </c>
      <c r="C98" s="529">
        <f t="shared" si="7"/>
        <v>94</v>
      </c>
      <c r="E98" s="534">
        <v>22</v>
      </c>
      <c r="F98" s="534">
        <v>2068</v>
      </c>
      <c r="G98" s="534">
        <v>1379</v>
      </c>
      <c r="I98" s="534">
        <v>0</v>
      </c>
      <c r="J98" s="534">
        <v>0</v>
      </c>
      <c r="K98" s="534">
        <v>81</v>
      </c>
    </row>
    <row r="99" spans="2:11" x14ac:dyDescent="0.3">
      <c r="B99" s="529">
        <f t="shared" si="6"/>
        <v>94001</v>
      </c>
      <c r="C99" s="529">
        <f t="shared" si="7"/>
        <v>95</v>
      </c>
      <c r="E99" s="534">
        <v>15</v>
      </c>
      <c r="F99" s="534">
        <v>1425</v>
      </c>
      <c r="G99" s="534">
        <v>1357</v>
      </c>
      <c r="I99" s="534">
        <v>1</v>
      </c>
      <c r="J99" s="534">
        <v>95</v>
      </c>
      <c r="K99" s="534">
        <v>81</v>
      </c>
    </row>
    <row r="100" spans="2:11" x14ac:dyDescent="0.3">
      <c r="B100" s="529">
        <f t="shared" si="6"/>
        <v>95001</v>
      </c>
      <c r="C100" s="529">
        <f t="shared" si="7"/>
        <v>96</v>
      </c>
      <c r="E100" s="534">
        <v>18</v>
      </c>
      <c r="F100" s="534">
        <v>1728</v>
      </c>
      <c r="G100" s="534">
        <v>1342</v>
      </c>
      <c r="I100" s="534">
        <v>1</v>
      </c>
      <c r="J100" s="534">
        <v>96</v>
      </c>
      <c r="K100" s="534">
        <v>80</v>
      </c>
    </row>
    <row r="101" spans="2:11" x14ac:dyDescent="0.3">
      <c r="B101" s="529">
        <f t="shared" si="6"/>
        <v>96001</v>
      </c>
      <c r="C101" s="529">
        <f t="shared" si="7"/>
        <v>97</v>
      </c>
      <c r="E101" s="534">
        <v>18</v>
      </c>
      <c r="F101" s="534">
        <v>1746</v>
      </c>
      <c r="G101" s="534">
        <v>1324</v>
      </c>
      <c r="I101" s="534">
        <v>1</v>
      </c>
      <c r="J101" s="534">
        <v>97</v>
      </c>
      <c r="K101" s="534">
        <v>79</v>
      </c>
    </row>
    <row r="102" spans="2:11" x14ac:dyDescent="0.3">
      <c r="B102" s="529">
        <f t="shared" si="6"/>
        <v>97001</v>
      </c>
      <c r="C102" s="529">
        <f t="shared" si="7"/>
        <v>98</v>
      </c>
      <c r="E102" s="534">
        <v>26</v>
      </c>
      <c r="F102" s="534">
        <v>2548</v>
      </c>
      <c r="G102" s="534">
        <v>1306</v>
      </c>
      <c r="I102" s="534">
        <v>1</v>
      </c>
      <c r="J102" s="534">
        <v>98</v>
      </c>
      <c r="K102" s="534">
        <v>78</v>
      </c>
    </row>
    <row r="103" spans="2:11" x14ac:dyDescent="0.3">
      <c r="B103" s="529">
        <f t="shared" si="6"/>
        <v>98001</v>
      </c>
      <c r="C103" s="529">
        <f t="shared" si="7"/>
        <v>99</v>
      </c>
      <c r="E103" s="534">
        <v>9</v>
      </c>
      <c r="F103" s="534">
        <v>891</v>
      </c>
      <c r="G103" s="534">
        <v>1280</v>
      </c>
      <c r="I103" s="534">
        <v>1</v>
      </c>
      <c r="J103" s="534">
        <v>99</v>
      </c>
      <c r="K103" s="534">
        <v>77</v>
      </c>
    </row>
    <row r="104" spans="2:11" x14ac:dyDescent="0.3">
      <c r="B104" s="529">
        <f t="shared" si="6"/>
        <v>99001</v>
      </c>
      <c r="C104" s="529">
        <f t="shared" si="7"/>
        <v>100</v>
      </c>
      <c r="E104" s="534">
        <v>23</v>
      </c>
      <c r="F104" s="534">
        <v>2300</v>
      </c>
      <c r="G104" s="534">
        <v>1271</v>
      </c>
      <c r="I104" s="534">
        <v>2</v>
      </c>
      <c r="J104" s="534">
        <v>200</v>
      </c>
      <c r="K104" s="534">
        <v>76</v>
      </c>
    </row>
    <row r="105" spans="2:11" x14ac:dyDescent="0.3">
      <c r="B105" s="529">
        <f t="shared" si="6"/>
        <v>100001</v>
      </c>
      <c r="C105" s="529">
        <f t="shared" si="7"/>
        <v>101</v>
      </c>
      <c r="E105" s="534">
        <v>20</v>
      </c>
      <c r="F105" s="534">
        <v>2020</v>
      </c>
      <c r="G105" s="534">
        <v>1248</v>
      </c>
      <c r="I105" s="534">
        <v>0</v>
      </c>
      <c r="J105" s="534">
        <v>0</v>
      </c>
      <c r="K105" s="534">
        <v>74</v>
      </c>
    </row>
    <row r="106" spans="2:11" x14ac:dyDescent="0.3">
      <c r="B106" s="529">
        <f t="shared" si="6"/>
        <v>101001</v>
      </c>
      <c r="C106" s="529">
        <f t="shared" si="7"/>
        <v>102</v>
      </c>
      <c r="E106" s="534">
        <v>14</v>
      </c>
      <c r="F106" s="534">
        <v>1428</v>
      </c>
      <c r="G106" s="534">
        <v>1228</v>
      </c>
      <c r="I106" s="534">
        <v>0</v>
      </c>
      <c r="J106" s="534">
        <v>0</v>
      </c>
      <c r="K106" s="534">
        <v>74</v>
      </c>
    </row>
    <row r="107" spans="2:11" x14ac:dyDescent="0.3">
      <c r="B107" s="529">
        <f t="shared" si="6"/>
        <v>102001</v>
      </c>
      <c r="C107" s="529">
        <f t="shared" si="7"/>
        <v>103</v>
      </c>
      <c r="E107" s="534">
        <v>20</v>
      </c>
      <c r="F107" s="534">
        <v>2060</v>
      </c>
      <c r="G107" s="534">
        <v>1214</v>
      </c>
      <c r="I107" s="534">
        <v>1</v>
      </c>
      <c r="J107" s="534">
        <v>103</v>
      </c>
      <c r="K107" s="534">
        <v>74</v>
      </c>
    </row>
    <row r="108" spans="2:11" x14ac:dyDescent="0.3">
      <c r="B108" s="529">
        <f t="shared" si="6"/>
        <v>103001</v>
      </c>
      <c r="C108" s="529">
        <f t="shared" si="7"/>
        <v>104</v>
      </c>
      <c r="E108" s="534">
        <v>14</v>
      </c>
      <c r="F108" s="534">
        <v>1456</v>
      </c>
      <c r="G108" s="534">
        <v>1194</v>
      </c>
      <c r="I108" s="534">
        <v>0</v>
      </c>
      <c r="J108" s="534">
        <v>0</v>
      </c>
      <c r="K108" s="534">
        <v>73</v>
      </c>
    </row>
    <row r="109" spans="2:11" x14ac:dyDescent="0.3">
      <c r="B109" s="529">
        <f t="shared" si="6"/>
        <v>104001</v>
      </c>
      <c r="C109" s="529">
        <f t="shared" si="7"/>
        <v>105</v>
      </c>
      <c r="E109" s="534">
        <v>10</v>
      </c>
      <c r="F109" s="534">
        <v>1050</v>
      </c>
      <c r="G109" s="534">
        <v>1180</v>
      </c>
      <c r="I109" s="534">
        <v>1</v>
      </c>
      <c r="J109" s="534">
        <v>105</v>
      </c>
      <c r="K109" s="534">
        <v>73</v>
      </c>
    </row>
    <row r="110" spans="2:11" x14ac:dyDescent="0.3">
      <c r="B110" s="529">
        <f t="shared" si="6"/>
        <v>105001</v>
      </c>
      <c r="C110" s="529">
        <f t="shared" si="7"/>
        <v>106</v>
      </c>
      <c r="E110" s="534">
        <v>10</v>
      </c>
      <c r="F110" s="534">
        <v>1060</v>
      </c>
      <c r="G110" s="534">
        <v>1170</v>
      </c>
      <c r="I110" s="534">
        <v>1</v>
      </c>
      <c r="J110" s="534">
        <v>106</v>
      </c>
      <c r="K110" s="534">
        <v>72</v>
      </c>
    </row>
    <row r="111" spans="2:11" x14ac:dyDescent="0.3">
      <c r="B111" s="529">
        <f t="shared" si="6"/>
        <v>106001</v>
      </c>
      <c r="C111" s="529">
        <f t="shared" si="7"/>
        <v>107</v>
      </c>
      <c r="E111" s="534">
        <v>13</v>
      </c>
      <c r="F111" s="534">
        <v>1391</v>
      </c>
      <c r="G111" s="534">
        <v>1160</v>
      </c>
      <c r="I111" s="534">
        <v>0</v>
      </c>
      <c r="J111" s="534">
        <v>0</v>
      </c>
      <c r="K111" s="534">
        <v>71</v>
      </c>
    </row>
    <row r="112" spans="2:11" x14ac:dyDescent="0.3">
      <c r="B112" s="529">
        <f t="shared" si="6"/>
        <v>107001</v>
      </c>
      <c r="C112" s="529">
        <f t="shared" si="7"/>
        <v>108</v>
      </c>
      <c r="E112" s="534">
        <v>12</v>
      </c>
      <c r="F112" s="534">
        <v>1296</v>
      </c>
      <c r="G112" s="534">
        <v>1147</v>
      </c>
      <c r="I112" s="534">
        <v>0</v>
      </c>
      <c r="J112" s="534">
        <v>0</v>
      </c>
      <c r="K112" s="534">
        <v>71</v>
      </c>
    </row>
    <row r="113" spans="2:11" x14ac:dyDescent="0.3">
      <c r="B113" s="529">
        <f t="shared" si="6"/>
        <v>108001</v>
      </c>
      <c r="C113" s="529">
        <f t="shared" si="7"/>
        <v>109</v>
      </c>
      <c r="E113" s="534">
        <v>18</v>
      </c>
      <c r="F113" s="534">
        <v>1962</v>
      </c>
      <c r="G113" s="534">
        <v>1135</v>
      </c>
      <c r="I113" s="534">
        <v>0</v>
      </c>
      <c r="J113" s="534">
        <v>0</v>
      </c>
      <c r="K113" s="534">
        <v>71</v>
      </c>
    </row>
    <row r="114" spans="2:11" x14ac:dyDescent="0.3">
      <c r="B114" s="529">
        <f t="shared" si="6"/>
        <v>109001</v>
      </c>
      <c r="C114" s="529">
        <f t="shared" si="7"/>
        <v>110</v>
      </c>
      <c r="E114" s="534">
        <v>8</v>
      </c>
      <c r="F114" s="534">
        <v>880</v>
      </c>
      <c r="G114" s="534">
        <v>1117</v>
      </c>
      <c r="I114" s="534">
        <v>2</v>
      </c>
      <c r="J114" s="534">
        <v>220</v>
      </c>
      <c r="K114" s="534">
        <v>71</v>
      </c>
    </row>
    <row r="115" spans="2:11" x14ac:dyDescent="0.3">
      <c r="B115" s="529">
        <f t="shared" si="6"/>
        <v>110001</v>
      </c>
      <c r="C115" s="529">
        <f t="shared" si="7"/>
        <v>111</v>
      </c>
      <c r="E115" s="534">
        <v>14</v>
      </c>
      <c r="F115" s="534">
        <v>1554</v>
      </c>
      <c r="G115" s="534">
        <v>1109</v>
      </c>
      <c r="I115" s="534">
        <v>1</v>
      </c>
      <c r="J115" s="534">
        <v>111</v>
      </c>
      <c r="K115" s="534">
        <v>69</v>
      </c>
    </row>
    <row r="116" spans="2:11" x14ac:dyDescent="0.3">
      <c r="B116" s="529">
        <f t="shared" si="6"/>
        <v>111001</v>
      </c>
      <c r="C116" s="529">
        <f t="shared" si="7"/>
        <v>112</v>
      </c>
      <c r="E116" s="534">
        <v>6</v>
      </c>
      <c r="F116" s="534">
        <v>672</v>
      </c>
      <c r="G116" s="534">
        <v>1095</v>
      </c>
      <c r="I116" s="534">
        <v>1</v>
      </c>
      <c r="J116" s="534">
        <v>112</v>
      </c>
      <c r="K116" s="534">
        <v>68</v>
      </c>
    </row>
    <row r="117" spans="2:11" x14ac:dyDescent="0.3">
      <c r="B117" s="529">
        <f t="shared" si="6"/>
        <v>112001</v>
      </c>
      <c r="C117" s="529">
        <f t="shared" si="7"/>
        <v>113</v>
      </c>
      <c r="E117" s="534">
        <v>7</v>
      </c>
      <c r="F117" s="534">
        <v>791</v>
      </c>
      <c r="G117" s="534">
        <v>1089</v>
      </c>
      <c r="I117" s="534">
        <v>0</v>
      </c>
      <c r="J117" s="534">
        <v>0</v>
      </c>
      <c r="K117" s="534">
        <v>67</v>
      </c>
    </row>
    <row r="118" spans="2:11" x14ac:dyDescent="0.3">
      <c r="B118" s="529">
        <f t="shared" si="6"/>
        <v>113001</v>
      </c>
      <c r="C118" s="529">
        <f t="shared" si="7"/>
        <v>114</v>
      </c>
      <c r="E118" s="534">
        <v>12</v>
      </c>
      <c r="F118" s="534">
        <v>1368</v>
      </c>
      <c r="G118" s="534">
        <v>1082</v>
      </c>
      <c r="I118" s="534">
        <v>0</v>
      </c>
      <c r="J118" s="534">
        <v>0</v>
      </c>
      <c r="K118" s="534">
        <v>67</v>
      </c>
    </row>
    <row r="119" spans="2:11" x14ac:dyDescent="0.3">
      <c r="B119" s="529">
        <f t="shared" si="6"/>
        <v>114001</v>
      </c>
      <c r="C119" s="529">
        <f t="shared" si="7"/>
        <v>115</v>
      </c>
      <c r="E119" s="534">
        <v>10</v>
      </c>
      <c r="F119" s="534">
        <v>1150</v>
      </c>
      <c r="G119" s="534">
        <v>1070</v>
      </c>
      <c r="I119" s="534">
        <v>0</v>
      </c>
      <c r="J119" s="534">
        <v>0</v>
      </c>
      <c r="K119" s="534">
        <v>67</v>
      </c>
    </row>
    <row r="120" spans="2:11" x14ac:dyDescent="0.3">
      <c r="B120" s="529">
        <f t="shared" si="6"/>
        <v>115001</v>
      </c>
      <c r="C120" s="529">
        <f t="shared" si="7"/>
        <v>116</v>
      </c>
      <c r="E120" s="534">
        <v>11</v>
      </c>
      <c r="F120" s="534">
        <v>1276</v>
      </c>
      <c r="G120" s="534">
        <v>1060</v>
      </c>
      <c r="I120" s="534">
        <v>0</v>
      </c>
      <c r="J120" s="534">
        <v>0</v>
      </c>
      <c r="K120" s="534">
        <v>67</v>
      </c>
    </row>
    <row r="121" spans="2:11" x14ac:dyDescent="0.3">
      <c r="B121" s="529">
        <f t="shared" si="6"/>
        <v>116001</v>
      </c>
      <c r="C121" s="529">
        <f t="shared" si="7"/>
        <v>117</v>
      </c>
      <c r="E121" s="534">
        <v>10</v>
      </c>
      <c r="F121" s="534">
        <v>1170</v>
      </c>
      <c r="G121" s="534">
        <v>1049</v>
      </c>
      <c r="I121" s="534">
        <v>0</v>
      </c>
      <c r="J121" s="534">
        <v>0</v>
      </c>
      <c r="K121" s="534">
        <v>67</v>
      </c>
    </row>
    <row r="122" spans="2:11" x14ac:dyDescent="0.3">
      <c r="B122" s="529">
        <f t="shared" si="6"/>
        <v>117001</v>
      </c>
      <c r="C122" s="529">
        <f t="shared" si="7"/>
        <v>118</v>
      </c>
      <c r="E122" s="534">
        <v>10</v>
      </c>
      <c r="F122" s="534">
        <v>1180</v>
      </c>
      <c r="G122" s="534">
        <v>1039</v>
      </c>
      <c r="I122" s="534">
        <v>0</v>
      </c>
      <c r="J122" s="534">
        <v>0</v>
      </c>
      <c r="K122" s="534">
        <v>67</v>
      </c>
    </row>
    <row r="123" spans="2:11" x14ac:dyDescent="0.3">
      <c r="B123" s="529">
        <f t="shared" si="6"/>
        <v>118001</v>
      </c>
      <c r="C123" s="529">
        <f t="shared" si="7"/>
        <v>119</v>
      </c>
      <c r="E123" s="534">
        <v>9</v>
      </c>
      <c r="F123" s="534">
        <v>1071</v>
      </c>
      <c r="G123" s="534">
        <v>1029</v>
      </c>
      <c r="I123" s="534">
        <v>0</v>
      </c>
      <c r="J123" s="534">
        <v>0</v>
      </c>
      <c r="K123" s="534">
        <v>67</v>
      </c>
    </row>
    <row r="124" spans="2:11" x14ac:dyDescent="0.3">
      <c r="B124" s="529">
        <f t="shared" si="6"/>
        <v>119001</v>
      </c>
      <c r="C124" s="529">
        <f t="shared" si="7"/>
        <v>120</v>
      </c>
      <c r="E124" s="534">
        <v>5</v>
      </c>
      <c r="F124" s="534">
        <v>600</v>
      </c>
      <c r="G124" s="534">
        <v>1020</v>
      </c>
      <c r="I124" s="534">
        <v>0</v>
      </c>
      <c r="J124" s="534">
        <v>0</v>
      </c>
      <c r="K124" s="534">
        <v>67</v>
      </c>
    </row>
    <row r="125" spans="2:11" x14ac:dyDescent="0.3">
      <c r="B125" s="529">
        <f t="shared" si="6"/>
        <v>120001</v>
      </c>
      <c r="C125" s="529">
        <f t="shared" si="7"/>
        <v>121</v>
      </c>
      <c r="E125" s="534">
        <v>7</v>
      </c>
      <c r="F125" s="534">
        <v>847</v>
      </c>
      <c r="G125" s="534">
        <v>1015</v>
      </c>
      <c r="I125" s="534">
        <v>0</v>
      </c>
      <c r="J125" s="534">
        <v>0</v>
      </c>
      <c r="K125" s="534">
        <v>67</v>
      </c>
    </row>
    <row r="126" spans="2:11" x14ac:dyDescent="0.3">
      <c r="B126" s="529">
        <f t="shared" si="6"/>
        <v>121001</v>
      </c>
      <c r="C126" s="529">
        <f t="shared" si="7"/>
        <v>122</v>
      </c>
      <c r="E126" s="534">
        <v>6</v>
      </c>
      <c r="F126" s="534">
        <v>732</v>
      </c>
      <c r="G126" s="534">
        <v>1008</v>
      </c>
      <c r="I126" s="534">
        <v>0</v>
      </c>
      <c r="J126" s="534">
        <v>0</v>
      </c>
      <c r="K126" s="534">
        <v>67</v>
      </c>
    </row>
    <row r="127" spans="2:11" x14ac:dyDescent="0.3">
      <c r="B127" s="529">
        <f t="shared" si="6"/>
        <v>122001</v>
      </c>
      <c r="C127" s="529">
        <f t="shared" si="7"/>
        <v>123</v>
      </c>
      <c r="E127" s="534">
        <v>11</v>
      </c>
      <c r="F127" s="534">
        <v>1353</v>
      </c>
      <c r="G127" s="534">
        <v>1002</v>
      </c>
      <c r="I127" s="534">
        <v>1</v>
      </c>
      <c r="J127" s="534">
        <v>123</v>
      </c>
      <c r="K127" s="534">
        <v>67</v>
      </c>
    </row>
    <row r="128" spans="2:11" x14ac:dyDescent="0.3">
      <c r="B128" s="529">
        <f t="shared" si="6"/>
        <v>123001</v>
      </c>
      <c r="C128" s="529">
        <f t="shared" si="7"/>
        <v>124</v>
      </c>
      <c r="E128" s="534">
        <v>6</v>
      </c>
      <c r="F128" s="534">
        <v>744</v>
      </c>
      <c r="G128" s="534">
        <v>991</v>
      </c>
      <c r="I128" s="534">
        <v>0</v>
      </c>
      <c r="J128" s="534">
        <v>0</v>
      </c>
      <c r="K128" s="534">
        <v>66</v>
      </c>
    </row>
    <row r="129" spans="2:11" x14ac:dyDescent="0.3">
      <c r="B129" s="529">
        <f t="shared" si="6"/>
        <v>124001</v>
      </c>
      <c r="C129" s="529">
        <f t="shared" si="7"/>
        <v>125</v>
      </c>
      <c r="E129" s="534">
        <v>13</v>
      </c>
      <c r="F129" s="534">
        <v>1625</v>
      </c>
      <c r="G129" s="534">
        <v>985</v>
      </c>
      <c r="I129" s="534">
        <v>0</v>
      </c>
      <c r="J129" s="534">
        <v>0</v>
      </c>
      <c r="K129" s="534">
        <v>66</v>
      </c>
    </row>
    <row r="130" spans="2:11" x14ac:dyDescent="0.3">
      <c r="B130" s="529">
        <f t="shared" si="6"/>
        <v>125001</v>
      </c>
      <c r="C130" s="529">
        <f t="shared" si="7"/>
        <v>126</v>
      </c>
      <c r="E130" s="534">
        <v>10</v>
      </c>
      <c r="F130" s="534">
        <v>1260</v>
      </c>
      <c r="G130" s="534">
        <v>972</v>
      </c>
      <c r="I130" s="534">
        <v>0</v>
      </c>
      <c r="J130" s="534">
        <v>0</v>
      </c>
      <c r="K130" s="534">
        <v>66</v>
      </c>
    </row>
    <row r="131" spans="2:11" x14ac:dyDescent="0.3">
      <c r="B131" s="529">
        <f t="shared" si="6"/>
        <v>126001</v>
      </c>
      <c r="C131" s="529">
        <f t="shared" si="7"/>
        <v>127</v>
      </c>
      <c r="E131" s="534">
        <v>6</v>
      </c>
      <c r="F131" s="534">
        <v>762</v>
      </c>
      <c r="G131" s="534">
        <v>962</v>
      </c>
      <c r="I131" s="534">
        <v>1</v>
      </c>
      <c r="J131" s="534">
        <v>127</v>
      </c>
      <c r="K131" s="534">
        <v>66</v>
      </c>
    </row>
    <row r="132" spans="2:11" x14ac:dyDescent="0.3">
      <c r="B132" s="529">
        <f t="shared" si="6"/>
        <v>127001</v>
      </c>
      <c r="C132" s="529">
        <f t="shared" si="7"/>
        <v>128</v>
      </c>
      <c r="E132" s="534">
        <v>6</v>
      </c>
      <c r="F132" s="534">
        <v>768</v>
      </c>
      <c r="G132" s="534">
        <v>956</v>
      </c>
      <c r="I132" s="534">
        <v>0</v>
      </c>
      <c r="J132" s="534">
        <v>0</v>
      </c>
      <c r="K132" s="534">
        <v>65</v>
      </c>
    </row>
    <row r="133" spans="2:11" x14ac:dyDescent="0.3">
      <c r="B133" s="529">
        <f t="shared" si="6"/>
        <v>128001</v>
      </c>
      <c r="C133" s="529">
        <f t="shared" si="7"/>
        <v>129</v>
      </c>
      <c r="E133" s="534">
        <v>12</v>
      </c>
      <c r="F133" s="534">
        <v>1548</v>
      </c>
      <c r="G133" s="534">
        <v>950</v>
      </c>
      <c r="I133" s="534">
        <v>0</v>
      </c>
      <c r="J133" s="534">
        <v>0</v>
      </c>
      <c r="K133" s="534">
        <v>65</v>
      </c>
    </row>
    <row r="134" spans="2:11" x14ac:dyDescent="0.3">
      <c r="B134" s="529">
        <f t="shared" si="6"/>
        <v>129001</v>
      </c>
      <c r="C134" s="529">
        <f t="shared" si="7"/>
        <v>130</v>
      </c>
      <c r="E134" s="534">
        <v>13</v>
      </c>
      <c r="F134" s="534">
        <v>1690</v>
      </c>
      <c r="G134" s="534">
        <v>938</v>
      </c>
      <c r="I134" s="534">
        <v>1</v>
      </c>
      <c r="J134" s="534">
        <v>130</v>
      </c>
      <c r="K134" s="534">
        <v>65</v>
      </c>
    </row>
    <row r="135" spans="2:11" x14ac:dyDescent="0.3">
      <c r="B135" s="529">
        <f t="shared" ref="B135:B198" si="8">C134*1000+1</f>
        <v>130001</v>
      </c>
      <c r="C135" s="529">
        <f t="shared" ref="C135:C198" si="9">C134+1</f>
        <v>131</v>
      </c>
      <c r="E135" s="534">
        <v>10</v>
      </c>
      <c r="F135" s="534">
        <v>1310</v>
      </c>
      <c r="G135" s="534">
        <v>925</v>
      </c>
      <c r="I135" s="534">
        <v>2</v>
      </c>
      <c r="J135" s="534">
        <v>262</v>
      </c>
      <c r="K135" s="534">
        <v>64</v>
      </c>
    </row>
    <row r="136" spans="2:11" x14ac:dyDescent="0.3">
      <c r="B136" s="529">
        <f t="shared" si="8"/>
        <v>131001</v>
      </c>
      <c r="C136" s="529">
        <f t="shared" si="9"/>
        <v>132</v>
      </c>
      <c r="E136" s="534">
        <v>9</v>
      </c>
      <c r="F136" s="534">
        <v>1188</v>
      </c>
      <c r="G136" s="534">
        <v>915</v>
      </c>
      <c r="I136" s="534">
        <v>0</v>
      </c>
      <c r="J136" s="534">
        <v>0</v>
      </c>
      <c r="K136" s="534">
        <v>62</v>
      </c>
    </row>
    <row r="137" spans="2:11" x14ac:dyDescent="0.3">
      <c r="B137" s="529">
        <f t="shared" si="8"/>
        <v>132001</v>
      </c>
      <c r="C137" s="529">
        <f t="shared" si="9"/>
        <v>133</v>
      </c>
      <c r="E137" s="534">
        <v>5</v>
      </c>
      <c r="F137" s="534">
        <v>665</v>
      </c>
      <c r="G137" s="534">
        <v>906</v>
      </c>
      <c r="I137" s="534">
        <v>1</v>
      </c>
      <c r="J137" s="534">
        <v>133</v>
      </c>
      <c r="K137" s="534">
        <v>62</v>
      </c>
    </row>
    <row r="138" spans="2:11" x14ac:dyDescent="0.3">
      <c r="B138" s="529">
        <f t="shared" si="8"/>
        <v>133001</v>
      </c>
      <c r="C138" s="529">
        <f t="shared" si="9"/>
        <v>134</v>
      </c>
      <c r="E138" s="534">
        <v>10</v>
      </c>
      <c r="F138" s="534">
        <v>1340</v>
      </c>
      <c r="G138" s="534">
        <v>901</v>
      </c>
      <c r="I138" s="534">
        <v>0</v>
      </c>
      <c r="J138" s="534">
        <v>0</v>
      </c>
      <c r="K138" s="534">
        <v>61</v>
      </c>
    </row>
    <row r="139" spans="2:11" x14ac:dyDescent="0.3">
      <c r="B139" s="529">
        <f t="shared" si="8"/>
        <v>134001</v>
      </c>
      <c r="C139" s="529">
        <f t="shared" si="9"/>
        <v>135</v>
      </c>
      <c r="E139" s="534">
        <v>3</v>
      </c>
      <c r="F139" s="534">
        <v>405</v>
      </c>
      <c r="G139" s="534">
        <v>891</v>
      </c>
      <c r="I139" s="534">
        <v>0</v>
      </c>
      <c r="J139" s="534">
        <v>0</v>
      </c>
      <c r="K139" s="534">
        <v>61</v>
      </c>
    </row>
    <row r="140" spans="2:11" x14ac:dyDescent="0.3">
      <c r="B140" s="529">
        <f t="shared" si="8"/>
        <v>135001</v>
      </c>
      <c r="C140" s="529">
        <f t="shared" si="9"/>
        <v>136</v>
      </c>
      <c r="E140" s="534">
        <v>7</v>
      </c>
      <c r="F140" s="534">
        <v>952</v>
      </c>
      <c r="G140" s="534">
        <v>888</v>
      </c>
      <c r="I140" s="534">
        <v>0</v>
      </c>
      <c r="J140" s="534">
        <v>0</v>
      </c>
      <c r="K140" s="534">
        <v>61</v>
      </c>
    </row>
    <row r="141" spans="2:11" x14ac:dyDescent="0.3">
      <c r="B141" s="529">
        <f t="shared" si="8"/>
        <v>136001</v>
      </c>
      <c r="C141" s="529">
        <f t="shared" si="9"/>
        <v>137</v>
      </c>
      <c r="E141" s="534">
        <v>7</v>
      </c>
      <c r="F141" s="534">
        <v>959</v>
      </c>
      <c r="G141" s="534">
        <v>881</v>
      </c>
      <c r="I141" s="534">
        <v>0</v>
      </c>
      <c r="J141" s="534">
        <v>0</v>
      </c>
      <c r="K141" s="534">
        <v>61</v>
      </c>
    </row>
    <row r="142" spans="2:11" x14ac:dyDescent="0.3">
      <c r="B142" s="529">
        <f t="shared" si="8"/>
        <v>137001</v>
      </c>
      <c r="C142" s="529">
        <f t="shared" si="9"/>
        <v>138</v>
      </c>
      <c r="E142" s="534">
        <v>8</v>
      </c>
      <c r="F142" s="534">
        <v>1104</v>
      </c>
      <c r="G142" s="534">
        <v>874</v>
      </c>
      <c r="I142" s="534">
        <v>0</v>
      </c>
      <c r="J142" s="534">
        <v>0</v>
      </c>
      <c r="K142" s="534">
        <v>61</v>
      </c>
    </row>
    <row r="143" spans="2:11" x14ac:dyDescent="0.3">
      <c r="B143" s="529">
        <f t="shared" si="8"/>
        <v>138001</v>
      </c>
      <c r="C143" s="529">
        <f t="shared" si="9"/>
        <v>139</v>
      </c>
      <c r="E143" s="534">
        <v>7</v>
      </c>
      <c r="F143" s="534">
        <v>973</v>
      </c>
      <c r="G143" s="534">
        <v>866</v>
      </c>
      <c r="I143" s="534">
        <v>0</v>
      </c>
      <c r="J143" s="534">
        <v>0</v>
      </c>
      <c r="K143" s="534">
        <v>61</v>
      </c>
    </row>
    <row r="144" spans="2:11" x14ac:dyDescent="0.3">
      <c r="B144" s="529">
        <f t="shared" si="8"/>
        <v>139001</v>
      </c>
      <c r="C144" s="529">
        <f t="shared" si="9"/>
        <v>140</v>
      </c>
      <c r="E144" s="534">
        <v>9</v>
      </c>
      <c r="F144" s="534">
        <v>1260</v>
      </c>
      <c r="G144" s="534">
        <v>859</v>
      </c>
      <c r="I144" s="534">
        <v>0</v>
      </c>
      <c r="J144" s="534">
        <v>0</v>
      </c>
      <c r="K144" s="534">
        <v>61</v>
      </c>
    </row>
    <row r="145" spans="2:11" x14ac:dyDescent="0.3">
      <c r="B145" s="529">
        <f t="shared" si="8"/>
        <v>140001</v>
      </c>
      <c r="C145" s="529">
        <f t="shared" si="9"/>
        <v>141</v>
      </c>
      <c r="E145" s="534">
        <v>5</v>
      </c>
      <c r="F145" s="534">
        <v>705</v>
      </c>
      <c r="G145" s="534">
        <v>850</v>
      </c>
      <c r="I145" s="534">
        <v>0</v>
      </c>
      <c r="J145" s="534">
        <v>0</v>
      </c>
      <c r="K145" s="534">
        <v>61</v>
      </c>
    </row>
    <row r="146" spans="2:11" x14ac:dyDescent="0.3">
      <c r="B146" s="529">
        <f t="shared" si="8"/>
        <v>141001</v>
      </c>
      <c r="C146" s="529">
        <f t="shared" si="9"/>
        <v>142</v>
      </c>
      <c r="E146" s="534">
        <v>4</v>
      </c>
      <c r="F146" s="534">
        <v>568</v>
      </c>
      <c r="G146" s="534">
        <v>845</v>
      </c>
      <c r="I146" s="534">
        <v>0</v>
      </c>
      <c r="J146" s="534">
        <v>0</v>
      </c>
      <c r="K146" s="534">
        <v>61</v>
      </c>
    </row>
    <row r="147" spans="2:11" x14ac:dyDescent="0.3">
      <c r="B147" s="529">
        <f t="shared" si="8"/>
        <v>142001</v>
      </c>
      <c r="C147" s="529">
        <f t="shared" si="9"/>
        <v>143</v>
      </c>
      <c r="E147" s="534">
        <v>6</v>
      </c>
      <c r="F147" s="534">
        <v>858</v>
      </c>
      <c r="G147" s="534">
        <v>841</v>
      </c>
      <c r="I147" s="534">
        <v>0</v>
      </c>
      <c r="J147" s="534">
        <v>0</v>
      </c>
      <c r="K147" s="534">
        <v>61</v>
      </c>
    </row>
    <row r="148" spans="2:11" x14ac:dyDescent="0.3">
      <c r="B148" s="529">
        <f t="shared" si="8"/>
        <v>143001</v>
      </c>
      <c r="C148" s="529">
        <f t="shared" si="9"/>
        <v>144</v>
      </c>
      <c r="E148" s="534">
        <v>5</v>
      </c>
      <c r="F148" s="534">
        <v>720</v>
      </c>
      <c r="G148" s="534">
        <v>835</v>
      </c>
      <c r="I148" s="534">
        <v>0</v>
      </c>
      <c r="J148" s="534">
        <v>0</v>
      </c>
      <c r="K148" s="534">
        <v>61</v>
      </c>
    </row>
    <row r="149" spans="2:11" x14ac:dyDescent="0.3">
      <c r="B149" s="529">
        <f t="shared" si="8"/>
        <v>144001</v>
      </c>
      <c r="C149" s="529">
        <f t="shared" si="9"/>
        <v>145</v>
      </c>
      <c r="E149" s="534">
        <v>6</v>
      </c>
      <c r="F149" s="534">
        <v>870</v>
      </c>
      <c r="G149" s="534">
        <v>830</v>
      </c>
      <c r="I149" s="534">
        <v>0</v>
      </c>
      <c r="J149" s="534">
        <v>0</v>
      </c>
      <c r="K149" s="534">
        <v>61</v>
      </c>
    </row>
    <row r="150" spans="2:11" x14ac:dyDescent="0.3">
      <c r="B150" s="529">
        <f t="shared" si="8"/>
        <v>145001</v>
      </c>
      <c r="C150" s="529">
        <f t="shared" si="9"/>
        <v>146</v>
      </c>
      <c r="E150" s="534">
        <v>5</v>
      </c>
      <c r="F150" s="534">
        <v>730</v>
      </c>
      <c r="G150" s="534">
        <v>824</v>
      </c>
      <c r="I150" s="534">
        <v>1</v>
      </c>
      <c r="J150" s="534">
        <v>146</v>
      </c>
      <c r="K150" s="534">
        <v>61</v>
      </c>
    </row>
    <row r="151" spans="2:11" x14ac:dyDescent="0.3">
      <c r="B151" s="529">
        <f t="shared" si="8"/>
        <v>146001</v>
      </c>
      <c r="C151" s="529">
        <f t="shared" si="9"/>
        <v>147</v>
      </c>
      <c r="E151" s="534">
        <v>4</v>
      </c>
      <c r="F151" s="534">
        <v>588</v>
      </c>
      <c r="G151" s="534">
        <v>819</v>
      </c>
      <c r="I151" s="534">
        <v>0</v>
      </c>
      <c r="J151" s="534">
        <v>0</v>
      </c>
      <c r="K151" s="534">
        <v>60</v>
      </c>
    </row>
    <row r="152" spans="2:11" x14ac:dyDescent="0.3">
      <c r="B152" s="529">
        <f t="shared" si="8"/>
        <v>147001</v>
      </c>
      <c r="C152" s="529">
        <f t="shared" si="9"/>
        <v>148</v>
      </c>
      <c r="E152" s="534">
        <v>4</v>
      </c>
      <c r="F152" s="534">
        <v>592</v>
      </c>
      <c r="G152" s="534">
        <v>815</v>
      </c>
      <c r="I152" s="534">
        <v>0</v>
      </c>
      <c r="J152" s="534">
        <v>0</v>
      </c>
      <c r="K152" s="534">
        <v>60</v>
      </c>
    </row>
    <row r="153" spans="2:11" x14ac:dyDescent="0.3">
      <c r="B153" s="529">
        <f t="shared" si="8"/>
        <v>148001</v>
      </c>
      <c r="C153" s="529">
        <f t="shared" si="9"/>
        <v>149</v>
      </c>
      <c r="E153" s="534">
        <v>9</v>
      </c>
      <c r="F153" s="534">
        <v>1341</v>
      </c>
      <c r="G153" s="534">
        <v>811</v>
      </c>
      <c r="I153" s="534">
        <v>0</v>
      </c>
      <c r="J153" s="534">
        <v>0</v>
      </c>
      <c r="K153" s="534">
        <v>60</v>
      </c>
    </row>
    <row r="154" spans="2:11" x14ac:dyDescent="0.3">
      <c r="B154" s="529">
        <f t="shared" si="8"/>
        <v>149001</v>
      </c>
      <c r="C154" s="529">
        <f t="shared" si="9"/>
        <v>150</v>
      </c>
      <c r="E154" s="534">
        <v>3</v>
      </c>
      <c r="F154" s="534">
        <v>450</v>
      </c>
      <c r="G154" s="534">
        <v>802</v>
      </c>
      <c r="I154" s="534">
        <v>0</v>
      </c>
      <c r="J154" s="534">
        <v>0</v>
      </c>
      <c r="K154" s="534">
        <v>60</v>
      </c>
    </row>
    <row r="155" spans="2:11" x14ac:dyDescent="0.3">
      <c r="B155" s="529">
        <f t="shared" si="8"/>
        <v>150001</v>
      </c>
      <c r="C155" s="529">
        <f t="shared" si="9"/>
        <v>151</v>
      </c>
      <c r="E155" s="534">
        <v>10</v>
      </c>
      <c r="F155" s="534">
        <v>1510</v>
      </c>
      <c r="G155" s="534">
        <v>799</v>
      </c>
      <c r="I155" s="534">
        <v>0</v>
      </c>
      <c r="J155" s="534">
        <v>0</v>
      </c>
      <c r="K155" s="534">
        <v>60</v>
      </c>
    </row>
    <row r="156" spans="2:11" x14ac:dyDescent="0.3">
      <c r="B156" s="529">
        <f t="shared" si="8"/>
        <v>151001</v>
      </c>
      <c r="C156" s="529">
        <f t="shared" si="9"/>
        <v>152</v>
      </c>
      <c r="E156" s="534">
        <v>7</v>
      </c>
      <c r="F156" s="534">
        <v>1064</v>
      </c>
      <c r="G156" s="534">
        <v>789</v>
      </c>
      <c r="I156" s="534">
        <v>0</v>
      </c>
      <c r="J156" s="534">
        <v>0</v>
      </c>
      <c r="K156" s="534">
        <v>60</v>
      </c>
    </row>
    <row r="157" spans="2:11" x14ac:dyDescent="0.3">
      <c r="B157" s="529">
        <f t="shared" si="8"/>
        <v>152001</v>
      </c>
      <c r="C157" s="529">
        <f t="shared" si="9"/>
        <v>153</v>
      </c>
      <c r="E157" s="534">
        <v>2</v>
      </c>
      <c r="F157" s="534">
        <v>306</v>
      </c>
      <c r="G157" s="534">
        <v>782</v>
      </c>
      <c r="I157" s="534">
        <v>1</v>
      </c>
      <c r="J157" s="534">
        <v>153</v>
      </c>
      <c r="K157" s="534">
        <v>60</v>
      </c>
    </row>
    <row r="158" spans="2:11" x14ac:dyDescent="0.3">
      <c r="B158" s="529">
        <f t="shared" si="8"/>
        <v>153001</v>
      </c>
      <c r="C158" s="529">
        <f t="shared" si="9"/>
        <v>154</v>
      </c>
      <c r="E158" s="534">
        <v>10</v>
      </c>
      <c r="F158" s="534">
        <v>1540</v>
      </c>
      <c r="G158" s="534">
        <v>780</v>
      </c>
      <c r="I158" s="534">
        <v>0</v>
      </c>
      <c r="J158" s="534">
        <v>0</v>
      </c>
      <c r="K158" s="534">
        <v>59</v>
      </c>
    </row>
    <row r="159" spans="2:11" x14ac:dyDescent="0.3">
      <c r="B159" s="529">
        <f t="shared" si="8"/>
        <v>154001</v>
      </c>
      <c r="C159" s="529">
        <f t="shared" si="9"/>
        <v>155</v>
      </c>
      <c r="E159" s="534">
        <v>8</v>
      </c>
      <c r="F159" s="534">
        <v>1240</v>
      </c>
      <c r="G159" s="534">
        <v>770</v>
      </c>
      <c r="I159" s="534">
        <v>0</v>
      </c>
      <c r="J159" s="534">
        <v>0</v>
      </c>
      <c r="K159" s="534">
        <v>59</v>
      </c>
    </row>
    <row r="160" spans="2:11" x14ac:dyDescent="0.3">
      <c r="B160" s="529">
        <f t="shared" si="8"/>
        <v>155001</v>
      </c>
      <c r="C160" s="529">
        <f t="shared" si="9"/>
        <v>156</v>
      </c>
      <c r="E160" s="534">
        <v>8</v>
      </c>
      <c r="F160" s="534">
        <v>1248</v>
      </c>
      <c r="G160" s="534">
        <v>762</v>
      </c>
      <c r="I160" s="534">
        <v>1</v>
      </c>
      <c r="J160" s="534">
        <v>156</v>
      </c>
      <c r="K160" s="534">
        <v>59</v>
      </c>
    </row>
    <row r="161" spans="2:11" x14ac:dyDescent="0.3">
      <c r="B161" s="529">
        <f t="shared" si="8"/>
        <v>156001</v>
      </c>
      <c r="C161" s="529">
        <f t="shared" si="9"/>
        <v>157</v>
      </c>
      <c r="E161" s="534">
        <v>6</v>
      </c>
      <c r="F161" s="534">
        <v>942</v>
      </c>
      <c r="G161" s="534">
        <v>754</v>
      </c>
      <c r="I161" s="534">
        <v>1</v>
      </c>
      <c r="J161" s="534">
        <v>157</v>
      </c>
      <c r="K161" s="534">
        <v>58</v>
      </c>
    </row>
    <row r="162" spans="2:11" x14ac:dyDescent="0.3">
      <c r="B162" s="529">
        <f t="shared" si="8"/>
        <v>157001</v>
      </c>
      <c r="C162" s="529">
        <f t="shared" si="9"/>
        <v>158</v>
      </c>
      <c r="E162" s="534">
        <v>2</v>
      </c>
      <c r="F162" s="534">
        <v>316</v>
      </c>
      <c r="G162" s="534">
        <v>748</v>
      </c>
      <c r="I162" s="534">
        <v>0</v>
      </c>
      <c r="J162" s="534">
        <v>0</v>
      </c>
      <c r="K162" s="534">
        <v>57</v>
      </c>
    </row>
    <row r="163" spans="2:11" x14ac:dyDescent="0.3">
      <c r="B163" s="529">
        <f t="shared" si="8"/>
        <v>158001</v>
      </c>
      <c r="C163" s="529">
        <f t="shared" si="9"/>
        <v>159</v>
      </c>
      <c r="E163" s="534">
        <v>4</v>
      </c>
      <c r="F163" s="534">
        <v>636</v>
      </c>
      <c r="G163" s="534">
        <v>746</v>
      </c>
      <c r="I163" s="534">
        <v>0</v>
      </c>
      <c r="J163" s="534">
        <v>0</v>
      </c>
      <c r="K163" s="534">
        <v>57</v>
      </c>
    </row>
    <row r="164" spans="2:11" x14ac:dyDescent="0.3">
      <c r="B164" s="529">
        <f t="shared" si="8"/>
        <v>159001</v>
      </c>
      <c r="C164" s="529">
        <f t="shared" si="9"/>
        <v>160</v>
      </c>
      <c r="E164" s="534">
        <v>3</v>
      </c>
      <c r="F164" s="534">
        <v>480</v>
      </c>
      <c r="G164" s="534">
        <v>742</v>
      </c>
      <c r="I164" s="534">
        <v>2</v>
      </c>
      <c r="J164" s="534">
        <v>320</v>
      </c>
      <c r="K164" s="534">
        <v>57</v>
      </c>
    </row>
    <row r="165" spans="2:11" x14ac:dyDescent="0.3">
      <c r="B165" s="529">
        <f t="shared" si="8"/>
        <v>160001</v>
      </c>
      <c r="C165" s="529">
        <f t="shared" si="9"/>
        <v>161</v>
      </c>
      <c r="E165" s="534">
        <v>4</v>
      </c>
      <c r="F165" s="534">
        <v>644</v>
      </c>
      <c r="G165" s="534">
        <v>739</v>
      </c>
      <c r="I165" s="534">
        <v>0</v>
      </c>
      <c r="J165" s="534">
        <v>0</v>
      </c>
      <c r="K165" s="534">
        <v>55</v>
      </c>
    </row>
    <row r="166" spans="2:11" x14ac:dyDescent="0.3">
      <c r="B166" s="529">
        <f t="shared" si="8"/>
        <v>161001</v>
      </c>
      <c r="C166" s="529">
        <f t="shared" si="9"/>
        <v>162</v>
      </c>
      <c r="E166" s="534">
        <v>6</v>
      </c>
      <c r="F166" s="534">
        <v>972</v>
      </c>
      <c r="G166" s="534">
        <v>735</v>
      </c>
      <c r="I166" s="534">
        <v>0</v>
      </c>
      <c r="J166" s="534">
        <v>0</v>
      </c>
      <c r="K166" s="534">
        <v>55</v>
      </c>
    </row>
    <row r="167" spans="2:11" x14ac:dyDescent="0.3">
      <c r="B167" s="529">
        <f t="shared" si="8"/>
        <v>162001</v>
      </c>
      <c r="C167" s="529">
        <f t="shared" si="9"/>
        <v>163</v>
      </c>
      <c r="E167" s="534">
        <v>2</v>
      </c>
      <c r="F167" s="534">
        <v>326</v>
      </c>
      <c r="G167" s="534">
        <v>729</v>
      </c>
      <c r="I167" s="534">
        <v>0</v>
      </c>
      <c r="J167" s="534">
        <v>0</v>
      </c>
      <c r="K167" s="534">
        <v>55</v>
      </c>
    </row>
    <row r="168" spans="2:11" x14ac:dyDescent="0.3">
      <c r="B168" s="529">
        <f t="shared" si="8"/>
        <v>163001</v>
      </c>
      <c r="C168" s="529">
        <f t="shared" si="9"/>
        <v>164</v>
      </c>
      <c r="E168" s="534">
        <v>7</v>
      </c>
      <c r="F168" s="534">
        <v>1148</v>
      </c>
      <c r="G168" s="534">
        <v>727</v>
      </c>
      <c r="I168" s="534">
        <v>1</v>
      </c>
      <c r="J168" s="534">
        <v>164</v>
      </c>
      <c r="K168" s="534">
        <v>55</v>
      </c>
    </row>
    <row r="169" spans="2:11" x14ac:dyDescent="0.3">
      <c r="B169" s="529">
        <f t="shared" si="8"/>
        <v>164001</v>
      </c>
      <c r="C169" s="529">
        <f t="shared" si="9"/>
        <v>165</v>
      </c>
      <c r="E169" s="534">
        <v>4</v>
      </c>
      <c r="F169" s="534">
        <v>660</v>
      </c>
      <c r="G169" s="534">
        <v>720</v>
      </c>
      <c r="I169" s="534">
        <v>0</v>
      </c>
      <c r="J169" s="534">
        <v>0</v>
      </c>
      <c r="K169" s="534">
        <v>54</v>
      </c>
    </row>
    <row r="170" spans="2:11" x14ac:dyDescent="0.3">
      <c r="B170" s="529">
        <f t="shared" si="8"/>
        <v>165001</v>
      </c>
      <c r="C170" s="529">
        <f t="shared" si="9"/>
        <v>166</v>
      </c>
      <c r="E170" s="534">
        <v>3</v>
      </c>
      <c r="F170" s="534">
        <v>498</v>
      </c>
      <c r="G170" s="534">
        <v>716</v>
      </c>
      <c r="I170" s="534">
        <v>2</v>
      </c>
      <c r="J170" s="534">
        <v>332</v>
      </c>
      <c r="K170" s="534">
        <v>54</v>
      </c>
    </row>
    <row r="171" spans="2:11" x14ac:dyDescent="0.3">
      <c r="B171" s="529">
        <f t="shared" si="8"/>
        <v>166001</v>
      </c>
      <c r="C171" s="529">
        <f t="shared" si="9"/>
        <v>167</v>
      </c>
      <c r="E171" s="534">
        <v>4</v>
      </c>
      <c r="F171" s="534">
        <v>668</v>
      </c>
      <c r="G171" s="534">
        <v>713</v>
      </c>
      <c r="I171" s="534">
        <v>0</v>
      </c>
      <c r="J171" s="534">
        <v>0</v>
      </c>
      <c r="K171" s="534">
        <v>52</v>
      </c>
    </row>
    <row r="172" spans="2:11" x14ac:dyDescent="0.3">
      <c r="B172" s="529">
        <f t="shared" si="8"/>
        <v>167001</v>
      </c>
      <c r="C172" s="529">
        <f t="shared" si="9"/>
        <v>168</v>
      </c>
      <c r="E172" s="534">
        <v>4</v>
      </c>
      <c r="F172" s="534">
        <v>672</v>
      </c>
      <c r="G172" s="534">
        <v>709</v>
      </c>
      <c r="I172" s="534">
        <v>0</v>
      </c>
      <c r="J172" s="534">
        <v>0</v>
      </c>
      <c r="K172" s="534">
        <v>52</v>
      </c>
    </row>
    <row r="173" spans="2:11" x14ac:dyDescent="0.3">
      <c r="B173" s="529">
        <f t="shared" si="8"/>
        <v>168001</v>
      </c>
      <c r="C173" s="529">
        <f t="shared" si="9"/>
        <v>169</v>
      </c>
      <c r="E173" s="534">
        <v>4</v>
      </c>
      <c r="F173" s="534">
        <v>676</v>
      </c>
      <c r="G173" s="534">
        <v>705</v>
      </c>
      <c r="I173" s="534">
        <v>0</v>
      </c>
      <c r="J173" s="534">
        <v>0</v>
      </c>
      <c r="K173" s="534">
        <v>52</v>
      </c>
    </row>
    <row r="174" spans="2:11" x14ac:dyDescent="0.3">
      <c r="B174" s="529">
        <f t="shared" si="8"/>
        <v>169001</v>
      </c>
      <c r="C174" s="529">
        <f t="shared" si="9"/>
        <v>170</v>
      </c>
      <c r="E174" s="534">
        <v>3</v>
      </c>
      <c r="F174" s="534">
        <v>510</v>
      </c>
      <c r="G174" s="534">
        <v>701</v>
      </c>
      <c r="I174" s="534">
        <v>1</v>
      </c>
      <c r="J174" s="534">
        <v>170</v>
      </c>
      <c r="K174" s="534">
        <v>52</v>
      </c>
    </row>
    <row r="175" spans="2:11" x14ac:dyDescent="0.3">
      <c r="B175" s="529">
        <f t="shared" si="8"/>
        <v>170001</v>
      </c>
      <c r="C175" s="529">
        <f t="shared" si="9"/>
        <v>171</v>
      </c>
      <c r="E175" s="534">
        <v>6</v>
      </c>
      <c r="F175" s="534">
        <v>1026</v>
      </c>
      <c r="G175" s="534">
        <v>698</v>
      </c>
      <c r="I175" s="534">
        <v>0</v>
      </c>
      <c r="J175" s="534">
        <v>0</v>
      </c>
      <c r="K175" s="534">
        <v>51</v>
      </c>
    </row>
    <row r="176" spans="2:11" x14ac:dyDescent="0.3">
      <c r="B176" s="529">
        <f t="shared" si="8"/>
        <v>171001</v>
      </c>
      <c r="C176" s="529">
        <f t="shared" si="9"/>
        <v>172</v>
      </c>
      <c r="E176" s="534">
        <v>4</v>
      </c>
      <c r="F176" s="534">
        <v>688</v>
      </c>
      <c r="G176" s="534">
        <v>692</v>
      </c>
      <c r="I176" s="534">
        <v>0</v>
      </c>
      <c r="J176" s="534">
        <v>0</v>
      </c>
      <c r="K176" s="534">
        <v>51</v>
      </c>
    </row>
    <row r="177" spans="2:11" x14ac:dyDescent="0.3">
      <c r="B177" s="529">
        <f t="shared" si="8"/>
        <v>172001</v>
      </c>
      <c r="C177" s="529">
        <f t="shared" si="9"/>
        <v>173</v>
      </c>
      <c r="E177" s="534">
        <v>3</v>
      </c>
      <c r="F177" s="534">
        <v>519</v>
      </c>
      <c r="G177" s="534">
        <v>688</v>
      </c>
      <c r="I177" s="534">
        <v>0</v>
      </c>
      <c r="J177" s="534">
        <v>0</v>
      </c>
      <c r="K177" s="534">
        <v>51</v>
      </c>
    </row>
    <row r="178" spans="2:11" x14ac:dyDescent="0.3">
      <c r="B178" s="529">
        <f t="shared" si="8"/>
        <v>173001</v>
      </c>
      <c r="C178" s="529">
        <f t="shared" si="9"/>
        <v>174</v>
      </c>
      <c r="E178" s="534">
        <v>2</v>
      </c>
      <c r="F178" s="534">
        <v>348</v>
      </c>
      <c r="G178" s="534">
        <v>685</v>
      </c>
      <c r="I178" s="534">
        <v>0</v>
      </c>
      <c r="J178" s="534">
        <v>0</v>
      </c>
      <c r="K178" s="534">
        <v>51</v>
      </c>
    </row>
    <row r="179" spans="2:11" x14ac:dyDescent="0.3">
      <c r="B179" s="529">
        <f t="shared" si="8"/>
        <v>174001</v>
      </c>
      <c r="C179" s="529">
        <f t="shared" si="9"/>
        <v>175</v>
      </c>
      <c r="E179" s="534">
        <v>8</v>
      </c>
      <c r="F179" s="534">
        <v>1400</v>
      </c>
      <c r="G179" s="534">
        <v>683</v>
      </c>
      <c r="I179" s="534">
        <v>0</v>
      </c>
      <c r="J179" s="534">
        <v>0</v>
      </c>
      <c r="K179" s="534">
        <v>51</v>
      </c>
    </row>
    <row r="180" spans="2:11" x14ac:dyDescent="0.3">
      <c r="B180" s="529">
        <f t="shared" si="8"/>
        <v>175001</v>
      </c>
      <c r="C180" s="529">
        <f t="shared" si="9"/>
        <v>176</v>
      </c>
      <c r="E180" s="534">
        <v>7</v>
      </c>
      <c r="F180" s="534">
        <v>1232</v>
      </c>
      <c r="G180" s="534">
        <v>675</v>
      </c>
      <c r="I180" s="534">
        <v>2</v>
      </c>
      <c r="J180" s="534">
        <v>352</v>
      </c>
      <c r="K180" s="534">
        <v>51</v>
      </c>
    </row>
    <row r="181" spans="2:11" x14ac:dyDescent="0.3">
      <c r="B181" s="529">
        <f t="shared" si="8"/>
        <v>176001</v>
      </c>
      <c r="C181" s="529">
        <f t="shared" si="9"/>
        <v>177</v>
      </c>
      <c r="E181" s="534">
        <v>9</v>
      </c>
      <c r="F181" s="534">
        <v>1593</v>
      </c>
      <c r="G181" s="534">
        <v>668</v>
      </c>
      <c r="I181" s="534">
        <v>1</v>
      </c>
      <c r="J181" s="534">
        <v>177</v>
      </c>
      <c r="K181" s="534">
        <v>49</v>
      </c>
    </row>
    <row r="182" spans="2:11" x14ac:dyDescent="0.3">
      <c r="B182" s="529">
        <f t="shared" si="8"/>
        <v>177001</v>
      </c>
      <c r="C182" s="529">
        <f t="shared" si="9"/>
        <v>178</v>
      </c>
      <c r="E182" s="534">
        <v>6</v>
      </c>
      <c r="F182" s="534">
        <v>1068</v>
      </c>
      <c r="G182" s="534">
        <v>659</v>
      </c>
      <c r="I182" s="534">
        <v>0</v>
      </c>
      <c r="J182" s="534">
        <v>0</v>
      </c>
      <c r="K182" s="534">
        <v>48</v>
      </c>
    </row>
    <row r="183" spans="2:11" x14ac:dyDescent="0.3">
      <c r="B183" s="529">
        <f t="shared" si="8"/>
        <v>178001</v>
      </c>
      <c r="C183" s="529">
        <f t="shared" si="9"/>
        <v>179</v>
      </c>
      <c r="E183" s="534">
        <v>3</v>
      </c>
      <c r="F183" s="534">
        <v>537</v>
      </c>
      <c r="G183" s="534">
        <v>653</v>
      </c>
      <c r="I183" s="534">
        <v>1</v>
      </c>
      <c r="J183" s="534">
        <v>179</v>
      </c>
      <c r="K183" s="534">
        <v>48</v>
      </c>
    </row>
    <row r="184" spans="2:11" x14ac:dyDescent="0.3">
      <c r="B184" s="529">
        <f t="shared" si="8"/>
        <v>179001</v>
      </c>
      <c r="C184" s="529">
        <f t="shared" si="9"/>
        <v>180</v>
      </c>
      <c r="E184" s="534">
        <v>2</v>
      </c>
      <c r="F184" s="534">
        <v>360</v>
      </c>
      <c r="G184" s="534">
        <v>650</v>
      </c>
      <c r="I184" s="534">
        <v>0</v>
      </c>
      <c r="J184" s="534">
        <v>0</v>
      </c>
      <c r="K184" s="534">
        <v>47</v>
      </c>
    </row>
    <row r="185" spans="2:11" x14ac:dyDescent="0.3">
      <c r="B185" s="529">
        <f t="shared" si="8"/>
        <v>180001</v>
      </c>
      <c r="C185" s="529">
        <f t="shared" si="9"/>
        <v>181</v>
      </c>
      <c r="E185" s="534">
        <v>5</v>
      </c>
      <c r="F185" s="534">
        <v>905</v>
      </c>
      <c r="G185" s="534">
        <v>648</v>
      </c>
      <c r="I185" s="534">
        <v>0</v>
      </c>
      <c r="J185" s="534">
        <v>0</v>
      </c>
      <c r="K185" s="534">
        <v>47</v>
      </c>
    </row>
    <row r="186" spans="2:11" x14ac:dyDescent="0.3">
      <c r="B186" s="529">
        <f t="shared" si="8"/>
        <v>181001</v>
      </c>
      <c r="C186" s="529">
        <f t="shared" si="9"/>
        <v>182</v>
      </c>
      <c r="E186" s="534">
        <v>7</v>
      </c>
      <c r="F186" s="534">
        <v>1274</v>
      </c>
      <c r="G186" s="534">
        <v>643</v>
      </c>
      <c r="I186" s="534">
        <v>1</v>
      </c>
      <c r="J186" s="534">
        <v>182</v>
      </c>
      <c r="K186" s="534">
        <v>47</v>
      </c>
    </row>
    <row r="187" spans="2:11" x14ac:dyDescent="0.3">
      <c r="B187" s="529">
        <f t="shared" si="8"/>
        <v>182001</v>
      </c>
      <c r="C187" s="529">
        <f t="shared" si="9"/>
        <v>183</v>
      </c>
      <c r="E187" s="534">
        <v>5</v>
      </c>
      <c r="F187" s="534">
        <v>915</v>
      </c>
      <c r="G187" s="534">
        <v>636</v>
      </c>
      <c r="I187" s="534">
        <v>3</v>
      </c>
      <c r="J187" s="534">
        <v>549</v>
      </c>
      <c r="K187" s="534">
        <v>46</v>
      </c>
    </row>
    <row r="188" spans="2:11" x14ac:dyDescent="0.3">
      <c r="B188" s="529">
        <f t="shared" si="8"/>
        <v>183001</v>
      </c>
      <c r="C188" s="529">
        <f t="shared" si="9"/>
        <v>184</v>
      </c>
      <c r="E188" s="534">
        <v>4</v>
      </c>
      <c r="F188" s="534">
        <v>736</v>
      </c>
      <c r="G188" s="534">
        <v>631</v>
      </c>
      <c r="I188" s="534">
        <v>0</v>
      </c>
      <c r="J188" s="534">
        <v>0</v>
      </c>
      <c r="K188" s="534">
        <v>43</v>
      </c>
    </row>
    <row r="189" spans="2:11" x14ac:dyDescent="0.3">
      <c r="B189" s="529">
        <f t="shared" si="8"/>
        <v>184001</v>
      </c>
      <c r="C189" s="529">
        <f t="shared" si="9"/>
        <v>185</v>
      </c>
      <c r="E189" s="534">
        <v>2</v>
      </c>
      <c r="F189" s="534">
        <v>370</v>
      </c>
      <c r="G189" s="534">
        <v>627</v>
      </c>
      <c r="I189" s="534">
        <v>0</v>
      </c>
      <c r="J189" s="534">
        <v>0</v>
      </c>
      <c r="K189" s="534">
        <v>43</v>
      </c>
    </row>
    <row r="190" spans="2:11" x14ac:dyDescent="0.3">
      <c r="B190" s="529">
        <f t="shared" si="8"/>
        <v>185001</v>
      </c>
      <c r="C190" s="529">
        <f t="shared" si="9"/>
        <v>186</v>
      </c>
      <c r="E190" s="534">
        <v>2</v>
      </c>
      <c r="F190" s="534">
        <v>372</v>
      </c>
      <c r="G190" s="534">
        <v>625</v>
      </c>
      <c r="I190" s="534">
        <v>0</v>
      </c>
      <c r="J190" s="534">
        <v>0</v>
      </c>
      <c r="K190" s="534">
        <v>43</v>
      </c>
    </row>
    <row r="191" spans="2:11" x14ac:dyDescent="0.3">
      <c r="B191" s="529">
        <f t="shared" si="8"/>
        <v>186001</v>
      </c>
      <c r="C191" s="529">
        <f t="shared" si="9"/>
        <v>187</v>
      </c>
      <c r="E191" s="534">
        <v>4</v>
      </c>
      <c r="F191" s="534">
        <v>748</v>
      </c>
      <c r="G191" s="534">
        <v>623</v>
      </c>
      <c r="I191" s="534">
        <v>0</v>
      </c>
      <c r="J191" s="534">
        <v>0</v>
      </c>
      <c r="K191" s="534">
        <v>43</v>
      </c>
    </row>
    <row r="192" spans="2:11" x14ac:dyDescent="0.3">
      <c r="B192" s="529">
        <f t="shared" si="8"/>
        <v>187001</v>
      </c>
      <c r="C192" s="529">
        <f t="shared" si="9"/>
        <v>188</v>
      </c>
      <c r="E192" s="534">
        <v>5</v>
      </c>
      <c r="F192" s="534">
        <v>940</v>
      </c>
      <c r="G192" s="534">
        <v>619</v>
      </c>
      <c r="I192" s="534">
        <v>1</v>
      </c>
      <c r="J192" s="534">
        <v>188</v>
      </c>
      <c r="K192" s="534">
        <v>43</v>
      </c>
    </row>
    <row r="193" spans="2:11" x14ac:dyDescent="0.3">
      <c r="B193" s="529">
        <f t="shared" si="8"/>
        <v>188001</v>
      </c>
      <c r="C193" s="529">
        <f t="shared" si="9"/>
        <v>189</v>
      </c>
      <c r="E193" s="534">
        <v>0</v>
      </c>
      <c r="F193" s="534">
        <v>0</v>
      </c>
      <c r="G193" s="534">
        <v>614</v>
      </c>
      <c r="I193" s="534">
        <v>0</v>
      </c>
      <c r="J193" s="534">
        <v>0</v>
      </c>
      <c r="K193" s="534">
        <v>42</v>
      </c>
    </row>
    <row r="194" spans="2:11" x14ac:dyDescent="0.3">
      <c r="B194" s="529">
        <f t="shared" si="8"/>
        <v>189001</v>
      </c>
      <c r="C194" s="529">
        <f t="shared" si="9"/>
        <v>190</v>
      </c>
      <c r="E194" s="534">
        <v>3</v>
      </c>
      <c r="F194" s="534">
        <v>570</v>
      </c>
      <c r="G194" s="534">
        <v>614</v>
      </c>
      <c r="I194" s="534">
        <v>0</v>
      </c>
      <c r="J194" s="534">
        <v>0</v>
      </c>
      <c r="K194" s="534">
        <v>42</v>
      </c>
    </row>
    <row r="195" spans="2:11" x14ac:dyDescent="0.3">
      <c r="B195" s="529">
        <f t="shared" si="8"/>
        <v>190001</v>
      </c>
      <c r="C195" s="529">
        <f t="shared" si="9"/>
        <v>191</v>
      </c>
      <c r="E195" s="534">
        <v>2</v>
      </c>
      <c r="F195" s="534">
        <v>382</v>
      </c>
      <c r="G195" s="534">
        <v>611</v>
      </c>
      <c r="I195" s="534">
        <v>1</v>
      </c>
      <c r="J195" s="534">
        <v>191</v>
      </c>
      <c r="K195" s="534">
        <v>42</v>
      </c>
    </row>
    <row r="196" spans="2:11" x14ac:dyDescent="0.3">
      <c r="B196" s="529">
        <f t="shared" si="8"/>
        <v>191001</v>
      </c>
      <c r="C196" s="529">
        <f t="shared" si="9"/>
        <v>192</v>
      </c>
      <c r="E196" s="534">
        <v>5</v>
      </c>
      <c r="F196" s="534">
        <v>960</v>
      </c>
      <c r="G196" s="534">
        <v>609</v>
      </c>
      <c r="I196" s="534">
        <v>2</v>
      </c>
      <c r="J196" s="534">
        <v>384</v>
      </c>
      <c r="K196" s="534">
        <v>41</v>
      </c>
    </row>
    <row r="197" spans="2:11" x14ac:dyDescent="0.3">
      <c r="B197" s="529">
        <f t="shared" si="8"/>
        <v>192001</v>
      </c>
      <c r="C197" s="529">
        <f t="shared" si="9"/>
        <v>193</v>
      </c>
      <c r="E197" s="534">
        <v>1</v>
      </c>
      <c r="F197" s="534">
        <v>193</v>
      </c>
      <c r="G197" s="534">
        <v>604</v>
      </c>
      <c r="I197" s="534">
        <v>0</v>
      </c>
      <c r="J197" s="534">
        <v>0</v>
      </c>
      <c r="K197" s="534">
        <v>39</v>
      </c>
    </row>
    <row r="198" spans="2:11" x14ac:dyDescent="0.3">
      <c r="B198" s="529">
        <f t="shared" si="8"/>
        <v>193001</v>
      </c>
      <c r="C198" s="529">
        <f t="shared" si="9"/>
        <v>194</v>
      </c>
      <c r="E198" s="534">
        <v>6</v>
      </c>
      <c r="F198" s="534">
        <v>1164</v>
      </c>
      <c r="G198" s="534">
        <v>603</v>
      </c>
      <c r="I198" s="534">
        <v>1</v>
      </c>
      <c r="J198" s="534">
        <v>194</v>
      </c>
      <c r="K198" s="534">
        <v>39</v>
      </c>
    </row>
    <row r="199" spans="2:11" x14ac:dyDescent="0.3">
      <c r="B199" s="529">
        <f t="shared" ref="B199:B262" si="10">C198*1000+1</f>
        <v>194001</v>
      </c>
      <c r="C199" s="529">
        <f t="shared" ref="C199:C262" si="11">C198+1</f>
        <v>195</v>
      </c>
      <c r="E199" s="534">
        <v>4</v>
      </c>
      <c r="F199" s="534">
        <v>780</v>
      </c>
      <c r="G199" s="534">
        <v>597</v>
      </c>
      <c r="I199" s="534">
        <v>0</v>
      </c>
      <c r="J199" s="534">
        <v>0</v>
      </c>
      <c r="K199" s="534">
        <v>38</v>
      </c>
    </row>
    <row r="200" spans="2:11" x14ac:dyDescent="0.3">
      <c r="B200" s="529">
        <f t="shared" si="10"/>
        <v>195001</v>
      </c>
      <c r="C200" s="529">
        <f t="shared" si="11"/>
        <v>196</v>
      </c>
      <c r="E200" s="534">
        <v>1</v>
      </c>
      <c r="F200" s="534">
        <v>196</v>
      </c>
      <c r="G200" s="534">
        <v>593</v>
      </c>
      <c r="I200" s="534">
        <v>1</v>
      </c>
      <c r="J200" s="534">
        <v>196</v>
      </c>
      <c r="K200" s="534">
        <v>38</v>
      </c>
    </row>
    <row r="201" spans="2:11" x14ac:dyDescent="0.3">
      <c r="B201" s="529">
        <f t="shared" si="10"/>
        <v>196001</v>
      </c>
      <c r="C201" s="529">
        <f t="shared" si="11"/>
        <v>197</v>
      </c>
      <c r="E201" s="534">
        <v>4</v>
      </c>
      <c r="F201" s="534">
        <v>788</v>
      </c>
      <c r="G201" s="534">
        <v>592</v>
      </c>
      <c r="I201" s="534">
        <v>1</v>
      </c>
      <c r="J201" s="534">
        <v>197</v>
      </c>
      <c r="K201" s="534">
        <v>37</v>
      </c>
    </row>
    <row r="202" spans="2:11" x14ac:dyDescent="0.3">
      <c r="B202" s="529">
        <f t="shared" si="10"/>
        <v>197001</v>
      </c>
      <c r="C202" s="529">
        <f t="shared" si="11"/>
        <v>198</v>
      </c>
      <c r="E202" s="534">
        <v>6</v>
      </c>
      <c r="F202" s="534">
        <v>1188</v>
      </c>
      <c r="G202" s="534">
        <v>588</v>
      </c>
      <c r="I202" s="534">
        <v>1</v>
      </c>
      <c r="J202" s="534">
        <v>198</v>
      </c>
      <c r="K202" s="534">
        <v>36</v>
      </c>
    </row>
    <row r="203" spans="2:11" x14ac:dyDescent="0.3">
      <c r="B203" s="529">
        <f t="shared" si="10"/>
        <v>198001</v>
      </c>
      <c r="C203" s="529">
        <f t="shared" si="11"/>
        <v>199</v>
      </c>
      <c r="E203" s="534">
        <v>1</v>
      </c>
      <c r="F203" s="534">
        <v>199</v>
      </c>
      <c r="G203" s="534">
        <v>582</v>
      </c>
      <c r="I203" s="534">
        <v>0</v>
      </c>
      <c r="J203" s="534">
        <v>0</v>
      </c>
      <c r="K203" s="534">
        <v>35</v>
      </c>
    </row>
    <row r="204" spans="2:11" x14ac:dyDescent="0.3">
      <c r="B204" s="529">
        <f t="shared" si="10"/>
        <v>199001</v>
      </c>
      <c r="C204" s="529">
        <f t="shared" si="11"/>
        <v>200</v>
      </c>
      <c r="E204" s="534">
        <v>1</v>
      </c>
      <c r="F204" s="534">
        <v>200</v>
      </c>
      <c r="G204" s="534">
        <v>581</v>
      </c>
      <c r="I204" s="534">
        <v>0</v>
      </c>
      <c r="J204" s="534">
        <v>0</v>
      </c>
      <c r="K204" s="534">
        <v>35</v>
      </c>
    </row>
    <row r="205" spans="2:11" x14ac:dyDescent="0.3">
      <c r="B205" s="529">
        <f t="shared" si="10"/>
        <v>200001</v>
      </c>
      <c r="C205" s="529">
        <f t="shared" si="11"/>
        <v>201</v>
      </c>
      <c r="E205" s="534">
        <v>5</v>
      </c>
      <c r="F205" s="534">
        <v>1005</v>
      </c>
      <c r="G205" s="534">
        <v>580</v>
      </c>
      <c r="I205" s="534">
        <v>0</v>
      </c>
      <c r="J205" s="534">
        <v>0</v>
      </c>
      <c r="K205" s="534">
        <v>35</v>
      </c>
    </row>
    <row r="206" spans="2:11" x14ac:dyDescent="0.3">
      <c r="B206" s="529">
        <f t="shared" si="10"/>
        <v>201001</v>
      </c>
      <c r="C206" s="529">
        <f t="shared" si="11"/>
        <v>202</v>
      </c>
      <c r="E206" s="534">
        <v>0</v>
      </c>
      <c r="F206" s="534">
        <v>0</v>
      </c>
      <c r="G206" s="534">
        <v>575</v>
      </c>
      <c r="I206" s="534">
        <v>0</v>
      </c>
      <c r="J206" s="534">
        <v>0</v>
      </c>
      <c r="K206" s="534">
        <v>35</v>
      </c>
    </row>
    <row r="207" spans="2:11" x14ac:dyDescent="0.3">
      <c r="B207" s="529">
        <f t="shared" si="10"/>
        <v>202001</v>
      </c>
      <c r="C207" s="529">
        <f t="shared" si="11"/>
        <v>203</v>
      </c>
      <c r="E207" s="534">
        <v>5</v>
      </c>
      <c r="F207" s="534">
        <v>1015</v>
      </c>
      <c r="G207" s="534">
        <v>575</v>
      </c>
      <c r="I207" s="534">
        <v>0</v>
      </c>
      <c r="J207" s="534">
        <v>0</v>
      </c>
      <c r="K207" s="534">
        <v>35</v>
      </c>
    </row>
    <row r="208" spans="2:11" x14ac:dyDescent="0.3">
      <c r="B208" s="529">
        <f t="shared" si="10"/>
        <v>203001</v>
      </c>
      <c r="C208" s="529">
        <f t="shared" si="11"/>
        <v>204</v>
      </c>
      <c r="E208" s="534">
        <v>3</v>
      </c>
      <c r="F208" s="534">
        <v>612</v>
      </c>
      <c r="G208" s="534">
        <v>570</v>
      </c>
      <c r="I208" s="534">
        <v>0</v>
      </c>
      <c r="J208" s="534">
        <v>0</v>
      </c>
      <c r="K208" s="534">
        <v>35</v>
      </c>
    </row>
    <row r="209" spans="2:11" x14ac:dyDescent="0.3">
      <c r="B209" s="529">
        <f t="shared" si="10"/>
        <v>204001</v>
      </c>
      <c r="C209" s="529">
        <f t="shared" si="11"/>
        <v>205</v>
      </c>
      <c r="E209" s="534">
        <v>6</v>
      </c>
      <c r="F209" s="534">
        <v>1230</v>
      </c>
      <c r="G209" s="534">
        <v>567</v>
      </c>
      <c r="I209" s="534">
        <v>0</v>
      </c>
      <c r="J209" s="534">
        <v>0</v>
      </c>
      <c r="K209" s="534">
        <v>35</v>
      </c>
    </row>
    <row r="210" spans="2:11" x14ac:dyDescent="0.3">
      <c r="B210" s="529">
        <f t="shared" si="10"/>
        <v>205001</v>
      </c>
      <c r="C210" s="529">
        <f t="shared" si="11"/>
        <v>206</v>
      </c>
      <c r="E210" s="534">
        <v>4</v>
      </c>
      <c r="F210" s="534">
        <v>824</v>
      </c>
      <c r="G210" s="534">
        <v>561</v>
      </c>
      <c r="I210" s="534">
        <v>0</v>
      </c>
      <c r="J210" s="534">
        <v>0</v>
      </c>
      <c r="K210" s="534">
        <v>35</v>
      </c>
    </row>
    <row r="211" spans="2:11" x14ac:dyDescent="0.3">
      <c r="B211" s="529">
        <f t="shared" si="10"/>
        <v>206001</v>
      </c>
      <c r="C211" s="529">
        <f t="shared" si="11"/>
        <v>207</v>
      </c>
      <c r="E211" s="534">
        <v>5</v>
      </c>
      <c r="F211" s="534">
        <v>1035</v>
      </c>
      <c r="G211" s="534">
        <v>557</v>
      </c>
      <c r="I211" s="534">
        <v>0</v>
      </c>
      <c r="J211" s="534">
        <v>0</v>
      </c>
      <c r="K211" s="534">
        <v>35</v>
      </c>
    </row>
    <row r="212" spans="2:11" x14ac:dyDescent="0.3">
      <c r="B212" s="529">
        <f t="shared" si="10"/>
        <v>207001</v>
      </c>
      <c r="C212" s="529">
        <f t="shared" si="11"/>
        <v>208</v>
      </c>
      <c r="E212" s="534">
        <v>6</v>
      </c>
      <c r="F212" s="534">
        <v>1248</v>
      </c>
      <c r="G212" s="534">
        <v>552</v>
      </c>
      <c r="I212" s="534">
        <v>0</v>
      </c>
      <c r="J212" s="534">
        <v>0</v>
      </c>
      <c r="K212" s="534">
        <v>35</v>
      </c>
    </row>
    <row r="213" spans="2:11" x14ac:dyDescent="0.3">
      <c r="B213" s="529">
        <f t="shared" si="10"/>
        <v>208001</v>
      </c>
      <c r="C213" s="529">
        <f t="shared" si="11"/>
        <v>209</v>
      </c>
      <c r="E213" s="534">
        <v>3</v>
      </c>
      <c r="F213" s="534">
        <v>627</v>
      </c>
      <c r="G213" s="534">
        <v>546</v>
      </c>
      <c r="I213" s="534">
        <v>0</v>
      </c>
      <c r="J213" s="534">
        <v>0</v>
      </c>
      <c r="K213" s="534">
        <v>35</v>
      </c>
    </row>
    <row r="214" spans="2:11" x14ac:dyDescent="0.3">
      <c r="B214" s="529">
        <f t="shared" si="10"/>
        <v>209001</v>
      </c>
      <c r="C214" s="529">
        <f t="shared" si="11"/>
        <v>210</v>
      </c>
      <c r="E214" s="534">
        <v>3</v>
      </c>
      <c r="F214" s="534">
        <v>630</v>
      </c>
      <c r="G214" s="534">
        <v>543</v>
      </c>
      <c r="I214" s="534">
        <v>2</v>
      </c>
      <c r="J214" s="534">
        <v>420</v>
      </c>
      <c r="K214" s="534">
        <v>35</v>
      </c>
    </row>
    <row r="215" spans="2:11" x14ac:dyDescent="0.3">
      <c r="B215" s="529">
        <f t="shared" si="10"/>
        <v>210001</v>
      </c>
      <c r="C215" s="529">
        <f t="shared" si="11"/>
        <v>211</v>
      </c>
      <c r="E215" s="534">
        <v>3</v>
      </c>
      <c r="F215" s="534">
        <v>633</v>
      </c>
      <c r="G215" s="534">
        <v>540</v>
      </c>
      <c r="I215" s="534">
        <v>0</v>
      </c>
      <c r="J215" s="534">
        <v>0</v>
      </c>
      <c r="K215" s="534">
        <v>33</v>
      </c>
    </row>
    <row r="216" spans="2:11" x14ac:dyDescent="0.3">
      <c r="B216" s="529">
        <f t="shared" si="10"/>
        <v>211001</v>
      </c>
      <c r="C216" s="529">
        <f t="shared" si="11"/>
        <v>212</v>
      </c>
      <c r="E216" s="534">
        <v>5</v>
      </c>
      <c r="F216" s="534">
        <v>1060</v>
      </c>
      <c r="G216" s="534">
        <v>537</v>
      </c>
      <c r="I216" s="534">
        <v>0</v>
      </c>
      <c r="J216" s="534">
        <v>0</v>
      </c>
      <c r="K216" s="534">
        <v>33</v>
      </c>
    </row>
    <row r="217" spans="2:11" x14ac:dyDescent="0.3">
      <c r="B217" s="529">
        <f t="shared" si="10"/>
        <v>212001</v>
      </c>
      <c r="C217" s="529">
        <f t="shared" si="11"/>
        <v>213</v>
      </c>
      <c r="E217" s="534">
        <v>4</v>
      </c>
      <c r="F217" s="534">
        <v>852</v>
      </c>
      <c r="G217" s="534">
        <v>532</v>
      </c>
      <c r="I217" s="534">
        <v>0</v>
      </c>
      <c r="J217" s="534">
        <v>0</v>
      </c>
      <c r="K217" s="534">
        <v>33</v>
      </c>
    </row>
    <row r="218" spans="2:11" x14ac:dyDescent="0.3">
      <c r="B218" s="529">
        <f t="shared" si="10"/>
        <v>213001</v>
      </c>
      <c r="C218" s="529">
        <f t="shared" si="11"/>
        <v>214</v>
      </c>
      <c r="E218" s="534">
        <v>5</v>
      </c>
      <c r="F218" s="534">
        <v>1070</v>
      </c>
      <c r="G218" s="534">
        <v>528</v>
      </c>
      <c r="I218" s="534">
        <v>0</v>
      </c>
      <c r="J218" s="534">
        <v>0</v>
      </c>
      <c r="K218" s="534">
        <v>33</v>
      </c>
    </row>
    <row r="219" spans="2:11" x14ac:dyDescent="0.3">
      <c r="B219" s="529">
        <f t="shared" si="10"/>
        <v>214001</v>
      </c>
      <c r="C219" s="529">
        <f t="shared" si="11"/>
        <v>215</v>
      </c>
      <c r="E219" s="534">
        <v>4</v>
      </c>
      <c r="F219" s="534">
        <v>860</v>
      </c>
      <c r="G219" s="534">
        <v>523</v>
      </c>
      <c r="I219" s="534">
        <v>0</v>
      </c>
      <c r="J219" s="534">
        <v>0</v>
      </c>
      <c r="K219" s="534">
        <v>33</v>
      </c>
    </row>
    <row r="220" spans="2:11" x14ac:dyDescent="0.3">
      <c r="B220" s="529">
        <f t="shared" si="10"/>
        <v>215001</v>
      </c>
      <c r="C220" s="529">
        <f t="shared" si="11"/>
        <v>216</v>
      </c>
      <c r="E220" s="534">
        <v>6</v>
      </c>
      <c r="F220" s="534">
        <v>1296</v>
      </c>
      <c r="G220" s="534">
        <v>519</v>
      </c>
      <c r="I220" s="534">
        <v>0</v>
      </c>
      <c r="J220" s="534">
        <v>0</v>
      </c>
      <c r="K220" s="534">
        <v>33</v>
      </c>
    </row>
    <row r="221" spans="2:11" x14ac:dyDescent="0.3">
      <c r="B221" s="529">
        <f t="shared" si="10"/>
        <v>216001</v>
      </c>
      <c r="C221" s="529">
        <f t="shared" si="11"/>
        <v>217</v>
      </c>
      <c r="E221" s="534">
        <v>4</v>
      </c>
      <c r="F221" s="534">
        <v>868</v>
      </c>
      <c r="G221" s="534">
        <v>513</v>
      </c>
      <c r="I221" s="534">
        <v>1</v>
      </c>
      <c r="J221" s="534">
        <v>217</v>
      </c>
      <c r="K221" s="534">
        <v>33</v>
      </c>
    </row>
    <row r="222" spans="2:11" x14ac:dyDescent="0.3">
      <c r="B222" s="529">
        <f t="shared" si="10"/>
        <v>217001</v>
      </c>
      <c r="C222" s="529">
        <f t="shared" si="11"/>
        <v>218</v>
      </c>
      <c r="E222" s="534">
        <v>0</v>
      </c>
      <c r="F222" s="534">
        <v>0</v>
      </c>
      <c r="G222" s="534">
        <v>509</v>
      </c>
      <c r="I222" s="534">
        <v>0</v>
      </c>
      <c r="J222" s="534">
        <v>0</v>
      </c>
      <c r="K222" s="534">
        <v>32</v>
      </c>
    </row>
    <row r="223" spans="2:11" x14ac:dyDescent="0.3">
      <c r="B223" s="529">
        <f t="shared" si="10"/>
        <v>218001</v>
      </c>
      <c r="C223" s="529">
        <f t="shared" si="11"/>
        <v>219</v>
      </c>
      <c r="E223" s="534">
        <v>1</v>
      </c>
      <c r="F223" s="534">
        <v>219</v>
      </c>
      <c r="G223" s="534">
        <v>509</v>
      </c>
      <c r="I223" s="534">
        <v>0</v>
      </c>
      <c r="J223" s="534">
        <v>0</v>
      </c>
      <c r="K223" s="534">
        <v>32</v>
      </c>
    </row>
    <row r="224" spans="2:11" x14ac:dyDescent="0.3">
      <c r="B224" s="529">
        <f t="shared" si="10"/>
        <v>219001</v>
      </c>
      <c r="C224" s="529">
        <f t="shared" si="11"/>
        <v>220</v>
      </c>
      <c r="E224" s="534">
        <v>3</v>
      </c>
      <c r="F224" s="534">
        <v>660</v>
      </c>
      <c r="G224" s="534">
        <v>508</v>
      </c>
      <c r="I224" s="534">
        <v>0</v>
      </c>
      <c r="J224" s="534">
        <v>0</v>
      </c>
      <c r="K224" s="534">
        <v>32</v>
      </c>
    </row>
    <row r="225" spans="2:11" x14ac:dyDescent="0.3">
      <c r="B225" s="529">
        <f t="shared" si="10"/>
        <v>220001</v>
      </c>
      <c r="C225" s="529">
        <f t="shared" si="11"/>
        <v>221</v>
      </c>
      <c r="E225" s="534">
        <v>3</v>
      </c>
      <c r="F225" s="534">
        <v>663</v>
      </c>
      <c r="G225" s="534">
        <v>505</v>
      </c>
      <c r="I225" s="534">
        <v>0</v>
      </c>
      <c r="J225" s="534">
        <v>0</v>
      </c>
      <c r="K225" s="534">
        <v>32</v>
      </c>
    </row>
    <row r="226" spans="2:11" x14ac:dyDescent="0.3">
      <c r="B226" s="529">
        <f t="shared" si="10"/>
        <v>221001</v>
      </c>
      <c r="C226" s="529">
        <f t="shared" si="11"/>
        <v>222</v>
      </c>
      <c r="E226" s="534">
        <v>9</v>
      </c>
      <c r="F226" s="534">
        <v>1998</v>
      </c>
      <c r="G226" s="534">
        <v>502</v>
      </c>
      <c r="I226" s="534">
        <v>0</v>
      </c>
      <c r="J226" s="534">
        <v>0</v>
      </c>
      <c r="K226" s="534">
        <v>32</v>
      </c>
    </row>
    <row r="227" spans="2:11" x14ac:dyDescent="0.3">
      <c r="B227" s="529">
        <f t="shared" si="10"/>
        <v>222001</v>
      </c>
      <c r="C227" s="529">
        <f t="shared" si="11"/>
        <v>223</v>
      </c>
      <c r="E227" s="534">
        <v>5</v>
      </c>
      <c r="F227" s="534">
        <v>1115</v>
      </c>
      <c r="G227" s="534">
        <v>493</v>
      </c>
      <c r="I227" s="534">
        <v>0</v>
      </c>
      <c r="J227" s="534">
        <v>0</v>
      </c>
      <c r="K227" s="534">
        <v>32</v>
      </c>
    </row>
    <row r="228" spans="2:11" x14ac:dyDescent="0.3">
      <c r="B228" s="529">
        <f t="shared" si="10"/>
        <v>223001</v>
      </c>
      <c r="C228" s="529">
        <f t="shared" si="11"/>
        <v>224</v>
      </c>
      <c r="E228" s="534">
        <v>2</v>
      </c>
      <c r="F228" s="534">
        <v>448</v>
      </c>
      <c r="G228" s="534">
        <v>488</v>
      </c>
      <c r="I228" s="534">
        <v>0</v>
      </c>
      <c r="J228" s="534">
        <v>0</v>
      </c>
      <c r="K228" s="534">
        <v>32</v>
      </c>
    </row>
    <row r="229" spans="2:11" x14ac:dyDescent="0.3">
      <c r="B229" s="529">
        <f t="shared" si="10"/>
        <v>224001</v>
      </c>
      <c r="C229" s="529">
        <f t="shared" si="11"/>
        <v>225</v>
      </c>
      <c r="E229" s="534">
        <v>1</v>
      </c>
      <c r="F229" s="534">
        <v>225</v>
      </c>
      <c r="G229" s="534">
        <v>486</v>
      </c>
      <c r="I229" s="534">
        <v>0</v>
      </c>
      <c r="J229" s="534">
        <v>0</v>
      </c>
      <c r="K229" s="534">
        <v>32</v>
      </c>
    </row>
    <row r="230" spans="2:11" x14ac:dyDescent="0.3">
      <c r="B230" s="529">
        <f t="shared" si="10"/>
        <v>225001</v>
      </c>
      <c r="C230" s="529">
        <f t="shared" si="11"/>
        <v>226</v>
      </c>
      <c r="E230" s="534">
        <v>2</v>
      </c>
      <c r="F230" s="534">
        <v>452</v>
      </c>
      <c r="G230" s="534">
        <v>485</v>
      </c>
      <c r="I230" s="534">
        <v>0</v>
      </c>
      <c r="J230" s="534">
        <v>0</v>
      </c>
      <c r="K230" s="534">
        <v>32</v>
      </c>
    </row>
    <row r="231" spans="2:11" x14ac:dyDescent="0.3">
      <c r="B231" s="529">
        <f t="shared" si="10"/>
        <v>226001</v>
      </c>
      <c r="C231" s="529">
        <f t="shared" si="11"/>
        <v>227</v>
      </c>
      <c r="E231" s="534">
        <v>11</v>
      </c>
      <c r="F231" s="534">
        <v>2497</v>
      </c>
      <c r="G231" s="534">
        <v>483</v>
      </c>
      <c r="I231" s="534">
        <v>0</v>
      </c>
      <c r="J231" s="534">
        <v>0</v>
      </c>
      <c r="K231" s="534">
        <v>32</v>
      </c>
    </row>
    <row r="232" spans="2:11" x14ac:dyDescent="0.3">
      <c r="B232" s="529">
        <f t="shared" si="10"/>
        <v>227001</v>
      </c>
      <c r="C232" s="529">
        <f t="shared" si="11"/>
        <v>228</v>
      </c>
      <c r="E232" s="534">
        <v>1</v>
      </c>
      <c r="F232" s="534">
        <v>228</v>
      </c>
      <c r="G232" s="534">
        <v>472</v>
      </c>
      <c r="I232" s="534">
        <v>0</v>
      </c>
      <c r="J232" s="534">
        <v>0</v>
      </c>
      <c r="K232" s="534">
        <v>32</v>
      </c>
    </row>
    <row r="233" spans="2:11" x14ac:dyDescent="0.3">
      <c r="B233" s="529">
        <f t="shared" si="10"/>
        <v>228001</v>
      </c>
      <c r="C233" s="529">
        <f t="shared" si="11"/>
        <v>229</v>
      </c>
      <c r="E233" s="534">
        <v>0</v>
      </c>
      <c r="F233" s="534">
        <v>0</v>
      </c>
      <c r="G233" s="534">
        <v>471</v>
      </c>
      <c r="I233" s="534">
        <v>0</v>
      </c>
      <c r="J233" s="534">
        <v>0</v>
      </c>
      <c r="K233" s="534">
        <v>32</v>
      </c>
    </row>
    <row r="234" spans="2:11" x14ac:dyDescent="0.3">
      <c r="B234" s="529">
        <f t="shared" si="10"/>
        <v>229001</v>
      </c>
      <c r="C234" s="529">
        <f t="shared" si="11"/>
        <v>230</v>
      </c>
      <c r="E234" s="534">
        <v>7</v>
      </c>
      <c r="F234" s="534">
        <v>1610</v>
      </c>
      <c r="G234" s="534">
        <v>471</v>
      </c>
      <c r="I234" s="534">
        <v>0</v>
      </c>
      <c r="J234" s="534">
        <v>0</v>
      </c>
      <c r="K234" s="534">
        <v>32</v>
      </c>
    </row>
    <row r="235" spans="2:11" x14ac:dyDescent="0.3">
      <c r="B235" s="529">
        <f t="shared" si="10"/>
        <v>230001</v>
      </c>
      <c r="C235" s="529">
        <f t="shared" si="11"/>
        <v>231</v>
      </c>
      <c r="E235" s="534">
        <v>3</v>
      </c>
      <c r="F235" s="534">
        <v>693</v>
      </c>
      <c r="G235" s="534">
        <v>464</v>
      </c>
      <c r="I235" s="534">
        <v>0</v>
      </c>
      <c r="J235" s="534">
        <v>0</v>
      </c>
      <c r="K235" s="534">
        <v>32</v>
      </c>
    </row>
    <row r="236" spans="2:11" x14ac:dyDescent="0.3">
      <c r="B236" s="529">
        <f t="shared" si="10"/>
        <v>231001</v>
      </c>
      <c r="C236" s="529">
        <f t="shared" si="11"/>
        <v>232</v>
      </c>
      <c r="E236" s="534">
        <v>3</v>
      </c>
      <c r="F236" s="534">
        <v>696</v>
      </c>
      <c r="G236" s="534">
        <v>461</v>
      </c>
      <c r="I236" s="534">
        <v>0</v>
      </c>
      <c r="J236" s="534">
        <v>0</v>
      </c>
      <c r="K236" s="534">
        <v>32</v>
      </c>
    </row>
    <row r="237" spans="2:11" x14ac:dyDescent="0.3">
      <c r="B237" s="529">
        <f t="shared" si="10"/>
        <v>232001</v>
      </c>
      <c r="C237" s="529">
        <f t="shared" si="11"/>
        <v>233</v>
      </c>
      <c r="E237" s="534">
        <v>4</v>
      </c>
      <c r="F237" s="534">
        <v>932</v>
      </c>
      <c r="G237" s="534">
        <v>458</v>
      </c>
      <c r="I237" s="534">
        <v>0</v>
      </c>
      <c r="J237" s="534">
        <v>0</v>
      </c>
      <c r="K237" s="534">
        <v>32</v>
      </c>
    </row>
    <row r="238" spans="2:11" x14ac:dyDescent="0.3">
      <c r="B238" s="529">
        <f t="shared" si="10"/>
        <v>233001</v>
      </c>
      <c r="C238" s="529">
        <f t="shared" si="11"/>
        <v>234</v>
      </c>
      <c r="E238" s="534">
        <v>3</v>
      </c>
      <c r="F238" s="534">
        <v>702</v>
      </c>
      <c r="G238" s="534">
        <v>454</v>
      </c>
      <c r="I238" s="534">
        <v>0</v>
      </c>
      <c r="J238" s="534">
        <v>0</v>
      </c>
      <c r="K238" s="534">
        <v>32</v>
      </c>
    </row>
    <row r="239" spans="2:11" x14ac:dyDescent="0.3">
      <c r="B239" s="529">
        <f t="shared" si="10"/>
        <v>234001</v>
      </c>
      <c r="C239" s="529">
        <f t="shared" si="11"/>
        <v>235</v>
      </c>
      <c r="E239" s="534">
        <v>2</v>
      </c>
      <c r="F239" s="534">
        <v>470</v>
      </c>
      <c r="G239" s="534">
        <v>451</v>
      </c>
      <c r="I239" s="534">
        <v>1</v>
      </c>
      <c r="J239" s="534">
        <v>235</v>
      </c>
      <c r="K239" s="534">
        <v>32</v>
      </c>
    </row>
    <row r="240" spans="2:11" x14ac:dyDescent="0.3">
      <c r="B240" s="529">
        <f t="shared" si="10"/>
        <v>235001</v>
      </c>
      <c r="C240" s="529">
        <f t="shared" si="11"/>
        <v>236</v>
      </c>
      <c r="E240" s="534">
        <v>3</v>
      </c>
      <c r="F240" s="534">
        <v>708</v>
      </c>
      <c r="G240" s="534">
        <v>449</v>
      </c>
      <c r="I240" s="534">
        <v>0</v>
      </c>
      <c r="J240" s="534">
        <v>0</v>
      </c>
      <c r="K240" s="534">
        <v>31</v>
      </c>
    </row>
    <row r="241" spans="2:11" x14ac:dyDescent="0.3">
      <c r="B241" s="529">
        <f t="shared" si="10"/>
        <v>236001</v>
      </c>
      <c r="C241" s="529">
        <f t="shared" si="11"/>
        <v>237</v>
      </c>
      <c r="E241" s="534">
        <v>2</v>
      </c>
      <c r="F241" s="534">
        <v>474</v>
      </c>
      <c r="G241" s="534">
        <v>446</v>
      </c>
      <c r="I241" s="534">
        <v>0</v>
      </c>
      <c r="J241" s="534">
        <v>0</v>
      </c>
      <c r="K241" s="534">
        <v>31</v>
      </c>
    </row>
    <row r="242" spans="2:11" x14ac:dyDescent="0.3">
      <c r="B242" s="529">
        <f t="shared" si="10"/>
        <v>237001</v>
      </c>
      <c r="C242" s="529">
        <f t="shared" si="11"/>
        <v>238</v>
      </c>
      <c r="E242" s="534">
        <v>5</v>
      </c>
      <c r="F242" s="534">
        <v>1190</v>
      </c>
      <c r="G242" s="534">
        <v>444</v>
      </c>
      <c r="I242" s="534">
        <v>0</v>
      </c>
      <c r="J242" s="534">
        <v>0</v>
      </c>
      <c r="K242" s="534">
        <v>31</v>
      </c>
    </row>
    <row r="243" spans="2:11" x14ac:dyDescent="0.3">
      <c r="B243" s="529">
        <f t="shared" si="10"/>
        <v>238001</v>
      </c>
      <c r="C243" s="529">
        <f t="shared" si="11"/>
        <v>239</v>
      </c>
      <c r="E243" s="534">
        <v>3</v>
      </c>
      <c r="F243" s="534">
        <v>717</v>
      </c>
      <c r="G243" s="534">
        <v>439</v>
      </c>
      <c r="I243" s="534">
        <v>1</v>
      </c>
      <c r="J243" s="534">
        <v>239</v>
      </c>
      <c r="K243" s="534">
        <v>31</v>
      </c>
    </row>
    <row r="244" spans="2:11" x14ac:dyDescent="0.3">
      <c r="B244" s="529">
        <f t="shared" si="10"/>
        <v>239001</v>
      </c>
      <c r="C244" s="529">
        <f t="shared" si="11"/>
        <v>240</v>
      </c>
      <c r="E244" s="534">
        <v>3</v>
      </c>
      <c r="F244" s="534">
        <v>720</v>
      </c>
      <c r="G244" s="534">
        <v>436</v>
      </c>
      <c r="I244" s="534">
        <v>0</v>
      </c>
      <c r="J244" s="534">
        <v>0</v>
      </c>
      <c r="K244" s="534">
        <v>30</v>
      </c>
    </row>
    <row r="245" spans="2:11" x14ac:dyDescent="0.3">
      <c r="B245" s="529">
        <f t="shared" si="10"/>
        <v>240001</v>
      </c>
      <c r="C245" s="529">
        <f t="shared" si="11"/>
        <v>241</v>
      </c>
      <c r="E245" s="534">
        <v>0</v>
      </c>
      <c r="F245" s="534">
        <v>0</v>
      </c>
      <c r="G245" s="534">
        <v>433</v>
      </c>
      <c r="I245" s="534">
        <v>0</v>
      </c>
      <c r="J245" s="534">
        <v>0</v>
      </c>
      <c r="K245" s="534">
        <v>30</v>
      </c>
    </row>
    <row r="246" spans="2:11" x14ac:dyDescent="0.3">
      <c r="B246" s="529">
        <f t="shared" si="10"/>
        <v>241001</v>
      </c>
      <c r="C246" s="529">
        <f t="shared" si="11"/>
        <v>242</v>
      </c>
      <c r="E246" s="534">
        <v>0</v>
      </c>
      <c r="F246" s="534">
        <v>0</v>
      </c>
      <c r="G246" s="534">
        <v>433</v>
      </c>
      <c r="I246" s="534">
        <v>1</v>
      </c>
      <c r="J246" s="534">
        <v>242</v>
      </c>
      <c r="K246" s="534">
        <v>30</v>
      </c>
    </row>
    <row r="247" spans="2:11" x14ac:dyDescent="0.3">
      <c r="B247" s="529">
        <f t="shared" si="10"/>
        <v>242001</v>
      </c>
      <c r="C247" s="529">
        <f t="shared" si="11"/>
        <v>243</v>
      </c>
      <c r="E247" s="534">
        <v>3</v>
      </c>
      <c r="F247" s="534">
        <v>729</v>
      </c>
      <c r="G247" s="534">
        <v>433</v>
      </c>
      <c r="I247" s="534">
        <v>0</v>
      </c>
      <c r="J247" s="534">
        <v>0</v>
      </c>
      <c r="K247" s="534">
        <v>29</v>
      </c>
    </row>
    <row r="248" spans="2:11" x14ac:dyDescent="0.3">
      <c r="B248" s="529">
        <f t="shared" si="10"/>
        <v>243001</v>
      </c>
      <c r="C248" s="529">
        <f t="shared" si="11"/>
        <v>244</v>
      </c>
      <c r="E248" s="534">
        <v>1</v>
      </c>
      <c r="F248" s="534">
        <v>244</v>
      </c>
      <c r="G248" s="534">
        <v>430</v>
      </c>
      <c r="I248" s="534">
        <v>0</v>
      </c>
      <c r="J248" s="534">
        <v>0</v>
      </c>
      <c r="K248" s="534">
        <v>29</v>
      </c>
    </row>
    <row r="249" spans="2:11" x14ac:dyDescent="0.3">
      <c r="B249" s="529">
        <f t="shared" si="10"/>
        <v>244001</v>
      </c>
      <c r="C249" s="529">
        <f t="shared" si="11"/>
        <v>245</v>
      </c>
      <c r="E249" s="534">
        <v>0</v>
      </c>
      <c r="F249" s="534">
        <v>0</v>
      </c>
      <c r="G249" s="534">
        <v>429</v>
      </c>
      <c r="I249" s="534">
        <v>0</v>
      </c>
      <c r="J249" s="534">
        <v>0</v>
      </c>
      <c r="K249" s="534">
        <v>29</v>
      </c>
    </row>
    <row r="250" spans="2:11" x14ac:dyDescent="0.3">
      <c r="B250" s="529">
        <f t="shared" si="10"/>
        <v>245001</v>
      </c>
      <c r="C250" s="529">
        <f t="shared" si="11"/>
        <v>246</v>
      </c>
      <c r="E250" s="534">
        <v>3</v>
      </c>
      <c r="F250" s="534">
        <v>738</v>
      </c>
      <c r="G250" s="534">
        <v>429</v>
      </c>
      <c r="I250" s="534">
        <v>0</v>
      </c>
      <c r="J250" s="534">
        <v>0</v>
      </c>
      <c r="K250" s="534">
        <v>29</v>
      </c>
    </row>
    <row r="251" spans="2:11" x14ac:dyDescent="0.3">
      <c r="B251" s="529">
        <f t="shared" si="10"/>
        <v>246001</v>
      </c>
      <c r="C251" s="529">
        <f t="shared" si="11"/>
        <v>247</v>
      </c>
      <c r="E251" s="534">
        <v>2</v>
      </c>
      <c r="F251" s="534">
        <v>494</v>
      </c>
      <c r="G251" s="534">
        <v>426</v>
      </c>
      <c r="I251" s="534">
        <v>0</v>
      </c>
      <c r="J251" s="534">
        <v>0</v>
      </c>
      <c r="K251" s="534">
        <v>29</v>
      </c>
    </row>
    <row r="252" spans="2:11" x14ac:dyDescent="0.3">
      <c r="B252" s="529">
        <f t="shared" si="10"/>
        <v>247001</v>
      </c>
      <c r="C252" s="529">
        <f t="shared" si="11"/>
        <v>248</v>
      </c>
      <c r="E252" s="534">
        <v>3</v>
      </c>
      <c r="F252" s="534">
        <v>744</v>
      </c>
      <c r="G252" s="534">
        <v>424</v>
      </c>
      <c r="I252" s="534">
        <v>0</v>
      </c>
      <c r="J252" s="534">
        <v>0</v>
      </c>
      <c r="K252" s="534">
        <v>29</v>
      </c>
    </row>
    <row r="253" spans="2:11" x14ac:dyDescent="0.3">
      <c r="B253" s="529">
        <f t="shared" si="10"/>
        <v>248001</v>
      </c>
      <c r="C253" s="529">
        <f t="shared" si="11"/>
        <v>249</v>
      </c>
      <c r="E253" s="534">
        <v>1</v>
      </c>
      <c r="F253" s="534">
        <v>249</v>
      </c>
      <c r="G253" s="534">
        <v>421</v>
      </c>
      <c r="I253" s="534">
        <v>0</v>
      </c>
      <c r="J253" s="534">
        <v>0</v>
      </c>
      <c r="K253" s="534">
        <v>29</v>
      </c>
    </row>
    <row r="254" spans="2:11" x14ac:dyDescent="0.3">
      <c r="B254" s="529">
        <f t="shared" si="10"/>
        <v>249001</v>
      </c>
      <c r="C254" s="529">
        <f t="shared" si="11"/>
        <v>250</v>
      </c>
      <c r="E254" s="534">
        <v>1</v>
      </c>
      <c r="F254" s="534">
        <v>250</v>
      </c>
      <c r="G254" s="534">
        <v>420</v>
      </c>
      <c r="I254" s="534">
        <v>0</v>
      </c>
      <c r="J254" s="534">
        <v>0</v>
      </c>
      <c r="K254" s="534">
        <v>29</v>
      </c>
    </row>
    <row r="255" spans="2:11" x14ac:dyDescent="0.3">
      <c r="B255" s="529">
        <f t="shared" si="10"/>
        <v>250001</v>
      </c>
      <c r="C255" s="529">
        <f t="shared" si="11"/>
        <v>251</v>
      </c>
      <c r="E255" s="534">
        <v>0</v>
      </c>
      <c r="F255" s="534">
        <v>0</v>
      </c>
      <c r="G255" s="534">
        <v>419</v>
      </c>
      <c r="I255" s="534">
        <v>0</v>
      </c>
      <c r="J255" s="534">
        <v>0</v>
      </c>
      <c r="K255" s="534">
        <v>29</v>
      </c>
    </row>
    <row r="256" spans="2:11" x14ac:dyDescent="0.3">
      <c r="B256" s="529">
        <f t="shared" si="10"/>
        <v>251001</v>
      </c>
      <c r="C256" s="529">
        <f t="shared" si="11"/>
        <v>252</v>
      </c>
      <c r="E256" s="534">
        <v>4</v>
      </c>
      <c r="F256" s="534">
        <v>1008</v>
      </c>
      <c r="G256" s="534">
        <v>419</v>
      </c>
      <c r="I256" s="534">
        <v>0</v>
      </c>
      <c r="J256" s="534">
        <v>0</v>
      </c>
      <c r="K256" s="534">
        <v>29</v>
      </c>
    </row>
    <row r="257" spans="2:11" x14ac:dyDescent="0.3">
      <c r="B257" s="529">
        <f t="shared" si="10"/>
        <v>252001</v>
      </c>
      <c r="C257" s="529">
        <f t="shared" si="11"/>
        <v>253</v>
      </c>
      <c r="E257" s="534">
        <v>1</v>
      </c>
      <c r="F257" s="534">
        <v>253</v>
      </c>
      <c r="G257" s="534">
        <v>415</v>
      </c>
      <c r="I257" s="534">
        <v>0</v>
      </c>
      <c r="J257" s="534">
        <v>0</v>
      </c>
      <c r="K257" s="534">
        <v>29</v>
      </c>
    </row>
    <row r="258" spans="2:11" x14ac:dyDescent="0.3">
      <c r="B258" s="529">
        <f t="shared" si="10"/>
        <v>253001</v>
      </c>
      <c r="C258" s="529">
        <f t="shared" si="11"/>
        <v>254</v>
      </c>
      <c r="E258" s="534">
        <v>3</v>
      </c>
      <c r="F258" s="534">
        <v>762</v>
      </c>
      <c r="G258" s="534">
        <v>414</v>
      </c>
      <c r="I258" s="534">
        <v>0</v>
      </c>
      <c r="J258" s="534">
        <v>0</v>
      </c>
      <c r="K258" s="534">
        <v>29</v>
      </c>
    </row>
    <row r="259" spans="2:11" x14ac:dyDescent="0.3">
      <c r="B259" s="529">
        <f t="shared" si="10"/>
        <v>254001</v>
      </c>
      <c r="C259" s="529">
        <f t="shared" si="11"/>
        <v>255</v>
      </c>
      <c r="E259" s="534">
        <v>1</v>
      </c>
      <c r="F259" s="534">
        <v>255</v>
      </c>
      <c r="G259" s="534">
        <v>411</v>
      </c>
      <c r="I259" s="534">
        <v>0</v>
      </c>
      <c r="J259" s="534">
        <v>0</v>
      </c>
      <c r="K259" s="534">
        <v>29</v>
      </c>
    </row>
    <row r="260" spans="2:11" x14ac:dyDescent="0.3">
      <c r="B260" s="529">
        <f t="shared" si="10"/>
        <v>255001</v>
      </c>
      <c r="C260" s="529">
        <f t="shared" si="11"/>
        <v>256</v>
      </c>
      <c r="E260" s="534">
        <v>3</v>
      </c>
      <c r="F260" s="534">
        <v>768</v>
      </c>
      <c r="G260" s="534">
        <v>410</v>
      </c>
      <c r="I260" s="534">
        <v>0</v>
      </c>
      <c r="J260" s="534">
        <v>0</v>
      </c>
      <c r="K260" s="534">
        <v>29</v>
      </c>
    </row>
    <row r="261" spans="2:11" x14ac:dyDescent="0.3">
      <c r="B261" s="529">
        <f t="shared" si="10"/>
        <v>256001</v>
      </c>
      <c r="C261" s="529">
        <f t="shared" si="11"/>
        <v>257</v>
      </c>
      <c r="E261" s="534">
        <v>4</v>
      </c>
      <c r="F261" s="534">
        <v>1028</v>
      </c>
      <c r="G261" s="534">
        <v>407</v>
      </c>
      <c r="I261" s="534">
        <v>0</v>
      </c>
      <c r="J261" s="534">
        <v>0</v>
      </c>
      <c r="K261" s="534">
        <v>29</v>
      </c>
    </row>
    <row r="262" spans="2:11" x14ac:dyDescent="0.3">
      <c r="B262" s="529">
        <f t="shared" si="10"/>
        <v>257001</v>
      </c>
      <c r="C262" s="529">
        <f t="shared" si="11"/>
        <v>258</v>
      </c>
      <c r="E262" s="534">
        <v>4</v>
      </c>
      <c r="F262" s="534">
        <v>1032</v>
      </c>
      <c r="G262" s="534">
        <v>403</v>
      </c>
      <c r="I262" s="534">
        <v>0</v>
      </c>
      <c r="J262" s="534">
        <v>0</v>
      </c>
      <c r="K262" s="534">
        <v>29</v>
      </c>
    </row>
    <row r="263" spans="2:11" x14ac:dyDescent="0.3">
      <c r="B263" s="529">
        <f t="shared" ref="B263:B326" si="12">C262*1000+1</f>
        <v>258001</v>
      </c>
      <c r="C263" s="529">
        <f t="shared" ref="C263:C283" si="13">C262+1</f>
        <v>259</v>
      </c>
      <c r="E263" s="534">
        <v>3</v>
      </c>
      <c r="F263" s="534">
        <v>777</v>
      </c>
      <c r="G263" s="534">
        <v>399</v>
      </c>
      <c r="I263" s="534">
        <v>0</v>
      </c>
      <c r="J263" s="534">
        <v>0</v>
      </c>
      <c r="K263" s="534">
        <v>29</v>
      </c>
    </row>
    <row r="264" spans="2:11" x14ac:dyDescent="0.3">
      <c r="B264" s="529">
        <f t="shared" si="12"/>
        <v>259001</v>
      </c>
      <c r="C264" s="529">
        <f t="shared" si="13"/>
        <v>260</v>
      </c>
      <c r="E264" s="534">
        <v>2</v>
      </c>
      <c r="F264" s="534">
        <v>520</v>
      </c>
      <c r="G264" s="534">
        <v>396</v>
      </c>
      <c r="I264" s="534">
        <v>0</v>
      </c>
      <c r="J264" s="534">
        <v>0</v>
      </c>
      <c r="K264" s="534">
        <v>29</v>
      </c>
    </row>
    <row r="265" spans="2:11" x14ac:dyDescent="0.3">
      <c r="B265" s="529">
        <f t="shared" si="12"/>
        <v>260001</v>
      </c>
      <c r="C265" s="529">
        <f t="shared" si="13"/>
        <v>261</v>
      </c>
      <c r="E265" s="534">
        <v>6</v>
      </c>
      <c r="F265" s="534">
        <v>1566</v>
      </c>
      <c r="G265" s="534">
        <v>394</v>
      </c>
      <c r="I265" s="534">
        <v>0</v>
      </c>
      <c r="J265" s="534">
        <v>0</v>
      </c>
      <c r="K265" s="534">
        <v>29</v>
      </c>
    </row>
    <row r="266" spans="2:11" x14ac:dyDescent="0.3">
      <c r="B266" s="529">
        <f t="shared" si="12"/>
        <v>261001</v>
      </c>
      <c r="C266" s="529">
        <f t="shared" si="13"/>
        <v>262</v>
      </c>
      <c r="E266" s="534">
        <v>2</v>
      </c>
      <c r="F266" s="534">
        <v>524</v>
      </c>
      <c r="G266" s="534">
        <v>388</v>
      </c>
      <c r="I266" s="534">
        <v>0</v>
      </c>
      <c r="J266" s="534">
        <v>0</v>
      </c>
      <c r="K266" s="534">
        <v>29</v>
      </c>
    </row>
    <row r="267" spans="2:11" x14ac:dyDescent="0.3">
      <c r="B267" s="529">
        <f t="shared" si="12"/>
        <v>262001</v>
      </c>
      <c r="C267" s="529">
        <f t="shared" si="13"/>
        <v>263</v>
      </c>
      <c r="E267" s="534">
        <v>3</v>
      </c>
      <c r="F267" s="534">
        <v>789</v>
      </c>
      <c r="G267" s="534">
        <v>386</v>
      </c>
      <c r="I267" s="534">
        <v>0</v>
      </c>
      <c r="J267" s="534">
        <v>0</v>
      </c>
      <c r="K267" s="534">
        <v>29</v>
      </c>
    </row>
    <row r="268" spans="2:11" x14ac:dyDescent="0.3">
      <c r="B268" s="529">
        <f t="shared" si="12"/>
        <v>263001</v>
      </c>
      <c r="C268" s="529">
        <f t="shared" si="13"/>
        <v>264</v>
      </c>
      <c r="E268" s="534">
        <v>4</v>
      </c>
      <c r="F268" s="534">
        <v>1056</v>
      </c>
      <c r="G268" s="534">
        <v>383</v>
      </c>
      <c r="I268" s="534">
        <v>0</v>
      </c>
      <c r="J268" s="534">
        <v>0</v>
      </c>
      <c r="K268" s="534">
        <v>29</v>
      </c>
    </row>
    <row r="269" spans="2:11" x14ac:dyDescent="0.3">
      <c r="B269" s="529">
        <f t="shared" si="12"/>
        <v>264001</v>
      </c>
      <c r="C269" s="529">
        <f t="shared" si="13"/>
        <v>265</v>
      </c>
      <c r="E269" s="534">
        <v>2</v>
      </c>
      <c r="F269" s="534">
        <v>530</v>
      </c>
      <c r="G269" s="534">
        <v>379</v>
      </c>
      <c r="I269" s="534">
        <v>0</v>
      </c>
      <c r="J269" s="534">
        <v>0</v>
      </c>
      <c r="K269" s="534">
        <v>29</v>
      </c>
    </row>
    <row r="270" spans="2:11" x14ac:dyDescent="0.3">
      <c r="B270" s="529">
        <f t="shared" si="12"/>
        <v>265001</v>
      </c>
      <c r="C270" s="529">
        <f t="shared" si="13"/>
        <v>266</v>
      </c>
      <c r="E270" s="534">
        <v>2</v>
      </c>
      <c r="F270" s="534">
        <v>532</v>
      </c>
      <c r="G270" s="534">
        <v>377</v>
      </c>
      <c r="I270" s="534">
        <v>0</v>
      </c>
      <c r="J270" s="534">
        <v>0</v>
      </c>
      <c r="K270" s="534">
        <v>29</v>
      </c>
    </row>
    <row r="271" spans="2:11" x14ac:dyDescent="0.3">
      <c r="B271" s="529">
        <f t="shared" si="12"/>
        <v>266001</v>
      </c>
      <c r="C271" s="529">
        <f t="shared" si="13"/>
        <v>267</v>
      </c>
      <c r="E271" s="534">
        <v>2</v>
      </c>
      <c r="F271" s="534">
        <v>534</v>
      </c>
      <c r="G271" s="534">
        <v>375</v>
      </c>
      <c r="I271" s="534">
        <v>0</v>
      </c>
      <c r="J271" s="534">
        <v>0</v>
      </c>
      <c r="K271" s="534">
        <v>29</v>
      </c>
    </row>
    <row r="272" spans="2:11" x14ac:dyDescent="0.3">
      <c r="B272" s="529">
        <f t="shared" si="12"/>
        <v>267001</v>
      </c>
      <c r="C272" s="529">
        <f t="shared" si="13"/>
        <v>268</v>
      </c>
      <c r="E272" s="534">
        <v>3</v>
      </c>
      <c r="F272" s="534">
        <v>804</v>
      </c>
      <c r="G272" s="534">
        <v>373</v>
      </c>
      <c r="I272" s="534">
        <v>0</v>
      </c>
      <c r="J272" s="534">
        <v>0</v>
      </c>
      <c r="K272" s="534">
        <v>29</v>
      </c>
    </row>
    <row r="273" spans="2:11" x14ac:dyDescent="0.3">
      <c r="B273" s="529">
        <f t="shared" si="12"/>
        <v>268001</v>
      </c>
      <c r="C273" s="529">
        <f t="shared" si="13"/>
        <v>269</v>
      </c>
      <c r="E273" s="534">
        <v>2</v>
      </c>
      <c r="F273" s="534">
        <v>538</v>
      </c>
      <c r="G273" s="534">
        <v>370</v>
      </c>
      <c r="I273" s="534">
        <v>0</v>
      </c>
      <c r="J273" s="534">
        <v>0</v>
      </c>
      <c r="K273" s="534">
        <v>29</v>
      </c>
    </row>
    <row r="274" spans="2:11" x14ac:dyDescent="0.3">
      <c r="B274" s="529">
        <f t="shared" si="12"/>
        <v>269001</v>
      </c>
      <c r="C274" s="529">
        <f t="shared" si="13"/>
        <v>270</v>
      </c>
      <c r="E274" s="534">
        <v>1</v>
      </c>
      <c r="F274" s="534">
        <v>270</v>
      </c>
      <c r="G274" s="534">
        <v>368</v>
      </c>
      <c r="I274" s="534">
        <v>0</v>
      </c>
      <c r="J274" s="534">
        <v>0</v>
      </c>
      <c r="K274" s="534">
        <v>29</v>
      </c>
    </row>
    <row r="275" spans="2:11" x14ac:dyDescent="0.3">
      <c r="B275" s="529">
        <f t="shared" si="12"/>
        <v>270001</v>
      </c>
      <c r="C275" s="529">
        <f t="shared" si="13"/>
        <v>271</v>
      </c>
      <c r="E275" s="534">
        <v>2</v>
      </c>
      <c r="F275" s="534">
        <v>542</v>
      </c>
      <c r="G275" s="534">
        <v>367</v>
      </c>
      <c r="I275" s="534">
        <v>0</v>
      </c>
      <c r="J275" s="534">
        <v>0</v>
      </c>
      <c r="K275" s="534">
        <v>29</v>
      </c>
    </row>
    <row r="276" spans="2:11" x14ac:dyDescent="0.3">
      <c r="B276" s="529">
        <f t="shared" si="12"/>
        <v>271001</v>
      </c>
      <c r="C276" s="529">
        <f t="shared" si="13"/>
        <v>272</v>
      </c>
      <c r="E276" s="534">
        <v>3</v>
      </c>
      <c r="F276" s="534">
        <v>816</v>
      </c>
      <c r="G276" s="534">
        <v>365</v>
      </c>
      <c r="I276" s="534">
        <v>0</v>
      </c>
      <c r="J276" s="534">
        <v>0</v>
      </c>
      <c r="K276" s="534">
        <v>29</v>
      </c>
    </row>
    <row r="277" spans="2:11" x14ac:dyDescent="0.3">
      <c r="B277" s="529">
        <f t="shared" si="12"/>
        <v>272001</v>
      </c>
      <c r="C277" s="529">
        <f t="shared" si="13"/>
        <v>273</v>
      </c>
      <c r="E277" s="534">
        <v>1</v>
      </c>
      <c r="F277" s="534">
        <v>273</v>
      </c>
      <c r="G277" s="534">
        <v>362</v>
      </c>
      <c r="I277" s="534">
        <v>0</v>
      </c>
      <c r="J277" s="534">
        <v>0</v>
      </c>
      <c r="K277" s="534">
        <v>29</v>
      </c>
    </row>
    <row r="278" spans="2:11" x14ac:dyDescent="0.3">
      <c r="B278" s="529">
        <f t="shared" si="12"/>
        <v>273001</v>
      </c>
      <c r="C278" s="529">
        <f t="shared" si="13"/>
        <v>274</v>
      </c>
      <c r="E278" s="534">
        <v>1</v>
      </c>
      <c r="F278" s="534">
        <v>274</v>
      </c>
      <c r="G278" s="534">
        <v>361</v>
      </c>
      <c r="I278" s="534">
        <v>0</v>
      </c>
      <c r="J278" s="534">
        <v>0</v>
      </c>
      <c r="K278" s="534">
        <v>29</v>
      </c>
    </row>
    <row r="279" spans="2:11" x14ac:dyDescent="0.3">
      <c r="B279" s="529">
        <f t="shared" si="12"/>
        <v>274001</v>
      </c>
      <c r="C279" s="529">
        <f t="shared" si="13"/>
        <v>275</v>
      </c>
      <c r="E279" s="534">
        <v>3</v>
      </c>
      <c r="F279" s="534">
        <v>825</v>
      </c>
      <c r="G279" s="534">
        <v>360</v>
      </c>
      <c r="I279" s="534">
        <v>0</v>
      </c>
      <c r="J279" s="534">
        <v>0</v>
      </c>
      <c r="K279" s="534">
        <v>29</v>
      </c>
    </row>
    <row r="280" spans="2:11" x14ac:dyDescent="0.3">
      <c r="B280" s="529">
        <f t="shared" si="12"/>
        <v>275001</v>
      </c>
      <c r="C280" s="529">
        <f t="shared" si="13"/>
        <v>276</v>
      </c>
      <c r="E280" s="534">
        <v>4</v>
      </c>
      <c r="F280" s="534">
        <v>1104</v>
      </c>
      <c r="G280" s="534">
        <v>357</v>
      </c>
      <c r="I280" s="534">
        <v>0</v>
      </c>
      <c r="J280" s="534">
        <v>0</v>
      </c>
      <c r="K280" s="534">
        <v>29</v>
      </c>
    </row>
    <row r="281" spans="2:11" x14ac:dyDescent="0.3">
      <c r="B281" s="529">
        <f t="shared" si="12"/>
        <v>276001</v>
      </c>
      <c r="C281" s="529">
        <f t="shared" si="13"/>
        <v>277</v>
      </c>
      <c r="E281" s="534">
        <v>0</v>
      </c>
      <c r="F281" s="534">
        <v>0</v>
      </c>
      <c r="G281" s="534">
        <v>353</v>
      </c>
      <c r="I281" s="534">
        <v>0</v>
      </c>
      <c r="J281" s="534">
        <v>0</v>
      </c>
      <c r="K281" s="534">
        <v>29</v>
      </c>
    </row>
    <row r="282" spans="2:11" x14ac:dyDescent="0.3">
      <c r="B282" s="529">
        <f t="shared" si="12"/>
        <v>277001</v>
      </c>
      <c r="C282" s="529">
        <f t="shared" si="13"/>
        <v>278</v>
      </c>
      <c r="E282" s="534">
        <v>1</v>
      </c>
      <c r="F282" s="534">
        <v>278</v>
      </c>
      <c r="G282" s="534">
        <v>353</v>
      </c>
      <c r="I282" s="534">
        <v>0</v>
      </c>
      <c r="J282" s="534">
        <v>0</v>
      </c>
      <c r="K282" s="534">
        <v>29</v>
      </c>
    </row>
    <row r="283" spans="2:11" x14ac:dyDescent="0.3">
      <c r="B283" s="529">
        <f t="shared" si="12"/>
        <v>278001</v>
      </c>
      <c r="C283" s="529">
        <f t="shared" si="13"/>
        <v>279</v>
      </c>
      <c r="E283" s="534">
        <v>0</v>
      </c>
      <c r="F283" s="534">
        <v>0</v>
      </c>
      <c r="G283" s="534">
        <v>352</v>
      </c>
      <c r="I283" s="534">
        <v>0</v>
      </c>
      <c r="J283" s="534">
        <v>0</v>
      </c>
      <c r="K283" s="534">
        <v>29</v>
      </c>
    </row>
    <row r="284" spans="2:11" x14ac:dyDescent="0.3">
      <c r="B284" s="529">
        <f t="shared" si="12"/>
        <v>279001</v>
      </c>
      <c r="C284" s="529">
        <f>C283+1</f>
        <v>280</v>
      </c>
      <c r="E284" s="534">
        <v>2</v>
      </c>
      <c r="F284" s="534">
        <v>560</v>
      </c>
      <c r="G284" s="534">
        <v>352</v>
      </c>
      <c r="I284" s="534">
        <v>0</v>
      </c>
      <c r="J284" s="534">
        <v>0</v>
      </c>
      <c r="K284" s="534">
        <v>29</v>
      </c>
    </row>
    <row r="285" spans="2:11" x14ac:dyDescent="0.3">
      <c r="B285" s="529">
        <f t="shared" si="12"/>
        <v>280001</v>
      </c>
      <c r="C285" s="529">
        <f>C284+1</f>
        <v>281</v>
      </c>
      <c r="E285" s="534">
        <v>1</v>
      </c>
      <c r="F285" s="534">
        <v>281</v>
      </c>
      <c r="G285" s="534">
        <v>350</v>
      </c>
      <c r="I285" s="534">
        <v>0</v>
      </c>
      <c r="J285" s="534">
        <v>0</v>
      </c>
      <c r="K285" s="534">
        <v>29</v>
      </c>
    </row>
    <row r="286" spans="2:11" x14ac:dyDescent="0.3">
      <c r="B286" s="529">
        <f t="shared" si="12"/>
        <v>281001</v>
      </c>
      <c r="C286" s="529">
        <f>C285+1</f>
        <v>282</v>
      </c>
      <c r="E286" s="534">
        <v>1</v>
      </c>
      <c r="F286" s="534">
        <v>282</v>
      </c>
      <c r="G286" s="534">
        <v>349</v>
      </c>
      <c r="I286" s="534">
        <v>0</v>
      </c>
      <c r="J286" s="534">
        <v>0</v>
      </c>
      <c r="K286" s="534">
        <v>29</v>
      </c>
    </row>
    <row r="287" spans="2:11" x14ac:dyDescent="0.3">
      <c r="B287" s="529">
        <f t="shared" si="12"/>
        <v>282001</v>
      </c>
      <c r="C287" s="529">
        <f>C286+1</f>
        <v>283</v>
      </c>
      <c r="E287" s="534">
        <v>1</v>
      </c>
      <c r="F287" s="534">
        <v>283</v>
      </c>
      <c r="G287" s="534">
        <v>348</v>
      </c>
      <c r="I287" s="534">
        <v>0</v>
      </c>
      <c r="J287" s="534">
        <v>0</v>
      </c>
      <c r="K287" s="534">
        <v>29</v>
      </c>
    </row>
    <row r="288" spans="2:11" x14ac:dyDescent="0.3">
      <c r="B288" s="529">
        <f t="shared" si="12"/>
        <v>283001</v>
      </c>
      <c r="C288" s="529">
        <f t="shared" ref="C288:C351" si="14">C287+1</f>
        <v>284</v>
      </c>
      <c r="E288" s="534">
        <v>2</v>
      </c>
      <c r="F288" s="534">
        <v>568</v>
      </c>
      <c r="G288" s="534">
        <v>347</v>
      </c>
      <c r="I288" s="534">
        <v>0</v>
      </c>
      <c r="J288" s="534">
        <v>0</v>
      </c>
      <c r="K288" s="534">
        <v>29</v>
      </c>
    </row>
    <row r="289" spans="2:11" x14ac:dyDescent="0.3">
      <c r="B289" s="529">
        <f t="shared" si="12"/>
        <v>284001</v>
      </c>
      <c r="C289" s="529">
        <f t="shared" si="14"/>
        <v>285</v>
      </c>
      <c r="E289" s="534">
        <v>1</v>
      </c>
      <c r="F289" s="534">
        <v>285</v>
      </c>
      <c r="G289" s="534">
        <v>345</v>
      </c>
      <c r="I289" s="534">
        <v>0</v>
      </c>
      <c r="J289" s="534">
        <v>0</v>
      </c>
      <c r="K289" s="534">
        <v>29</v>
      </c>
    </row>
    <row r="290" spans="2:11" x14ac:dyDescent="0.3">
      <c r="B290" s="529">
        <f t="shared" si="12"/>
        <v>285001</v>
      </c>
      <c r="C290" s="529">
        <f t="shared" si="14"/>
        <v>286</v>
      </c>
      <c r="E290" s="534">
        <v>2</v>
      </c>
      <c r="F290" s="534">
        <v>572</v>
      </c>
      <c r="G290" s="534">
        <v>344</v>
      </c>
      <c r="I290" s="534">
        <v>0</v>
      </c>
      <c r="J290" s="534">
        <v>0</v>
      </c>
      <c r="K290" s="534">
        <v>29</v>
      </c>
    </row>
    <row r="291" spans="2:11" x14ac:dyDescent="0.3">
      <c r="B291" s="529">
        <f t="shared" si="12"/>
        <v>286001</v>
      </c>
      <c r="C291" s="529">
        <f t="shared" si="14"/>
        <v>287</v>
      </c>
      <c r="E291" s="534">
        <v>1</v>
      </c>
      <c r="F291" s="534">
        <v>287</v>
      </c>
      <c r="G291" s="534">
        <v>342</v>
      </c>
      <c r="I291" s="534">
        <v>0</v>
      </c>
      <c r="J291" s="534">
        <v>0</v>
      </c>
      <c r="K291" s="534">
        <v>29</v>
      </c>
    </row>
    <row r="292" spans="2:11" x14ac:dyDescent="0.3">
      <c r="B292" s="529">
        <f t="shared" si="12"/>
        <v>287001</v>
      </c>
      <c r="C292" s="529">
        <f t="shared" si="14"/>
        <v>288</v>
      </c>
      <c r="E292" s="534">
        <v>1</v>
      </c>
      <c r="F292" s="534">
        <v>288</v>
      </c>
      <c r="G292" s="534">
        <v>341</v>
      </c>
      <c r="I292" s="534">
        <v>0</v>
      </c>
      <c r="J292" s="534">
        <v>0</v>
      </c>
      <c r="K292" s="534">
        <v>29</v>
      </c>
    </row>
    <row r="293" spans="2:11" x14ac:dyDescent="0.3">
      <c r="B293" s="529">
        <f t="shared" si="12"/>
        <v>288001</v>
      </c>
      <c r="C293" s="529">
        <f t="shared" si="14"/>
        <v>289</v>
      </c>
      <c r="E293" s="534">
        <v>3</v>
      </c>
      <c r="F293" s="534">
        <v>867</v>
      </c>
      <c r="G293" s="534">
        <v>340</v>
      </c>
      <c r="I293" s="534">
        <v>0</v>
      </c>
      <c r="J293" s="534">
        <v>0</v>
      </c>
      <c r="K293" s="534">
        <v>29</v>
      </c>
    </row>
    <row r="294" spans="2:11" x14ac:dyDescent="0.3">
      <c r="B294" s="529">
        <f t="shared" si="12"/>
        <v>289001</v>
      </c>
      <c r="C294" s="529">
        <f t="shared" si="14"/>
        <v>290</v>
      </c>
      <c r="E294" s="534">
        <v>1</v>
      </c>
      <c r="F294" s="534">
        <v>290</v>
      </c>
      <c r="G294" s="534">
        <v>337</v>
      </c>
      <c r="I294" s="534">
        <v>0</v>
      </c>
      <c r="J294" s="534">
        <v>0</v>
      </c>
      <c r="K294" s="534">
        <v>29</v>
      </c>
    </row>
    <row r="295" spans="2:11" x14ac:dyDescent="0.3">
      <c r="B295" s="529">
        <f t="shared" si="12"/>
        <v>290001</v>
      </c>
      <c r="C295" s="529">
        <f t="shared" si="14"/>
        <v>291</v>
      </c>
      <c r="E295" s="534">
        <v>4</v>
      </c>
      <c r="F295" s="534">
        <v>1164</v>
      </c>
      <c r="G295" s="534">
        <v>336</v>
      </c>
      <c r="I295" s="534">
        <v>0</v>
      </c>
      <c r="J295" s="534">
        <v>0</v>
      </c>
      <c r="K295" s="534">
        <v>29</v>
      </c>
    </row>
    <row r="296" spans="2:11" x14ac:dyDescent="0.3">
      <c r="B296" s="529">
        <f t="shared" si="12"/>
        <v>291001</v>
      </c>
      <c r="C296" s="529">
        <f t="shared" si="14"/>
        <v>292</v>
      </c>
      <c r="E296" s="534">
        <v>3</v>
      </c>
      <c r="F296" s="534">
        <v>876</v>
      </c>
      <c r="G296" s="534">
        <v>332</v>
      </c>
      <c r="I296" s="534">
        <v>0</v>
      </c>
      <c r="J296" s="534">
        <v>0</v>
      </c>
      <c r="K296" s="534">
        <v>29</v>
      </c>
    </row>
    <row r="297" spans="2:11" x14ac:dyDescent="0.3">
      <c r="B297" s="529">
        <f t="shared" si="12"/>
        <v>292001</v>
      </c>
      <c r="C297" s="529">
        <f t="shared" si="14"/>
        <v>293</v>
      </c>
      <c r="E297" s="534">
        <v>2</v>
      </c>
      <c r="F297" s="534">
        <v>586</v>
      </c>
      <c r="G297" s="534">
        <v>329</v>
      </c>
      <c r="I297" s="534">
        <v>1</v>
      </c>
      <c r="J297" s="534">
        <v>293</v>
      </c>
      <c r="K297" s="534">
        <v>29</v>
      </c>
    </row>
    <row r="298" spans="2:11" x14ac:dyDescent="0.3">
      <c r="B298" s="529">
        <f t="shared" si="12"/>
        <v>293001</v>
      </c>
      <c r="C298" s="529">
        <f t="shared" si="14"/>
        <v>294</v>
      </c>
      <c r="E298" s="534">
        <v>2</v>
      </c>
      <c r="F298" s="534">
        <v>588</v>
      </c>
      <c r="G298" s="534">
        <v>327</v>
      </c>
      <c r="I298" s="534">
        <v>0</v>
      </c>
      <c r="J298" s="534">
        <v>0</v>
      </c>
      <c r="K298" s="534">
        <v>28</v>
      </c>
    </row>
    <row r="299" spans="2:11" x14ac:dyDescent="0.3">
      <c r="B299" s="529">
        <f t="shared" si="12"/>
        <v>294001</v>
      </c>
      <c r="C299" s="529">
        <f t="shared" si="14"/>
        <v>295</v>
      </c>
      <c r="E299" s="534">
        <v>2</v>
      </c>
      <c r="F299" s="534">
        <v>590</v>
      </c>
      <c r="G299" s="534">
        <v>325</v>
      </c>
      <c r="I299" s="534">
        <v>0</v>
      </c>
      <c r="J299" s="534">
        <v>0</v>
      </c>
      <c r="K299" s="534">
        <v>28</v>
      </c>
    </row>
    <row r="300" spans="2:11" x14ac:dyDescent="0.3">
      <c r="B300" s="529">
        <f t="shared" si="12"/>
        <v>295001</v>
      </c>
      <c r="C300" s="529">
        <f t="shared" si="14"/>
        <v>296</v>
      </c>
      <c r="E300" s="534">
        <v>2</v>
      </c>
      <c r="F300" s="534">
        <v>592</v>
      </c>
      <c r="G300" s="534">
        <v>323</v>
      </c>
      <c r="I300" s="534">
        <v>0</v>
      </c>
      <c r="J300" s="534">
        <v>0</v>
      </c>
      <c r="K300" s="534">
        <v>28</v>
      </c>
    </row>
    <row r="301" spans="2:11" x14ac:dyDescent="0.3">
      <c r="B301" s="529">
        <f t="shared" si="12"/>
        <v>296001</v>
      </c>
      <c r="C301" s="529">
        <f t="shared" si="14"/>
        <v>297</v>
      </c>
      <c r="E301" s="534">
        <v>4</v>
      </c>
      <c r="F301" s="534">
        <v>1188</v>
      </c>
      <c r="G301" s="534">
        <v>321</v>
      </c>
      <c r="I301" s="534">
        <v>0</v>
      </c>
      <c r="J301" s="534">
        <v>0</v>
      </c>
      <c r="K301" s="534">
        <v>28</v>
      </c>
    </row>
    <row r="302" spans="2:11" x14ac:dyDescent="0.3">
      <c r="B302" s="529">
        <f t="shared" si="12"/>
        <v>297001</v>
      </c>
      <c r="C302" s="529">
        <f t="shared" si="14"/>
        <v>298</v>
      </c>
      <c r="E302" s="534">
        <v>0</v>
      </c>
      <c r="F302" s="534">
        <v>0</v>
      </c>
      <c r="G302" s="534">
        <v>317</v>
      </c>
      <c r="I302" s="534">
        <v>0</v>
      </c>
      <c r="J302" s="534">
        <v>0</v>
      </c>
      <c r="K302" s="534">
        <v>28</v>
      </c>
    </row>
    <row r="303" spans="2:11" x14ac:dyDescent="0.3">
      <c r="B303" s="529">
        <f t="shared" si="12"/>
        <v>298001</v>
      </c>
      <c r="C303" s="529">
        <f t="shared" si="14"/>
        <v>299</v>
      </c>
      <c r="E303" s="534">
        <v>1</v>
      </c>
      <c r="F303" s="534">
        <v>299</v>
      </c>
      <c r="G303" s="534">
        <v>317</v>
      </c>
      <c r="I303" s="534">
        <v>0</v>
      </c>
      <c r="J303" s="534">
        <v>0</v>
      </c>
      <c r="K303" s="534">
        <v>28</v>
      </c>
    </row>
    <row r="304" spans="2:11" x14ac:dyDescent="0.3">
      <c r="B304" s="529">
        <f t="shared" si="12"/>
        <v>299001</v>
      </c>
      <c r="C304" s="529">
        <f t="shared" si="14"/>
        <v>300</v>
      </c>
      <c r="E304" s="534">
        <v>3</v>
      </c>
      <c r="F304" s="534">
        <v>900</v>
      </c>
      <c r="G304" s="534">
        <v>316</v>
      </c>
      <c r="I304" s="534">
        <v>0</v>
      </c>
      <c r="J304" s="534">
        <v>0</v>
      </c>
      <c r="K304" s="534">
        <v>28</v>
      </c>
    </row>
    <row r="305" spans="2:11" x14ac:dyDescent="0.3">
      <c r="B305" s="529">
        <f t="shared" si="12"/>
        <v>300001</v>
      </c>
      <c r="C305" s="529">
        <f t="shared" si="14"/>
        <v>301</v>
      </c>
      <c r="E305" s="534">
        <v>2</v>
      </c>
      <c r="F305" s="534">
        <v>602</v>
      </c>
      <c r="G305" s="534">
        <v>313</v>
      </c>
      <c r="I305" s="534">
        <v>1</v>
      </c>
      <c r="J305" s="534">
        <v>301</v>
      </c>
      <c r="K305" s="534">
        <v>28</v>
      </c>
    </row>
    <row r="306" spans="2:11" x14ac:dyDescent="0.3">
      <c r="B306" s="529">
        <f t="shared" si="12"/>
        <v>301001</v>
      </c>
      <c r="C306" s="529">
        <f t="shared" si="14"/>
        <v>302</v>
      </c>
      <c r="E306" s="534">
        <v>2</v>
      </c>
      <c r="F306" s="534">
        <v>604</v>
      </c>
      <c r="G306" s="534">
        <v>311</v>
      </c>
      <c r="I306" s="534">
        <v>0</v>
      </c>
      <c r="J306" s="534">
        <v>0</v>
      </c>
      <c r="K306" s="534">
        <v>27</v>
      </c>
    </row>
    <row r="307" spans="2:11" x14ac:dyDescent="0.3">
      <c r="B307" s="529">
        <f t="shared" si="12"/>
        <v>302001</v>
      </c>
      <c r="C307" s="529">
        <f t="shared" si="14"/>
        <v>303</v>
      </c>
      <c r="E307" s="534">
        <v>1</v>
      </c>
      <c r="F307" s="534">
        <v>303</v>
      </c>
      <c r="G307" s="534">
        <v>309</v>
      </c>
      <c r="I307" s="534">
        <v>0</v>
      </c>
      <c r="J307" s="534">
        <v>0</v>
      </c>
      <c r="K307" s="534">
        <v>27</v>
      </c>
    </row>
    <row r="308" spans="2:11" x14ac:dyDescent="0.3">
      <c r="B308" s="529">
        <f t="shared" si="12"/>
        <v>303001</v>
      </c>
      <c r="C308" s="529">
        <f t="shared" si="14"/>
        <v>304</v>
      </c>
      <c r="E308" s="534">
        <v>3</v>
      </c>
      <c r="F308" s="534">
        <v>912</v>
      </c>
      <c r="G308" s="534">
        <v>308</v>
      </c>
      <c r="I308" s="534">
        <v>0</v>
      </c>
      <c r="J308" s="534">
        <v>0</v>
      </c>
      <c r="K308" s="534">
        <v>27</v>
      </c>
    </row>
    <row r="309" spans="2:11" x14ac:dyDescent="0.3">
      <c r="B309" s="529">
        <f t="shared" si="12"/>
        <v>304001</v>
      </c>
      <c r="C309" s="529">
        <f t="shared" si="14"/>
        <v>305</v>
      </c>
      <c r="E309" s="534">
        <v>1</v>
      </c>
      <c r="F309" s="534">
        <v>305</v>
      </c>
      <c r="G309" s="534">
        <v>305</v>
      </c>
      <c r="I309" s="534">
        <v>0</v>
      </c>
      <c r="J309" s="534">
        <v>0</v>
      </c>
      <c r="K309" s="534">
        <v>27</v>
      </c>
    </row>
    <row r="310" spans="2:11" x14ac:dyDescent="0.3">
      <c r="B310" s="529">
        <f t="shared" si="12"/>
        <v>305001</v>
      </c>
      <c r="C310" s="529">
        <f t="shared" si="14"/>
        <v>306</v>
      </c>
      <c r="E310" s="534">
        <v>1</v>
      </c>
      <c r="F310" s="534">
        <v>306</v>
      </c>
      <c r="G310" s="534">
        <v>304</v>
      </c>
      <c r="I310" s="534">
        <v>0</v>
      </c>
      <c r="J310" s="534">
        <v>0</v>
      </c>
      <c r="K310" s="534">
        <v>27</v>
      </c>
    </row>
    <row r="311" spans="2:11" x14ac:dyDescent="0.3">
      <c r="B311" s="529">
        <f t="shared" si="12"/>
        <v>306001</v>
      </c>
      <c r="C311" s="529">
        <f t="shared" si="14"/>
        <v>307</v>
      </c>
      <c r="E311" s="534">
        <v>0</v>
      </c>
      <c r="F311" s="534">
        <v>0</v>
      </c>
      <c r="G311" s="534">
        <v>303</v>
      </c>
      <c r="I311" s="534">
        <v>0</v>
      </c>
      <c r="J311" s="534">
        <v>0</v>
      </c>
      <c r="K311" s="534">
        <v>27</v>
      </c>
    </row>
    <row r="312" spans="2:11" x14ac:dyDescent="0.3">
      <c r="B312" s="529">
        <f t="shared" si="12"/>
        <v>307001</v>
      </c>
      <c r="C312" s="529">
        <f t="shared" si="14"/>
        <v>308</v>
      </c>
      <c r="E312" s="534">
        <v>0</v>
      </c>
      <c r="F312" s="534">
        <v>0</v>
      </c>
      <c r="G312" s="534">
        <v>303</v>
      </c>
      <c r="I312" s="534">
        <v>0</v>
      </c>
      <c r="J312" s="534">
        <v>0</v>
      </c>
      <c r="K312" s="534">
        <v>27</v>
      </c>
    </row>
    <row r="313" spans="2:11" x14ac:dyDescent="0.3">
      <c r="B313" s="529">
        <f t="shared" si="12"/>
        <v>308001</v>
      </c>
      <c r="C313" s="529">
        <f t="shared" si="14"/>
        <v>309</v>
      </c>
      <c r="E313" s="534">
        <v>1</v>
      </c>
      <c r="F313" s="534">
        <v>309</v>
      </c>
      <c r="G313" s="534">
        <v>303</v>
      </c>
      <c r="I313" s="534">
        <v>1</v>
      </c>
      <c r="J313" s="534">
        <v>309</v>
      </c>
      <c r="K313" s="534">
        <v>27</v>
      </c>
    </row>
    <row r="314" spans="2:11" x14ac:dyDescent="0.3">
      <c r="B314" s="529">
        <f t="shared" si="12"/>
        <v>309001</v>
      </c>
      <c r="C314" s="529">
        <f t="shared" si="14"/>
        <v>310</v>
      </c>
      <c r="E314" s="534">
        <v>3</v>
      </c>
      <c r="F314" s="534">
        <v>930</v>
      </c>
      <c r="G314" s="534">
        <v>302</v>
      </c>
      <c r="I314" s="534">
        <v>0</v>
      </c>
      <c r="J314" s="534">
        <v>0</v>
      </c>
      <c r="K314" s="534">
        <v>26</v>
      </c>
    </row>
    <row r="315" spans="2:11" x14ac:dyDescent="0.3">
      <c r="B315" s="529">
        <f t="shared" si="12"/>
        <v>310001</v>
      </c>
      <c r="C315" s="529">
        <f t="shared" si="14"/>
        <v>311</v>
      </c>
      <c r="E315" s="534">
        <v>0</v>
      </c>
      <c r="F315" s="534">
        <v>0</v>
      </c>
      <c r="G315" s="534">
        <v>299</v>
      </c>
      <c r="I315" s="534">
        <v>0</v>
      </c>
      <c r="J315" s="534">
        <v>0</v>
      </c>
      <c r="K315" s="534">
        <v>26</v>
      </c>
    </row>
    <row r="316" spans="2:11" x14ac:dyDescent="0.3">
      <c r="B316" s="529">
        <f t="shared" si="12"/>
        <v>311001</v>
      </c>
      <c r="C316" s="529">
        <f t="shared" si="14"/>
        <v>312</v>
      </c>
      <c r="E316" s="534">
        <v>2</v>
      </c>
      <c r="F316" s="534">
        <v>624</v>
      </c>
      <c r="G316" s="534">
        <v>299</v>
      </c>
      <c r="I316" s="534">
        <v>0</v>
      </c>
      <c r="J316" s="534">
        <v>0</v>
      </c>
      <c r="K316" s="534">
        <v>26</v>
      </c>
    </row>
    <row r="317" spans="2:11" x14ac:dyDescent="0.3">
      <c r="B317" s="529">
        <f t="shared" si="12"/>
        <v>312001</v>
      </c>
      <c r="C317" s="529">
        <f t="shared" si="14"/>
        <v>313</v>
      </c>
      <c r="E317" s="534">
        <v>2</v>
      </c>
      <c r="F317" s="534">
        <v>626</v>
      </c>
      <c r="G317" s="534">
        <v>297</v>
      </c>
      <c r="I317" s="534">
        <v>0</v>
      </c>
      <c r="J317" s="534">
        <v>0</v>
      </c>
      <c r="K317" s="534">
        <v>26</v>
      </c>
    </row>
    <row r="318" spans="2:11" x14ac:dyDescent="0.3">
      <c r="B318" s="529">
        <f t="shared" si="12"/>
        <v>313001</v>
      </c>
      <c r="C318" s="529">
        <f t="shared" si="14"/>
        <v>314</v>
      </c>
      <c r="E318" s="534">
        <v>3</v>
      </c>
      <c r="F318" s="534">
        <v>942</v>
      </c>
      <c r="G318" s="534">
        <v>295</v>
      </c>
      <c r="I318" s="534">
        <v>0</v>
      </c>
      <c r="J318" s="534">
        <v>0</v>
      </c>
      <c r="K318" s="534">
        <v>26</v>
      </c>
    </row>
    <row r="319" spans="2:11" x14ac:dyDescent="0.3">
      <c r="B319" s="529">
        <f t="shared" si="12"/>
        <v>314001</v>
      </c>
      <c r="C319" s="529">
        <f t="shared" si="14"/>
        <v>315</v>
      </c>
      <c r="E319" s="534">
        <v>2</v>
      </c>
      <c r="F319" s="534">
        <v>630</v>
      </c>
      <c r="G319" s="534">
        <v>292</v>
      </c>
      <c r="I319" s="534">
        <v>0</v>
      </c>
      <c r="J319" s="534">
        <v>0</v>
      </c>
      <c r="K319" s="534">
        <v>26</v>
      </c>
    </row>
    <row r="320" spans="2:11" x14ac:dyDescent="0.3">
      <c r="B320" s="529">
        <f t="shared" si="12"/>
        <v>315001</v>
      </c>
      <c r="C320" s="529">
        <f t="shared" si="14"/>
        <v>316</v>
      </c>
      <c r="E320" s="534">
        <v>2</v>
      </c>
      <c r="F320" s="534">
        <v>632</v>
      </c>
      <c r="G320" s="534">
        <v>290</v>
      </c>
      <c r="I320" s="534">
        <v>0</v>
      </c>
      <c r="J320" s="534">
        <v>0</v>
      </c>
      <c r="K320" s="534">
        <v>26</v>
      </c>
    </row>
    <row r="321" spans="2:11" x14ac:dyDescent="0.3">
      <c r="B321" s="529">
        <f t="shared" si="12"/>
        <v>316001</v>
      </c>
      <c r="C321" s="529">
        <f t="shared" si="14"/>
        <v>317</v>
      </c>
      <c r="E321" s="534">
        <v>1</v>
      </c>
      <c r="F321" s="534">
        <v>317</v>
      </c>
      <c r="G321" s="534">
        <v>288</v>
      </c>
      <c r="I321" s="534">
        <v>0</v>
      </c>
      <c r="J321" s="534">
        <v>0</v>
      </c>
      <c r="K321" s="534">
        <v>26</v>
      </c>
    </row>
    <row r="322" spans="2:11" x14ac:dyDescent="0.3">
      <c r="B322" s="529">
        <f t="shared" si="12"/>
        <v>317001</v>
      </c>
      <c r="C322" s="529">
        <f t="shared" si="14"/>
        <v>318</v>
      </c>
      <c r="E322" s="534">
        <v>0</v>
      </c>
      <c r="F322" s="534">
        <v>0</v>
      </c>
      <c r="G322" s="534">
        <v>287</v>
      </c>
      <c r="I322" s="534">
        <v>0</v>
      </c>
      <c r="J322" s="534">
        <v>0</v>
      </c>
      <c r="K322" s="534">
        <v>26</v>
      </c>
    </row>
    <row r="323" spans="2:11" x14ac:dyDescent="0.3">
      <c r="B323" s="529">
        <f t="shared" si="12"/>
        <v>318001</v>
      </c>
      <c r="C323" s="529">
        <f t="shared" si="14"/>
        <v>319</v>
      </c>
      <c r="E323" s="534">
        <v>3</v>
      </c>
      <c r="F323" s="534">
        <v>957</v>
      </c>
      <c r="G323" s="534">
        <v>287</v>
      </c>
      <c r="I323" s="534">
        <v>0</v>
      </c>
      <c r="J323" s="534">
        <v>0</v>
      </c>
      <c r="K323" s="534">
        <v>26</v>
      </c>
    </row>
    <row r="324" spans="2:11" x14ac:dyDescent="0.3">
      <c r="B324" s="529">
        <f t="shared" si="12"/>
        <v>319001</v>
      </c>
      <c r="C324" s="529">
        <f t="shared" si="14"/>
        <v>320</v>
      </c>
      <c r="E324" s="534">
        <v>2</v>
      </c>
      <c r="F324" s="534">
        <v>640</v>
      </c>
      <c r="G324" s="534">
        <v>284</v>
      </c>
      <c r="I324" s="534">
        <v>0</v>
      </c>
      <c r="J324" s="534">
        <v>0</v>
      </c>
      <c r="K324" s="534">
        <v>26</v>
      </c>
    </row>
    <row r="325" spans="2:11" x14ac:dyDescent="0.3">
      <c r="B325" s="529">
        <f t="shared" si="12"/>
        <v>320001</v>
      </c>
      <c r="C325" s="529">
        <f t="shared" si="14"/>
        <v>321</v>
      </c>
      <c r="E325" s="534">
        <v>3</v>
      </c>
      <c r="F325" s="534">
        <v>963</v>
      </c>
      <c r="G325" s="534">
        <v>282</v>
      </c>
      <c r="I325" s="534">
        <v>0</v>
      </c>
      <c r="J325" s="534">
        <v>0</v>
      </c>
      <c r="K325" s="534">
        <v>26</v>
      </c>
    </row>
    <row r="326" spans="2:11" x14ac:dyDescent="0.3">
      <c r="B326" s="529">
        <f t="shared" si="12"/>
        <v>321001</v>
      </c>
      <c r="C326" s="529">
        <f t="shared" si="14"/>
        <v>322</v>
      </c>
      <c r="E326" s="534">
        <v>1</v>
      </c>
      <c r="F326" s="534">
        <v>322</v>
      </c>
      <c r="G326" s="534">
        <v>279</v>
      </c>
      <c r="I326" s="534">
        <v>0</v>
      </c>
      <c r="J326" s="534">
        <v>0</v>
      </c>
      <c r="K326" s="534">
        <v>26</v>
      </c>
    </row>
    <row r="327" spans="2:11" x14ac:dyDescent="0.3">
      <c r="B327" s="529">
        <f t="shared" ref="B327:B390" si="15">C326*1000+1</f>
        <v>322001</v>
      </c>
      <c r="C327" s="529">
        <f t="shared" si="14"/>
        <v>323</v>
      </c>
      <c r="E327" s="534">
        <v>1</v>
      </c>
      <c r="F327" s="534">
        <v>323</v>
      </c>
      <c r="G327" s="534">
        <v>278</v>
      </c>
      <c r="I327" s="534">
        <v>0</v>
      </c>
      <c r="J327" s="534">
        <v>0</v>
      </c>
      <c r="K327" s="534">
        <v>26</v>
      </c>
    </row>
    <row r="328" spans="2:11" x14ac:dyDescent="0.3">
      <c r="B328" s="529">
        <f t="shared" si="15"/>
        <v>323001</v>
      </c>
      <c r="C328" s="529">
        <f t="shared" si="14"/>
        <v>324</v>
      </c>
      <c r="E328" s="534">
        <v>1</v>
      </c>
      <c r="F328" s="534">
        <v>324</v>
      </c>
      <c r="G328" s="534">
        <v>277</v>
      </c>
      <c r="I328" s="534">
        <v>0</v>
      </c>
      <c r="J328" s="534">
        <v>0</v>
      </c>
      <c r="K328" s="534">
        <v>26</v>
      </c>
    </row>
    <row r="329" spans="2:11" x14ac:dyDescent="0.3">
      <c r="B329" s="529">
        <f t="shared" si="15"/>
        <v>324001</v>
      </c>
      <c r="C329" s="529">
        <f t="shared" si="14"/>
        <v>325</v>
      </c>
      <c r="E329" s="534">
        <v>4</v>
      </c>
      <c r="F329" s="534">
        <v>1300</v>
      </c>
      <c r="G329" s="534">
        <v>276</v>
      </c>
      <c r="I329" s="534">
        <v>0</v>
      </c>
      <c r="J329" s="534">
        <v>0</v>
      </c>
      <c r="K329" s="534">
        <v>26</v>
      </c>
    </row>
    <row r="330" spans="2:11" x14ac:dyDescent="0.3">
      <c r="B330" s="529">
        <f t="shared" si="15"/>
        <v>325001</v>
      </c>
      <c r="C330" s="529">
        <f t="shared" si="14"/>
        <v>326</v>
      </c>
      <c r="E330" s="534">
        <v>1</v>
      </c>
      <c r="F330" s="534">
        <v>326</v>
      </c>
      <c r="G330" s="534">
        <v>272</v>
      </c>
      <c r="I330" s="534">
        <v>0</v>
      </c>
      <c r="J330" s="534">
        <v>0</v>
      </c>
      <c r="K330" s="534">
        <v>26</v>
      </c>
    </row>
    <row r="331" spans="2:11" x14ac:dyDescent="0.3">
      <c r="B331" s="529">
        <f t="shared" si="15"/>
        <v>326001</v>
      </c>
      <c r="C331" s="529">
        <f t="shared" si="14"/>
        <v>327</v>
      </c>
      <c r="E331" s="534">
        <v>2</v>
      </c>
      <c r="F331" s="534">
        <v>654</v>
      </c>
      <c r="G331" s="534">
        <v>271</v>
      </c>
      <c r="I331" s="534">
        <v>0</v>
      </c>
      <c r="J331" s="534">
        <v>0</v>
      </c>
      <c r="K331" s="534">
        <v>26</v>
      </c>
    </row>
    <row r="332" spans="2:11" x14ac:dyDescent="0.3">
      <c r="B332" s="529">
        <f t="shared" si="15"/>
        <v>327001</v>
      </c>
      <c r="C332" s="529">
        <f t="shared" si="14"/>
        <v>328</v>
      </c>
      <c r="E332" s="534">
        <v>2</v>
      </c>
      <c r="F332" s="534">
        <v>656</v>
      </c>
      <c r="G332" s="534">
        <v>269</v>
      </c>
      <c r="I332" s="534">
        <v>0</v>
      </c>
      <c r="J332" s="534">
        <v>0</v>
      </c>
      <c r="K332" s="534">
        <v>26</v>
      </c>
    </row>
    <row r="333" spans="2:11" x14ac:dyDescent="0.3">
      <c r="B333" s="529">
        <f t="shared" si="15"/>
        <v>328001</v>
      </c>
      <c r="C333" s="529">
        <f t="shared" si="14"/>
        <v>329</v>
      </c>
      <c r="E333" s="534">
        <v>0</v>
      </c>
      <c r="F333" s="534">
        <v>0</v>
      </c>
      <c r="G333" s="534">
        <v>267</v>
      </c>
      <c r="I333" s="534">
        <v>0</v>
      </c>
      <c r="J333" s="534">
        <v>0</v>
      </c>
      <c r="K333" s="534">
        <v>26</v>
      </c>
    </row>
    <row r="334" spans="2:11" x14ac:dyDescent="0.3">
      <c r="B334" s="529">
        <f t="shared" si="15"/>
        <v>329001</v>
      </c>
      <c r="C334" s="529">
        <f t="shared" si="14"/>
        <v>330</v>
      </c>
      <c r="E334" s="534">
        <v>1</v>
      </c>
      <c r="F334" s="534">
        <v>330</v>
      </c>
      <c r="G334" s="534">
        <v>267</v>
      </c>
      <c r="I334" s="534">
        <v>1</v>
      </c>
      <c r="J334" s="534">
        <v>330</v>
      </c>
      <c r="K334" s="534">
        <v>26</v>
      </c>
    </row>
    <row r="335" spans="2:11" x14ac:dyDescent="0.3">
      <c r="B335" s="529">
        <f t="shared" si="15"/>
        <v>330001</v>
      </c>
      <c r="C335" s="529">
        <f t="shared" si="14"/>
        <v>331</v>
      </c>
      <c r="E335" s="534">
        <v>1</v>
      </c>
      <c r="F335" s="534">
        <v>331</v>
      </c>
      <c r="G335" s="534">
        <v>266</v>
      </c>
      <c r="I335" s="534">
        <v>0</v>
      </c>
      <c r="J335" s="534">
        <v>0</v>
      </c>
      <c r="K335" s="534">
        <v>25</v>
      </c>
    </row>
    <row r="336" spans="2:11" x14ac:dyDescent="0.3">
      <c r="B336" s="529">
        <f t="shared" si="15"/>
        <v>331001</v>
      </c>
      <c r="C336" s="529">
        <f t="shared" si="14"/>
        <v>332</v>
      </c>
      <c r="E336" s="534">
        <v>0</v>
      </c>
      <c r="F336" s="534">
        <v>0</v>
      </c>
      <c r="G336" s="534">
        <v>265</v>
      </c>
      <c r="I336" s="534">
        <v>0</v>
      </c>
      <c r="J336" s="534">
        <v>0</v>
      </c>
      <c r="K336" s="534">
        <v>25</v>
      </c>
    </row>
    <row r="337" spans="2:11" x14ac:dyDescent="0.3">
      <c r="B337" s="529">
        <f t="shared" si="15"/>
        <v>332001</v>
      </c>
      <c r="C337" s="529">
        <f t="shared" si="14"/>
        <v>333</v>
      </c>
      <c r="E337" s="534">
        <v>3</v>
      </c>
      <c r="F337" s="534">
        <v>999</v>
      </c>
      <c r="G337" s="534">
        <v>265</v>
      </c>
      <c r="I337" s="534">
        <v>0</v>
      </c>
      <c r="J337" s="534">
        <v>0</v>
      </c>
      <c r="K337" s="534">
        <v>25</v>
      </c>
    </row>
    <row r="338" spans="2:11" x14ac:dyDescent="0.3">
      <c r="B338" s="529">
        <f t="shared" si="15"/>
        <v>333001</v>
      </c>
      <c r="C338" s="529">
        <f t="shared" si="14"/>
        <v>334</v>
      </c>
      <c r="E338" s="534">
        <v>2</v>
      </c>
      <c r="F338" s="534">
        <v>668</v>
      </c>
      <c r="G338" s="534">
        <v>262</v>
      </c>
      <c r="I338" s="534">
        <v>0</v>
      </c>
      <c r="J338" s="534">
        <v>0</v>
      </c>
      <c r="K338" s="534">
        <v>25</v>
      </c>
    </row>
    <row r="339" spans="2:11" x14ac:dyDescent="0.3">
      <c r="B339" s="529">
        <f t="shared" si="15"/>
        <v>334001</v>
      </c>
      <c r="C339" s="529">
        <f t="shared" si="14"/>
        <v>335</v>
      </c>
      <c r="E339" s="534">
        <v>1</v>
      </c>
      <c r="F339" s="534">
        <v>335</v>
      </c>
      <c r="G339" s="534">
        <v>260</v>
      </c>
      <c r="I339" s="534">
        <v>0</v>
      </c>
      <c r="J339" s="534">
        <v>0</v>
      </c>
      <c r="K339" s="534">
        <v>25</v>
      </c>
    </row>
    <row r="340" spans="2:11" x14ac:dyDescent="0.3">
      <c r="B340" s="529">
        <f t="shared" si="15"/>
        <v>335001</v>
      </c>
      <c r="C340" s="529">
        <f t="shared" si="14"/>
        <v>336</v>
      </c>
      <c r="E340" s="534">
        <v>1</v>
      </c>
      <c r="F340" s="534">
        <v>336</v>
      </c>
      <c r="G340" s="534">
        <v>259</v>
      </c>
      <c r="I340" s="534">
        <v>0</v>
      </c>
      <c r="J340" s="534">
        <v>0</v>
      </c>
      <c r="K340" s="534">
        <v>25</v>
      </c>
    </row>
    <row r="341" spans="2:11" x14ac:dyDescent="0.3">
      <c r="B341" s="529">
        <f t="shared" si="15"/>
        <v>336001</v>
      </c>
      <c r="C341" s="529">
        <f t="shared" si="14"/>
        <v>337</v>
      </c>
      <c r="E341" s="534">
        <v>0</v>
      </c>
      <c r="F341" s="534">
        <v>0</v>
      </c>
      <c r="G341" s="534">
        <v>258</v>
      </c>
      <c r="I341" s="534">
        <v>0</v>
      </c>
      <c r="J341" s="534">
        <v>0</v>
      </c>
      <c r="K341" s="534">
        <v>25</v>
      </c>
    </row>
    <row r="342" spans="2:11" x14ac:dyDescent="0.3">
      <c r="B342" s="529">
        <f t="shared" si="15"/>
        <v>337001</v>
      </c>
      <c r="C342" s="529">
        <f t="shared" si="14"/>
        <v>338</v>
      </c>
      <c r="E342" s="534">
        <v>1</v>
      </c>
      <c r="F342" s="534">
        <v>338</v>
      </c>
      <c r="G342" s="534">
        <v>258</v>
      </c>
      <c r="I342" s="534">
        <v>0</v>
      </c>
      <c r="J342" s="534">
        <v>0</v>
      </c>
      <c r="K342" s="534">
        <v>25</v>
      </c>
    </row>
    <row r="343" spans="2:11" x14ac:dyDescent="0.3">
      <c r="B343" s="529">
        <f t="shared" si="15"/>
        <v>338001</v>
      </c>
      <c r="C343" s="529">
        <f t="shared" si="14"/>
        <v>339</v>
      </c>
      <c r="E343" s="534">
        <v>1</v>
      </c>
      <c r="F343" s="534">
        <v>339</v>
      </c>
      <c r="G343" s="534">
        <v>257</v>
      </c>
      <c r="I343" s="534">
        <v>0</v>
      </c>
      <c r="J343" s="534">
        <v>0</v>
      </c>
      <c r="K343" s="534">
        <v>25</v>
      </c>
    </row>
    <row r="344" spans="2:11" x14ac:dyDescent="0.3">
      <c r="B344" s="529">
        <f t="shared" si="15"/>
        <v>339001</v>
      </c>
      <c r="C344" s="529">
        <f t="shared" si="14"/>
        <v>340</v>
      </c>
      <c r="E344" s="534">
        <v>0</v>
      </c>
      <c r="F344" s="534">
        <v>0</v>
      </c>
      <c r="G344" s="534">
        <v>256</v>
      </c>
      <c r="I344" s="534">
        <v>0</v>
      </c>
      <c r="J344" s="534">
        <v>0</v>
      </c>
      <c r="K344" s="534">
        <v>25</v>
      </c>
    </row>
    <row r="345" spans="2:11" x14ac:dyDescent="0.3">
      <c r="B345" s="529">
        <f t="shared" si="15"/>
        <v>340001</v>
      </c>
      <c r="C345" s="529">
        <f t="shared" si="14"/>
        <v>341</v>
      </c>
      <c r="E345" s="534">
        <v>2</v>
      </c>
      <c r="F345" s="534">
        <v>682</v>
      </c>
      <c r="G345" s="534">
        <v>256</v>
      </c>
      <c r="I345" s="534">
        <v>0</v>
      </c>
      <c r="J345" s="534">
        <v>0</v>
      </c>
      <c r="K345" s="534">
        <v>25</v>
      </c>
    </row>
    <row r="346" spans="2:11" x14ac:dyDescent="0.3">
      <c r="B346" s="529">
        <f t="shared" si="15"/>
        <v>341001</v>
      </c>
      <c r="C346" s="529">
        <f t="shared" si="14"/>
        <v>342</v>
      </c>
      <c r="E346" s="534">
        <v>2</v>
      </c>
      <c r="F346" s="534">
        <v>684</v>
      </c>
      <c r="G346" s="534">
        <v>254</v>
      </c>
      <c r="I346" s="534">
        <v>0</v>
      </c>
      <c r="J346" s="534">
        <v>0</v>
      </c>
      <c r="K346" s="534">
        <v>25</v>
      </c>
    </row>
    <row r="347" spans="2:11" x14ac:dyDescent="0.3">
      <c r="B347" s="529">
        <f t="shared" si="15"/>
        <v>342001</v>
      </c>
      <c r="C347" s="529">
        <f t="shared" si="14"/>
        <v>343</v>
      </c>
      <c r="E347" s="534">
        <v>2</v>
      </c>
      <c r="F347" s="534">
        <v>686</v>
      </c>
      <c r="G347" s="534">
        <v>252</v>
      </c>
      <c r="I347" s="534">
        <v>0</v>
      </c>
      <c r="J347" s="534">
        <v>0</v>
      </c>
      <c r="K347" s="534">
        <v>25</v>
      </c>
    </row>
    <row r="348" spans="2:11" x14ac:dyDescent="0.3">
      <c r="B348" s="529">
        <f t="shared" si="15"/>
        <v>343001</v>
      </c>
      <c r="C348" s="529">
        <f t="shared" si="14"/>
        <v>344</v>
      </c>
      <c r="E348" s="534">
        <v>1</v>
      </c>
      <c r="F348" s="534">
        <v>344</v>
      </c>
      <c r="G348" s="534">
        <v>250</v>
      </c>
      <c r="I348" s="534">
        <v>0</v>
      </c>
      <c r="J348" s="534">
        <v>0</v>
      </c>
      <c r="K348" s="534">
        <v>25</v>
      </c>
    </row>
    <row r="349" spans="2:11" x14ac:dyDescent="0.3">
      <c r="B349" s="529">
        <f t="shared" si="15"/>
        <v>344001</v>
      </c>
      <c r="C349" s="529">
        <f t="shared" si="14"/>
        <v>345</v>
      </c>
      <c r="E349" s="534">
        <v>2</v>
      </c>
      <c r="F349" s="534">
        <v>690</v>
      </c>
      <c r="G349" s="534">
        <v>249</v>
      </c>
      <c r="I349" s="534">
        <v>0</v>
      </c>
      <c r="J349" s="534">
        <v>0</v>
      </c>
      <c r="K349" s="534">
        <v>25</v>
      </c>
    </row>
    <row r="350" spans="2:11" x14ac:dyDescent="0.3">
      <c r="B350" s="529">
        <f t="shared" si="15"/>
        <v>345001</v>
      </c>
      <c r="C350" s="529">
        <f t="shared" si="14"/>
        <v>346</v>
      </c>
      <c r="E350" s="534">
        <v>2</v>
      </c>
      <c r="F350" s="534">
        <v>692</v>
      </c>
      <c r="G350" s="534">
        <v>247</v>
      </c>
      <c r="I350" s="534">
        <v>1</v>
      </c>
      <c r="J350" s="534">
        <v>346</v>
      </c>
      <c r="K350" s="534">
        <v>25</v>
      </c>
    </row>
    <row r="351" spans="2:11" x14ac:dyDescent="0.3">
      <c r="B351" s="529">
        <f t="shared" si="15"/>
        <v>346001</v>
      </c>
      <c r="C351" s="529">
        <f t="shared" si="14"/>
        <v>347</v>
      </c>
      <c r="E351" s="534">
        <v>2</v>
      </c>
      <c r="F351" s="534">
        <v>694</v>
      </c>
      <c r="G351" s="534">
        <v>245</v>
      </c>
      <c r="I351" s="534">
        <v>0</v>
      </c>
      <c r="J351" s="534">
        <v>0</v>
      </c>
      <c r="K351" s="534">
        <v>24</v>
      </c>
    </row>
    <row r="352" spans="2:11" x14ac:dyDescent="0.3">
      <c r="B352" s="529">
        <f t="shared" si="15"/>
        <v>347001</v>
      </c>
      <c r="C352" s="529">
        <f t="shared" ref="C352:C415" si="16">C351+1</f>
        <v>348</v>
      </c>
      <c r="E352" s="534">
        <v>0</v>
      </c>
      <c r="F352" s="534">
        <v>0</v>
      </c>
      <c r="G352" s="534">
        <v>243</v>
      </c>
      <c r="I352" s="534">
        <v>0</v>
      </c>
      <c r="J352" s="534">
        <v>0</v>
      </c>
      <c r="K352" s="534">
        <v>24</v>
      </c>
    </row>
    <row r="353" spans="2:11" x14ac:dyDescent="0.3">
      <c r="B353" s="529">
        <f t="shared" si="15"/>
        <v>348001</v>
      </c>
      <c r="C353" s="529">
        <f t="shared" si="16"/>
        <v>349</v>
      </c>
      <c r="E353" s="534">
        <v>2</v>
      </c>
      <c r="F353" s="534">
        <v>698</v>
      </c>
      <c r="G353" s="534">
        <v>243</v>
      </c>
      <c r="I353" s="534">
        <v>0</v>
      </c>
      <c r="J353" s="534">
        <v>0</v>
      </c>
      <c r="K353" s="534">
        <v>24</v>
      </c>
    </row>
    <row r="354" spans="2:11" x14ac:dyDescent="0.3">
      <c r="B354" s="529">
        <f t="shared" si="15"/>
        <v>349001</v>
      </c>
      <c r="C354" s="529">
        <f t="shared" si="16"/>
        <v>350</v>
      </c>
      <c r="E354" s="534">
        <v>2</v>
      </c>
      <c r="F354" s="534">
        <v>700</v>
      </c>
      <c r="G354" s="534">
        <v>241</v>
      </c>
      <c r="I354" s="534">
        <v>0</v>
      </c>
      <c r="J354" s="534">
        <v>0</v>
      </c>
      <c r="K354" s="534">
        <v>24</v>
      </c>
    </row>
    <row r="355" spans="2:11" x14ac:dyDescent="0.3">
      <c r="B355" s="529">
        <f t="shared" si="15"/>
        <v>350001</v>
      </c>
      <c r="C355" s="529">
        <f t="shared" si="16"/>
        <v>351</v>
      </c>
      <c r="E355" s="534">
        <v>2</v>
      </c>
      <c r="F355" s="534">
        <v>702</v>
      </c>
      <c r="G355" s="534">
        <v>239</v>
      </c>
      <c r="I355" s="534">
        <v>0</v>
      </c>
      <c r="J355" s="534">
        <v>0</v>
      </c>
      <c r="K355" s="534">
        <v>24</v>
      </c>
    </row>
    <row r="356" spans="2:11" x14ac:dyDescent="0.3">
      <c r="B356" s="529">
        <f t="shared" si="15"/>
        <v>351001</v>
      </c>
      <c r="C356" s="529">
        <f t="shared" si="16"/>
        <v>352</v>
      </c>
      <c r="E356" s="534">
        <v>2</v>
      </c>
      <c r="F356" s="534">
        <v>704</v>
      </c>
      <c r="G356" s="534">
        <v>237</v>
      </c>
      <c r="I356" s="534">
        <v>0</v>
      </c>
      <c r="J356" s="534">
        <v>0</v>
      </c>
      <c r="K356" s="534">
        <v>24</v>
      </c>
    </row>
    <row r="357" spans="2:11" x14ac:dyDescent="0.3">
      <c r="B357" s="529">
        <f t="shared" si="15"/>
        <v>352001</v>
      </c>
      <c r="C357" s="529">
        <f t="shared" si="16"/>
        <v>353</v>
      </c>
      <c r="E357" s="534">
        <v>0</v>
      </c>
      <c r="F357" s="534">
        <v>0</v>
      </c>
      <c r="G357" s="534">
        <v>235</v>
      </c>
      <c r="I357" s="534">
        <v>0</v>
      </c>
      <c r="J357" s="534">
        <v>0</v>
      </c>
      <c r="K357" s="534">
        <v>24</v>
      </c>
    </row>
    <row r="358" spans="2:11" x14ac:dyDescent="0.3">
      <c r="B358" s="529">
        <f t="shared" si="15"/>
        <v>353001</v>
      </c>
      <c r="C358" s="529">
        <f t="shared" si="16"/>
        <v>354</v>
      </c>
      <c r="E358" s="534">
        <v>0</v>
      </c>
      <c r="F358" s="534">
        <v>0</v>
      </c>
      <c r="G358" s="534">
        <v>235</v>
      </c>
      <c r="I358" s="534">
        <v>0</v>
      </c>
      <c r="J358" s="534">
        <v>0</v>
      </c>
      <c r="K358" s="534">
        <v>24</v>
      </c>
    </row>
    <row r="359" spans="2:11" x14ac:dyDescent="0.3">
      <c r="B359" s="529">
        <f t="shared" si="15"/>
        <v>354001</v>
      </c>
      <c r="C359" s="529">
        <f t="shared" si="16"/>
        <v>355</v>
      </c>
      <c r="E359" s="534">
        <v>1</v>
      </c>
      <c r="F359" s="534">
        <v>355</v>
      </c>
      <c r="G359" s="534">
        <v>235</v>
      </c>
      <c r="I359" s="534">
        <v>0</v>
      </c>
      <c r="J359" s="534">
        <v>0</v>
      </c>
      <c r="K359" s="534">
        <v>24</v>
      </c>
    </row>
    <row r="360" spans="2:11" x14ac:dyDescent="0.3">
      <c r="B360" s="529">
        <f t="shared" si="15"/>
        <v>355001</v>
      </c>
      <c r="C360" s="529">
        <f t="shared" si="16"/>
        <v>356</v>
      </c>
      <c r="E360" s="534">
        <v>2</v>
      </c>
      <c r="F360" s="534">
        <v>712</v>
      </c>
      <c r="G360" s="534">
        <v>234</v>
      </c>
      <c r="I360" s="534">
        <v>0</v>
      </c>
      <c r="J360" s="534">
        <v>0</v>
      </c>
      <c r="K360" s="534">
        <v>24</v>
      </c>
    </row>
    <row r="361" spans="2:11" x14ac:dyDescent="0.3">
      <c r="B361" s="529">
        <f t="shared" si="15"/>
        <v>356001</v>
      </c>
      <c r="C361" s="529">
        <f t="shared" si="16"/>
        <v>357</v>
      </c>
      <c r="E361" s="534">
        <v>1</v>
      </c>
      <c r="F361" s="534">
        <v>357</v>
      </c>
      <c r="G361" s="534">
        <v>232</v>
      </c>
      <c r="I361" s="534">
        <v>0</v>
      </c>
      <c r="J361" s="534">
        <v>0</v>
      </c>
      <c r="K361" s="534">
        <v>24</v>
      </c>
    </row>
    <row r="362" spans="2:11" x14ac:dyDescent="0.3">
      <c r="B362" s="529">
        <f t="shared" si="15"/>
        <v>357001</v>
      </c>
      <c r="C362" s="529">
        <f t="shared" si="16"/>
        <v>358</v>
      </c>
      <c r="E362" s="534">
        <v>0</v>
      </c>
      <c r="F362" s="534">
        <v>0</v>
      </c>
      <c r="G362" s="534">
        <v>231</v>
      </c>
      <c r="I362" s="534">
        <v>0</v>
      </c>
      <c r="J362" s="534">
        <v>0</v>
      </c>
      <c r="K362" s="534">
        <v>24</v>
      </c>
    </row>
    <row r="363" spans="2:11" x14ac:dyDescent="0.3">
      <c r="B363" s="529">
        <f t="shared" si="15"/>
        <v>358001</v>
      </c>
      <c r="C363" s="529">
        <f t="shared" si="16"/>
        <v>359</v>
      </c>
      <c r="E363" s="534">
        <v>2</v>
      </c>
      <c r="F363" s="534">
        <v>718</v>
      </c>
      <c r="G363" s="534">
        <v>231</v>
      </c>
      <c r="I363" s="534">
        <v>0</v>
      </c>
      <c r="J363" s="534">
        <v>0</v>
      </c>
      <c r="K363" s="534">
        <v>24</v>
      </c>
    </row>
    <row r="364" spans="2:11" x14ac:dyDescent="0.3">
      <c r="B364" s="529">
        <f t="shared" si="15"/>
        <v>359001</v>
      </c>
      <c r="C364" s="529">
        <f t="shared" si="16"/>
        <v>360</v>
      </c>
      <c r="E364" s="534">
        <v>2</v>
      </c>
      <c r="F364" s="534">
        <v>720</v>
      </c>
      <c r="G364" s="534">
        <v>229</v>
      </c>
      <c r="I364" s="534">
        <v>0</v>
      </c>
      <c r="J364" s="534">
        <v>0</v>
      </c>
      <c r="K364" s="534">
        <v>24</v>
      </c>
    </row>
    <row r="365" spans="2:11" x14ac:dyDescent="0.3">
      <c r="B365" s="529">
        <f t="shared" si="15"/>
        <v>360001</v>
      </c>
      <c r="C365" s="529">
        <f t="shared" si="16"/>
        <v>361</v>
      </c>
      <c r="E365" s="534">
        <v>0</v>
      </c>
      <c r="F365" s="534">
        <v>0</v>
      </c>
      <c r="G365" s="534">
        <v>227</v>
      </c>
      <c r="I365" s="534">
        <v>0</v>
      </c>
      <c r="J365" s="534">
        <v>0</v>
      </c>
      <c r="K365" s="534">
        <v>24</v>
      </c>
    </row>
    <row r="366" spans="2:11" x14ac:dyDescent="0.3">
      <c r="B366" s="529">
        <f t="shared" si="15"/>
        <v>361001</v>
      </c>
      <c r="C366" s="529">
        <f t="shared" si="16"/>
        <v>362</v>
      </c>
      <c r="E366" s="534">
        <v>2</v>
      </c>
      <c r="F366" s="534">
        <v>724</v>
      </c>
      <c r="G366" s="534">
        <v>227</v>
      </c>
      <c r="I366" s="534">
        <v>0</v>
      </c>
      <c r="J366" s="534">
        <v>0</v>
      </c>
      <c r="K366" s="534">
        <v>24</v>
      </c>
    </row>
    <row r="367" spans="2:11" x14ac:dyDescent="0.3">
      <c r="B367" s="529">
        <f t="shared" si="15"/>
        <v>362001</v>
      </c>
      <c r="C367" s="529">
        <f t="shared" si="16"/>
        <v>363</v>
      </c>
      <c r="E367" s="534">
        <v>1</v>
      </c>
      <c r="F367" s="534">
        <v>363</v>
      </c>
      <c r="G367" s="534">
        <v>225</v>
      </c>
      <c r="I367" s="534">
        <v>0</v>
      </c>
      <c r="J367" s="534">
        <v>0</v>
      </c>
      <c r="K367" s="534">
        <v>24</v>
      </c>
    </row>
    <row r="368" spans="2:11" x14ac:dyDescent="0.3">
      <c r="B368" s="529">
        <f t="shared" si="15"/>
        <v>363001</v>
      </c>
      <c r="C368" s="529">
        <f t="shared" si="16"/>
        <v>364</v>
      </c>
      <c r="E368" s="534">
        <v>2</v>
      </c>
      <c r="F368" s="534">
        <v>728</v>
      </c>
      <c r="G368" s="534">
        <v>224</v>
      </c>
      <c r="I368" s="534">
        <v>0</v>
      </c>
      <c r="J368" s="534">
        <v>0</v>
      </c>
      <c r="K368" s="534">
        <v>24</v>
      </c>
    </row>
    <row r="369" spans="2:11" x14ac:dyDescent="0.3">
      <c r="B369" s="529">
        <f t="shared" si="15"/>
        <v>364001</v>
      </c>
      <c r="C369" s="529">
        <f t="shared" si="16"/>
        <v>365</v>
      </c>
      <c r="E369" s="534">
        <v>3</v>
      </c>
      <c r="F369" s="534">
        <v>1095</v>
      </c>
      <c r="G369" s="534">
        <v>222</v>
      </c>
      <c r="I369" s="534">
        <v>0</v>
      </c>
      <c r="J369" s="534">
        <v>0</v>
      </c>
      <c r="K369" s="534">
        <v>24</v>
      </c>
    </row>
    <row r="370" spans="2:11" x14ac:dyDescent="0.3">
      <c r="B370" s="529">
        <f t="shared" si="15"/>
        <v>365001</v>
      </c>
      <c r="C370" s="529">
        <f t="shared" si="16"/>
        <v>366</v>
      </c>
      <c r="E370" s="534">
        <v>0</v>
      </c>
      <c r="F370" s="534">
        <v>0</v>
      </c>
      <c r="G370" s="534">
        <v>219</v>
      </c>
      <c r="I370" s="534">
        <v>0</v>
      </c>
      <c r="J370" s="534">
        <v>0</v>
      </c>
      <c r="K370" s="534">
        <v>24</v>
      </c>
    </row>
    <row r="371" spans="2:11" x14ac:dyDescent="0.3">
      <c r="B371" s="529">
        <f t="shared" si="15"/>
        <v>366001</v>
      </c>
      <c r="C371" s="529">
        <f t="shared" si="16"/>
        <v>367</v>
      </c>
      <c r="E371" s="534">
        <v>0</v>
      </c>
      <c r="F371" s="534">
        <v>0</v>
      </c>
      <c r="G371" s="534">
        <v>219</v>
      </c>
      <c r="I371" s="534">
        <v>1</v>
      </c>
      <c r="J371" s="534">
        <v>367</v>
      </c>
      <c r="K371" s="534">
        <v>24</v>
      </c>
    </row>
    <row r="372" spans="2:11" x14ac:dyDescent="0.3">
      <c r="B372" s="529">
        <f t="shared" si="15"/>
        <v>367001</v>
      </c>
      <c r="C372" s="529">
        <f t="shared" si="16"/>
        <v>368</v>
      </c>
      <c r="E372" s="534">
        <v>0</v>
      </c>
      <c r="F372" s="534">
        <v>0</v>
      </c>
      <c r="G372" s="534">
        <v>219</v>
      </c>
      <c r="I372" s="534">
        <v>0</v>
      </c>
      <c r="J372" s="534">
        <v>0</v>
      </c>
      <c r="K372" s="534">
        <v>23</v>
      </c>
    </row>
    <row r="373" spans="2:11" x14ac:dyDescent="0.3">
      <c r="B373" s="529">
        <f t="shared" si="15"/>
        <v>368001</v>
      </c>
      <c r="C373" s="529">
        <f t="shared" si="16"/>
        <v>369</v>
      </c>
      <c r="E373" s="534">
        <v>2</v>
      </c>
      <c r="F373" s="534">
        <v>738</v>
      </c>
      <c r="G373" s="534">
        <v>219</v>
      </c>
      <c r="I373" s="534">
        <v>0</v>
      </c>
      <c r="J373" s="534">
        <v>0</v>
      </c>
      <c r="K373" s="534">
        <v>23</v>
      </c>
    </row>
    <row r="374" spans="2:11" x14ac:dyDescent="0.3">
      <c r="B374" s="529">
        <f t="shared" si="15"/>
        <v>369001</v>
      </c>
      <c r="C374" s="529">
        <f t="shared" si="16"/>
        <v>370</v>
      </c>
      <c r="E374" s="534">
        <v>0</v>
      </c>
      <c r="F374" s="534">
        <v>0</v>
      </c>
      <c r="G374" s="534">
        <v>217</v>
      </c>
      <c r="I374" s="534">
        <v>0</v>
      </c>
      <c r="J374" s="534">
        <v>0</v>
      </c>
      <c r="K374" s="534">
        <v>23</v>
      </c>
    </row>
    <row r="375" spans="2:11" x14ac:dyDescent="0.3">
      <c r="B375" s="529">
        <f t="shared" si="15"/>
        <v>370001</v>
      </c>
      <c r="C375" s="529">
        <f t="shared" si="16"/>
        <v>371</v>
      </c>
      <c r="E375" s="534">
        <v>1</v>
      </c>
      <c r="F375" s="534">
        <v>371</v>
      </c>
      <c r="G375" s="534">
        <v>217</v>
      </c>
      <c r="I375" s="534">
        <v>0</v>
      </c>
      <c r="J375" s="534">
        <v>0</v>
      </c>
      <c r="K375" s="534">
        <v>23</v>
      </c>
    </row>
    <row r="376" spans="2:11" x14ac:dyDescent="0.3">
      <c r="B376" s="529">
        <f t="shared" si="15"/>
        <v>371001</v>
      </c>
      <c r="C376" s="529">
        <f t="shared" si="16"/>
        <v>372</v>
      </c>
      <c r="E376" s="534">
        <v>4</v>
      </c>
      <c r="F376" s="534">
        <v>1488</v>
      </c>
      <c r="G376" s="534">
        <v>216</v>
      </c>
      <c r="I376" s="534">
        <v>0</v>
      </c>
      <c r="J376" s="534">
        <v>0</v>
      </c>
      <c r="K376" s="534">
        <v>23</v>
      </c>
    </row>
    <row r="377" spans="2:11" x14ac:dyDescent="0.3">
      <c r="B377" s="529">
        <f t="shared" si="15"/>
        <v>372001</v>
      </c>
      <c r="C377" s="529">
        <f t="shared" si="16"/>
        <v>373</v>
      </c>
      <c r="E377" s="534">
        <v>0</v>
      </c>
      <c r="F377" s="534">
        <v>0</v>
      </c>
      <c r="G377" s="534">
        <v>212</v>
      </c>
      <c r="I377" s="534">
        <v>0</v>
      </c>
      <c r="J377" s="534">
        <v>0</v>
      </c>
      <c r="K377" s="534">
        <v>23</v>
      </c>
    </row>
    <row r="378" spans="2:11" x14ac:dyDescent="0.3">
      <c r="B378" s="529">
        <f t="shared" si="15"/>
        <v>373001</v>
      </c>
      <c r="C378" s="529">
        <f t="shared" si="16"/>
        <v>374</v>
      </c>
      <c r="E378" s="534">
        <v>2</v>
      </c>
      <c r="F378" s="534">
        <v>748</v>
      </c>
      <c r="G378" s="534">
        <v>212</v>
      </c>
      <c r="I378" s="534">
        <v>0</v>
      </c>
      <c r="J378" s="534">
        <v>0</v>
      </c>
      <c r="K378" s="534">
        <v>23</v>
      </c>
    </row>
    <row r="379" spans="2:11" x14ac:dyDescent="0.3">
      <c r="B379" s="529">
        <f t="shared" si="15"/>
        <v>374001</v>
      </c>
      <c r="C379" s="529">
        <f t="shared" si="16"/>
        <v>375</v>
      </c>
      <c r="E379" s="534">
        <v>2</v>
      </c>
      <c r="F379" s="534">
        <v>750</v>
      </c>
      <c r="G379" s="534">
        <v>210</v>
      </c>
      <c r="I379" s="534">
        <v>0</v>
      </c>
      <c r="J379" s="534">
        <v>0</v>
      </c>
      <c r="K379" s="534">
        <v>23</v>
      </c>
    </row>
    <row r="380" spans="2:11" x14ac:dyDescent="0.3">
      <c r="B380" s="529">
        <f t="shared" si="15"/>
        <v>375001</v>
      </c>
      <c r="C380" s="529">
        <f t="shared" si="16"/>
        <v>376</v>
      </c>
      <c r="E380" s="534">
        <v>1</v>
      </c>
      <c r="F380" s="534">
        <v>376</v>
      </c>
      <c r="G380" s="534">
        <v>208</v>
      </c>
      <c r="I380" s="534">
        <v>0</v>
      </c>
      <c r="J380" s="534">
        <v>0</v>
      </c>
      <c r="K380" s="534">
        <v>23</v>
      </c>
    </row>
    <row r="381" spans="2:11" x14ac:dyDescent="0.3">
      <c r="B381" s="529">
        <f t="shared" si="15"/>
        <v>376001</v>
      </c>
      <c r="C381" s="529">
        <f t="shared" si="16"/>
        <v>377</v>
      </c>
      <c r="E381" s="534">
        <v>3</v>
      </c>
      <c r="F381" s="534">
        <v>1131</v>
      </c>
      <c r="G381" s="534">
        <v>207</v>
      </c>
      <c r="I381" s="534">
        <v>0</v>
      </c>
      <c r="J381" s="534">
        <v>0</v>
      </c>
      <c r="K381" s="534">
        <v>23</v>
      </c>
    </row>
    <row r="382" spans="2:11" x14ac:dyDescent="0.3">
      <c r="B382" s="529">
        <f t="shared" si="15"/>
        <v>377001</v>
      </c>
      <c r="C382" s="529">
        <f t="shared" si="16"/>
        <v>378</v>
      </c>
      <c r="E382" s="534">
        <v>2</v>
      </c>
      <c r="F382" s="534">
        <v>756</v>
      </c>
      <c r="G382" s="534">
        <v>204</v>
      </c>
      <c r="I382" s="534">
        <v>0</v>
      </c>
      <c r="J382" s="534">
        <v>0</v>
      </c>
      <c r="K382" s="534">
        <v>23</v>
      </c>
    </row>
    <row r="383" spans="2:11" x14ac:dyDescent="0.3">
      <c r="B383" s="529">
        <f t="shared" si="15"/>
        <v>378001</v>
      </c>
      <c r="C383" s="529">
        <f t="shared" si="16"/>
        <v>379</v>
      </c>
      <c r="E383" s="534">
        <v>3</v>
      </c>
      <c r="F383" s="534">
        <v>1137</v>
      </c>
      <c r="G383" s="534">
        <v>202</v>
      </c>
      <c r="I383" s="534">
        <v>0</v>
      </c>
      <c r="J383" s="534">
        <v>0</v>
      </c>
      <c r="K383" s="534">
        <v>23</v>
      </c>
    </row>
    <row r="384" spans="2:11" x14ac:dyDescent="0.3">
      <c r="B384" s="529">
        <f t="shared" si="15"/>
        <v>379001</v>
      </c>
      <c r="C384" s="529">
        <f t="shared" si="16"/>
        <v>380</v>
      </c>
      <c r="E384" s="534">
        <v>0</v>
      </c>
      <c r="F384" s="534">
        <v>0</v>
      </c>
      <c r="G384" s="534">
        <v>199</v>
      </c>
      <c r="I384" s="534">
        <v>0</v>
      </c>
      <c r="J384" s="534">
        <v>0</v>
      </c>
      <c r="K384" s="534">
        <v>23</v>
      </c>
    </row>
    <row r="385" spans="2:11" x14ac:dyDescent="0.3">
      <c r="B385" s="529">
        <f t="shared" si="15"/>
        <v>380001</v>
      </c>
      <c r="C385" s="529">
        <f t="shared" si="16"/>
        <v>381</v>
      </c>
      <c r="E385" s="534">
        <v>1</v>
      </c>
      <c r="F385" s="534">
        <v>381</v>
      </c>
      <c r="G385" s="534">
        <v>199</v>
      </c>
      <c r="I385" s="534">
        <v>0</v>
      </c>
      <c r="J385" s="534">
        <v>0</v>
      </c>
      <c r="K385" s="534">
        <v>23</v>
      </c>
    </row>
    <row r="386" spans="2:11" x14ac:dyDescent="0.3">
      <c r="B386" s="529">
        <f t="shared" si="15"/>
        <v>381001</v>
      </c>
      <c r="C386" s="529">
        <f t="shared" si="16"/>
        <v>382</v>
      </c>
      <c r="E386" s="534">
        <v>1</v>
      </c>
      <c r="F386" s="534">
        <v>382</v>
      </c>
      <c r="G386" s="534">
        <v>198</v>
      </c>
      <c r="I386" s="534">
        <v>0</v>
      </c>
      <c r="J386" s="534">
        <v>0</v>
      </c>
      <c r="K386" s="534">
        <v>23</v>
      </c>
    </row>
    <row r="387" spans="2:11" x14ac:dyDescent="0.3">
      <c r="B387" s="529">
        <f t="shared" si="15"/>
        <v>382001</v>
      </c>
      <c r="C387" s="529">
        <f t="shared" si="16"/>
        <v>383</v>
      </c>
      <c r="E387" s="534">
        <v>0</v>
      </c>
      <c r="F387" s="534">
        <v>0</v>
      </c>
      <c r="G387" s="534">
        <v>197</v>
      </c>
      <c r="I387" s="534">
        <v>0</v>
      </c>
      <c r="J387" s="534">
        <v>0</v>
      </c>
      <c r="K387" s="534">
        <v>23</v>
      </c>
    </row>
    <row r="388" spans="2:11" x14ac:dyDescent="0.3">
      <c r="B388" s="529">
        <f t="shared" si="15"/>
        <v>383001</v>
      </c>
      <c r="C388" s="529">
        <f t="shared" si="16"/>
        <v>384</v>
      </c>
      <c r="E388" s="534">
        <v>2</v>
      </c>
      <c r="F388" s="534">
        <v>768</v>
      </c>
      <c r="G388" s="534">
        <v>197</v>
      </c>
      <c r="I388" s="534">
        <v>1</v>
      </c>
      <c r="J388" s="534">
        <v>384</v>
      </c>
      <c r="K388" s="534">
        <v>23</v>
      </c>
    </row>
    <row r="389" spans="2:11" x14ac:dyDescent="0.3">
      <c r="B389" s="529">
        <f t="shared" si="15"/>
        <v>384001</v>
      </c>
      <c r="C389" s="529">
        <f t="shared" si="16"/>
        <v>385</v>
      </c>
      <c r="E389" s="534">
        <v>2</v>
      </c>
      <c r="F389" s="534">
        <v>770</v>
      </c>
      <c r="G389" s="534">
        <v>195</v>
      </c>
      <c r="I389" s="534">
        <v>0</v>
      </c>
      <c r="J389" s="534">
        <v>0</v>
      </c>
      <c r="K389" s="534">
        <v>22</v>
      </c>
    </row>
    <row r="390" spans="2:11" x14ac:dyDescent="0.3">
      <c r="B390" s="529">
        <f t="shared" si="15"/>
        <v>385001</v>
      </c>
      <c r="C390" s="529">
        <f t="shared" si="16"/>
        <v>386</v>
      </c>
      <c r="E390" s="534">
        <v>1</v>
      </c>
      <c r="F390" s="534">
        <v>386</v>
      </c>
      <c r="G390" s="534">
        <v>193</v>
      </c>
      <c r="I390" s="534">
        <v>0</v>
      </c>
      <c r="J390" s="534">
        <v>0</v>
      </c>
      <c r="K390" s="534">
        <v>22</v>
      </c>
    </row>
    <row r="391" spans="2:11" x14ac:dyDescent="0.3">
      <c r="B391" s="529">
        <f t="shared" ref="B391:B454" si="17">C390*1000+1</f>
        <v>386001</v>
      </c>
      <c r="C391" s="529">
        <f t="shared" si="16"/>
        <v>387</v>
      </c>
      <c r="E391" s="534">
        <v>3</v>
      </c>
      <c r="F391" s="534">
        <v>1161</v>
      </c>
      <c r="G391" s="534">
        <v>192</v>
      </c>
      <c r="I391" s="534">
        <v>0</v>
      </c>
      <c r="J391" s="534">
        <v>0</v>
      </c>
      <c r="K391" s="534">
        <v>22</v>
      </c>
    </row>
    <row r="392" spans="2:11" x14ac:dyDescent="0.3">
      <c r="B392" s="529">
        <f t="shared" si="17"/>
        <v>387001</v>
      </c>
      <c r="C392" s="529">
        <f t="shared" si="16"/>
        <v>388</v>
      </c>
      <c r="E392" s="534">
        <v>1</v>
      </c>
      <c r="F392" s="534">
        <v>388</v>
      </c>
      <c r="G392" s="534">
        <v>189</v>
      </c>
      <c r="I392" s="534">
        <v>0</v>
      </c>
      <c r="J392" s="534">
        <v>0</v>
      </c>
      <c r="K392" s="534">
        <v>22</v>
      </c>
    </row>
    <row r="393" spans="2:11" x14ac:dyDescent="0.3">
      <c r="B393" s="529">
        <f t="shared" si="17"/>
        <v>388001</v>
      </c>
      <c r="C393" s="529">
        <f t="shared" si="16"/>
        <v>389</v>
      </c>
      <c r="E393" s="534">
        <v>2</v>
      </c>
      <c r="F393" s="534">
        <v>778</v>
      </c>
      <c r="G393" s="534">
        <v>188</v>
      </c>
      <c r="I393" s="534">
        <v>0</v>
      </c>
      <c r="J393" s="534">
        <v>0</v>
      </c>
      <c r="K393" s="534">
        <v>22</v>
      </c>
    </row>
    <row r="394" spans="2:11" x14ac:dyDescent="0.3">
      <c r="B394" s="529">
        <f t="shared" si="17"/>
        <v>389001</v>
      </c>
      <c r="C394" s="529">
        <f t="shared" si="16"/>
        <v>390</v>
      </c>
      <c r="E394" s="534">
        <v>1</v>
      </c>
      <c r="F394" s="534">
        <v>390</v>
      </c>
      <c r="G394" s="534">
        <v>186</v>
      </c>
      <c r="I394" s="534">
        <v>1</v>
      </c>
      <c r="J394" s="534">
        <v>390</v>
      </c>
      <c r="K394" s="534">
        <v>22</v>
      </c>
    </row>
    <row r="395" spans="2:11" x14ac:dyDescent="0.3">
      <c r="B395" s="529">
        <f t="shared" si="17"/>
        <v>390001</v>
      </c>
      <c r="C395" s="529">
        <f t="shared" si="16"/>
        <v>391</v>
      </c>
      <c r="E395" s="534">
        <v>0</v>
      </c>
      <c r="F395" s="534">
        <v>0</v>
      </c>
      <c r="G395" s="534">
        <v>185</v>
      </c>
      <c r="I395" s="534">
        <v>0</v>
      </c>
      <c r="J395" s="534">
        <v>0</v>
      </c>
      <c r="K395" s="534">
        <v>21</v>
      </c>
    </row>
    <row r="396" spans="2:11" x14ac:dyDescent="0.3">
      <c r="B396" s="529">
        <f t="shared" si="17"/>
        <v>391001</v>
      </c>
      <c r="C396" s="529">
        <f t="shared" si="16"/>
        <v>392</v>
      </c>
      <c r="E396" s="534">
        <v>0</v>
      </c>
      <c r="F396" s="534">
        <v>0</v>
      </c>
      <c r="G396" s="534">
        <v>185</v>
      </c>
      <c r="I396" s="534">
        <v>0</v>
      </c>
      <c r="J396" s="534">
        <v>0</v>
      </c>
      <c r="K396" s="534">
        <v>21</v>
      </c>
    </row>
    <row r="397" spans="2:11" x14ac:dyDescent="0.3">
      <c r="B397" s="529">
        <f t="shared" si="17"/>
        <v>392001</v>
      </c>
      <c r="C397" s="529">
        <f t="shared" si="16"/>
        <v>393</v>
      </c>
      <c r="E397" s="534">
        <v>0</v>
      </c>
      <c r="F397" s="534">
        <v>0</v>
      </c>
      <c r="G397" s="534">
        <v>185</v>
      </c>
      <c r="I397" s="534">
        <v>0</v>
      </c>
      <c r="J397" s="534">
        <v>0</v>
      </c>
      <c r="K397" s="534">
        <v>21</v>
      </c>
    </row>
    <row r="398" spans="2:11" x14ac:dyDescent="0.3">
      <c r="B398" s="529">
        <f t="shared" si="17"/>
        <v>393001</v>
      </c>
      <c r="C398" s="529">
        <f t="shared" si="16"/>
        <v>394</v>
      </c>
      <c r="E398" s="534">
        <v>1</v>
      </c>
      <c r="F398" s="534">
        <v>394</v>
      </c>
      <c r="G398" s="534">
        <v>185</v>
      </c>
      <c r="I398" s="534">
        <v>1</v>
      </c>
      <c r="J398" s="534">
        <v>394</v>
      </c>
      <c r="K398" s="534">
        <v>21</v>
      </c>
    </row>
    <row r="399" spans="2:11" x14ac:dyDescent="0.3">
      <c r="B399" s="529">
        <f t="shared" si="17"/>
        <v>394001</v>
      </c>
      <c r="C399" s="529">
        <f t="shared" si="16"/>
        <v>395</v>
      </c>
      <c r="E399" s="534">
        <v>1</v>
      </c>
      <c r="F399" s="534">
        <v>395</v>
      </c>
      <c r="G399" s="534">
        <v>184</v>
      </c>
      <c r="I399" s="534">
        <v>1</v>
      </c>
      <c r="J399" s="534">
        <v>395</v>
      </c>
      <c r="K399" s="534">
        <v>20</v>
      </c>
    </row>
    <row r="400" spans="2:11" x14ac:dyDescent="0.3">
      <c r="B400" s="529">
        <f t="shared" si="17"/>
        <v>395001</v>
      </c>
      <c r="C400" s="529">
        <f t="shared" si="16"/>
        <v>396</v>
      </c>
      <c r="E400" s="534">
        <v>3</v>
      </c>
      <c r="F400" s="534">
        <v>1188</v>
      </c>
      <c r="G400" s="534">
        <v>183</v>
      </c>
      <c r="I400" s="534">
        <v>0</v>
      </c>
      <c r="J400" s="534">
        <v>0</v>
      </c>
      <c r="K400" s="534">
        <v>19</v>
      </c>
    </row>
    <row r="401" spans="2:11" x14ac:dyDescent="0.3">
      <c r="B401" s="529">
        <f t="shared" si="17"/>
        <v>396001</v>
      </c>
      <c r="C401" s="529">
        <f t="shared" si="16"/>
        <v>397</v>
      </c>
      <c r="E401" s="534">
        <v>0</v>
      </c>
      <c r="F401" s="534">
        <v>0</v>
      </c>
      <c r="G401" s="534">
        <v>180</v>
      </c>
      <c r="I401" s="534">
        <v>0</v>
      </c>
      <c r="J401" s="534">
        <v>0</v>
      </c>
      <c r="K401" s="534">
        <v>19</v>
      </c>
    </row>
    <row r="402" spans="2:11" x14ac:dyDescent="0.3">
      <c r="B402" s="529">
        <f t="shared" si="17"/>
        <v>397001</v>
      </c>
      <c r="C402" s="529">
        <f t="shared" si="16"/>
        <v>398</v>
      </c>
      <c r="E402" s="534">
        <v>1</v>
      </c>
      <c r="F402" s="534">
        <v>398</v>
      </c>
      <c r="G402" s="534">
        <v>180</v>
      </c>
      <c r="I402" s="534">
        <v>0</v>
      </c>
      <c r="J402" s="534">
        <v>0</v>
      </c>
      <c r="K402" s="534">
        <v>19</v>
      </c>
    </row>
    <row r="403" spans="2:11" x14ac:dyDescent="0.3">
      <c r="B403" s="529">
        <f t="shared" si="17"/>
        <v>398001</v>
      </c>
      <c r="C403" s="529">
        <f t="shared" si="16"/>
        <v>399</v>
      </c>
      <c r="E403" s="534">
        <v>2</v>
      </c>
      <c r="F403" s="534">
        <v>798</v>
      </c>
      <c r="G403" s="534">
        <v>179</v>
      </c>
      <c r="I403" s="534">
        <v>0</v>
      </c>
      <c r="J403" s="534">
        <v>0</v>
      </c>
      <c r="K403" s="534">
        <v>19</v>
      </c>
    </row>
    <row r="404" spans="2:11" x14ac:dyDescent="0.3">
      <c r="B404" s="529">
        <f t="shared" si="17"/>
        <v>399001</v>
      </c>
      <c r="C404" s="529">
        <f t="shared" si="16"/>
        <v>400</v>
      </c>
      <c r="E404" s="534">
        <v>0</v>
      </c>
      <c r="F404" s="534">
        <v>0</v>
      </c>
      <c r="G404" s="534">
        <v>177</v>
      </c>
      <c r="I404" s="534">
        <v>0</v>
      </c>
      <c r="J404" s="534">
        <v>0</v>
      </c>
      <c r="K404" s="534">
        <v>19</v>
      </c>
    </row>
    <row r="405" spans="2:11" x14ac:dyDescent="0.3">
      <c r="B405" s="529">
        <f t="shared" si="17"/>
        <v>400001</v>
      </c>
      <c r="C405" s="529">
        <f t="shared" si="16"/>
        <v>401</v>
      </c>
      <c r="E405" s="534">
        <v>1</v>
      </c>
      <c r="F405" s="534">
        <v>401</v>
      </c>
      <c r="G405" s="534">
        <v>177</v>
      </c>
      <c r="I405" s="534">
        <v>0</v>
      </c>
      <c r="J405" s="534">
        <v>0</v>
      </c>
      <c r="K405" s="534">
        <v>19</v>
      </c>
    </row>
    <row r="406" spans="2:11" x14ac:dyDescent="0.3">
      <c r="B406" s="529">
        <f t="shared" si="17"/>
        <v>401001</v>
      </c>
      <c r="C406" s="529">
        <f t="shared" si="16"/>
        <v>402</v>
      </c>
      <c r="E406" s="534">
        <v>1</v>
      </c>
      <c r="F406" s="534">
        <v>402</v>
      </c>
      <c r="G406" s="534">
        <v>176</v>
      </c>
      <c r="I406" s="534">
        <v>1</v>
      </c>
      <c r="J406" s="534">
        <v>402</v>
      </c>
      <c r="K406" s="534">
        <v>19</v>
      </c>
    </row>
    <row r="407" spans="2:11" x14ac:dyDescent="0.3">
      <c r="B407" s="529">
        <f t="shared" si="17"/>
        <v>402001</v>
      </c>
      <c r="C407" s="529">
        <f t="shared" si="16"/>
        <v>403</v>
      </c>
      <c r="E407" s="534">
        <v>0</v>
      </c>
      <c r="F407" s="534">
        <v>0</v>
      </c>
      <c r="G407" s="534">
        <v>175</v>
      </c>
      <c r="I407" s="534">
        <v>0</v>
      </c>
      <c r="J407" s="534">
        <v>0</v>
      </c>
      <c r="K407" s="534">
        <v>18</v>
      </c>
    </row>
    <row r="408" spans="2:11" x14ac:dyDescent="0.3">
      <c r="B408" s="529">
        <f t="shared" si="17"/>
        <v>403001</v>
      </c>
      <c r="C408" s="529">
        <f t="shared" si="16"/>
        <v>404</v>
      </c>
      <c r="E408" s="534">
        <v>0</v>
      </c>
      <c r="F408" s="534">
        <v>0</v>
      </c>
      <c r="G408" s="534">
        <v>175</v>
      </c>
      <c r="I408" s="534">
        <v>0</v>
      </c>
      <c r="J408" s="534">
        <v>0</v>
      </c>
      <c r="K408" s="534">
        <v>18</v>
      </c>
    </row>
    <row r="409" spans="2:11" x14ac:dyDescent="0.3">
      <c r="B409" s="529">
        <f t="shared" si="17"/>
        <v>404001</v>
      </c>
      <c r="C409" s="529">
        <f t="shared" si="16"/>
        <v>405</v>
      </c>
      <c r="E409" s="534">
        <v>1</v>
      </c>
      <c r="F409" s="534">
        <v>405</v>
      </c>
      <c r="G409" s="534">
        <v>175</v>
      </c>
      <c r="I409" s="534">
        <v>0</v>
      </c>
      <c r="J409" s="534">
        <v>0</v>
      </c>
      <c r="K409" s="534">
        <v>18</v>
      </c>
    </row>
    <row r="410" spans="2:11" x14ac:dyDescent="0.3">
      <c r="B410" s="529">
        <f t="shared" si="17"/>
        <v>405001</v>
      </c>
      <c r="C410" s="529">
        <f t="shared" si="16"/>
        <v>406</v>
      </c>
      <c r="E410" s="534">
        <v>0</v>
      </c>
      <c r="F410" s="534">
        <v>0</v>
      </c>
      <c r="G410" s="534">
        <v>174</v>
      </c>
      <c r="I410" s="534">
        <v>0</v>
      </c>
      <c r="J410" s="534">
        <v>0</v>
      </c>
      <c r="K410" s="534">
        <v>18</v>
      </c>
    </row>
    <row r="411" spans="2:11" x14ac:dyDescent="0.3">
      <c r="B411" s="529">
        <f t="shared" si="17"/>
        <v>406001</v>
      </c>
      <c r="C411" s="529">
        <f t="shared" si="16"/>
        <v>407</v>
      </c>
      <c r="E411" s="534">
        <v>0</v>
      </c>
      <c r="F411" s="534">
        <v>0</v>
      </c>
      <c r="G411" s="534">
        <v>174</v>
      </c>
      <c r="I411" s="534">
        <v>0</v>
      </c>
      <c r="J411" s="534">
        <v>0</v>
      </c>
      <c r="K411" s="534">
        <v>18</v>
      </c>
    </row>
    <row r="412" spans="2:11" x14ac:dyDescent="0.3">
      <c r="B412" s="529">
        <f t="shared" si="17"/>
        <v>407001</v>
      </c>
      <c r="C412" s="529">
        <f t="shared" si="16"/>
        <v>408</v>
      </c>
      <c r="E412" s="534">
        <v>0</v>
      </c>
      <c r="F412" s="534">
        <v>0</v>
      </c>
      <c r="G412" s="534">
        <v>174</v>
      </c>
      <c r="I412" s="534">
        <v>0</v>
      </c>
      <c r="J412" s="534">
        <v>0</v>
      </c>
      <c r="K412" s="534">
        <v>18</v>
      </c>
    </row>
    <row r="413" spans="2:11" x14ac:dyDescent="0.3">
      <c r="B413" s="529">
        <f t="shared" si="17"/>
        <v>408001</v>
      </c>
      <c r="C413" s="529">
        <f t="shared" si="16"/>
        <v>409</v>
      </c>
      <c r="E413" s="534">
        <v>0</v>
      </c>
      <c r="F413" s="534">
        <v>0</v>
      </c>
      <c r="G413" s="534">
        <v>174</v>
      </c>
      <c r="I413" s="534">
        <v>0</v>
      </c>
      <c r="J413" s="534">
        <v>0</v>
      </c>
      <c r="K413" s="534">
        <v>18</v>
      </c>
    </row>
    <row r="414" spans="2:11" x14ac:dyDescent="0.3">
      <c r="B414" s="529">
        <f t="shared" si="17"/>
        <v>409001</v>
      </c>
      <c r="C414" s="529">
        <f t="shared" si="16"/>
        <v>410</v>
      </c>
      <c r="E414" s="534">
        <v>0</v>
      </c>
      <c r="F414" s="534">
        <v>0</v>
      </c>
      <c r="G414" s="534">
        <v>174</v>
      </c>
      <c r="I414" s="534">
        <v>0</v>
      </c>
      <c r="J414" s="534">
        <v>0</v>
      </c>
      <c r="K414" s="534">
        <v>18</v>
      </c>
    </row>
    <row r="415" spans="2:11" x14ac:dyDescent="0.3">
      <c r="B415" s="529">
        <f t="shared" si="17"/>
        <v>410001</v>
      </c>
      <c r="C415" s="529">
        <f t="shared" si="16"/>
        <v>411</v>
      </c>
      <c r="E415" s="534">
        <v>3</v>
      </c>
      <c r="F415" s="534">
        <v>1233</v>
      </c>
      <c r="G415" s="534">
        <v>174</v>
      </c>
      <c r="I415" s="534">
        <v>0</v>
      </c>
      <c r="J415" s="534">
        <v>0</v>
      </c>
      <c r="K415" s="534">
        <v>18</v>
      </c>
    </row>
    <row r="416" spans="2:11" x14ac:dyDescent="0.3">
      <c r="B416" s="529">
        <f t="shared" si="17"/>
        <v>411001</v>
      </c>
      <c r="C416" s="529">
        <f t="shared" ref="C416:C479" si="18">C415+1</f>
        <v>412</v>
      </c>
      <c r="E416" s="534">
        <v>0</v>
      </c>
      <c r="F416" s="534">
        <v>0</v>
      </c>
      <c r="G416" s="534">
        <v>171</v>
      </c>
      <c r="I416" s="534">
        <v>1</v>
      </c>
      <c r="J416" s="534">
        <v>412</v>
      </c>
      <c r="K416" s="534">
        <v>18</v>
      </c>
    </row>
    <row r="417" spans="2:11" x14ac:dyDescent="0.3">
      <c r="B417" s="529">
        <f t="shared" si="17"/>
        <v>412001</v>
      </c>
      <c r="C417" s="529">
        <f t="shared" si="18"/>
        <v>413</v>
      </c>
      <c r="E417" s="534">
        <v>0</v>
      </c>
      <c r="F417" s="534">
        <v>0</v>
      </c>
      <c r="G417" s="534">
        <v>171</v>
      </c>
      <c r="I417" s="534">
        <v>0</v>
      </c>
      <c r="J417" s="534">
        <v>0</v>
      </c>
      <c r="K417" s="534">
        <v>17</v>
      </c>
    </row>
    <row r="418" spans="2:11" x14ac:dyDescent="0.3">
      <c r="B418" s="529">
        <f t="shared" si="17"/>
        <v>413001</v>
      </c>
      <c r="C418" s="529">
        <f t="shared" si="18"/>
        <v>414</v>
      </c>
      <c r="E418" s="534">
        <v>0</v>
      </c>
      <c r="F418" s="534">
        <v>0</v>
      </c>
      <c r="G418" s="534">
        <v>171</v>
      </c>
      <c r="I418" s="534">
        <v>0</v>
      </c>
      <c r="J418" s="534">
        <v>0</v>
      </c>
      <c r="K418" s="534">
        <v>17</v>
      </c>
    </row>
    <row r="419" spans="2:11" x14ac:dyDescent="0.3">
      <c r="B419" s="529">
        <f t="shared" si="17"/>
        <v>414001</v>
      </c>
      <c r="C419" s="529">
        <f t="shared" si="18"/>
        <v>415</v>
      </c>
      <c r="E419" s="534">
        <v>1</v>
      </c>
      <c r="F419" s="534">
        <v>415</v>
      </c>
      <c r="G419" s="534">
        <v>171</v>
      </c>
      <c r="I419" s="534">
        <v>0</v>
      </c>
      <c r="J419" s="534">
        <v>0</v>
      </c>
      <c r="K419" s="534">
        <v>17</v>
      </c>
    </row>
    <row r="420" spans="2:11" x14ac:dyDescent="0.3">
      <c r="B420" s="529">
        <f t="shared" si="17"/>
        <v>415001</v>
      </c>
      <c r="C420" s="529">
        <f t="shared" si="18"/>
        <v>416</v>
      </c>
      <c r="E420" s="534">
        <v>2</v>
      </c>
      <c r="F420" s="534">
        <v>832</v>
      </c>
      <c r="G420" s="534">
        <v>170</v>
      </c>
      <c r="I420" s="534">
        <v>0</v>
      </c>
      <c r="J420" s="534">
        <v>0</v>
      </c>
      <c r="K420" s="534">
        <v>17</v>
      </c>
    </row>
    <row r="421" spans="2:11" x14ac:dyDescent="0.3">
      <c r="B421" s="529">
        <f t="shared" si="17"/>
        <v>416001</v>
      </c>
      <c r="C421" s="529">
        <f t="shared" si="18"/>
        <v>417</v>
      </c>
      <c r="E421" s="534">
        <v>2</v>
      </c>
      <c r="F421" s="534">
        <v>834</v>
      </c>
      <c r="G421" s="534">
        <v>168</v>
      </c>
      <c r="I421" s="534">
        <v>0</v>
      </c>
      <c r="J421" s="534">
        <v>0</v>
      </c>
      <c r="K421" s="534">
        <v>17</v>
      </c>
    </row>
    <row r="422" spans="2:11" x14ac:dyDescent="0.3">
      <c r="B422" s="529">
        <f t="shared" si="17"/>
        <v>417001</v>
      </c>
      <c r="C422" s="529">
        <f t="shared" si="18"/>
        <v>418</v>
      </c>
      <c r="E422" s="534">
        <v>2</v>
      </c>
      <c r="F422" s="534">
        <v>836</v>
      </c>
      <c r="G422" s="534">
        <v>166</v>
      </c>
      <c r="I422" s="534">
        <v>0</v>
      </c>
      <c r="J422" s="534">
        <v>0</v>
      </c>
      <c r="K422" s="534">
        <v>17</v>
      </c>
    </row>
    <row r="423" spans="2:11" x14ac:dyDescent="0.3">
      <c r="B423" s="529">
        <f t="shared" si="17"/>
        <v>418001</v>
      </c>
      <c r="C423" s="529">
        <f t="shared" si="18"/>
        <v>419</v>
      </c>
      <c r="E423" s="534">
        <v>0</v>
      </c>
      <c r="F423" s="534">
        <v>0</v>
      </c>
      <c r="G423" s="534">
        <v>164</v>
      </c>
      <c r="I423" s="534">
        <v>0</v>
      </c>
      <c r="J423" s="534">
        <v>0</v>
      </c>
      <c r="K423" s="534">
        <v>17</v>
      </c>
    </row>
    <row r="424" spans="2:11" x14ac:dyDescent="0.3">
      <c r="B424" s="529">
        <f t="shared" si="17"/>
        <v>419001</v>
      </c>
      <c r="C424" s="529">
        <f t="shared" si="18"/>
        <v>420</v>
      </c>
      <c r="E424" s="534">
        <v>1</v>
      </c>
      <c r="F424" s="534">
        <v>420</v>
      </c>
      <c r="G424" s="534">
        <v>164</v>
      </c>
      <c r="I424" s="534">
        <v>0</v>
      </c>
      <c r="J424" s="534">
        <v>0</v>
      </c>
      <c r="K424" s="534">
        <v>17</v>
      </c>
    </row>
    <row r="425" spans="2:11" x14ac:dyDescent="0.3">
      <c r="B425" s="529">
        <f t="shared" si="17"/>
        <v>420001</v>
      </c>
      <c r="C425" s="529">
        <f t="shared" si="18"/>
        <v>421</v>
      </c>
      <c r="E425" s="534">
        <v>2</v>
      </c>
      <c r="F425" s="534">
        <v>842</v>
      </c>
      <c r="G425" s="534">
        <v>163</v>
      </c>
      <c r="I425" s="534">
        <v>0</v>
      </c>
      <c r="J425" s="534">
        <v>0</v>
      </c>
      <c r="K425" s="534">
        <v>17</v>
      </c>
    </row>
    <row r="426" spans="2:11" x14ac:dyDescent="0.3">
      <c r="B426" s="529">
        <f t="shared" si="17"/>
        <v>421001</v>
      </c>
      <c r="C426" s="529">
        <f t="shared" si="18"/>
        <v>422</v>
      </c>
      <c r="E426" s="534">
        <v>0</v>
      </c>
      <c r="F426" s="534">
        <v>0</v>
      </c>
      <c r="G426" s="534">
        <v>161</v>
      </c>
      <c r="I426" s="534">
        <v>0</v>
      </c>
      <c r="J426" s="534">
        <v>0</v>
      </c>
      <c r="K426" s="534">
        <v>17</v>
      </c>
    </row>
    <row r="427" spans="2:11" x14ac:dyDescent="0.3">
      <c r="B427" s="529">
        <f t="shared" si="17"/>
        <v>422001</v>
      </c>
      <c r="C427" s="529">
        <f t="shared" si="18"/>
        <v>423</v>
      </c>
      <c r="E427" s="534">
        <v>1</v>
      </c>
      <c r="F427" s="534">
        <v>423</v>
      </c>
      <c r="G427" s="534">
        <v>161</v>
      </c>
      <c r="I427" s="534">
        <v>0</v>
      </c>
      <c r="J427" s="534">
        <v>0</v>
      </c>
      <c r="K427" s="534">
        <v>17</v>
      </c>
    </row>
    <row r="428" spans="2:11" x14ac:dyDescent="0.3">
      <c r="B428" s="529">
        <f t="shared" si="17"/>
        <v>423001</v>
      </c>
      <c r="C428" s="529">
        <f t="shared" si="18"/>
        <v>424</v>
      </c>
      <c r="E428" s="534">
        <v>1</v>
      </c>
      <c r="F428" s="534">
        <v>424</v>
      </c>
      <c r="G428" s="534">
        <v>160</v>
      </c>
      <c r="I428" s="534">
        <v>1</v>
      </c>
      <c r="J428" s="534">
        <v>424</v>
      </c>
      <c r="K428" s="534">
        <v>17</v>
      </c>
    </row>
    <row r="429" spans="2:11" x14ac:dyDescent="0.3">
      <c r="B429" s="529">
        <f t="shared" si="17"/>
        <v>424001</v>
      </c>
      <c r="C429" s="529">
        <f t="shared" si="18"/>
        <v>425</v>
      </c>
      <c r="E429" s="534">
        <v>2</v>
      </c>
      <c r="F429" s="534">
        <v>850</v>
      </c>
      <c r="G429" s="534">
        <v>159</v>
      </c>
      <c r="I429" s="534">
        <v>0</v>
      </c>
      <c r="J429" s="534">
        <v>0</v>
      </c>
      <c r="K429" s="534">
        <v>16</v>
      </c>
    </row>
    <row r="430" spans="2:11" x14ac:dyDescent="0.3">
      <c r="B430" s="529">
        <f t="shared" si="17"/>
        <v>425001</v>
      </c>
      <c r="C430" s="529">
        <f t="shared" si="18"/>
        <v>426</v>
      </c>
      <c r="E430" s="534">
        <v>1</v>
      </c>
      <c r="F430" s="534">
        <v>426</v>
      </c>
      <c r="G430" s="534">
        <v>157</v>
      </c>
      <c r="I430" s="534">
        <v>0</v>
      </c>
      <c r="J430" s="534">
        <v>0</v>
      </c>
      <c r="K430" s="534">
        <v>16</v>
      </c>
    </row>
    <row r="431" spans="2:11" x14ac:dyDescent="0.3">
      <c r="B431" s="529">
        <f t="shared" si="17"/>
        <v>426001</v>
      </c>
      <c r="C431" s="529">
        <f t="shared" si="18"/>
        <v>427</v>
      </c>
      <c r="E431" s="534">
        <v>1</v>
      </c>
      <c r="F431" s="534">
        <v>427</v>
      </c>
      <c r="G431" s="534">
        <v>156</v>
      </c>
      <c r="I431" s="534">
        <v>0</v>
      </c>
      <c r="J431" s="534">
        <v>0</v>
      </c>
      <c r="K431" s="534">
        <v>16</v>
      </c>
    </row>
    <row r="432" spans="2:11" x14ac:dyDescent="0.3">
      <c r="B432" s="529">
        <f t="shared" si="17"/>
        <v>427001</v>
      </c>
      <c r="C432" s="529">
        <f t="shared" si="18"/>
        <v>428</v>
      </c>
      <c r="E432" s="534">
        <v>0</v>
      </c>
      <c r="F432" s="534">
        <v>0</v>
      </c>
      <c r="G432" s="534">
        <v>155</v>
      </c>
      <c r="I432" s="534">
        <v>0</v>
      </c>
      <c r="J432" s="534">
        <v>0</v>
      </c>
      <c r="K432" s="534">
        <v>16</v>
      </c>
    </row>
    <row r="433" spans="2:11" x14ac:dyDescent="0.3">
      <c r="B433" s="529">
        <f t="shared" si="17"/>
        <v>428001</v>
      </c>
      <c r="C433" s="529">
        <f t="shared" si="18"/>
        <v>429</v>
      </c>
      <c r="E433" s="534">
        <v>1</v>
      </c>
      <c r="F433" s="534">
        <v>429</v>
      </c>
      <c r="G433" s="534">
        <v>155</v>
      </c>
      <c r="I433" s="534">
        <v>0</v>
      </c>
      <c r="J433" s="534">
        <v>0</v>
      </c>
      <c r="K433" s="534">
        <v>16</v>
      </c>
    </row>
    <row r="434" spans="2:11" x14ac:dyDescent="0.3">
      <c r="B434" s="529">
        <f t="shared" si="17"/>
        <v>429001</v>
      </c>
      <c r="C434" s="529">
        <f t="shared" si="18"/>
        <v>430</v>
      </c>
      <c r="E434" s="534">
        <v>0</v>
      </c>
      <c r="F434" s="534">
        <v>0</v>
      </c>
      <c r="G434" s="534">
        <v>154</v>
      </c>
      <c r="I434" s="534">
        <v>0</v>
      </c>
      <c r="J434" s="534">
        <v>0</v>
      </c>
      <c r="K434" s="534">
        <v>16</v>
      </c>
    </row>
    <row r="435" spans="2:11" x14ac:dyDescent="0.3">
      <c r="B435" s="529">
        <f t="shared" si="17"/>
        <v>430001</v>
      </c>
      <c r="C435" s="529">
        <f t="shared" si="18"/>
        <v>431</v>
      </c>
      <c r="E435" s="534">
        <v>0</v>
      </c>
      <c r="F435" s="534">
        <v>0</v>
      </c>
      <c r="G435" s="534">
        <v>154</v>
      </c>
      <c r="I435" s="534">
        <v>0</v>
      </c>
      <c r="J435" s="534">
        <v>0</v>
      </c>
      <c r="K435" s="534">
        <v>16</v>
      </c>
    </row>
    <row r="436" spans="2:11" x14ac:dyDescent="0.3">
      <c r="B436" s="529">
        <f t="shared" si="17"/>
        <v>431001</v>
      </c>
      <c r="C436" s="529">
        <f t="shared" si="18"/>
        <v>432</v>
      </c>
      <c r="E436" s="534">
        <v>1</v>
      </c>
      <c r="F436" s="534">
        <v>432</v>
      </c>
      <c r="G436" s="534">
        <v>154</v>
      </c>
      <c r="I436" s="534">
        <v>0</v>
      </c>
      <c r="J436" s="534">
        <v>0</v>
      </c>
      <c r="K436" s="534">
        <v>16</v>
      </c>
    </row>
    <row r="437" spans="2:11" x14ac:dyDescent="0.3">
      <c r="B437" s="529">
        <f t="shared" si="17"/>
        <v>432001</v>
      </c>
      <c r="C437" s="529">
        <f t="shared" si="18"/>
        <v>433</v>
      </c>
      <c r="E437" s="534">
        <v>1</v>
      </c>
      <c r="F437" s="534">
        <v>433</v>
      </c>
      <c r="G437" s="534">
        <v>153</v>
      </c>
      <c r="I437" s="534">
        <v>0</v>
      </c>
      <c r="J437" s="534">
        <v>0</v>
      </c>
      <c r="K437" s="534">
        <v>16</v>
      </c>
    </row>
    <row r="438" spans="2:11" x14ac:dyDescent="0.3">
      <c r="B438" s="529">
        <f t="shared" si="17"/>
        <v>433001</v>
      </c>
      <c r="C438" s="529">
        <f t="shared" si="18"/>
        <v>434</v>
      </c>
      <c r="E438" s="534">
        <v>0</v>
      </c>
      <c r="F438" s="534">
        <v>0</v>
      </c>
      <c r="G438" s="534">
        <v>152</v>
      </c>
      <c r="I438" s="534">
        <v>0</v>
      </c>
      <c r="J438" s="534">
        <v>0</v>
      </c>
      <c r="K438" s="534">
        <v>16</v>
      </c>
    </row>
    <row r="439" spans="2:11" x14ac:dyDescent="0.3">
      <c r="B439" s="529">
        <f t="shared" si="17"/>
        <v>434001</v>
      </c>
      <c r="C439" s="529">
        <f t="shared" si="18"/>
        <v>435</v>
      </c>
      <c r="E439" s="534">
        <v>1</v>
      </c>
      <c r="F439" s="534">
        <v>435</v>
      </c>
      <c r="G439" s="534">
        <v>152</v>
      </c>
      <c r="I439" s="534">
        <v>1</v>
      </c>
      <c r="J439" s="534">
        <v>435</v>
      </c>
      <c r="K439" s="534">
        <v>16</v>
      </c>
    </row>
    <row r="440" spans="2:11" x14ac:dyDescent="0.3">
      <c r="B440" s="529">
        <f t="shared" si="17"/>
        <v>435001</v>
      </c>
      <c r="C440" s="529">
        <f t="shared" si="18"/>
        <v>436</v>
      </c>
      <c r="E440" s="534">
        <v>0</v>
      </c>
      <c r="F440" s="534">
        <v>0</v>
      </c>
      <c r="G440" s="534">
        <v>151</v>
      </c>
      <c r="I440" s="534">
        <v>0</v>
      </c>
      <c r="J440" s="534">
        <v>0</v>
      </c>
      <c r="K440" s="534">
        <v>15</v>
      </c>
    </row>
    <row r="441" spans="2:11" x14ac:dyDescent="0.3">
      <c r="B441" s="529">
        <f t="shared" si="17"/>
        <v>436001</v>
      </c>
      <c r="C441" s="529">
        <f t="shared" si="18"/>
        <v>437</v>
      </c>
      <c r="E441" s="534">
        <v>0</v>
      </c>
      <c r="F441" s="534">
        <v>0</v>
      </c>
      <c r="G441" s="534">
        <v>151</v>
      </c>
      <c r="I441" s="534">
        <v>1</v>
      </c>
      <c r="J441" s="534">
        <v>437</v>
      </c>
      <c r="K441" s="534">
        <v>15</v>
      </c>
    </row>
    <row r="442" spans="2:11" x14ac:dyDescent="0.3">
      <c r="B442" s="529">
        <f t="shared" si="17"/>
        <v>437001</v>
      </c>
      <c r="C442" s="529">
        <f t="shared" si="18"/>
        <v>438</v>
      </c>
      <c r="E442" s="534">
        <v>0</v>
      </c>
      <c r="F442" s="534">
        <v>0</v>
      </c>
      <c r="G442" s="534">
        <v>151</v>
      </c>
      <c r="I442" s="534">
        <v>0</v>
      </c>
      <c r="J442" s="534">
        <v>0</v>
      </c>
      <c r="K442" s="534">
        <v>14</v>
      </c>
    </row>
    <row r="443" spans="2:11" x14ac:dyDescent="0.3">
      <c r="B443" s="529">
        <f t="shared" si="17"/>
        <v>438001</v>
      </c>
      <c r="C443" s="529">
        <f t="shared" si="18"/>
        <v>439</v>
      </c>
      <c r="E443" s="534">
        <v>0</v>
      </c>
      <c r="F443" s="534">
        <v>0</v>
      </c>
      <c r="G443" s="534">
        <v>151</v>
      </c>
      <c r="I443" s="534">
        <v>0</v>
      </c>
      <c r="J443" s="534">
        <v>0</v>
      </c>
      <c r="K443" s="534">
        <v>14</v>
      </c>
    </row>
    <row r="444" spans="2:11" x14ac:dyDescent="0.3">
      <c r="B444" s="529">
        <f t="shared" si="17"/>
        <v>439001</v>
      </c>
      <c r="C444" s="529">
        <f t="shared" si="18"/>
        <v>440</v>
      </c>
      <c r="E444" s="534">
        <v>1</v>
      </c>
      <c r="F444" s="534">
        <v>440</v>
      </c>
      <c r="G444" s="534">
        <v>151</v>
      </c>
      <c r="I444" s="534">
        <v>0</v>
      </c>
      <c r="J444" s="534">
        <v>0</v>
      </c>
      <c r="K444" s="534">
        <v>14</v>
      </c>
    </row>
    <row r="445" spans="2:11" x14ac:dyDescent="0.3">
      <c r="B445" s="529">
        <f t="shared" si="17"/>
        <v>440001</v>
      </c>
      <c r="C445" s="529">
        <f t="shared" si="18"/>
        <v>441</v>
      </c>
      <c r="E445" s="534">
        <v>2</v>
      </c>
      <c r="F445" s="534">
        <v>882</v>
      </c>
      <c r="G445" s="534">
        <v>150</v>
      </c>
      <c r="I445" s="534">
        <v>0</v>
      </c>
      <c r="J445" s="534">
        <v>0</v>
      </c>
      <c r="K445" s="534">
        <v>14</v>
      </c>
    </row>
    <row r="446" spans="2:11" x14ac:dyDescent="0.3">
      <c r="B446" s="529">
        <f t="shared" si="17"/>
        <v>441001</v>
      </c>
      <c r="C446" s="529">
        <f t="shared" si="18"/>
        <v>442</v>
      </c>
      <c r="E446" s="534">
        <v>1</v>
      </c>
      <c r="F446" s="534">
        <v>442</v>
      </c>
      <c r="G446" s="534">
        <v>148</v>
      </c>
      <c r="I446" s="534">
        <v>0</v>
      </c>
      <c r="J446" s="534">
        <v>0</v>
      </c>
      <c r="K446" s="534">
        <v>14</v>
      </c>
    </row>
    <row r="447" spans="2:11" x14ac:dyDescent="0.3">
      <c r="B447" s="529">
        <f t="shared" si="17"/>
        <v>442001</v>
      </c>
      <c r="C447" s="529">
        <f t="shared" si="18"/>
        <v>443</v>
      </c>
      <c r="E447" s="534">
        <v>1</v>
      </c>
      <c r="F447" s="534">
        <v>443</v>
      </c>
      <c r="G447" s="534">
        <v>147</v>
      </c>
      <c r="I447" s="534">
        <v>0</v>
      </c>
      <c r="J447" s="534">
        <v>0</v>
      </c>
      <c r="K447" s="534">
        <v>14</v>
      </c>
    </row>
    <row r="448" spans="2:11" x14ac:dyDescent="0.3">
      <c r="B448" s="529">
        <f t="shared" si="17"/>
        <v>443001</v>
      </c>
      <c r="C448" s="529">
        <f t="shared" si="18"/>
        <v>444</v>
      </c>
      <c r="E448" s="534">
        <v>0</v>
      </c>
      <c r="F448" s="534">
        <v>0</v>
      </c>
      <c r="G448" s="534">
        <v>146</v>
      </c>
      <c r="I448" s="534">
        <v>0</v>
      </c>
      <c r="J448" s="534">
        <v>0</v>
      </c>
      <c r="K448" s="534">
        <v>14</v>
      </c>
    </row>
    <row r="449" spans="2:11" x14ac:dyDescent="0.3">
      <c r="B449" s="529">
        <f t="shared" si="17"/>
        <v>444001</v>
      </c>
      <c r="C449" s="529">
        <f t="shared" si="18"/>
        <v>445</v>
      </c>
      <c r="E449" s="534">
        <v>4</v>
      </c>
      <c r="F449" s="534">
        <v>1780</v>
      </c>
      <c r="G449" s="534">
        <v>146</v>
      </c>
      <c r="I449" s="534">
        <v>0</v>
      </c>
      <c r="J449" s="534">
        <v>0</v>
      </c>
      <c r="K449" s="534">
        <v>14</v>
      </c>
    </row>
    <row r="450" spans="2:11" x14ac:dyDescent="0.3">
      <c r="B450" s="529">
        <f t="shared" si="17"/>
        <v>445001</v>
      </c>
      <c r="C450" s="529">
        <f t="shared" si="18"/>
        <v>446</v>
      </c>
      <c r="E450" s="534">
        <v>0</v>
      </c>
      <c r="F450" s="534">
        <v>0</v>
      </c>
      <c r="G450" s="534">
        <v>142</v>
      </c>
      <c r="I450" s="534">
        <v>0</v>
      </c>
      <c r="J450" s="534">
        <v>0</v>
      </c>
      <c r="K450" s="534">
        <v>14</v>
      </c>
    </row>
    <row r="451" spans="2:11" x14ac:dyDescent="0.3">
      <c r="B451" s="529">
        <f t="shared" si="17"/>
        <v>446001</v>
      </c>
      <c r="C451" s="529">
        <f t="shared" si="18"/>
        <v>447</v>
      </c>
      <c r="E451" s="534">
        <v>0</v>
      </c>
      <c r="F451" s="534">
        <v>0</v>
      </c>
      <c r="G451" s="534">
        <v>142</v>
      </c>
      <c r="I451" s="534">
        <v>0</v>
      </c>
      <c r="J451" s="534">
        <v>0</v>
      </c>
      <c r="K451" s="534">
        <v>14</v>
      </c>
    </row>
    <row r="452" spans="2:11" x14ac:dyDescent="0.3">
      <c r="B452" s="529">
        <f t="shared" si="17"/>
        <v>447001</v>
      </c>
      <c r="C452" s="529">
        <f t="shared" si="18"/>
        <v>448</v>
      </c>
      <c r="E452" s="534">
        <v>0</v>
      </c>
      <c r="F452" s="534">
        <v>0</v>
      </c>
      <c r="G452" s="534">
        <v>142</v>
      </c>
      <c r="I452" s="534">
        <v>0</v>
      </c>
      <c r="J452" s="534">
        <v>0</v>
      </c>
      <c r="K452" s="534">
        <v>14</v>
      </c>
    </row>
    <row r="453" spans="2:11" x14ac:dyDescent="0.3">
      <c r="B453" s="529">
        <f t="shared" si="17"/>
        <v>448001</v>
      </c>
      <c r="C453" s="529">
        <f t="shared" si="18"/>
        <v>449</v>
      </c>
      <c r="E453" s="534">
        <v>0</v>
      </c>
      <c r="F453" s="534">
        <v>0</v>
      </c>
      <c r="G453" s="534">
        <v>142</v>
      </c>
      <c r="I453" s="534">
        <v>0</v>
      </c>
      <c r="J453" s="534">
        <v>0</v>
      </c>
      <c r="K453" s="534">
        <v>14</v>
      </c>
    </row>
    <row r="454" spans="2:11" x14ac:dyDescent="0.3">
      <c r="B454" s="529">
        <f t="shared" si="17"/>
        <v>449001</v>
      </c>
      <c r="C454" s="529">
        <f t="shared" si="18"/>
        <v>450</v>
      </c>
      <c r="E454" s="534">
        <v>1</v>
      </c>
      <c r="F454" s="534">
        <v>450</v>
      </c>
      <c r="G454" s="534">
        <v>142</v>
      </c>
      <c r="I454" s="534">
        <v>0</v>
      </c>
      <c r="J454" s="534">
        <v>0</v>
      </c>
      <c r="K454" s="534">
        <v>14</v>
      </c>
    </row>
    <row r="455" spans="2:11" x14ac:dyDescent="0.3">
      <c r="B455" s="529">
        <f t="shared" ref="B455:B518" si="19">C454*1000+1</f>
        <v>450001</v>
      </c>
      <c r="C455" s="529">
        <f t="shared" si="18"/>
        <v>451</v>
      </c>
      <c r="E455" s="534">
        <v>0</v>
      </c>
      <c r="F455" s="534">
        <v>0</v>
      </c>
      <c r="G455" s="534">
        <v>141</v>
      </c>
      <c r="I455" s="534">
        <v>0</v>
      </c>
      <c r="J455" s="534">
        <v>0</v>
      </c>
      <c r="K455" s="534">
        <v>14</v>
      </c>
    </row>
    <row r="456" spans="2:11" x14ac:dyDescent="0.3">
      <c r="B456" s="529">
        <f t="shared" si="19"/>
        <v>451001</v>
      </c>
      <c r="C456" s="529">
        <f t="shared" si="18"/>
        <v>452</v>
      </c>
      <c r="E456" s="534">
        <v>1</v>
      </c>
      <c r="F456" s="534">
        <v>452</v>
      </c>
      <c r="G456" s="534">
        <v>141</v>
      </c>
      <c r="I456" s="534">
        <v>0</v>
      </c>
      <c r="J456" s="534">
        <v>0</v>
      </c>
      <c r="K456" s="534">
        <v>14</v>
      </c>
    </row>
    <row r="457" spans="2:11" x14ac:dyDescent="0.3">
      <c r="B457" s="529">
        <f t="shared" si="19"/>
        <v>452001</v>
      </c>
      <c r="C457" s="529">
        <f t="shared" si="18"/>
        <v>453</v>
      </c>
      <c r="E457" s="534">
        <v>0</v>
      </c>
      <c r="F457" s="534">
        <v>0</v>
      </c>
      <c r="G457" s="534">
        <v>140</v>
      </c>
      <c r="I457" s="534">
        <v>0</v>
      </c>
      <c r="J457" s="534">
        <v>0</v>
      </c>
      <c r="K457" s="534">
        <v>14</v>
      </c>
    </row>
    <row r="458" spans="2:11" x14ac:dyDescent="0.3">
      <c r="B458" s="529">
        <f t="shared" si="19"/>
        <v>453001</v>
      </c>
      <c r="C458" s="529">
        <f t="shared" si="18"/>
        <v>454</v>
      </c>
      <c r="E458" s="534">
        <v>0</v>
      </c>
      <c r="F458" s="534">
        <v>0</v>
      </c>
      <c r="G458" s="534">
        <v>140</v>
      </c>
      <c r="I458" s="534">
        <v>0</v>
      </c>
      <c r="J458" s="534">
        <v>0</v>
      </c>
      <c r="K458" s="534">
        <v>14</v>
      </c>
    </row>
    <row r="459" spans="2:11" x14ac:dyDescent="0.3">
      <c r="B459" s="529">
        <f t="shared" si="19"/>
        <v>454001</v>
      </c>
      <c r="C459" s="529">
        <f t="shared" si="18"/>
        <v>455</v>
      </c>
      <c r="E459" s="534">
        <v>0</v>
      </c>
      <c r="F459" s="534">
        <v>0</v>
      </c>
      <c r="G459" s="534">
        <v>140</v>
      </c>
      <c r="I459" s="534">
        <v>0</v>
      </c>
      <c r="J459" s="534">
        <v>0</v>
      </c>
      <c r="K459" s="534">
        <v>14</v>
      </c>
    </row>
    <row r="460" spans="2:11" x14ac:dyDescent="0.3">
      <c r="B460" s="529">
        <f t="shared" si="19"/>
        <v>455001</v>
      </c>
      <c r="C460" s="529">
        <f t="shared" si="18"/>
        <v>456</v>
      </c>
      <c r="E460" s="534">
        <v>2</v>
      </c>
      <c r="F460" s="534">
        <v>912</v>
      </c>
      <c r="G460" s="534">
        <v>140</v>
      </c>
      <c r="I460" s="534">
        <v>0</v>
      </c>
      <c r="J460" s="534">
        <v>0</v>
      </c>
      <c r="K460" s="534">
        <v>14</v>
      </c>
    </row>
    <row r="461" spans="2:11" x14ac:dyDescent="0.3">
      <c r="B461" s="529">
        <f t="shared" si="19"/>
        <v>456001</v>
      </c>
      <c r="C461" s="529">
        <f t="shared" si="18"/>
        <v>457</v>
      </c>
      <c r="E461" s="534">
        <v>1</v>
      </c>
      <c r="F461" s="534">
        <v>457</v>
      </c>
      <c r="G461" s="534">
        <v>138</v>
      </c>
      <c r="I461" s="534">
        <v>0</v>
      </c>
      <c r="J461" s="534">
        <v>0</v>
      </c>
      <c r="K461" s="534">
        <v>14</v>
      </c>
    </row>
    <row r="462" spans="2:11" x14ac:dyDescent="0.3">
      <c r="B462" s="529">
        <f t="shared" si="19"/>
        <v>457001</v>
      </c>
      <c r="C462" s="529">
        <f t="shared" si="18"/>
        <v>458</v>
      </c>
      <c r="E462" s="534">
        <v>1</v>
      </c>
      <c r="F462" s="534">
        <v>458</v>
      </c>
      <c r="G462" s="534">
        <v>137</v>
      </c>
      <c r="I462" s="534">
        <v>0</v>
      </c>
      <c r="J462" s="534">
        <v>0</v>
      </c>
      <c r="K462" s="534">
        <v>14</v>
      </c>
    </row>
    <row r="463" spans="2:11" x14ac:dyDescent="0.3">
      <c r="B463" s="529">
        <f t="shared" si="19"/>
        <v>458001</v>
      </c>
      <c r="C463" s="529">
        <f t="shared" si="18"/>
        <v>459</v>
      </c>
      <c r="E463" s="534">
        <v>1</v>
      </c>
      <c r="F463" s="534">
        <v>459</v>
      </c>
      <c r="G463" s="534">
        <v>136</v>
      </c>
      <c r="I463" s="534">
        <v>0</v>
      </c>
      <c r="J463" s="534">
        <v>0</v>
      </c>
      <c r="K463" s="534">
        <v>14</v>
      </c>
    </row>
    <row r="464" spans="2:11" x14ac:dyDescent="0.3">
      <c r="B464" s="529">
        <f t="shared" si="19"/>
        <v>459001</v>
      </c>
      <c r="C464" s="529">
        <f t="shared" si="18"/>
        <v>460</v>
      </c>
      <c r="E464" s="534">
        <v>2</v>
      </c>
      <c r="F464" s="534">
        <v>920</v>
      </c>
      <c r="G464" s="534">
        <v>135</v>
      </c>
      <c r="I464" s="534">
        <v>0</v>
      </c>
      <c r="J464" s="534">
        <v>0</v>
      </c>
      <c r="K464" s="534">
        <v>14</v>
      </c>
    </row>
    <row r="465" spans="2:11" x14ac:dyDescent="0.3">
      <c r="B465" s="529">
        <f t="shared" si="19"/>
        <v>460001</v>
      </c>
      <c r="C465" s="529">
        <f t="shared" si="18"/>
        <v>461</v>
      </c>
      <c r="E465" s="534">
        <v>0</v>
      </c>
      <c r="F465" s="534">
        <v>0</v>
      </c>
      <c r="G465" s="534">
        <v>133</v>
      </c>
      <c r="I465" s="534">
        <v>0</v>
      </c>
      <c r="J465" s="534">
        <v>0</v>
      </c>
      <c r="K465" s="534">
        <v>14</v>
      </c>
    </row>
    <row r="466" spans="2:11" x14ac:dyDescent="0.3">
      <c r="B466" s="529">
        <f t="shared" si="19"/>
        <v>461001</v>
      </c>
      <c r="C466" s="529">
        <f t="shared" si="18"/>
        <v>462</v>
      </c>
      <c r="E466" s="534">
        <v>0</v>
      </c>
      <c r="F466" s="534">
        <v>0</v>
      </c>
      <c r="G466" s="534">
        <v>133</v>
      </c>
      <c r="I466" s="534">
        <v>0</v>
      </c>
      <c r="J466" s="534">
        <v>0</v>
      </c>
      <c r="K466" s="534">
        <v>14</v>
      </c>
    </row>
    <row r="467" spans="2:11" x14ac:dyDescent="0.3">
      <c r="B467" s="529">
        <f t="shared" si="19"/>
        <v>462001</v>
      </c>
      <c r="C467" s="529">
        <f t="shared" si="18"/>
        <v>463</v>
      </c>
      <c r="E467" s="534">
        <v>0</v>
      </c>
      <c r="F467" s="534">
        <v>0</v>
      </c>
      <c r="G467" s="534">
        <v>133</v>
      </c>
      <c r="I467" s="534">
        <v>0</v>
      </c>
      <c r="J467" s="534">
        <v>0</v>
      </c>
      <c r="K467" s="534">
        <v>14</v>
      </c>
    </row>
    <row r="468" spans="2:11" x14ac:dyDescent="0.3">
      <c r="B468" s="529">
        <f t="shared" si="19"/>
        <v>463001</v>
      </c>
      <c r="C468" s="529">
        <f t="shared" si="18"/>
        <v>464</v>
      </c>
      <c r="E468" s="534">
        <v>0</v>
      </c>
      <c r="F468" s="534">
        <v>0</v>
      </c>
      <c r="G468" s="534">
        <v>133</v>
      </c>
      <c r="I468" s="534">
        <v>0</v>
      </c>
      <c r="J468" s="534">
        <v>0</v>
      </c>
      <c r="K468" s="534">
        <v>14</v>
      </c>
    </row>
    <row r="469" spans="2:11" x14ac:dyDescent="0.3">
      <c r="B469" s="529">
        <f t="shared" si="19"/>
        <v>464001</v>
      </c>
      <c r="C469" s="529">
        <f t="shared" si="18"/>
        <v>465</v>
      </c>
      <c r="E469" s="534">
        <v>0</v>
      </c>
      <c r="F469" s="534">
        <v>0</v>
      </c>
      <c r="G469" s="534">
        <v>133</v>
      </c>
      <c r="I469" s="534">
        <v>0</v>
      </c>
      <c r="J469" s="534">
        <v>0</v>
      </c>
      <c r="K469" s="534">
        <v>14</v>
      </c>
    </row>
    <row r="470" spans="2:11" x14ac:dyDescent="0.3">
      <c r="B470" s="529">
        <f t="shared" si="19"/>
        <v>465001</v>
      </c>
      <c r="C470" s="529">
        <f t="shared" si="18"/>
        <v>466</v>
      </c>
      <c r="E470" s="534">
        <v>0</v>
      </c>
      <c r="F470" s="534">
        <v>0</v>
      </c>
      <c r="G470" s="534">
        <v>133</v>
      </c>
      <c r="I470" s="534">
        <v>0</v>
      </c>
      <c r="J470" s="534">
        <v>0</v>
      </c>
      <c r="K470" s="534">
        <v>14</v>
      </c>
    </row>
    <row r="471" spans="2:11" x14ac:dyDescent="0.3">
      <c r="B471" s="529">
        <f t="shared" si="19"/>
        <v>466001</v>
      </c>
      <c r="C471" s="529">
        <f t="shared" si="18"/>
        <v>467</v>
      </c>
      <c r="E471" s="534">
        <v>1</v>
      </c>
      <c r="F471" s="534">
        <v>467</v>
      </c>
      <c r="G471" s="534">
        <v>133</v>
      </c>
      <c r="I471" s="534">
        <v>0</v>
      </c>
      <c r="J471" s="534">
        <v>0</v>
      </c>
      <c r="K471" s="534">
        <v>14</v>
      </c>
    </row>
    <row r="472" spans="2:11" x14ac:dyDescent="0.3">
      <c r="B472" s="529">
        <f t="shared" si="19"/>
        <v>467001</v>
      </c>
      <c r="C472" s="529">
        <f t="shared" si="18"/>
        <v>468</v>
      </c>
      <c r="E472" s="534">
        <v>0</v>
      </c>
      <c r="F472" s="534">
        <v>0</v>
      </c>
      <c r="G472" s="534">
        <v>132</v>
      </c>
      <c r="I472" s="534">
        <v>0</v>
      </c>
      <c r="J472" s="534">
        <v>0</v>
      </c>
      <c r="K472" s="534">
        <v>14</v>
      </c>
    </row>
    <row r="473" spans="2:11" x14ac:dyDescent="0.3">
      <c r="B473" s="529">
        <f t="shared" si="19"/>
        <v>468001</v>
      </c>
      <c r="C473" s="529">
        <f t="shared" si="18"/>
        <v>469</v>
      </c>
      <c r="E473" s="534">
        <v>0</v>
      </c>
      <c r="F473" s="534">
        <v>0</v>
      </c>
      <c r="G473" s="534">
        <v>132</v>
      </c>
      <c r="I473" s="534">
        <v>0</v>
      </c>
      <c r="J473" s="534">
        <v>0</v>
      </c>
      <c r="K473" s="534">
        <v>14</v>
      </c>
    </row>
    <row r="474" spans="2:11" x14ac:dyDescent="0.3">
      <c r="B474" s="529">
        <f t="shared" si="19"/>
        <v>469001</v>
      </c>
      <c r="C474" s="529">
        <f t="shared" si="18"/>
        <v>470</v>
      </c>
      <c r="E474" s="534">
        <v>0</v>
      </c>
      <c r="F474" s="534">
        <v>0</v>
      </c>
      <c r="G474" s="534">
        <v>132</v>
      </c>
      <c r="I474" s="534">
        <v>0</v>
      </c>
      <c r="J474" s="534">
        <v>0</v>
      </c>
      <c r="K474" s="534">
        <v>14</v>
      </c>
    </row>
    <row r="475" spans="2:11" x14ac:dyDescent="0.3">
      <c r="B475" s="529">
        <f t="shared" si="19"/>
        <v>470001</v>
      </c>
      <c r="C475" s="529">
        <f t="shared" si="18"/>
        <v>471</v>
      </c>
      <c r="E475" s="534">
        <v>0</v>
      </c>
      <c r="F475" s="534">
        <v>0</v>
      </c>
      <c r="G475" s="534">
        <v>132</v>
      </c>
      <c r="I475" s="534">
        <v>0</v>
      </c>
      <c r="J475" s="534">
        <v>0</v>
      </c>
      <c r="K475" s="534">
        <v>14</v>
      </c>
    </row>
    <row r="476" spans="2:11" x14ac:dyDescent="0.3">
      <c r="B476" s="529">
        <f t="shared" si="19"/>
        <v>471001</v>
      </c>
      <c r="C476" s="529">
        <f t="shared" si="18"/>
        <v>472</v>
      </c>
      <c r="E476" s="534">
        <v>1</v>
      </c>
      <c r="F476" s="534">
        <v>472</v>
      </c>
      <c r="G476" s="534">
        <v>132</v>
      </c>
      <c r="I476" s="534">
        <v>0</v>
      </c>
      <c r="J476" s="534">
        <v>0</v>
      </c>
      <c r="K476" s="534">
        <v>14</v>
      </c>
    </row>
    <row r="477" spans="2:11" x14ac:dyDescent="0.3">
      <c r="B477" s="529">
        <f t="shared" si="19"/>
        <v>472001</v>
      </c>
      <c r="C477" s="529">
        <f t="shared" si="18"/>
        <v>473</v>
      </c>
      <c r="E477" s="534">
        <v>1</v>
      </c>
      <c r="F477" s="534">
        <v>473</v>
      </c>
      <c r="G477" s="534">
        <v>131</v>
      </c>
      <c r="I477" s="534">
        <v>0</v>
      </c>
      <c r="J477" s="534">
        <v>0</v>
      </c>
      <c r="K477" s="534">
        <v>14</v>
      </c>
    </row>
    <row r="478" spans="2:11" x14ac:dyDescent="0.3">
      <c r="B478" s="529">
        <f t="shared" si="19"/>
        <v>473001</v>
      </c>
      <c r="C478" s="529">
        <f t="shared" si="18"/>
        <v>474</v>
      </c>
      <c r="E478" s="534">
        <v>0</v>
      </c>
      <c r="F478" s="534">
        <v>0</v>
      </c>
      <c r="G478" s="534">
        <v>130</v>
      </c>
      <c r="I478" s="534">
        <v>0</v>
      </c>
      <c r="J478" s="534">
        <v>0</v>
      </c>
      <c r="K478" s="534">
        <v>14</v>
      </c>
    </row>
    <row r="479" spans="2:11" x14ac:dyDescent="0.3">
      <c r="B479" s="529">
        <f t="shared" si="19"/>
        <v>474001</v>
      </c>
      <c r="C479" s="529">
        <f t="shared" si="18"/>
        <v>475</v>
      </c>
      <c r="E479" s="534">
        <v>1</v>
      </c>
      <c r="F479" s="534">
        <v>475</v>
      </c>
      <c r="G479" s="534">
        <v>130</v>
      </c>
      <c r="I479" s="534">
        <v>0</v>
      </c>
      <c r="J479" s="534">
        <v>0</v>
      </c>
      <c r="K479" s="534">
        <v>14</v>
      </c>
    </row>
    <row r="480" spans="2:11" x14ac:dyDescent="0.3">
      <c r="B480" s="529">
        <f t="shared" si="19"/>
        <v>475001</v>
      </c>
      <c r="C480" s="529">
        <f t="shared" ref="C480:C543" si="20">C479+1</f>
        <v>476</v>
      </c>
      <c r="E480" s="534">
        <v>1</v>
      </c>
      <c r="F480" s="534">
        <v>476</v>
      </c>
      <c r="G480" s="534">
        <v>129</v>
      </c>
      <c r="I480" s="534">
        <v>0</v>
      </c>
      <c r="J480" s="534">
        <v>0</v>
      </c>
      <c r="K480" s="534">
        <v>14</v>
      </c>
    </row>
    <row r="481" spans="2:11" x14ac:dyDescent="0.3">
      <c r="B481" s="529">
        <f t="shared" si="19"/>
        <v>476001</v>
      </c>
      <c r="C481" s="529">
        <f t="shared" si="20"/>
        <v>477</v>
      </c>
      <c r="E481" s="534">
        <v>2</v>
      </c>
      <c r="F481" s="534">
        <v>954</v>
      </c>
      <c r="G481" s="534">
        <v>128</v>
      </c>
      <c r="I481" s="534">
        <v>0</v>
      </c>
      <c r="J481" s="534">
        <v>0</v>
      </c>
      <c r="K481" s="534">
        <v>14</v>
      </c>
    </row>
    <row r="482" spans="2:11" x14ac:dyDescent="0.3">
      <c r="B482" s="529">
        <f t="shared" si="19"/>
        <v>477001</v>
      </c>
      <c r="C482" s="529">
        <f t="shared" si="20"/>
        <v>478</v>
      </c>
      <c r="E482" s="534">
        <v>0</v>
      </c>
      <c r="F482" s="534">
        <v>0</v>
      </c>
      <c r="G482" s="534">
        <v>126</v>
      </c>
      <c r="I482" s="534">
        <v>0</v>
      </c>
      <c r="J482" s="534">
        <v>0</v>
      </c>
      <c r="K482" s="534">
        <v>14</v>
      </c>
    </row>
    <row r="483" spans="2:11" x14ac:dyDescent="0.3">
      <c r="B483" s="529">
        <f t="shared" si="19"/>
        <v>478001</v>
      </c>
      <c r="C483" s="529">
        <f t="shared" si="20"/>
        <v>479</v>
      </c>
      <c r="E483" s="534">
        <v>0</v>
      </c>
      <c r="F483" s="534">
        <v>0</v>
      </c>
      <c r="G483" s="534">
        <v>126</v>
      </c>
      <c r="I483" s="534">
        <v>0</v>
      </c>
      <c r="J483" s="534">
        <v>0</v>
      </c>
      <c r="K483" s="534">
        <v>14</v>
      </c>
    </row>
    <row r="484" spans="2:11" x14ac:dyDescent="0.3">
      <c r="B484" s="529">
        <f t="shared" si="19"/>
        <v>479001</v>
      </c>
      <c r="C484" s="529">
        <f t="shared" si="20"/>
        <v>480</v>
      </c>
      <c r="E484" s="534">
        <v>0</v>
      </c>
      <c r="F484" s="534">
        <v>0</v>
      </c>
      <c r="G484" s="534">
        <v>126</v>
      </c>
      <c r="I484" s="534">
        <v>0</v>
      </c>
      <c r="J484" s="534">
        <v>0</v>
      </c>
      <c r="K484" s="534">
        <v>14</v>
      </c>
    </row>
    <row r="485" spans="2:11" x14ac:dyDescent="0.3">
      <c r="B485" s="529">
        <f t="shared" si="19"/>
        <v>480001</v>
      </c>
      <c r="C485" s="529">
        <f t="shared" si="20"/>
        <v>481</v>
      </c>
      <c r="E485" s="534">
        <v>1</v>
      </c>
      <c r="F485" s="534">
        <v>481</v>
      </c>
      <c r="G485" s="534">
        <v>126</v>
      </c>
      <c r="I485" s="534">
        <v>0</v>
      </c>
      <c r="J485" s="534">
        <v>0</v>
      </c>
      <c r="K485" s="534">
        <v>14</v>
      </c>
    </row>
    <row r="486" spans="2:11" x14ac:dyDescent="0.3">
      <c r="B486" s="529">
        <f t="shared" si="19"/>
        <v>481001</v>
      </c>
      <c r="C486" s="529">
        <f t="shared" si="20"/>
        <v>482</v>
      </c>
      <c r="E486" s="534">
        <v>0</v>
      </c>
      <c r="F486" s="534">
        <v>0</v>
      </c>
      <c r="G486" s="534">
        <v>125</v>
      </c>
      <c r="I486" s="534">
        <v>0</v>
      </c>
      <c r="J486" s="534">
        <v>0</v>
      </c>
      <c r="K486" s="534">
        <v>14</v>
      </c>
    </row>
    <row r="487" spans="2:11" x14ac:dyDescent="0.3">
      <c r="B487" s="529">
        <f t="shared" si="19"/>
        <v>482001</v>
      </c>
      <c r="C487" s="529">
        <f t="shared" si="20"/>
        <v>483</v>
      </c>
      <c r="E487" s="534">
        <v>2</v>
      </c>
      <c r="F487" s="534">
        <v>966</v>
      </c>
      <c r="G487" s="534">
        <v>125</v>
      </c>
      <c r="I487" s="534">
        <v>0</v>
      </c>
      <c r="J487" s="534">
        <v>0</v>
      </c>
      <c r="K487" s="534">
        <v>14</v>
      </c>
    </row>
    <row r="488" spans="2:11" x14ac:dyDescent="0.3">
      <c r="B488" s="529">
        <f t="shared" si="19"/>
        <v>483001</v>
      </c>
      <c r="C488" s="529">
        <f t="shared" si="20"/>
        <v>484</v>
      </c>
      <c r="E488" s="534">
        <v>1</v>
      </c>
      <c r="F488" s="534">
        <v>484</v>
      </c>
      <c r="G488" s="534">
        <v>123</v>
      </c>
      <c r="I488" s="534">
        <v>0</v>
      </c>
      <c r="J488" s="534">
        <v>0</v>
      </c>
      <c r="K488" s="534">
        <v>14</v>
      </c>
    </row>
    <row r="489" spans="2:11" x14ac:dyDescent="0.3">
      <c r="B489" s="529">
        <f t="shared" si="19"/>
        <v>484001</v>
      </c>
      <c r="C489" s="529">
        <f t="shared" si="20"/>
        <v>485</v>
      </c>
      <c r="E489" s="534">
        <v>0</v>
      </c>
      <c r="F489" s="534">
        <v>0</v>
      </c>
      <c r="G489" s="534">
        <v>122</v>
      </c>
      <c r="I489" s="534">
        <v>0</v>
      </c>
      <c r="J489" s="534">
        <v>0</v>
      </c>
      <c r="K489" s="534">
        <v>14</v>
      </c>
    </row>
    <row r="490" spans="2:11" x14ac:dyDescent="0.3">
      <c r="B490" s="529">
        <f t="shared" si="19"/>
        <v>485001</v>
      </c>
      <c r="C490" s="529">
        <f t="shared" si="20"/>
        <v>486</v>
      </c>
      <c r="E490" s="534">
        <v>0</v>
      </c>
      <c r="F490" s="534">
        <v>0</v>
      </c>
      <c r="G490" s="534">
        <v>122</v>
      </c>
      <c r="I490" s="534">
        <v>0</v>
      </c>
      <c r="J490" s="534">
        <v>0</v>
      </c>
      <c r="K490" s="534">
        <v>14</v>
      </c>
    </row>
    <row r="491" spans="2:11" x14ac:dyDescent="0.3">
      <c r="B491" s="529">
        <f t="shared" si="19"/>
        <v>486001</v>
      </c>
      <c r="C491" s="529">
        <f t="shared" si="20"/>
        <v>487</v>
      </c>
      <c r="E491" s="534">
        <v>0</v>
      </c>
      <c r="F491" s="534">
        <v>0</v>
      </c>
      <c r="G491" s="534">
        <v>122</v>
      </c>
      <c r="I491" s="534">
        <v>0</v>
      </c>
      <c r="J491" s="534">
        <v>0</v>
      </c>
      <c r="K491" s="534">
        <v>14</v>
      </c>
    </row>
    <row r="492" spans="2:11" x14ac:dyDescent="0.3">
      <c r="B492" s="529">
        <f t="shared" si="19"/>
        <v>487001</v>
      </c>
      <c r="C492" s="529">
        <f t="shared" si="20"/>
        <v>488</v>
      </c>
      <c r="E492" s="534">
        <v>0</v>
      </c>
      <c r="F492" s="534">
        <v>0</v>
      </c>
      <c r="G492" s="534">
        <v>122</v>
      </c>
      <c r="I492" s="534">
        <v>0</v>
      </c>
      <c r="J492" s="534">
        <v>0</v>
      </c>
      <c r="K492" s="534">
        <v>14</v>
      </c>
    </row>
    <row r="493" spans="2:11" x14ac:dyDescent="0.3">
      <c r="B493" s="529">
        <f t="shared" si="19"/>
        <v>488001</v>
      </c>
      <c r="C493" s="529">
        <f t="shared" si="20"/>
        <v>489</v>
      </c>
      <c r="E493" s="534">
        <v>1</v>
      </c>
      <c r="F493" s="534">
        <v>489</v>
      </c>
      <c r="G493" s="534">
        <v>122</v>
      </c>
      <c r="I493" s="534">
        <v>0</v>
      </c>
      <c r="J493" s="534">
        <v>0</v>
      </c>
      <c r="K493" s="534">
        <v>14</v>
      </c>
    </row>
    <row r="494" spans="2:11" x14ac:dyDescent="0.3">
      <c r="B494" s="529">
        <f t="shared" si="19"/>
        <v>489001</v>
      </c>
      <c r="C494" s="529">
        <f t="shared" si="20"/>
        <v>490</v>
      </c>
      <c r="E494" s="534">
        <v>0</v>
      </c>
      <c r="F494" s="534">
        <v>0</v>
      </c>
      <c r="G494" s="534">
        <v>121</v>
      </c>
      <c r="I494" s="534">
        <v>0</v>
      </c>
      <c r="J494" s="534">
        <v>0</v>
      </c>
      <c r="K494" s="534">
        <v>14</v>
      </c>
    </row>
    <row r="495" spans="2:11" x14ac:dyDescent="0.3">
      <c r="B495" s="529">
        <f t="shared" si="19"/>
        <v>490001</v>
      </c>
      <c r="C495" s="529">
        <f t="shared" si="20"/>
        <v>491</v>
      </c>
      <c r="E495" s="534">
        <v>1</v>
      </c>
      <c r="F495" s="534">
        <v>491</v>
      </c>
      <c r="G495" s="534">
        <v>121</v>
      </c>
      <c r="I495" s="534">
        <v>0</v>
      </c>
      <c r="J495" s="534">
        <v>0</v>
      </c>
      <c r="K495" s="534">
        <v>14</v>
      </c>
    </row>
    <row r="496" spans="2:11" x14ac:dyDescent="0.3">
      <c r="B496" s="529">
        <f t="shared" si="19"/>
        <v>491001</v>
      </c>
      <c r="C496" s="529">
        <f t="shared" si="20"/>
        <v>492</v>
      </c>
      <c r="E496" s="534">
        <v>1</v>
      </c>
      <c r="F496" s="534">
        <v>492</v>
      </c>
      <c r="G496" s="534">
        <v>120</v>
      </c>
      <c r="I496" s="534">
        <v>0</v>
      </c>
      <c r="J496" s="534">
        <v>0</v>
      </c>
      <c r="K496" s="534">
        <v>14</v>
      </c>
    </row>
    <row r="497" spans="2:11" x14ac:dyDescent="0.3">
      <c r="B497" s="529">
        <f t="shared" si="19"/>
        <v>492001</v>
      </c>
      <c r="C497" s="529">
        <f t="shared" si="20"/>
        <v>493</v>
      </c>
      <c r="E497" s="534">
        <v>0</v>
      </c>
      <c r="F497" s="534">
        <v>0</v>
      </c>
      <c r="G497" s="534">
        <v>119</v>
      </c>
      <c r="I497" s="534">
        <v>0</v>
      </c>
      <c r="J497" s="534">
        <v>0</v>
      </c>
      <c r="K497" s="534">
        <v>14</v>
      </c>
    </row>
    <row r="498" spans="2:11" x14ac:dyDescent="0.3">
      <c r="B498" s="529">
        <f t="shared" si="19"/>
        <v>493001</v>
      </c>
      <c r="C498" s="529">
        <f t="shared" si="20"/>
        <v>494</v>
      </c>
      <c r="E498" s="534">
        <v>1</v>
      </c>
      <c r="F498" s="534">
        <v>494</v>
      </c>
      <c r="G498" s="534">
        <v>119</v>
      </c>
      <c r="I498" s="534">
        <v>0</v>
      </c>
      <c r="J498" s="534">
        <v>0</v>
      </c>
      <c r="K498" s="534">
        <v>14</v>
      </c>
    </row>
    <row r="499" spans="2:11" x14ac:dyDescent="0.3">
      <c r="B499" s="529">
        <f t="shared" si="19"/>
        <v>494001</v>
      </c>
      <c r="C499" s="529">
        <f t="shared" si="20"/>
        <v>495</v>
      </c>
      <c r="E499" s="534">
        <v>1</v>
      </c>
      <c r="F499" s="534">
        <v>495</v>
      </c>
      <c r="G499" s="534">
        <v>118</v>
      </c>
      <c r="I499" s="534">
        <v>0</v>
      </c>
      <c r="J499" s="534">
        <v>0</v>
      </c>
      <c r="K499" s="534">
        <v>14</v>
      </c>
    </row>
    <row r="500" spans="2:11" x14ac:dyDescent="0.3">
      <c r="B500" s="529">
        <f t="shared" si="19"/>
        <v>495001</v>
      </c>
      <c r="C500" s="529">
        <f t="shared" si="20"/>
        <v>496</v>
      </c>
      <c r="E500" s="534">
        <v>2</v>
      </c>
      <c r="F500" s="534">
        <v>992</v>
      </c>
      <c r="G500" s="534">
        <v>117</v>
      </c>
      <c r="I500" s="534">
        <v>0</v>
      </c>
      <c r="J500" s="534">
        <v>0</v>
      </c>
      <c r="K500" s="534">
        <v>14</v>
      </c>
    </row>
    <row r="501" spans="2:11" x14ac:dyDescent="0.3">
      <c r="B501" s="529">
        <f t="shared" si="19"/>
        <v>496001</v>
      </c>
      <c r="C501" s="529">
        <f t="shared" si="20"/>
        <v>497</v>
      </c>
      <c r="E501" s="534">
        <v>1</v>
      </c>
      <c r="F501" s="534">
        <v>497</v>
      </c>
      <c r="G501" s="534">
        <v>115</v>
      </c>
      <c r="I501" s="534">
        <v>0</v>
      </c>
      <c r="J501" s="534">
        <v>0</v>
      </c>
      <c r="K501" s="534">
        <v>14</v>
      </c>
    </row>
    <row r="502" spans="2:11" x14ac:dyDescent="0.3">
      <c r="B502" s="529">
        <f t="shared" si="19"/>
        <v>497001</v>
      </c>
      <c r="C502" s="529">
        <f t="shared" si="20"/>
        <v>498</v>
      </c>
      <c r="E502" s="534">
        <v>0</v>
      </c>
      <c r="F502" s="534">
        <v>0</v>
      </c>
      <c r="G502" s="534">
        <v>114</v>
      </c>
      <c r="I502" s="534">
        <v>0</v>
      </c>
      <c r="J502" s="534">
        <v>0</v>
      </c>
      <c r="K502" s="534">
        <v>14</v>
      </c>
    </row>
    <row r="503" spans="2:11" x14ac:dyDescent="0.3">
      <c r="B503" s="529">
        <f t="shared" si="19"/>
        <v>498001</v>
      </c>
      <c r="C503" s="529">
        <f t="shared" si="20"/>
        <v>499</v>
      </c>
      <c r="E503" s="534">
        <v>1</v>
      </c>
      <c r="F503" s="534">
        <v>499</v>
      </c>
      <c r="G503" s="534">
        <v>114</v>
      </c>
      <c r="I503" s="534">
        <v>1</v>
      </c>
      <c r="J503" s="534">
        <v>499</v>
      </c>
      <c r="K503" s="534">
        <v>14</v>
      </c>
    </row>
    <row r="504" spans="2:11" x14ac:dyDescent="0.3">
      <c r="B504" s="529">
        <f t="shared" si="19"/>
        <v>499001</v>
      </c>
      <c r="C504" s="529">
        <f t="shared" si="20"/>
        <v>500</v>
      </c>
      <c r="E504" s="534">
        <v>0</v>
      </c>
      <c r="F504" s="534">
        <v>0</v>
      </c>
      <c r="G504" s="534">
        <v>113</v>
      </c>
      <c r="I504" s="534">
        <v>0</v>
      </c>
      <c r="J504" s="534">
        <v>0</v>
      </c>
      <c r="K504" s="534">
        <v>13</v>
      </c>
    </row>
    <row r="505" spans="2:11" x14ac:dyDescent="0.3">
      <c r="B505" s="529">
        <f t="shared" si="19"/>
        <v>500001</v>
      </c>
      <c r="C505" s="529">
        <f t="shared" si="20"/>
        <v>501</v>
      </c>
      <c r="E505" s="534">
        <v>0</v>
      </c>
      <c r="F505" s="534">
        <v>0</v>
      </c>
      <c r="G505" s="534">
        <v>113</v>
      </c>
      <c r="I505" s="534">
        <v>0</v>
      </c>
      <c r="J505" s="534">
        <v>0</v>
      </c>
      <c r="K505" s="534">
        <v>13</v>
      </c>
    </row>
    <row r="506" spans="2:11" x14ac:dyDescent="0.3">
      <c r="B506" s="529">
        <f t="shared" si="19"/>
        <v>501001</v>
      </c>
      <c r="C506" s="529">
        <f t="shared" si="20"/>
        <v>502</v>
      </c>
      <c r="E506" s="534">
        <v>0</v>
      </c>
      <c r="F506" s="534">
        <v>0</v>
      </c>
      <c r="G506" s="534">
        <v>113</v>
      </c>
      <c r="I506" s="534">
        <v>0</v>
      </c>
      <c r="J506" s="534">
        <v>0</v>
      </c>
      <c r="K506" s="534">
        <v>13</v>
      </c>
    </row>
    <row r="507" spans="2:11" x14ac:dyDescent="0.3">
      <c r="B507" s="529">
        <f t="shared" si="19"/>
        <v>502001</v>
      </c>
      <c r="C507" s="529">
        <f t="shared" si="20"/>
        <v>503</v>
      </c>
      <c r="E507" s="534">
        <v>1</v>
      </c>
      <c r="F507" s="534">
        <v>503</v>
      </c>
      <c r="G507" s="534">
        <v>113</v>
      </c>
      <c r="I507" s="534">
        <v>0</v>
      </c>
      <c r="J507" s="534">
        <v>0</v>
      </c>
      <c r="K507" s="534">
        <v>13</v>
      </c>
    </row>
    <row r="508" spans="2:11" x14ac:dyDescent="0.3">
      <c r="B508" s="529">
        <f t="shared" si="19"/>
        <v>503001</v>
      </c>
      <c r="C508" s="529">
        <f t="shared" si="20"/>
        <v>504</v>
      </c>
      <c r="E508" s="534">
        <v>0</v>
      </c>
      <c r="F508" s="534">
        <v>0</v>
      </c>
      <c r="G508" s="534">
        <v>112</v>
      </c>
      <c r="I508" s="534">
        <v>0</v>
      </c>
      <c r="J508" s="534">
        <v>0</v>
      </c>
      <c r="K508" s="534">
        <v>13</v>
      </c>
    </row>
    <row r="509" spans="2:11" x14ac:dyDescent="0.3">
      <c r="B509" s="529">
        <f t="shared" si="19"/>
        <v>504001</v>
      </c>
      <c r="C509" s="529">
        <f t="shared" si="20"/>
        <v>505</v>
      </c>
      <c r="E509" s="534">
        <v>0</v>
      </c>
      <c r="F509" s="534">
        <v>0</v>
      </c>
      <c r="G509" s="534">
        <v>112</v>
      </c>
      <c r="I509" s="534">
        <v>0</v>
      </c>
      <c r="J509" s="534">
        <v>0</v>
      </c>
      <c r="K509" s="534">
        <v>13</v>
      </c>
    </row>
    <row r="510" spans="2:11" x14ac:dyDescent="0.3">
      <c r="B510" s="529">
        <f t="shared" si="19"/>
        <v>505001</v>
      </c>
      <c r="C510" s="529">
        <f t="shared" si="20"/>
        <v>506</v>
      </c>
      <c r="E510" s="534">
        <v>0</v>
      </c>
      <c r="F510" s="534">
        <v>0</v>
      </c>
      <c r="G510" s="534">
        <v>112</v>
      </c>
      <c r="I510" s="534">
        <v>0</v>
      </c>
      <c r="J510" s="534">
        <v>0</v>
      </c>
      <c r="K510" s="534">
        <v>13</v>
      </c>
    </row>
    <row r="511" spans="2:11" x14ac:dyDescent="0.3">
      <c r="B511" s="529">
        <f t="shared" si="19"/>
        <v>506001</v>
      </c>
      <c r="C511" s="529">
        <f t="shared" si="20"/>
        <v>507</v>
      </c>
      <c r="E511" s="534">
        <v>1</v>
      </c>
      <c r="F511" s="534">
        <v>507</v>
      </c>
      <c r="G511" s="534">
        <v>112</v>
      </c>
      <c r="I511" s="534">
        <v>0</v>
      </c>
      <c r="J511" s="534">
        <v>0</v>
      </c>
      <c r="K511" s="534">
        <v>13</v>
      </c>
    </row>
    <row r="512" spans="2:11" x14ac:dyDescent="0.3">
      <c r="B512" s="529">
        <f t="shared" si="19"/>
        <v>507001</v>
      </c>
      <c r="C512" s="529">
        <f t="shared" si="20"/>
        <v>508</v>
      </c>
      <c r="E512" s="534">
        <v>0</v>
      </c>
      <c r="F512" s="534">
        <v>0</v>
      </c>
      <c r="G512" s="534">
        <v>111</v>
      </c>
      <c r="I512" s="534">
        <v>0</v>
      </c>
      <c r="J512" s="534">
        <v>0</v>
      </c>
      <c r="K512" s="534">
        <v>13</v>
      </c>
    </row>
    <row r="513" spans="2:11" x14ac:dyDescent="0.3">
      <c r="B513" s="529">
        <f t="shared" si="19"/>
        <v>508001</v>
      </c>
      <c r="C513" s="529">
        <f t="shared" si="20"/>
        <v>509</v>
      </c>
      <c r="E513" s="534">
        <v>3</v>
      </c>
      <c r="F513" s="534">
        <v>1527</v>
      </c>
      <c r="G513" s="534">
        <v>111</v>
      </c>
      <c r="I513" s="534">
        <v>0</v>
      </c>
      <c r="J513" s="534">
        <v>0</v>
      </c>
      <c r="K513" s="534">
        <v>13</v>
      </c>
    </row>
    <row r="514" spans="2:11" x14ac:dyDescent="0.3">
      <c r="B514" s="529">
        <f t="shared" si="19"/>
        <v>509001</v>
      </c>
      <c r="C514" s="529">
        <f t="shared" si="20"/>
        <v>510</v>
      </c>
      <c r="E514" s="534">
        <v>0</v>
      </c>
      <c r="F514" s="534">
        <v>0</v>
      </c>
      <c r="G514" s="534">
        <v>108</v>
      </c>
      <c r="I514" s="534">
        <v>0</v>
      </c>
      <c r="J514" s="534">
        <v>0</v>
      </c>
      <c r="K514" s="534">
        <v>13</v>
      </c>
    </row>
    <row r="515" spans="2:11" x14ac:dyDescent="0.3">
      <c r="B515" s="529">
        <f t="shared" si="19"/>
        <v>510001</v>
      </c>
      <c r="C515" s="529">
        <f t="shared" si="20"/>
        <v>511</v>
      </c>
      <c r="E515" s="534">
        <v>1</v>
      </c>
      <c r="F515" s="534">
        <v>511</v>
      </c>
      <c r="G515" s="534">
        <v>108</v>
      </c>
      <c r="I515" s="534">
        <v>0</v>
      </c>
      <c r="J515" s="534">
        <v>0</v>
      </c>
      <c r="K515" s="534">
        <v>13</v>
      </c>
    </row>
    <row r="516" spans="2:11" x14ac:dyDescent="0.3">
      <c r="B516" s="529">
        <f t="shared" si="19"/>
        <v>511001</v>
      </c>
      <c r="C516" s="529">
        <f t="shared" si="20"/>
        <v>512</v>
      </c>
      <c r="E516" s="534">
        <v>1</v>
      </c>
      <c r="F516" s="534">
        <v>512</v>
      </c>
      <c r="G516" s="534">
        <v>107</v>
      </c>
      <c r="I516" s="534">
        <v>0</v>
      </c>
      <c r="J516" s="534">
        <v>0</v>
      </c>
      <c r="K516" s="534">
        <v>13</v>
      </c>
    </row>
    <row r="517" spans="2:11" x14ac:dyDescent="0.3">
      <c r="B517" s="529">
        <f t="shared" si="19"/>
        <v>512001</v>
      </c>
      <c r="C517" s="529">
        <f t="shared" si="20"/>
        <v>513</v>
      </c>
      <c r="E517" s="534">
        <v>0</v>
      </c>
      <c r="F517" s="534">
        <v>0</v>
      </c>
      <c r="G517" s="534">
        <v>106</v>
      </c>
      <c r="I517" s="534">
        <v>0</v>
      </c>
      <c r="J517" s="534">
        <v>0</v>
      </c>
      <c r="K517" s="534">
        <v>13</v>
      </c>
    </row>
    <row r="518" spans="2:11" x14ac:dyDescent="0.3">
      <c r="B518" s="529">
        <f t="shared" si="19"/>
        <v>513001</v>
      </c>
      <c r="C518" s="529">
        <f t="shared" si="20"/>
        <v>514</v>
      </c>
      <c r="E518" s="534">
        <v>1</v>
      </c>
      <c r="F518" s="534">
        <v>514</v>
      </c>
      <c r="G518" s="534">
        <v>106</v>
      </c>
      <c r="I518" s="534">
        <v>0</v>
      </c>
      <c r="J518" s="534">
        <v>0</v>
      </c>
      <c r="K518" s="534">
        <v>13</v>
      </c>
    </row>
    <row r="519" spans="2:11" x14ac:dyDescent="0.3">
      <c r="B519" s="529">
        <f t="shared" ref="B519:B582" si="21">C518*1000+1</f>
        <v>514001</v>
      </c>
      <c r="C519" s="529">
        <f t="shared" si="20"/>
        <v>515</v>
      </c>
      <c r="E519" s="534">
        <v>1</v>
      </c>
      <c r="F519" s="534">
        <v>515</v>
      </c>
      <c r="G519" s="534">
        <v>105</v>
      </c>
      <c r="I519" s="534">
        <v>0</v>
      </c>
      <c r="J519" s="534">
        <v>0</v>
      </c>
      <c r="K519" s="534">
        <v>13</v>
      </c>
    </row>
    <row r="520" spans="2:11" x14ac:dyDescent="0.3">
      <c r="B520" s="529">
        <f t="shared" si="21"/>
        <v>515001</v>
      </c>
      <c r="C520" s="529">
        <f t="shared" si="20"/>
        <v>516</v>
      </c>
      <c r="E520" s="534">
        <v>0</v>
      </c>
      <c r="F520" s="534">
        <v>0</v>
      </c>
      <c r="G520" s="534">
        <v>104</v>
      </c>
      <c r="I520" s="534">
        <v>0</v>
      </c>
      <c r="J520" s="534">
        <v>0</v>
      </c>
      <c r="K520" s="534">
        <v>13</v>
      </c>
    </row>
    <row r="521" spans="2:11" x14ac:dyDescent="0.3">
      <c r="B521" s="529">
        <f t="shared" si="21"/>
        <v>516001</v>
      </c>
      <c r="C521" s="529">
        <f t="shared" si="20"/>
        <v>517</v>
      </c>
      <c r="E521" s="534">
        <v>1</v>
      </c>
      <c r="F521" s="534">
        <v>517</v>
      </c>
      <c r="G521" s="534">
        <v>104</v>
      </c>
      <c r="I521" s="534">
        <v>0</v>
      </c>
      <c r="J521" s="534">
        <v>0</v>
      </c>
      <c r="K521" s="534">
        <v>13</v>
      </c>
    </row>
    <row r="522" spans="2:11" x14ac:dyDescent="0.3">
      <c r="B522" s="529">
        <f t="shared" si="21"/>
        <v>517001</v>
      </c>
      <c r="C522" s="529">
        <f t="shared" si="20"/>
        <v>518</v>
      </c>
      <c r="E522" s="534">
        <v>0</v>
      </c>
      <c r="F522" s="534">
        <v>0</v>
      </c>
      <c r="G522" s="534">
        <v>103</v>
      </c>
      <c r="I522" s="534">
        <v>0</v>
      </c>
      <c r="J522" s="534">
        <v>0</v>
      </c>
      <c r="K522" s="534">
        <v>13</v>
      </c>
    </row>
    <row r="523" spans="2:11" x14ac:dyDescent="0.3">
      <c r="B523" s="529">
        <f t="shared" si="21"/>
        <v>518001</v>
      </c>
      <c r="C523" s="529">
        <f t="shared" si="20"/>
        <v>519</v>
      </c>
      <c r="E523" s="534">
        <v>0</v>
      </c>
      <c r="F523" s="534">
        <v>0</v>
      </c>
      <c r="G523" s="534">
        <v>103</v>
      </c>
      <c r="I523" s="534">
        <v>0</v>
      </c>
      <c r="J523" s="534">
        <v>0</v>
      </c>
      <c r="K523" s="534">
        <v>13</v>
      </c>
    </row>
    <row r="524" spans="2:11" x14ac:dyDescent="0.3">
      <c r="B524" s="529">
        <f t="shared" si="21"/>
        <v>519001</v>
      </c>
      <c r="C524" s="529">
        <f t="shared" si="20"/>
        <v>520</v>
      </c>
      <c r="E524" s="534">
        <v>1</v>
      </c>
      <c r="F524" s="534">
        <v>520</v>
      </c>
      <c r="G524" s="534">
        <v>103</v>
      </c>
      <c r="I524" s="534">
        <v>1</v>
      </c>
      <c r="J524" s="534">
        <v>520</v>
      </c>
      <c r="K524" s="534">
        <v>13</v>
      </c>
    </row>
    <row r="525" spans="2:11" x14ac:dyDescent="0.3">
      <c r="B525" s="529">
        <f t="shared" si="21"/>
        <v>520001</v>
      </c>
      <c r="C525" s="529">
        <f t="shared" si="20"/>
        <v>521</v>
      </c>
      <c r="E525" s="534">
        <v>1</v>
      </c>
      <c r="F525" s="534">
        <v>521</v>
      </c>
      <c r="G525" s="534">
        <v>102</v>
      </c>
      <c r="I525" s="534">
        <v>0</v>
      </c>
      <c r="J525" s="534">
        <v>0</v>
      </c>
      <c r="K525" s="534">
        <v>12</v>
      </c>
    </row>
    <row r="526" spans="2:11" x14ac:dyDescent="0.3">
      <c r="B526" s="529">
        <f t="shared" si="21"/>
        <v>521001</v>
      </c>
      <c r="C526" s="529">
        <f t="shared" si="20"/>
        <v>522</v>
      </c>
      <c r="E526" s="534">
        <v>1</v>
      </c>
      <c r="F526" s="534">
        <v>522</v>
      </c>
      <c r="G526" s="534">
        <v>101</v>
      </c>
      <c r="I526" s="534">
        <v>1</v>
      </c>
      <c r="J526" s="534">
        <v>522</v>
      </c>
      <c r="K526" s="534">
        <v>12</v>
      </c>
    </row>
    <row r="527" spans="2:11" x14ac:dyDescent="0.3">
      <c r="B527" s="529">
        <f t="shared" si="21"/>
        <v>522001</v>
      </c>
      <c r="C527" s="529">
        <f t="shared" si="20"/>
        <v>523</v>
      </c>
      <c r="E527" s="534">
        <v>0</v>
      </c>
      <c r="F527" s="534">
        <v>0</v>
      </c>
      <c r="G527" s="534">
        <v>100</v>
      </c>
      <c r="I527" s="534">
        <v>1</v>
      </c>
      <c r="J527" s="534">
        <v>523</v>
      </c>
      <c r="K527" s="534">
        <v>11</v>
      </c>
    </row>
    <row r="528" spans="2:11" x14ac:dyDescent="0.3">
      <c r="B528" s="529">
        <f t="shared" si="21"/>
        <v>523001</v>
      </c>
      <c r="C528" s="529">
        <f t="shared" si="20"/>
        <v>524</v>
      </c>
      <c r="E528" s="534">
        <v>0</v>
      </c>
      <c r="F528" s="534">
        <v>0</v>
      </c>
      <c r="G528" s="534">
        <v>100</v>
      </c>
      <c r="I528" s="534">
        <v>0</v>
      </c>
      <c r="J528" s="534">
        <v>0</v>
      </c>
      <c r="K528" s="534">
        <v>10</v>
      </c>
    </row>
    <row r="529" spans="2:11" x14ac:dyDescent="0.3">
      <c r="B529" s="529">
        <f t="shared" si="21"/>
        <v>524001</v>
      </c>
      <c r="C529" s="529">
        <f t="shared" si="20"/>
        <v>525</v>
      </c>
      <c r="E529" s="534">
        <v>0</v>
      </c>
      <c r="F529" s="534">
        <v>0</v>
      </c>
      <c r="G529" s="534">
        <v>100</v>
      </c>
      <c r="I529" s="534">
        <v>0</v>
      </c>
      <c r="J529" s="534">
        <v>0</v>
      </c>
      <c r="K529" s="534">
        <v>10</v>
      </c>
    </row>
    <row r="530" spans="2:11" x14ac:dyDescent="0.3">
      <c r="B530" s="529">
        <f t="shared" si="21"/>
        <v>525001</v>
      </c>
      <c r="C530" s="529">
        <f t="shared" si="20"/>
        <v>526</v>
      </c>
      <c r="E530" s="534">
        <v>0</v>
      </c>
      <c r="F530" s="534">
        <v>0</v>
      </c>
      <c r="G530" s="534">
        <v>100</v>
      </c>
      <c r="I530" s="534">
        <v>0</v>
      </c>
      <c r="J530" s="534">
        <v>0</v>
      </c>
      <c r="K530" s="534">
        <v>10</v>
      </c>
    </row>
    <row r="531" spans="2:11" x14ac:dyDescent="0.3">
      <c r="B531" s="529">
        <f t="shared" si="21"/>
        <v>526001</v>
      </c>
      <c r="C531" s="529">
        <f t="shared" si="20"/>
        <v>527</v>
      </c>
      <c r="E531" s="534">
        <v>0</v>
      </c>
      <c r="F531" s="534">
        <v>0</v>
      </c>
      <c r="G531" s="534">
        <v>100</v>
      </c>
      <c r="I531" s="534">
        <v>0</v>
      </c>
      <c r="J531" s="534">
        <v>0</v>
      </c>
      <c r="K531" s="534">
        <v>10</v>
      </c>
    </row>
    <row r="532" spans="2:11" x14ac:dyDescent="0.3">
      <c r="B532" s="529">
        <f t="shared" si="21"/>
        <v>527001</v>
      </c>
      <c r="C532" s="529">
        <f t="shared" si="20"/>
        <v>528</v>
      </c>
      <c r="E532" s="534">
        <v>1</v>
      </c>
      <c r="F532" s="534">
        <v>528</v>
      </c>
      <c r="G532" s="534">
        <v>100</v>
      </c>
      <c r="I532" s="534">
        <v>0</v>
      </c>
      <c r="J532" s="534">
        <v>0</v>
      </c>
      <c r="K532" s="534">
        <v>10</v>
      </c>
    </row>
    <row r="533" spans="2:11" x14ac:dyDescent="0.3">
      <c r="B533" s="529">
        <f t="shared" si="21"/>
        <v>528001</v>
      </c>
      <c r="C533" s="529">
        <f t="shared" si="20"/>
        <v>529</v>
      </c>
      <c r="E533" s="534">
        <v>1</v>
      </c>
      <c r="F533" s="534">
        <v>529</v>
      </c>
      <c r="G533" s="534">
        <v>99</v>
      </c>
      <c r="I533" s="534">
        <v>0</v>
      </c>
      <c r="J533" s="534">
        <v>0</v>
      </c>
      <c r="K533" s="534">
        <v>10</v>
      </c>
    </row>
    <row r="534" spans="2:11" x14ac:dyDescent="0.3">
      <c r="B534" s="529">
        <f t="shared" si="21"/>
        <v>529001</v>
      </c>
      <c r="C534" s="529">
        <f t="shared" si="20"/>
        <v>530</v>
      </c>
      <c r="E534" s="534">
        <v>0</v>
      </c>
      <c r="F534" s="534">
        <v>0</v>
      </c>
      <c r="G534" s="534">
        <v>98</v>
      </c>
      <c r="I534" s="534">
        <v>0</v>
      </c>
      <c r="J534" s="534">
        <v>0</v>
      </c>
      <c r="K534" s="534">
        <v>10</v>
      </c>
    </row>
    <row r="535" spans="2:11" x14ac:dyDescent="0.3">
      <c r="B535" s="529">
        <f t="shared" si="21"/>
        <v>530001</v>
      </c>
      <c r="C535" s="529">
        <f t="shared" si="20"/>
        <v>531</v>
      </c>
      <c r="E535" s="534">
        <v>0</v>
      </c>
      <c r="F535" s="534">
        <v>0</v>
      </c>
      <c r="G535" s="534">
        <v>98</v>
      </c>
      <c r="I535" s="534">
        <v>0</v>
      </c>
      <c r="J535" s="534">
        <v>0</v>
      </c>
      <c r="K535" s="534">
        <v>10</v>
      </c>
    </row>
    <row r="536" spans="2:11" x14ac:dyDescent="0.3">
      <c r="B536" s="529">
        <f t="shared" si="21"/>
        <v>531001</v>
      </c>
      <c r="C536" s="529">
        <f t="shared" si="20"/>
        <v>532</v>
      </c>
      <c r="E536" s="534">
        <v>0</v>
      </c>
      <c r="F536" s="534">
        <v>0</v>
      </c>
      <c r="G536" s="534">
        <v>98</v>
      </c>
      <c r="I536" s="534">
        <v>0</v>
      </c>
      <c r="J536" s="534">
        <v>0</v>
      </c>
      <c r="K536" s="534">
        <v>10</v>
      </c>
    </row>
    <row r="537" spans="2:11" x14ac:dyDescent="0.3">
      <c r="B537" s="529">
        <f t="shared" si="21"/>
        <v>532001</v>
      </c>
      <c r="C537" s="529">
        <f t="shared" si="20"/>
        <v>533</v>
      </c>
      <c r="E537" s="534">
        <v>0</v>
      </c>
      <c r="F537" s="534">
        <v>0</v>
      </c>
      <c r="G537" s="534">
        <v>98</v>
      </c>
      <c r="I537" s="534">
        <v>0</v>
      </c>
      <c r="J537" s="534">
        <v>0</v>
      </c>
      <c r="K537" s="534">
        <v>10</v>
      </c>
    </row>
    <row r="538" spans="2:11" x14ac:dyDescent="0.3">
      <c r="B538" s="529">
        <f t="shared" si="21"/>
        <v>533001</v>
      </c>
      <c r="C538" s="529">
        <f t="shared" si="20"/>
        <v>534</v>
      </c>
      <c r="E538" s="534">
        <v>0</v>
      </c>
      <c r="F538" s="534">
        <v>0</v>
      </c>
      <c r="G538" s="534">
        <v>98</v>
      </c>
      <c r="I538" s="534">
        <v>0</v>
      </c>
      <c r="J538" s="534">
        <v>0</v>
      </c>
      <c r="K538" s="534">
        <v>10</v>
      </c>
    </row>
    <row r="539" spans="2:11" x14ac:dyDescent="0.3">
      <c r="B539" s="529">
        <f t="shared" si="21"/>
        <v>534001</v>
      </c>
      <c r="C539" s="529">
        <f t="shared" si="20"/>
        <v>535</v>
      </c>
      <c r="E539" s="534">
        <v>0</v>
      </c>
      <c r="F539" s="534">
        <v>0</v>
      </c>
      <c r="G539" s="534">
        <v>98</v>
      </c>
      <c r="I539" s="534">
        <v>0</v>
      </c>
      <c r="J539" s="534">
        <v>0</v>
      </c>
      <c r="K539" s="534">
        <v>10</v>
      </c>
    </row>
    <row r="540" spans="2:11" x14ac:dyDescent="0.3">
      <c r="B540" s="529">
        <f t="shared" si="21"/>
        <v>535001</v>
      </c>
      <c r="C540" s="529">
        <f t="shared" si="20"/>
        <v>536</v>
      </c>
      <c r="E540" s="534">
        <v>0</v>
      </c>
      <c r="F540" s="534">
        <v>0</v>
      </c>
      <c r="G540" s="534">
        <v>98</v>
      </c>
      <c r="I540" s="534">
        <v>0</v>
      </c>
      <c r="J540" s="534">
        <v>0</v>
      </c>
      <c r="K540" s="534">
        <v>10</v>
      </c>
    </row>
    <row r="541" spans="2:11" x14ac:dyDescent="0.3">
      <c r="B541" s="529">
        <f t="shared" si="21"/>
        <v>536001</v>
      </c>
      <c r="C541" s="529">
        <f t="shared" si="20"/>
        <v>537</v>
      </c>
      <c r="E541" s="534">
        <v>1</v>
      </c>
      <c r="F541" s="534">
        <v>537</v>
      </c>
      <c r="G541" s="534">
        <v>98</v>
      </c>
      <c r="I541" s="534">
        <v>0</v>
      </c>
      <c r="J541" s="534">
        <v>0</v>
      </c>
      <c r="K541" s="534">
        <v>10</v>
      </c>
    </row>
    <row r="542" spans="2:11" x14ac:dyDescent="0.3">
      <c r="B542" s="529">
        <f t="shared" si="21"/>
        <v>537001</v>
      </c>
      <c r="C542" s="529">
        <f t="shared" si="20"/>
        <v>538</v>
      </c>
      <c r="E542" s="534">
        <v>1</v>
      </c>
      <c r="F542" s="534">
        <v>538</v>
      </c>
      <c r="G542" s="534">
        <v>97</v>
      </c>
      <c r="I542" s="534">
        <v>0</v>
      </c>
      <c r="J542" s="534">
        <v>0</v>
      </c>
      <c r="K542" s="534">
        <v>10</v>
      </c>
    </row>
    <row r="543" spans="2:11" x14ac:dyDescent="0.3">
      <c r="B543" s="529">
        <f t="shared" si="21"/>
        <v>538001</v>
      </c>
      <c r="C543" s="529">
        <f t="shared" si="20"/>
        <v>539</v>
      </c>
      <c r="E543" s="534">
        <v>0</v>
      </c>
      <c r="F543" s="534">
        <v>0</v>
      </c>
      <c r="G543" s="534">
        <v>96</v>
      </c>
      <c r="I543" s="534">
        <v>0</v>
      </c>
      <c r="J543" s="534">
        <v>0</v>
      </c>
      <c r="K543" s="534">
        <v>10</v>
      </c>
    </row>
    <row r="544" spans="2:11" x14ac:dyDescent="0.3">
      <c r="B544" s="529">
        <f t="shared" si="21"/>
        <v>539001</v>
      </c>
      <c r="C544" s="529">
        <f t="shared" ref="C544:C607" si="22">C543+1</f>
        <v>540</v>
      </c>
      <c r="E544" s="534">
        <v>0</v>
      </c>
      <c r="F544" s="534">
        <v>0</v>
      </c>
      <c r="G544" s="534">
        <v>96</v>
      </c>
      <c r="I544" s="534">
        <v>0</v>
      </c>
      <c r="J544" s="534">
        <v>0</v>
      </c>
      <c r="K544" s="534">
        <v>10</v>
      </c>
    </row>
    <row r="545" spans="2:11" x14ac:dyDescent="0.3">
      <c r="B545" s="529">
        <f t="shared" si="21"/>
        <v>540001</v>
      </c>
      <c r="C545" s="529">
        <f t="shared" si="22"/>
        <v>541</v>
      </c>
      <c r="E545" s="534">
        <v>0</v>
      </c>
      <c r="F545" s="534">
        <v>0</v>
      </c>
      <c r="G545" s="534">
        <v>96</v>
      </c>
      <c r="I545" s="534">
        <v>0</v>
      </c>
      <c r="J545" s="534">
        <v>0</v>
      </c>
      <c r="K545" s="534">
        <v>10</v>
      </c>
    </row>
    <row r="546" spans="2:11" x14ac:dyDescent="0.3">
      <c r="B546" s="529">
        <f t="shared" si="21"/>
        <v>541001</v>
      </c>
      <c r="C546" s="529">
        <f t="shared" si="22"/>
        <v>542</v>
      </c>
      <c r="E546" s="534">
        <v>0</v>
      </c>
      <c r="F546" s="534">
        <v>0</v>
      </c>
      <c r="G546" s="534">
        <v>96</v>
      </c>
      <c r="I546" s="534">
        <v>0</v>
      </c>
      <c r="J546" s="534">
        <v>0</v>
      </c>
      <c r="K546" s="534">
        <v>10</v>
      </c>
    </row>
    <row r="547" spans="2:11" x14ac:dyDescent="0.3">
      <c r="B547" s="529">
        <f t="shared" si="21"/>
        <v>542001</v>
      </c>
      <c r="C547" s="529">
        <f t="shared" si="22"/>
        <v>543</v>
      </c>
      <c r="E547" s="534">
        <v>1</v>
      </c>
      <c r="F547" s="534">
        <v>543</v>
      </c>
      <c r="G547" s="534">
        <v>96</v>
      </c>
      <c r="I547" s="534">
        <v>0</v>
      </c>
      <c r="J547" s="534">
        <v>0</v>
      </c>
      <c r="K547" s="534">
        <v>10</v>
      </c>
    </row>
    <row r="548" spans="2:11" x14ac:dyDescent="0.3">
      <c r="B548" s="529">
        <f t="shared" si="21"/>
        <v>543001</v>
      </c>
      <c r="C548" s="529">
        <f t="shared" si="22"/>
        <v>544</v>
      </c>
      <c r="E548" s="534">
        <v>0</v>
      </c>
      <c r="F548" s="534">
        <v>0</v>
      </c>
      <c r="G548" s="534">
        <v>95</v>
      </c>
      <c r="I548" s="534">
        <v>0</v>
      </c>
      <c r="J548" s="534">
        <v>0</v>
      </c>
      <c r="K548" s="534">
        <v>10</v>
      </c>
    </row>
    <row r="549" spans="2:11" x14ac:dyDescent="0.3">
      <c r="B549" s="529">
        <f t="shared" si="21"/>
        <v>544001</v>
      </c>
      <c r="C549" s="529">
        <f t="shared" si="22"/>
        <v>545</v>
      </c>
      <c r="E549" s="534">
        <v>0</v>
      </c>
      <c r="F549" s="534">
        <v>0</v>
      </c>
      <c r="G549" s="534">
        <v>95</v>
      </c>
      <c r="I549" s="534">
        <v>0</v>
      </c>
      <c r="J549" s="534">
        <v>0</v>
      </c>
      <c r="K549" s="534">
        <v>10</v>
      </c>
    </row>
    <row r="550" spans="2:11" x14ac:dyDescent="0.3">
      <c r="B550" s="529">
        <f t="shared" si="21"/>
        <v>545001</v>
      </c>
      <c r="C550" s="529">
        <f t="shared" si="22"/>
        <v>546</v>
      </c>
      <c r="E550" s="534">
        <v>1</v>
      </c>
      <c r="F550" s="534">
        <v>546</v>
      </c>
      <c r="G550" s="534">
        <v>95</v>
      </c>
      <c r="I550" s="534">
        <v>0</v>
      </c>
      <c r="J550" s="534">
        <v>0</v>
      </c>
      <c r="K550" s="534">
        <v>10</v>
      </c>
    </row>
    <row r="551" spans="2:11" x14ac:dyDescent="0.3">
      <c r="B551" s="529">
        <f t="shared" si="21"/>
        <v>546001</v>
      </c>
      <c r="C551" s="529">
        <f t="shared" si="22"/>
        <v>547</v>
      </c>
      <c r="E551" s="534">
        <v>0</v>
      </c>
      <c r="F551" s="534">
        <v>0</v>
      </c>
      <c r="G551" s="534">
        <v>94</v>
      </c>
      <c r="I551" s="534">
        <v>0</v>
      </c>
      <c r="J551" s="534">
        <v>0</v>
      </c>
      <c r="K551" s="534">
        <v>10</v>
      </c>
    </row>
    <row r="552" spans="2:11" x14ac:dyDescent="0.3">
      <c r="B552" s="529">
        <f t="shared" si="21"/>
        <v>547001</v>
      </c>
      <c r="C552" s="529">
        <f t="shared" si="22"/>
        <v>548</v>
      </c>
      <c r="E552" s="534">
        <v>0</v>
      </c>
      <c r="F552" s="534">
        <v>0</v>
      </c>
      <c r="G552" s="534">
        <v>94</v>
      </c>
      <c r="I552" s="534">
        <v>0</v>
      </c>
      <c r="J552" s="534">
        <v>0</v>
      </c>
      <c r="K552" s="534">
        <v>10</v>
      </c>
    </row>
    <row r="553" spans="2:11" x14ac:dyDescent="0.3">
      <c r="B553" s="529">
        <f t="shared" si="21"/>
        <v>548001</v>
      </c>
      <c r="C553" s="529">
        <f t="shared" si="22"/>
        <v>549</v>
      </c>
      <c r="E553" s="534">
        <v>0</v>
      </c>
      <c r="F553" s="534">
        <v>0</v>
      </c>
      <c r="G553" s="534">
        <v>94</v>
      </c>
      <c r="I553" s="534">
        <v>0</v>
      </c>
      <c r="J553" s="534">
        <v>0</v>
      </c>
      <c r="K553" s="534">
        <v>10</v>
      </c>
    </row>
    <row r="554" spans="2:11" x14ac:dyDescent="0.3">
      <c r="B554" s="529">
        <f t="shared" si="21"/>
        <v>549001</v>
      </c>
      <c r="C554" s="529">
        <f t="shared" si="22"/>
        <v>550</v>
      </c>
      <c r="E554" s="534">
        <v>0</v>
      </c>
      <c r="F554" s="534">
        <v>0</v>
      </c>
      <c r="G554" s="534">
        <v>94</v>
      </c>
      <c r="I554" s="534">
        <v>0</v>
      </c>
      <c r="J554" s="534">
        <v>0</v>
      </c>
      <c r="K554" s="534">
        <v>10</v>
      </c>
    </row>
    <row r="555" spans="2:11" x14ac:dyDescent="0.3">
      <c r="B555" s="529">
        <f t="shared" si="21"/>
        <v>550001</v>
      </c>
      <c r="C555" s="529">
        <f t="shared" si="22"/>
        <v>551</v>
      </c>
      <c r="E555" s="534">
        <v>0</v>
      </c>
      <c r="F555" s="534">
        <v>0</v>
      </c>
      <c r="G555" s="534">
        <v>94</v>
      </c>
      <c r="I555" s="534">
        <v>0</v>
      </c>
      <c r="J555" s="534">
        <v>0</v>
      </c>
      <c r="K555" s="534">
        <v>10</v>
      </c>
    </row>
    <row r="556" spans="2:11" x14ac:dyDescent="0.3">
      <c r="B556" s="529">
        <f t="shared" si="21"/>
        <v>551001</v>
      </c>
      <c r="C556" s="529">
        <f t="shared" si="22"/>
        <v>552</v>
      </c>
      <c r="E556" s="534">
        <v>0</v>
      </c>
      <c r="F556" s="534">
        <v>0</v>
      </c>
      <c r="G556" s="534">
        <v>94</v>
      </c>
      <c r="I556" s="534">
        <v>0</v>
      </c>
      <c r="J556" s="534">
        <v>0</v>
      </c>
      <c r="K556" s="534">
        <v>10</v>
      </c>
    </row>
    <row r="557" spans="2:11" x14ac:dyDescent="0.3">
      <c r="B557" s="529">
        <f t="shared" si="21"/>
        <v>552001</v>
      </c>
      <c r="C557" s="529">
        <f t="shared" si="22"/>
        <v>553</v>
      </c>
      <c r="E557" s="534">
        <v>0</v>
      </c>
      <c r="F557" s="534">
        <v>0</v>
      </c>
      <c r="G557" s="534">
        <v>94</v>
      </c>
      <c r="I557" s="534">
        <v>0</v>
      </c>
      <c r="J557" s="534">
        <v>0</v>
      </c>
      <c r="K557" s="534">
        <v>10</v>
      </c>
    </row>
    <row r="558" spans="2:11" x14ac:dyDescent="0.3">
      <c r="B558" s="529">
        <f t="shared" si="21"/>
        <v>553001</v>
      </c>
      <c r="C558" s="529">
        <f t="shared" si="22"/>
        <v>554</v>
      </c>
      <c r="E558" s="534">
        <v>1</v>
      </c>
      <c r="F558" s="534">
        <v>554</v>
      </c>
      <c r="G558" s="534">
        <v>94</v>
      </c>
      <c r="I558" s="534">
        <v>0</v>
      </c>
      <c r="J558" s="534">
        <v>0</v>
      </c>
      <c r="K558" s="534">
        <v>10</v>
      </c>
    </row>
    <row r="559" spans="2:11" x14ac:dyDescent="0.3">
      <c r="B559" s="529">
        <f t="shared" si="21"/>
        <v>554001</v>
      </c>
      <c r="C559" s="529">
        <f t="shared" si="22"/>
        <v>555</v>
      </c>
      <c r="E559" s="534">
        <v>0</v>
      </c>
      <c r="F559" s="534">
        <v>0</v>
      </c>
      <c r="G559" s="534">
        <v>93</v>
      </c>
      <c r="I559" s="534">
        <v>0</v>
      </c>
      <c r="J559" s="534">
        <v>0</v>
      </c>
      <c r="K559" s="534">
        <v>10</v>
      </c>
    </row>
    <row r="560" spans="2:11" x14ac:dyDescent="0.3">
      <c r="B560" s="529">
        <f t="shared" si="21"/>
        <v>555001</v>
      </c>
      <c r="C560" s="529">
        <f t="shared" si="22"/>
        <v>556</v>
      </c>
      <c r="E560" s="534">
        <v>0</v>
      </c>
      <c r="F560" s="534">
        <v>0</v>
      </c>
      <c r="G560" s="534">
        <v>93</v>
      </c>
      <c r="I560" s="534">
        <v>0</v>
      </c>
      <c r="J560" s="534">
        <v>0</v>
      </c>
      <c r="K560" s="534">
        <v>10</v>
      </c>
    </row>
    <row r="561" spans="2:11" x14ac:dyDescent="0.3">
      <c r="B561" s="529">
        <f t="shared" si="21"/>
        <v>556001</v>
      </c>
      <c r="C561" s="529">
        <f t="shared" si="22"/>
        <v>557</v>
      </c>
      <c r="E561" s="534">
        <v>0</v>
      </c>
      <c r="F561" s="534">
        <v>0</v>
      </c>
      <c r="G561" s="534">
        <v>93</v>
      </c>
      <c r="I561" s="534">
        <v>0</v>
      </c>
      <c r="J561" s="534">
        <v>0</v>
      </c>
      <c r="K561" s="534">
        <v>10</v>
      </c>
    </row>
    <row r="562" spans="2:11" x14ac:dyDescent="0.3">
      <c r="B562" s="529">
        <f t="shared" si="21"/>
        <v>557001</v>
      </c>
      <c r="C562" s="529">
        <f t="shared" si="22"/>
        <v>558</v>
      </c>
      <c r="E562" s="534">
        <v>0</v>
      </c>
      <c r="F562" s="534">
        <v>0</v>
      </c>
      <c r="G562" s="534">
        <v>93</v>
      </c>
      <c r="I562" s="534">
        <v>0</v>
      </c>
      <c r="J562" s="534">
        <v>0</v>
      </c>
      <c r="K562" s="534">
        <v>10</v>
      </c>
    </row>
    <row r="563" spans="2:11" x14ac:dyDescent="0.3">
      <c r="B563" s="529">
        <f t="shared" si="21"/>
        <v>558001</v>
      </c>
      <c r="C563" s="529">
        <f t="shared" si="22"/>
        <v>559</v>
      </c>
      <c r="E563" s="534">
        <v>0</v>
      </c>
      <c r="F563" s="534">
        <v>0</v>
      </c>
      <c r="G563" s="534">
        <v>93</v>
      </c>
      <c r="I563" s="534">
        <v>0</v>
      </c>
      <c r="J563" s="534">
        <v>0</v>
      </c>
      <c r="K563" s="534">
        <v>10</v>
      </c>
    </row>
    <row r="564" spans="2:11" x14ac:dyDescent="0.3">
      <c r="B564" s="529">
        <f t="shared" si="21"/>
        <v>559001</v>
      </c>
      <c r="C564" s="529">
        <f t="shared" si="22"/>
        <v>560</v>
      </c>
      <c r="E564" s="534">
        <v>1</v>
      </c>
      <c r="F564" s="534">
        <v>560</v>
      </c>
      <c r="G564" s="534">
        <v>93</v>
      </c>
      <c r="I564" s="534">
        <v>0</v>
      </c>
      <c r="J564" s="534">
        <v>0</v>
      </c>
      <c r="K564" s="534">
        <v>10</v>
      </c>
    </row>
    <row r="565" spans="2:11" x14ac:dyDescent="0.3">
      <c r="B565" s="529">
        <f t="shared" si="21"/>
        <v>560001</v>
      </c>
      <c r="C565" s="529">
        <f t="shared" si="22"/>
        <v>561</v>
      </c>
      <c r="E565" s="534">
        <v>0</v>
      </c>
      <c r="F565" s="534">
        <v>0</v>
      </c>
      <c r="G565" s="534">
        <v>92</v>
      </c>
      <c r="I565" s="534">
        <v>0</v>
      </c>
      <c r="J565" s="534">
        <v>0</v>
      </c>
      <c r="K565" s="534">
        <v>10</v>
      </c>
    </row>
    <row r="566" spans="2:11" x14ac:dyDescent="0.3">
      <c r="B566" s="529">
        <f t="shared" si="21"/>
        <v>561001</v>
      </c>
      <c r="C566" s="529">
        <f t="shared" si="22"/>
        <v>562</v>
      </c>
      <c r="E566" s="534">
        <v>0</v>
      </c>
      <c r="F566" s="534">
        <v>0</v>
      </c>
      <c r="G566" s="534">
        <v>92</v>
      </c>
      <c r="I566" s="534">
        <v>0</v>
      </c>
      <c r="J566" s="534">
        <v>0</v>
      </c>
      <c r="K566" s="534">
        <v>10</v>
      </c>
    </row>
    <row r="567" spans="2:11" x14ac:dyDescent="0.3">
      <c r="B567" s="529">
        <f t="shared" si="21"/>
        <v>562001</v>
      </c>
      <c r="C567" s="529">
        <f t="shared" si="22"/>
        <v>563</v>
      </c>
      <c r="E567" s="534">
        <v>0</v>
      </c>
      <c r="F567" s="534">
        <v>0</v>
      </c>
      <c r="G567" s="534">
        <v>92</v>
      </c>
      <c r="I567" s="534">
        <v>0</v>
      </c>
      <c r="J567" s="534">
        <v>0</v>
      </c>
      <c r="K567" s="534">
        <v>10</v>
      </c>
    </row>
    <row r="568" spans="2:11" x14ac:dyDescent="0.3">
      <c r="B568" s="529">
        <f t="shared" si="21"/>
        <v>563001</v>
      </c>
      <c r="C568" s="529">
        <f t="shared" si="22"/>
        <v>564</v>
      </c>
      <c r="E568" s="534">
        <v>0</v>
      </c>
      <c r="F568" s="534">
        <v>0</v>
      </c>
      <c r="G568" s="534">
        <v>92</v>
      </c>
      <c r="I568" s="534">
        <v>1</v>
      </c>
      <c r="J568" s="534">
        <v>564</v>
      </c>
      <c r="K568" s="534">
        <v>10</v>
      </c>
    </row>
    <row r="569" spans="2:11" x14ac:dyDescent="0.3">
      <c r="B569" s="529">
        <f t="shared" si="21"/>
        <v>564001</v>
      </c>
      <c r="C569" s="529">
        <f t="shared" si="22"/>
        <v>565</v>
      </c>
      <c r="E569" s="534">
        <v>0</v>
      </c>
      <c r="F569" s="534">
        <v>0</v>
      </c>
      <c r="G569" s="534">
        <v>92</v>
      </c>
      <c r="I569" s="534">
        <v>0</v>
      </c>
      <c r="J569" s="534">
        <v>0</v>
      </c>
      <c r="K569" s="534">
        <v>9</v>
      </c>
    </row>
    <row r="570" spans="2:11" x14ac:dyDescent="0.3">
      <c r="B570" s="529">
        <f t="shared" si="21"/>
        <v>565001</v>
      </c>
      <c r="C570" s="529">
        <f t="shared" si="22"/>
        <v>566</v>
      </c>
      <c r="E570" s="534">
        <v>0</v>
      </c>
      <c r="F570" s="534">
        <v>0</v>
      </c>
      <c r="G570" s="534">
        <v>92</v>
      </c>
      <c r="I570" s="534">
        <v>0</v>
      </c>
      <c r="J570" s="534">
        <v>0</v>
      </c>
      <c r="K570" s="534">
        <v>9</v>
      </c>
    </row>
    <row r="571" spans="2:11" x14ac:dyDescent="0.3">
      <c r="B571" s="529">
        <f t="shared" si="21"/>
        <v>566001</v>
      </c>
      <c r="C571" s="529">
        <f t="shared" si="22"/>
        <v>567</v>
      </c>
      <c r="E571" s="534">
        <v>0</v>
      </c>
      <c r="F571" s="534">
        <v>0</v>
      </c>
      <c r="G571" s="534">
        <v>92</v>
      </c>
      <c r="I571" s="534">
        <v>0</v>
      </c>
      <c r="J571" s="534">
        <v>0</v>
      </c>
      <c r="K571" s="534">
        <v>9</v>
      </c>
    </row>
    <row r="572" spans="2:11" x14ac:dyDescent="0.3">
      <c r="B572" s="529">
        <f t="shared" si="21"/>
        <v>567001</v>
      </c>
      <c r="C572" s="529">
        <f t="shared" si="22"/>
        <v>568</v>
      </c>
      <c r="E572" s="534">
        <v>0</v>
      </c>
      <c r="F572" s="534">
        <v>0</v>
      </c>
      <c r="G572" s="534">
        <v>92</v>
      </c>
      <c r="I572" s="534">
        <v>0</v>
      </c>
      <c r="J572" s="534">
        <v>0</v>
      </c>
      <c r="K572" s="534">
        <v>9</v>
      </c>
    </row>
    <row r="573" spans="2:11" x14ac:dyDescent="0.3">
      <c r="B573" s="529">
        <f t="shared" si="21"/>
        <v>568001</v>
      </c>
      <c r="C573" s="529">
        <f t="shared" si="22"/>
        <v>569</v>
      </c>
      <c r="E573" s="534">
        <v>0</v>
      </c>
      <c r="F573" s="534">
        <v>0</v>
      </c>
      <c r="G573" s="534">
        <v>92</v>
      </c>
      <c r="I573" s="534">
        <v>0</v>
      </c>
      <c r="J573" s="534">
        <v>0</v>
      </c>
      <c r="K573" s="534">
        <v>9</v>
      </c>
    </row>
    <row r="574" spans="2:11" x14ac:dyDescent="0.3">
      <c r="B574" s="529">
        <f t="shared" si="21"/>
        <v>569001</v>
      </c>
      <c r="C574" s="529">
        <f t="shared" si="22"/>
        <v>570</v>
      </c>
      <c r="E574" s="534">
        <v>0</v>
      </c>
      <c r="F574" s="534">
        <v>0</v>
      </c>
      <c r="G574" s="534">
        <v>92</v>
      </c>
      <c r="I574" s="534">
        <v>0</v>
      </c>
      <c r="J574" s="534">
        <v>0</v>
      </c>
      <c r="K574" s="534">
        <v>9</v>
      </c>
    </row>
    <row r="575" spans="2:11" x14ac:dyDescent="0.3">
      <c r="B575" s="529">
        <f t="shared" si="21"/>
        <v>570001</v>
      </c>
      <c r="C575" s="529">
        <f t="shared" si="22"/>
        <v>571</v>
      </c>
      <c r="E575" s="534">
        <v>0</v>
      </c>
      <c r="F575" s="534">
        <v>0</v>
      </c>
      <c r="G575" s="534">
        <v>92</v>
      </c>
      <c r="I575" s="534">
        <v>0</v>
      </c>
      <c r="J575" s="534">
        <v>0</v>
      </c>
      <c r="K575" s="534">
        <v>9</v>
      </c>
    </row>
    <row r="576" spans="2:11" x14ac:dyDescent="0.3">
      <c r="B576" s="529">
        <f t="shared" si="21"/>
        <v>571001</v>
      </c>
      <c r="C576" s="529">
        <f t="shared" si="22"/>
        <v>572</v>
      </c>
      <c r="E576" s="534">
        <v>0</v>
      </c>
      <c r="F576" s="534">
        <v>0</v>
      </c>
      <c r="G576" s="534">
        <v>92</v>
      </c>
      <c r="I576" s="534">
        <v>0</v>
      </c>
      <c r="J576" s="534">
        <v>0</v>
      </c>
      <c r="K576" s="534">
        <v>9</v>
      </c>
    </row>
    <row r="577" spans="2:11" x14ac:dyDescent="0.3">
      <c r="B577" s="529">
        <f t="shared" si="21"/>
        <v>572001</v>
      </c>
      <c r="C577" s="529">
        <f t="shared" si="22"/>
        <v>573</v>
      </c>
      <c r="E577" s="534">
        <v>0</v>
      </c>
      <c r="F577" s="534">
        <v>0</v>
      </c>
      <c r="G577" s="534">
        <v>92</v>
      </c>
      <c r="I577" s="534">
        <v>0</v>
      </c>
      <c r="J577" s="534">
        <v>0</v>
      </c>
      <c r="K577" s="534">
        <v>9</v>
      </c>
    </row>
    <row r="578" spans="2:11" x14ac:dyDescent="0.3">
      <c r="B578" s="529">
        <f t="shared" si="21"/>
        <v>573001</v>
      </c>
      <c r="C578" s="529">
        <f t="shared" si="22"/>
        <v>574</v>
      </c>
      <c r="E578" s="534">
        <v>0</v>
      </c>
      <c r="F578" s="534">
        <v>0</v>
      </c>
      <c r="G578" s="534">
        <v>92</v>
      </c>
      <c r="I578" s="534">
        <v>0</v>
      </c>
      <c r="J578" s="534">
        <v>0</v>
      </c>
      <c r="K578" s="534">
        <v>9</v>
      </c>
    </row>
    <row r="579" spans="2:11" x14ac:dyDescent="0.3">
      <c r="B579" s="529">
        <f t="shared" si="21"/>
        <v>574001</v>
      </c>
      <c r="C579" s="529">
        <f t="shared" si="22"/>
        <v>575</v>
      </c>
      <c r="E579" s="534">
        <v>0</v>
      </c>
      <c r="F579" s="534">
        <v>0</v>
      </c>
      <c r="G579" s="534">
        <v>92</v>
      </c>
      <c r="I579" s="534">
        <v>0</v>
      </c>
      <c r="J579" s="534">
        <v>0</v>
      </c>
      <c r="K579" s="534">
        <v>9</v>
      </c>
    </row>
    <row r="580" spans="2:11" x14ac:dyDescent="0.3">
      <c r="B580" s="529">
        <f t="shared" si="21"/>
        <v>575001</v>
      </c>
      <c r="C580" s="529">
        <f t="shared" si="22"/>
        <v>576</v>
      </c>
      <c r="E580" s="534">
        <v>1</v>
      </c>
      <c r="F580" s="534">
        <v>576</v>
      </c>
      <c r="G580" s="534">
        <v>92</v>
      </c>
      <c r="I580" s="534">
        <v>0</v>
      </c>
      <c r="J580" s="534">
        <v>0</v>
      </c>
      <c r="K580" s="534">
        <v>9</v>
      </c>
    </row>
    <row r="581" spans="2:11" x14ac:dyDescent="0.3">
      <c r="B581" s="529">
        <f t="shared" si="21"/>
        <v>576001</v>
      </c>
      <c r="C581" s="529">
        <f t="shared" si="22"/>
        <v>577</v>
      </c>
      <c r="E581" s="534">
        <v>0</v>
      </c>
      <c r="F581" s="534">
        <v>0</v>
      </c>
      <c r="G581" s="534">
        <v>91</v>
      </c>
      <c r="I581" s="534">
        <v>0</v>
      </c>
      <c r="J581" s="534">
        <v>0</v>
      </c>
      <c r="K581" s="534">
        <v>9</v>
      </c>
    </row>
    <row r="582" spans="2:11" x14ac:dyDescent="0.3">
      <c r="B582" s="529">
        <f t="shared" si="21"/>
        <v>577001</v>
      </c>
      <c r="C582" s="529">
        <f t="shared" si="22"/>
        <v>578</v>
      </c>
      <c r="E582" s="534">
        <v>0</v>
      </c>
      <c r="F582" s="534">
        <v>0</v>
      </c>
      <c r="G582" s="534">
        <v>91</v>
      </c>
      <c r="I582" s="534">
        <v>0</v>
      </c>
      <c r="J582" s="534">
        <v>0</v>
      </c>
      <c r="K582" s="534">
        <v>9</v>
      </c>
    </row>
    <row r="583" spans="2:11" x14ac:dyDescent="0.3">
      <c r="B583" s="529">
        <f t="shared" ref="B583:B646" si="23">C582*1000+1</f>
        <v>578001</v>
      </c>
      <c r="C583" s="529">
        <f t="shared" si="22"/>
        <v>579</v>
      </c>
      <c r="E583" s="534">
        <v>0</v>
      </c>
      <c r="F583" s="534">
        <v>0</v>
      </c>
      <c r="G583" s="534">
        <v>91</v>
      </c>
      <c r="I583" s="534">
        <v>0</v>
      </c>
      <c r="J583" s="534">
        <v>0</v>
      </c>
      <c r="K583" s="534">
        <v>9</v>
      </c>
    </row>
    <row r="584" spans="2:11" x14ac:dyDescent="0.3">
      <c r="B584" s="529">
        <f t="shared" si="23"/>
        <v>579001</v>
      </c>
      <c r="C584" s="529">
        <f t="shared" si="22"/>
        <v>580</v>
      </c>
      <c r="E584" s="534">
        <v>0</v>
      </c>
      <c r="F584" s="534">
        <v>0</v>
      </c>
      <c r="G584" s="534">
        <v>91</v>
      </c>
      <c r="I584" s="534">
        <v>0</v>
      </c>
      <c r="J584" s="534">
        <v>0</v>
      </c>
      <c r="K584" s="534">
        <v>9</v>
      </c>
    </row>
    <row r="585" spans="2:11" x14ac:dyDescent="0.3">
      <c r="B585" s="529">
        <f t="shared" si="23"/>
        <v>580001</v>
      </c>
      <c r="C585" s="529">
        <f t="shared" si="22"/>
        <v>581</v>
      </c>
      <c r="E585" s="534">
        <v>0</v>
      </c>
      <c r="F585" s="534">
        <v>0</v>
      </c>
      <c r="G585" s="534">
        <v>91</v>
      </c>
      <c r="I585" s="534">
        <v>0</v>
      </c>
      <c r="J585" s="534">
        <v>0</v>
      </c>
      <c r="K585" s="534">
        <v>9</v>
      </c>
    </row>
    <row r="586" spans="2:11" x14ac:dyDescent="0.3">
      <c r="B586" s="529">
        <f t="shared" si="23"/>
        <v>581001</v>
      </c>
      <c r="C586" s="529">
        <f t="shared" si="22"/>
        <v>582</v>
      </c>
      <c r="E586" s="534">
        <v>0</v>
      </c>
      <c r="F586" s="534">
        <v>0</v>
      </c>
      <c r="G586" s="534">
        <v>91</v>
      </c>
      <c r="I586" s="534">
        <v>0</v>
      </c>
      <c r="J586" s="534">
        <v>0</v>
      </c>
      <c r="K586" s="534">
        <v>9</v>
      </c>
    </row>
    <row r="587" spans="2:11" x14ac:dyDescent="0.3">
      <c r="B587" s="529">
        <f t="shared" si="23"/>
        <v>582001</v>
      </c>
      <c r="C587" s="529">
        <f t="shared" si="22"/>
        <v>583</v>
      </c>
      <c r="E587" s="534">
        <v>0</v>
      </c>
      <c r="F587" s="534">
        <v>0</v>
      </c>
      <c r="G587" s="534">
        <v>91</v>
      </c>
      <c r="I587" s="534">
        <v>0</v>
      </c>
      <c r="J587" s="534">
        <v>0</v>
      </c>
      <c r="K587" s="534">
        <v>9</v>
      </c>
    </row>
    <row r="588" spans="2:11" x14ac:dyDescent="0.3">
      <c r="B588" s="529">
        <f t="shared" si="23"/>
        <v>583001</v>
      </c>
      <c r="C588" s="529">
        <f t="shared" si="22"/>
        <v>584</v>
      </c>
      <c r="E588" s="534">
        <v>0</v>
      </c>
      <c r="F588" s="534">
        <v>0</v>
      </c>
      <c r="G588" s="534">
        <v>91</v>
      </c>
      <c r="I588" s="534">
        <v>0</v>
      </c>
      <c r="J588" s="534">
        <v>0</v>
      </c>
      <c r="K588" s="534">
        <v>9</v>
      </c>
    </row>
    <row r="589" spans="2:11" x14ac:dyDescent="0.3">
      <c r="B589" s="529">
        <f t="shared" si="23"/>
        <v>584001</v>
      </c>
      <c r="C589" s="529">
        <f t="shared" si="22"/>
        <v>585</v>
      </c>
      <c r="E589" s="534">
        <v>0</v>
      </c>
      <c r="F589" s="534">
        <v>0</v>
      </c>
      <c r="G589" s="534">
        <v>91</v>
      </c>
      <c r="I589" s="534">
        <v>0</v>
      </c>
      <c r="J589" s="534">
        <v>0</v>
      </c>
      <c r="K589" s="534">
        <v>9</v>
      </c>
    </row>
    <row r="590" spans="2:11" x14ac:dyDescent="0.3">
      <c r="B590" s="529">
        <f t="shared" si="23"/>
        <v>585001</v>
      </c>
      <c r="C590" s="529">
        <f t="shared" si="22"/>
        <v>586</v>
      </c>
      <c r="E590" s="534">
        <v>0</v>
      </c>
      <c r="F590" s="534">
        <v>0</v>
      </c>
      <c r="G590" s="534">
        <v>91</v>
      </c>
      <c r="I590" s="534">
        <v>0</v>
      </c>
      <c r="J590" s="534">
        <v>0</v>
      </c>
      <c r="K590" s="534">
        <v>9</v>
      </c>
    </row>
    <row r="591" spans="2:11" x14ac:dyDescent="0.3">
      <c r="B591" s="529">
        <f t="shared" si="23"/>
        <v>586001</v>
      </c>
      <c r="C591" s="529">
        <f t="shared" si="22"/>
        <v>587</v>
      </c>
      <c r="E591" s="534">
        <v>0</v>
      </c>
      <c r="F591" s="534">
        <v>0</v>
      </c>
      <c r="G591" s="534">
        <v>91</v>
      </c>
      <c r="I591" s="534">
        <v>0</v>
      </c>
      <c r="J591" s="534">
        <v>0</v>
      </c>
      <c r="K591" s="534">
        <v>9</v>
      </c>
    </row>
    <row r="592" spans="2:11" x14ac:dyDescent="0.3">
      <c r="B592" s="529">
        <f t="shared" si="23"/>
        <v>587001</v>
      </c>
      <c r="C592" s="529">
        <f t="shared" si="22"/>
        <v>588</v>
      </c>
      <c r="E592" s="534">
        <v>2</v>
      </c>
      <c r="F592" s="534">
        <v>1176</v>
      </c>
      <c r="G592" s="534">
        <v>91</v>
      </c>
      <c r="I592" s="534">
        <v>0</v>
      </c>
      <c r="J592" s="534">
        <v>0</v>
      </c>
      <c r="K592" s="534">
        <v>9</v>
      </c>
    </row>
    <row r="593" spans="2:11" x14ac:dyDescent="0.3">
      <c r="B593" s="529">
        <f t="shared" si="23"/>
        <v>588001</v>
      </c>
      <c r="C593" s="529">
        <f t="shared" si="22"/>
        <v>589</v>
      </c>
      <c r="E593" s="534">
        <v>0</v>
      </c>
      <c r="F593" s="534">
        <v>0</v>
      </c>
      <c r="G593" s="534">
        <v>89</v>
      </c>
      <c r="I593" s="534">
        <v>0</v>
      </c>
      <c r="J593" s="534">
        <v>0</v>
      </c>
      <c r="K593" s="534">
        <v>9</v>
      </c>
    </row>
    <row r="594" spans="2:11" x14ac:dyDescent="0.3">
      <c r="B594" s="529">
        <f t="shared" si="23"/>
        <v>589001</v>
      </c>
      <c r="C594" s="529">
        <f t="shared" si="22"/>
        <v>590</v>
      </c>
      <c r="E594" s="534">
        <v>0</v>
      </c>
      <c r="F594" s="534">
        <v>0</v>
      </c>
      <c r="G594" s="534">
        <v>89</v>
      </c>
      <c r="I594" s="534">
        <v>0</v>
      </c>
      <c r="J594" s="534">
        <v>0</v>
      </c>
      <c r="K594" s="534">
        <v>9</v>
      </c>
    </row>
    <row r="595" spans="2:11" x14ac:dyDescent="0.3">
      <c r="B595" s="529">
        <f t="shared" si="23"/>
        <v>590001</v>
      </c>
      <c r="C595" s="529">
        <f t="shared" si="22"/>
        <v>591</v>
      </c>
      <c r="E595" s="534">
        <v>0</v>
      </c>
      <c r="F595" s="534">
        <v>0</v>
      </c>
      <c r="G595" s="534">
        <v>89</v>
      </c>
      <c r="I595" s="534">
        <v>0</v>
      </c>
      <c r="J595" s="534">
        <v>0</v>
      </c>
      <c r="K595" s="534">
        <v>9</v>
      </c>
    </row>
    <row r="596" spans="2:11" x14ac:dyDescent="0.3">
      <c r="B596" s="529">
        <f t="shared" si="23"/>
        <v>591001</v>
      </c>
      <c r="C596" s="529">
        <f t="shared" si="22"/>
        <v>592</v>
      </c>
      <c r="E596" s="534">
        <v>0</v>
      </c>
      <c r="F596" s="534">
        <v>0</v>
      </c>
      <c r="G596" s="534">
        <v>89</v>
      </c>
      <c r="I596" s="534">
        <v>0</v>
      </c>
      <c r="J596" s="534">
        <v>0</v>
      </c>
      <c r="K596" s="534">
        <v>9</v>
      </c>
    </row>
    <row r="597" spans="2:11" x14ac:dyDescent="0.3">
      <c r="B597" s="529">
        <f t="shared" si="23"/>
        <v>592001</v>
      </c>
      <c r="C597" s="529">
        <f t="shared" si="22"/>
        <v>593</v>
      </c>
      <c r="E597" s="534">
        <v>0</v>
      </c>
      <c r="F597" s="534">
        <v>0</v>
      </c>
      <c r="G597" s="534">
        <v>89</v>
      </c>
      <c r="I597" s="534">
        <v>0</v>
      </c>
      <c r="J597" s="534">
        <v>0</v>
      </c>
      <c r="K597" s="534">
        <v>9</v>
      </c>
    </row>
    <row r="598" spans="2:11" x14ac:dyDescent="0.3">
      <c r="B598" s="529">
        <f t="shared" si="23"/>
        <v>593001</v>
      </c>
      <c r="C598" s="529">
        <f t="shared" si="22"/>
        <v>594</v>
      </c>
      <c r="E598" s="534">
        <v>0</v>
      </c>
      <c r="F598" s="534">
        <v>0</v>
      </c>
      <c r="G598" s="534">
        <v>89</v>
      </c>
      <c r="I598" s="534">
        <v>0</v>
      </c>
      <c r="J598" s="534">
        <v>0</v>
      </c>
      <c r="K598" s="534">
        <v>9</v>
      </c>
    </row>
    <row r="599" spans="2:11" x14ac:dyDescent="0.3">
      <c r="B599" s="529">
        <f t="shared" si="23"/>
        <v>594001</v>
      </c>
      <c r="C599" s="529">
        <f t="shared" si="22"/>
        <v>595</v>
      </c>
      <c r="E599" s="534">
        <v>0</v>
      </c>
      <c r="F599" s="534">
        <v>0</v>
      </c>
      <c r="G599" s="534">
        <v>89</v>
      </c>
      <c r="I599" s="534">
        <v>0</v>
      </c>
      <c r="J599" s="534">
        <v>0</v>
      </c>
      <c r="K599" s="534">
        <v>9</v>
      </c>
    </row>
    <row r="600" spans="2:11" x14ac:dyDescent="0.3">
      <c r="B600" s="529">
        <f t="shared" si="23"/>
        <v>595001</v>
      </c>
      <c r="C600" s="529">
        <f t="shared" si="22"/>
        <v>596</v>
      </c>
      <c r="E600" s="534">
        <v>0</v>
      </c>
      <c r="F600" s="534">
        <v>0</v>
      </c>
      <c r="G600" s="534">
        <v>89</v>
      </c>
      <c r="I600" s="534">
        <v>0</v>
      </c>
      <c r="J600" s="534">
        <v>0</v>
      </c>
      <c r="K600" s="534">
        <v>9</v>
      </c>
    </row>
    <row r="601" spans="2:11" x14ac:dyDescent="0.3">
      <c r="B601" s="529">
        <f t="shared" si="23"/>
        <v>596001</v>
      </c>
      <c r="C601" s="529">
        <f t="shared" si="22"/>
        <v>597</v>
      </c>
      <c r="E601" s="534">
        <v>0</v>
      </c>
      <c r="F601" s="534">
        <v>0</v>
      </c>
      <c r="G601" s="534">
        <v>89</v>
      </c>
      <c r="I601" s="534">
        <v>0</v>
      </c>
      <c r="J601" s="534">
        <v>0</v>
      </c>
      <c r="K601" s="534">
        <v>9</v>
      </c>
    </row>
    <row r="602" spans="2:11" x14ac:dyDescent="0.3">
      <c r="B602" s="529">
        <f t="shared" si="23"/>
        <v>597001</v>
      </c>
      <c r="C602" s="529">
        <f t="shared" si="22"/>
        <v>598</v>
      </c>
      <c r="E602" s="534">
        <v>0</v>
      </c>
      <c r="F602" s="534">
        <v>0</v>
      </c>
      <c r="G602" s="534">
        <v>89</v>
      </c>
      <c r="I602" s="534">
        <v>0</v>
      </c>
      <c r="J602" s="534">
        <v>0</v>
      </c>
      <c r="K602" s="534">
        <v>9</v>
      </c>
    </row>
    <row r="603" spans="2:11" x14ac:dyDescent="0.3">
      <c r="B603" s="529">
        <f t="shared" si="23"/>
        <v>598001</v>
      </c>
      <c r="C603" s="529">
        <f t="shared" si="22"/>
        <v>599</v>
      </c>
      <c r="E603" s="534">
        <v>0</v>
      </c>
      <c r="F603" s="534">
        <v>0</v>
      </c>
      <c r="G603" s="534">
        <v>89</v>
      </c>
      <c r="I603" s="534">
        <v>0</v>
      </c>
      <c r="J603" s="534">
        <v>0</v>
      </c>
      <c r="K603" s="534">
        <v>9</v>
      </c>
    </row>
    <row r="604" spans="2:11" x14ac:dyDescent="0.3">
      <c r="B604" s="529">
        <f t="shared" si="23"/>
        <v>599001</v>
      </c>
      <c r="C604" s="529">
        <f t="shared" si="22"/>
        <v>600</v>
      </c>
      <c r="E604" s="534">
        <v>1</v>
      </c>
      <c r="F604" s="534">
        <v>600</v>
      </c>
      <c r="G604" s="534">
        <v>89</v>
      </c>
      <c r="I604" s="534">
        <v>1</v>
      </c>
      <c r="J604" s="534">
        <v>600</v>
      </c>
      <c r="K604" s="534">
        <v>9</v>
      </c>
    </row>
    <row r="605" spans="2:11" x14ac:dyDescent="0.3">
      <c r="B605" s="529">
        <f t="shared" si="23"/>
        <v>600001</v>
      </c>
      <c r="C605" s="529">
        <f t="shared" si="22"/>
        <v>601</v>
      </c>
      <c r="E605" s="534">
        <v>0</v>
      </c>
      <c r="F605" s="534">
        <v>0</v>
      </c>
      <c r="G605" s="534">
        <v>88</v>
      </c>
      <c r="I605" s="534">
        <v>0</v>
      </c>
      <c r="J605" s="534">
        <v>0</v>
      </c>
      <c r="K605" s="534">
        <v>8</v>
      </c>
    </row>
    <row r="606" spans="2:11" x14ac:dyDescent="0.3">
      <c r="B606" s="529">
        <f t="shared" si="23"/>
        <v>601001</v>
      </c>
      <c r="C606" s="529">
        <f t="shared" si="22"/>
        <v>602</v>
      </c>
      <c r="E606" s="534">
        <v>1</v>
      </c>
      <c r="F606" s="534">
        <v>602</v>
      </c>
      <c r="G606" s="534">
        <v>88</v>
      </c>
      <c r="I606" s="534">
        <v>0</v>
      </c>
      <c r="J606" s="534">
        <v>0</v>
      </c>
      <c r="K606" s="534">
        <v>8</v>
      </c>
    </row>
    <row r="607" spans="2:11" x14ac:dyDescent="0.3">
      <c r="B607" s="529">
        <f t="shared" si="23"/>
        <v>602001</v>
      </c>
      <c r="C607" s="529">
        <f t="shared" si="22"/>
        <v>603</v>
      </c>
      <c r="E607" s="534">
        <v>0</v>
      </c>
      <c r="F607" s="534">
        <v>0</v>
      </c>
      <c r="G607" s="534">
        <v>87</v>
      </c>
      <c r="I607" s="534">
        <v>0</v>
      </c>
      <c r="J607" s="534">
        <v>0</v>
      </c>
      <c r="K607" s="534">
        <v>8</v>
      </c>
    </row>
    <row r="608" spans="2:11" x14ac:dyDescent="0.3">
      <c r="B608" s="529">
        <f t="shared" si="23"/>
        <v>603001</v>
      </c>
      <c r="C608" s="529">
        <f t="shared" ref="C608:C671" si="24">C607+1</f>
        <v>604</v>
      </c>
      <c r="E608" s="534">
        <v>0</v>
      </c>
      <c r="F608" s="534">
        <v>0</v>
      </c>
      <c r="G608" s="534">
        <v>87</v>
      </c>
      <c r="I608" s="534">
        <v>0</v>
      </c>
      <c r="J608" s="534">
        <v>0</v>
      </c>
      <c r="K608" s="534">
        <v>8</v>
      </c>
    </row>
    <row r="609" spans="2:11" x14ac:dyDescent="0.3">
      <c r="B609" s="529">
        <f t="shared" si="23"/>
        <v>604001</v>
      </c>
      <c r="C609" s="529">
        <f t="shared" si="24"/>
        <v>605</v>
      </c>
      <c r="E609" s="534">
        <v>0</v>
      </c>
      <c r="F609" s="534">
        <v>0</v>
      </c>
      <c r="G609" s="534">
        <v>87</v>
      </c>
      <c r="I609" s="534">
        <v>0</v>
      </c>
      <c r="J609" s="534">
        <v>0</v>
      </c>
      <c r="K609" s="534">
        <v>8</v>
      </c>
    </row>
    <row r="610" spans="2:11" x14ac:dyDescent="0.3">
      <c r="B610" s="529">
        <f t="shared" si="23"/>
        <v>605001</v>
      </c>
      <c r="C610" s="529">
        <f t="shared" si="24"/>
        <v>606</v>
      </c>
      <c r="E610" s="534">
        <v>0</v>
      </c>
      <c r="F610" s="534">
        <v>0</v>
      </c>
      <c r="G610" s="534">
        <v>87</v>
      </c>
      <c r="I610" s="534">
        <v>0</v>
      </c>
      <c r="J610" s="534">
        <v>0</v>
      </c>
      <c r="K610" s="534">
        <v>8</v>
      </c>
    </row>
    <row r="611" spans="2:11" x14ac:dyDescent="0.3">
      <c r="B611" s="529">
        <f t="shared" si="23"/>
        <v>606001</v>
      </c>
      <c r="C611" s="529">
        <f t="shared" si="24"/>
        <v>607</v>
      </c>
      <c r="E611" s="534">
        <v>1</v>
      </c>
      <c r="F611" s="534">
        <v>607</v>
      </c>
      <c r="G611" s="534">
        <v>87</v>
      </c>
      <c r="I611" s="534">
        <v>0</v>
      </c>
      <c r="J611" s="534">
        <v>0</v>
      </c>
      <c r="K611" s="534">
        <v>8</v>
      </c>
    </row>
    <row r="612" spans="2:11" x14ac:dyDescent="0.3">
      <c r="B612" s="529">
        <f t="shared" si="23"/>
        <v>607001</v>
      </c>
      <c r="C612" s="529">
        <f t="shared" si="24"/>
        <v>608</v>
      </c>
      <c r="E612" s="534">
        <v>0</v>
      </c>
      <c r="F612" s="534">
        <v>0</v>
      </c>
      <c r="G612" s="534">
        <v>86</v>
      </c>
      <c r="I612" s="534">
        <v>0</v>
      </c>
      <c r="J612" s="534">
        <v>0</v>
      </c>
      <c r="K612" s="534">
        <v>8</v>
      </c>
    </row>
    <row r="613" spans="2:11" x14ac:dyDescent="0.3">
      <c r="B613" s="529">
        <f t="shared" si="23"/>
        <v>608001</v>
      </c>
      <c r="C613" s="529">
        <f t="shared" si="24"/>
        <v>609</v>
      </c>
      <c r="E613" s="534">
        <v>0</v>
      </c>
      <c r="F613" s="534">
        <v>0</v>
      </c>
      <c r="G613" s="534">
        <v>86</v>
      </c>
      <c r="I613" s="534">
        <v>0</v>
      </c>
      <c r="J613" s="534">
        <v>0</v>
      </c>
      <c r="K613" s="534">
        <v>8</v>
      </c>
    </row>
    <row r="614" spans="2:11" x14ac:dyDescent="0.3">
      <c r="B614" s="529">
        <f t="shared" si="23"/>
        <v>609001</v>
      </c>
      <c r="C614" s="529">
        <f t="shared" si="24"/>
        <v>610</v>
      </c>
      <c r="E614" s="534">
        <v>0</v>
      </c>
      <c r="F614" s="534">
        <v>0</v>
      </c>
      <c r="G614" s="534">
        <v>86</v>
      </c>
      <c r="I614" s="534">
        <v>0</v>
      </c>
      <c r="J614" s="534">
        <v>0</v>
      </c>
      <c r="K614" s="534">
        <v>8</v>
      </c>
    </row>
    <row r="615" spans="2:11" x14ac:dyDescent="0.3">
      <c r="B615" s="529">
        <f t="shared" si="23"/>
        <v>610001</v>
      </c>
      <c r="C615" s="529">
        <f t="shared" si="24"/>
        <v>611</v>
      </c>
      <c r="E615" s="534">
        <v>0</v>
      </c>
      <c r="F615" s="534">
        <v>0</v>
      </c>
      <c r="G615" s="534">
        <v>86</v>
      </c>
      <c r="I615" s="534">
        <v>0</v>
      </c>
      <c r="J615" s="534">
        <v>0</v>
      </c>
      <c r="K615" s="534">
        <v>8</v>
      </c>
    </row>
    <row r="616" spans="2:11" x14ac:dyDescent="0.3">
      <c r="B616" s="529">
        <f t="shared" si="23"/>
        <v>611001</v>
      </c>
      <c r="C616" s="529">
        <f t="shared" si="24"/>
        <v>612</v>
      </c>
      <c r="E616" s="534">
        <v>0</v>
      </c>
      <c r="F616" s="534">
        <v>0</v>
      </c>
      <c r="G616" s="534">
        <v>86</v>
      </c>
      <c r="I616" s="534">
        <v>0</v>
      </c>
      <c r="J616" s="534">
        <v>0</v>
      </c>
      <c r="K616" s="534">
        <v>8</v>
      </c>
    </row>
    <row r="617" spans="2:11" x14ac:dyDescent="0.3">
      <c r="B617" s="529">
        <f t="shared" si="23"/>
        <v>612001</v>
      </c>
      <c r="C617" s="529">
        <f t="shared" si="24"/>
        <v>613</v>
      </c>
      <c r="E617" s="534">
        <v>0</v>
      </c>
      <c r="F617" s="534">
        <v>0</v>
      </c>
      <c r="G617" s="534">
        <v>86</v>
      </c>
      <c r="I617" s="534">
        <v>0</v>
      </c>
      <c r="J617" s="534">
        <v>0</v>
      </c>
      <c r="K617" s="534">
        <v>8</v>
      </c>
    </row>
    <row r="618" spans="2:11" x14ac:dyDescent="0.3">
      <c r="B618" s="529">
        <f t="shared" si="23"/>
        <v>613001</v>
      </c>
      <c r="C618" s="529">
        <f t="shared" si="24"/>
        <v>614</v>
      </c>
      <c r="E618" s="534">
        <v>0</v>
      </c>
      <c r="F618" s="534">
        <v>0</v>
      </c>
      <c r="G618" s="534">
        <v>86</v>
      </c>
      <c r="I618" s="534">
        <v>0</v>
      </c>
      <c r="J618" s="534">
        <v>0</v>
      </c>
      <c r="K618" s="534">
        <v>8</v>
      </c>
    </row>
    <row r="619" spans="2:11" x14ac:dyDescent="0.3">
      <c r="B619" s="529">
        <f t="shared" si="23"/>
        <v>614001</v>
      </c>
      <c r="C619" s="529">
        <f t="shared" si="24"/>
        <v>615</v>
      </c>
      <c r="E619" s="534">
        <v>0</v>
      </c>
      <c r="F619" s="534">
        <v>0</v>
      </c>
      <c r="G619" s="534">
        <v>86</v>
      </c>
      <c r="I619" s="534">
        <v>0</v>
      </c>
      <c r="J619" s="534">
        <v>0</v>
      </c>
      <c r="K619" s="534">
        <v>8</v>
      </c>
    </row>
    <row r="620" spans="2:11" x14ac:dyDescent="0.3">
      <c r="B620" s="529">
        <f t="shared" si="23"/>
        <v>615001</v>
      </c>
      <c r="C620" s="529">
        <f t="shared" si="24"/>
        <v>616</v>
      </c>
      <c r="E620" s="534">
        <v>0</v>
      </c>
      <c r="F620" s="534">
        <v>0</v>
      </c>
      <c r="G620" s="534">
        <v>86</v>
      </c>
      <c r="I620" s="534">
        <v>0</v>
      </c>
      <c r="J620" s="534">
        <v>0</v>
      </c>
      <c r="K620" s="534">
        <v>8</v>
      </c>
    </row>
    <row r="621" spans="2:11" x14ac:dyDescent="0.3">
      <c r="B621" s="529">
        <f t="shared" si="23"/>
        <v>616001</v>
      </c>
      <c r="C621" s="529">
        <f t="shared" si="24"/>
        <v>617</v>
      </c>
      <c r="E621" s="534">
        <v>0</v>
      </c>
      <c r="F621" s="534">
        <v>0</v>
      </c>
      <c r="G621" s="534">
        <v>86</v>
      </c>
      <c r="I621" s="534">
        <v>0</v>
      </c>
      <c r="J621" s="534">
        <v>0</v>
      </c>
      <c r="K621" s="534">
        <v>8</v>
      </c>
    </row>
    <row r="622" spans="2:11" x14ac:dyDescent="0.3">
      <c r="B622" s="529">
        <f t="shared" si="23"/>
        <v>617001</v>
      </c>
      <c r="C622" s="529">
        <f t="shared" si="24"/>
        <v>618</v>
      </c>
      <c r="E622" s="534">
        <v>0</v>
      </c>
      <c r="F622" s="534">
        <v>0</v>
      </c>
      <c r="G622" s="534">
        <v>86</v>
      </c>
      <c r="I622" s="534">
        <v>0</v>
      </c>
      <c r="J622" s="534">
        <v>0</v>
      </c>
      <c r="K622" s="534">
        <v>8</v>
      </c>
    </row>
    <row r="623" spans="2:11" x14ac:dyDescent="0.3">
      <c r="B623" s="529">
        <f t="shared" si="23"/>
        <v>618001</v>
      </c>
      <c r="C623" s="529">
        <f t="shared" si="24"/>
        <v>619</v>
      </c>
      <c r="E623" s="534">
        <v>0</v>
      </c>
      <c r="F623" s="534">
        <v>0</v>
      </c>
      <c r="G623" s="534">
        <v>86</v>
      </c>
      <c r="I623" s="534">
        <v>0</v>
      </c>
      <c r="J623" s="534">
        <v>0</v>
      </c>
      <c r="K623" s="534">
        <v>8</v>
      </c>
    </row>
    <row r="624" spans="2:11" x14ac:dyDescent="0.3">
      <c r="B624" s="529">
        <f t="shared" si="23"/>
        <v>619001</v>
      </c>
      <c r="C624" s="529">
        <f t="shared" si="24"/>
        <v>620</v>
      </c>
      <c r="E624" s="534">
        <v>1</v>
      </c>
      <c r="F624" s="534">
        <v>620</v>
      </c>
      <c r="G624" s="534">
        <v>86</v>
      </c>
      <c r="I624" s="534">
        <v>0</v>
      </c>
      <c r="J624" s="534">
        <v>0</v>
      </c>
      <c r="K624" s="534">
        <v>8</v>
      </c>
    </row>
    <row r="625" spans="2:11" x14ac:dyDescent="0.3">
      <c r="B625" s="529">
        <f t="shared" si="23"/>
        <v>620001</v>
      </c>
      <c r="C625" s="529">
        <f t="shared" si="24"/>
        <v>621</v>
      </c>
      <c r="E625" s="534">
        <v>0</v>
      </c>
      <c r="F625" s="534">
        <v>0</v>
      </c>
      <c r="G625" s="534">
        <v>85</v>
      </c>
      <c r="I625" s="534">
        <v>0</v>
      </c>
      <c r="J625" s="534">
        <v>0</v>
      </c>
      <c r="K625" s="534">
        <v>8</v>
      </c>
    </row>
    <row r="626" spans="2:11" x14ac:dyDescent="0.3">
      <c r="B626" s="529">
        <f t="shared" si="23"/>
        <v>621001</v>
      </c>
      <c r="C626" s="529">
        <f t="shared" si="24"/>
        <v>622</v>
      </c>
      <c r="E626" s="534">
        <v>0</v>
      </c>
      <c r="F626" s="534">
        <v>0</v>
      </c>
      <c r="G626" s="534">
        <v>85</v>
      </c>
      <c r="I626" s="534">
        <v>0</v>
      </c>
      <c r="J626" s="534">
        <v>0</v>
      </c>
      <c r="K626" s="534">
        <v>8</v>
      </c>
    </row>
    <row r="627" spans="2:11" x14ac:dyDescent="0.3">
      <c r="B627" s="529">
        <f t="shared" si="23"/>
        <v>622001</v>
      </c>
      <c r="C627" s="529">
        <f t="shared" si="24"/>
        <v>623</v>
      </c>
      <c r="E627" s="534">
        <v>1</v>
      </c>
      <c r="F627" s="534">
        <v>623</v>
      </c>
      <c r="G627" s="534">
        <v>85</v>
      </c>
      <c r="I627" s="534">
        <v>0</v>
      </c>
      <c r="J627" s="534">
        <v>0</v>
      </c>
      <c r="K627" s="534">
        <v>8</v>
      </c>
    </row>
    <row r="628" spans="2:11" x14ac:dyDescent="0.3">
      <c r="B628" s="529">
        <f t="shared" si="23"/>
        <v>623001</v>
      </c>
      <c r="C628" s="529">
        <f t="shared" si="24"/>
        <v>624</v>
      </c>
      <c r="E628" s="534">
        <v>0</v>
      </c>
      <c r="F628" s="534">
        <v>0</v>
      </c>
      <c r="G628" s="534">
        <v>84</v>
      </c>
      <c r="I628" s="534">
        <v>0</v>
      </c>
      <c r="J628" s="534">
        <v>0</v>
      </c>
      <c r="K628" s="534">
        <v>8</v>
      </c>
    </row>
    <row r="629" spans="2:11" x14ac:dyDescent="0.3">
      <c r="B629" s="529">
        <f t="shared" si="23"/>
        <v>624001</v>
      </c>
      <c r="C629" s="529">
        <f t="shared" si="24"/>
        <v>625</v>
      </c>
      <c r="E629" s="534">
        <v>0</v>
      </c>
      <c r="F629" s="534">
        <v>0</v>
      </c>
      <c r="G629" s="534">
        <v>84</v>
      </c>
      <c r="I629" s="534">
        <v>0</v>
      </c>
      <c r="J629" s="534">
        <v>0</v>
      </c>
      <c r="K629" s="534">
        <v>8</v>
      </c>
    </row>
    <row r="630" spans="2:11" x14ac:dyDescent="0.3">
      <c r="B630" s="529">
        <f t="shared" si="23"/>
        <v>625001</v>
      </c>
      <c r="C630" s="529">
        <f t="shared" si="24"/>
        <v>626</v>
      </c>
      <c r="E630" s="534">
        <v>0</v>
      </c>
      <c r="F630" s="534">
        <v>0</v>
      </c>
      <c r="G630" s="534">
        <v>84</v>
      </c>
      <c r="I630" s="534">
        <v>0</v>
      </c>
      <c r="J630" s="534">
        <v>0</v>
      </c>
      <c r="K630" s="534">
        <v>8</v>
      </c>
    </row>
    <row r="631" spans="2:11" x14ac:dyDescent="0.3">
      <c r="B631" s="529">
        <f t="shared" si="23"/>
        <v>626001</v>
      </c>
      <c r="C631" s="529">
        <f t="shared" si="24"/>
        <v>627</v>
      </c>
      <c r="E631" s="534">
        <v>1</v>
      </c>
      <c r="F631" s="534">
        <v>627</v>
      </c>
      <c r="G631" s="534">
        <v>84</v>
      </c>
      <c r="I631" s="534">
        <v>0</v>
      </c>
      <c r="J631" s="534">
        <v>0</v>
      </c>
      <c r="K631" s="534">
        <v>8</v>
      </c>
    </row>
    <row r="632" spans="2:11" x14ac:dyDescent="0.3">
      <c r="B632" s="529">
        <f t="shared" si="23"/>
        <v>627001</v>
      </c>
      <c r="C632" s="529">
        <f t="shared" si="24"/>
        <v>628</v>
      </c>
      <c r="E632" s="534">
        <v>0</v>
      </c>
      <c r="F632" s="534">
        <v>0</v>
      </c>
      <c r="G632" s="534">
        <v>83</v>
      </c>
      <c r="I632" s="534">
        <v>0</v>
      </c>
      <c r="J632" s="534">
        <v>0</v>
      </c>
      <c r="K632" s="534">
        <v>8</v>
      </c>
    </row>
    <row r="633" spans="2:11" x14ac:dyDescent="0.3">
      <c r="B633" s="529">
        <f t="shared" si="23"/>
        <v>628001</v>
      </c>
      <c r="C633" s="529">
        <f t="shared" si="24"/>
        <v>629</v>
      </c>
      <c r="E633" s="534">
        <v>0</v>
      </c>
      <c r="F633" s="534">
        <v>0</v>
      </c>
      <c r="G633" s="534">
        <v>83</v>
      </c>
      <c r="I633" s="534">
        <v>0</v>
      </c>
      <c r="J633" s="534">
        <v>0</v>
      </c>
      <c r="K633" s="534">
        <v>8</v>
      </c>
    </row>
    <row r="634" spans="2:11" x14ac:dyDescent="0.3">
      <c r="B634" s="529">
        <f t="shared" si="23"/>
        <v>629001</v>
      </c>
      <c r="C634" s="529">
        <f t="shared" si="24"/>
        <v>630</v>
      </c>
      <c r="E634" s="534">
        <v>0</v>
      </c>
      <c r="F634" s="534">
        <v>0</v>
      </c>
      <c r="G634" s="534">
        <v>83</v>
      </c>
      <c r="I634" s="534">
        <v>0</v>
      </c>
      <c r="J634" s="534">
        <v>0</v>
      </c>
      <c r="K634" s="534">
        <v>8</v>
      </c>
    </row>
    <row r="635" spans="2:11" x14ac:dyDescent="0.3">
      <c r="B635" s="529">
        <f t="shared" si="23"/>
        <v>630001</v>
      </c>
      <c r="C635" s="529">
        <f t="shared" si="24"/>
        <v>631</v>
      </c>
      <c r="E635" s="534">
        <v>0</v>
      </c>
      <c r="F635" s="534">
        <v>0</v>
      </c>
      <c r="G635" s="534">
        <v>83</v>
      </c>
      <c r="I635" s="534">
        <v>0</v>
      </c>
      <c r="J635" s="534">
        <v>0</v>
      </c>
      <c r="K635" s="534">
        <v>8</v>
      </c>
    </row>
    <row r="636" spans="2:11" x14ac:dyDescent="0.3">
      <c r="B636" s="529">
        <f t="shared" si="23"/>
        <v>631001</v>
      </c>
      <c r="C636" s="529">
        <f t="shared" si="24"/>
        <v>632</v>
      </c>
      <c r="E636" s="534">
        <v>0</v>
      </c>
      <c r="F636" s="534">
        <v>0</v>
      </c>
      <c r="G636" s="534">
        <v>83</v>
      </c>
      <c r="I636" s="534">
        <v>0</v>
      </c>
      <c r="J636" s="534">
        <v>0</v>
      </c>
      <c r="K636" s="534">
        <v>8</v>
      </c>
    </row>
    <row r="637" spans="2:11" x14ac:dyDescent="0.3">
      <c r="B637" s="529">
        <f t="shared" si="23"/>
        <v>632001</v>
      </c>
      <c r="C637" s="529">
        <f t="shared" si="24"/>
        <v>633</v>
      </c>
      <c r="E637" s="534">
        <v>0</v>
      </c>
      <c r="F637" s="534">
        <v>0</v>
      </c>
      <c r="G637" s="534">
        <v>83</v>
      </c>
      <c r="I637" s="534">
        <v>0</v>
      </c>
      <c r="J637" s="534">
        <v>0</v>
      </c>
      <c r="K637" s="534">
        <v>8</v>
      </c>
    </row>
    <row r="638" spans="2:11" x14ac:dyDescent="0.3">
      <c r="B638" s="529">
        <f t="shared" si="23"/>
        <v>633001</v>
      </c>
      <c r="C638" s="529">
        <f t="shared" si="24"/>
        <v>634</v>
      </c>
      <c r="E638" s="534">
        <v>0</v>
      </c>
      <c r="F638" s="534">
        <v>0</v>
      </c>
      <c r="G638" s="534">
        <v>83</v>
      </c>
      <c r="I638" s="534">
        <v>0</v>
      </c>
      <c r="J638" s="534">
        <v>0</v>
      </c>
      <c r="K638" s="534">
        <v>8</v>
      </c>
    </row>
    <row r="639" spans="2:11" x14ac:dyDescent="0.3">
      <c r="B639" s="529">
        <f t="shared" si="23"/>
        <v>634001</v>
      </c>
      <c r="C639" s="529">
        <f t="shared" si="24"/>
        <v>635</v>
      </c>
      <c r="E639" s="534">
        <v>0</v>
      </c>
      <c r="F639" s="534">
        <v>0</v>
      </c>
      <c r="G639" s="534">
        <v>83</v>
      </c>
      <c r="I639" s="534">
        <v>0</v>
      </c>
      <c r="J639" s="534">
        <v>0</v>
      </c>
      <c r="K639" s="534">
        <v>8</v>
      </c>
    </row>
    <row r="640" spans="2:11" x14ac:dyDescent="0.3">
      <c r="B640" s="529">
        <f t="shared" si="23"/>
        <v>635001</v>
      </c>
      <c r="C640" s="529">
        <f t="shared" si="24"/>
        <v>636</v>
      </c>
      <c r="E640" s="534">
        <v>0</v>
      </c>
      <c r="F640" s="534">
        <v>0</v>
      </c>
      <c r="G640" s="534">
        <v>83</v>
      </c>
      <c r="I640" s="534">
        <v>0</v>
      </c>
      <c r="J640" s="534">
        <v>0</v>
      </c>
      <c r="K640" s="534">
        <v>8</v>
      </c>
    </row>
    <row r="641" spans="2:11" x14ac:dyDescent="0.3">
      <c r="B641" s="529">
        <f t="shared" si="23"/>
        <v>636001</v>
      </c>
      <c r="C641" s="529">
        <f t="shared" si="24"/>
        <v>637</v>
      </c>
      <c r="E641" s="534">
        <v>0</v>
      </c>
      <c r="F641" s="534">
        <v>0</v>
      </c>
      <c r="G641" s="534">
        <v>83</v>
      </c>
      <c r="I641" s="534">
        <v>0</v>
      </c>
      <c r="J641" s="534">
        <v>0</v>
      </c>
      <c r="K641" s="534">
        <v>8</v>
      </c>
    </row>
    <row r="642" spans="2:11" x14ac:dyDescent="0.3">
      <c r="B642" s="529">
        <f t="shared" si="23"/>
        <v>637001</v>
      </c>
      <c r="C642" s="529">
        <f t="shared" si="24"/>
        <v>638</v>
      </c>
      <c r="E642" s="534">
        <v>1</v>
      </c>
      <c r="F642" s="534">
        <v>638</v>
      </c>
      <c r="G642" s="534">
        <v>83</v>
      </c>
      <c r="I642" s="534">
        <v>0</v>
      </c>
      <c r="J642" s="534">
        <v>0</v>
      </c>
      <c r="K642" s="534">
        <v>8</v>
      </c>
    </row>
    <row r="643" spans="2:11" x14ac:dyDescent="0.3">
      <c r="B643" s="529">
        <f t="shared" si="23"/>
        <v>638001</v>
      </c>
      <c r="C643" s="529">
        <f t="shared" si="24"/>
        <v>639</v>
      </c>
      <c r="E643" s="534">
        <v>0</v>
      </c>
      <c r="F643" s="534">
        <v>0</v>
      </c>
      <c r="G643" s="534">
        <v>82</v>
      </c>
      <c r="I643" s="534">
        <v>0</v>
      </c>
      <c r="J643" s="534">
        <v>0</v>
      </c>
      <c r="K643" s="534">
        <v>8</v>
      </c>
    </row>
    <row r="644" spans="2:11" x14ac:dyDescent="0.3">
      <c r="B644" s="529">
        <f t="shared" si="23"/>
        <v>639001</v>
      </c>
      <c r="C644" s="529">
        <f t="shared" si="24"/>
        <v>640</v>
      </c>
      <c r="E644" s="534">
        <v>0</v>
      </c>
      <c r="F644" s="534">
        <v>0</v>
      </c>
      <c r="G644" s="534">
        <v>82</v>
      </c>
      <c r="I644" s="534">
        <v>0</v>
      </c>
      <c r="J644" s="534">
        <v>0</v>
      </c>
      <c r="K644" s="534">
        <v>8</v>
      </c>
    </row>
    <row r="645" spans="2:11" x14ac:dyDescent="0.3">
      <c r="B645" s="529">
        <f t="shared" si="23"/>
        <v>640001</v>
      </c>
      <c r="C645" s="529">
        <f t="shared" si="24"/>
        <v>641</v>
      </c>
      <c r="E645" s="534">
        <v>1</v>
      </c>
      <c r="F645" s="534">
        <v>641</v>
      </c>
      <c r="G645" s="534">
        <v>82</v>
      </c>
      <c r="I645" s="534">
        <v>0</v>
      </c>
      <c r="J645" s="534">
        <v>0</v>
      </c>
      <c r="K645" s="534">
        <v>8</v>
      </c>
    </row>
    <row r="646" spans="2:11" x14ac:dyDescent="0.3">
      <c r="B646" s="529">
        <f t="shared" si="23"/>
        <v>641001</v>
      </c>
      <c r="C646" s="529">
        <f t="shared" si="24"/>
        <v>642</v>
      </c>
      <c r="E646" s="534">
        <v>0</v>
      </c>
      <c r="F646" s="534">
        <v>0</v>
      </c>
      <c r="G646" s="534">
        <v>81</v>
      </c>
      <c r="I646" s="534">
        <v>0</v>
      </c>
      <c r="J646" s="534">
        <v>0</v>
      </c>
      <c r="K646" s="534">
        <v>8</v>
      </c>
    </row>
    <row r="647" spans="2:11" x14ac:dyDescent="0.3">
      <c r="B647" s="529">
        <f t="shared" ref="B647:B710" si="25">C646*1000+1</f>
        <v>642001</v>
      </c>
      <c r="C647" s="529">
        <f t="shared" si="24"/>
        <v>643</v>
      </c>
      <c r="E647" s="534">
        <v>0</v>
      </c>
      <c r="F647" s="534">
        <v>0</v>
      </c>
      <c r="G647" s="534">
        <v>81</v>
      </c>
      <c r="I647" s="534">
        <v>0</v>
      </c>
      <c r="J647" s="534">
        <v>0</v>
      </c>
      <c r="K647" s="534">
        <v>8</v>
      </c>
    </row>
    <row r="648" spans="2:11" x14ac:dyDescent="0.3">
      <c r="B648" s="529">
        <f t="shared" si="25"/>
        <v>643001</v>
      </c>
      <c r="C648" s="529">
        <f t="shared" si="24"/>
        <v>644</v>
      </c>
      <c r="E648" s="534">
        <v>0</v>
      </c>
      <c r="F648" s="534">
        <v>0</v>
      </c>
      <c r="G648" s="534">
        <v>81</v>
      </c>
      <c r="I648" s="534">
        <v>0</v>
      </c>
      <c r="J648" s="534">
        <v>0</v>
      </c>
      <c r="K648" s="534">
        <v>8</v>
      </c>
    </row>
    <row r="649" spans="2:11" x14ac:dyDescent="0.3">
      <c r="B649" s="529">
        <f t="shared" si="25"/>
        <v>644001</v>
      </c>
      <c r="C649" s="529">
        <f t="shared" si="24"/>
        <v>645</v>
      </c>
      <c r="E649" s="534">
        <v>1</v>
      </c>
      <c r="F649" s="534">
        <v>645</v>
      </c>
      <c r="G649" s="534">
        <v>81</v>
      </c>
      <c r="I649" s="534">
        <v>0</v>
      </c>
      <c r="J649" s="534">
        <v>0</v>
      </c>
      <c r="K649" s="534">
        <v>8</v>
      </c>
    </row>
    <row r="650" spans="2:11" x14ac:dyDescent="0.3">
      <c r="B650" s="529">
        <f t="shared" si="25"/>
        <v>645001</v>
      </c>
      <c r="C650" s="529">
        <f t="shared" si="24"/>
        <v>646</v>
      </c>
      <c r="E650" s="534">
        <v>1</v>
      </c>
      <c r="F650" s="534">
        <v>646</v>
      </c>
      <c r="G650" s="534">
        <v>80</v>
      </c>
      <c r="I650" s="534">
        <v>0</v>
      </c>
      <c r="J650" s="534">
        <v>0</v>
      </c>
      <c r="K650" s="534">
        <v>8</v>
      </c>
    </row>
    <row r="651" spans="2:11" x14ac:dyDescent="0.3">
      <c r="B651" s="529">
        <f t="shared" si="25"/>
        <v>646001</v>
      </c>
      <c r="C651" s="529">
        <f t="shared" si="24"/>
        <v>647</v>
      </c>
      <c r="E651" s="534">
        <v>0</v>
      </c>
      <c r="F651" s="534">
        <v>0</v>
      </c>
      <c r="G651" s="534">
        <v>79</v>
      </c>
      <c r="I651" s="534">
        <v>1</v>
      </c>
      <c r="J651" s="534">
        <v>647</v>
      </c>
      <c r="K651" s="534">
        <v>8</v>
      </c>
    </row>
    <row r="652" spans="2:11" x14ac:dyDescent="0.3">
      <c r="B652" s="529">
        <f t="shared" si="25"/>
        <v>647001</v>
      </c>
      <c r="C652" s="529">
        <f t="shared" si="24"/>
        <v>648</v>
      </c>
      <c r="E652" s="534">
        <v>0</v>
      </c>
      <c r="F652" s="534">
        <v>0</v>
      </c>
      <c r="G652" s="534">
        <v>79</v>
      </c>
      <c r="I652" s="534">
        <v>0</v>
      </c>
      <c r="J652" s="534">
        <v>0</v>
      </c>
      <c r="K652" s="534">
        <v>7</v>
      </c>
    </row>
    <row r="653" spans="2:11" x14ac:dyDescent="0.3">
      <c r="B653" s="529">
        <f t="shared" si="25"/>
        <v>648001</v>
      </c>
      <c r="C653" s="529">
        <f t="shared" si="24"/>
        <v>649</v>
      </c>
      <c r="E653" s="534">
        <v>0</v>
      </c>
      <c r="F653" s="534">
        <v>0</v>
      </c>
      <c r="G653" s="534">
        <v>79</v>
      </c>
      <c r="I653" s="534">
        <v>0</v>
      </c>
      <c r="J653" s="534">
        <v>0</v>
      </c>
      <c r="K653" s="534">
        <v>7</v>
      </c>
    </row>
    <row r="654" spans="2:11" x14ac:dyDescent="0.3">
      <c r="B654" s="529">
        <f t="shared" si="25"/>
        <v>649001</v>
      </c>
      <c r="C654" s="529">
        <f t="shared" si="24"/>
        <v>650</v>
      </c>
      <c r="E654" s="534">
        <v>0</v>
      </c>
      <c r="F654" s="534">
        <v>0</v>
      </c>
      <c r="G654" s="534">
        <v>79</v>
      </c>
      <c r="I654" s="534">
        <v>1</v>
      </c>
      <c r="J654" s="534">
        <v>650</v>
      </c>
      <c r="K654" s="534">
        <v>7</v>
      </c>
    </row>
    <row r="655" spans="2:11" x14ac:dyDescent="0.3">
      <c r="B655" s="529">
        <f t="shared" si="25"/>
        <v>650001</v>
      </c>
      <c r="C655" s="529">
        <f t="shared" si="24"/>
        <v>651</v>
      </c>
      <c r="E655" s="534">
        <v>0</v>
      </c>
      <c r="F655" s="534">
        <v>0</v>
      </c>
      <c r="G655" s="534">
        <v>79</v>
      </c>
      <c r="I655" s="534">
        <v>0</v>
      </c>
      <c r="J655" s="534">
        <v>0</v>
      </c>
      <c r="K655" s="534">
        <v>6</v>
      </c>
    </row>
    <row r="656" spans="2:11" x14ac:dyDescent="0.3">
      <c r="B656" s="529">
        <f t="shared" si="25"/>
        <v>651001</v>
      </c>
      <c r="C656" s="529">
        <f t="shared" si="24"/>
        <v>652</v>
      </c>
      <c r="E656" s="534">
        <v>0</v>
      </c>
      <c r="F656" s="534">
        <v>0</v>
      </c>
      <c r="G656" s="534">
        <v>79</v>
      </c>
      <c r="I656" s="534">
        <v>0</v>
      </c>
      <c r="J656" s="534">
        <v>0</v>
      </c>
      <c r="K656" s="534">
        <v>6</v>
      </c>
    </row>
    <row r="657" spans="2:11" x14ac:dyDescent="0.3">
      <c r="B657" s="529">
        <f t="shared" si="25"/>
        <v>652001</v>
      </c>
      <c r="C657" s="529">
        <f t="shared" si="24"/>
        <v>653</v>
      </c>
      <c r="E657" s="534">
        <v>0</v>
      </c>
      <c r="F657" s="534">
        <v>0</v>
      </c>
      <c r="G657" s="534">
        <v>79</v>
      </c>
      <c r="I657" s="534">
        <v>0</v>
      </c>
      <c r="J657" s="534">
        <v>0</v>
      </c>
      <c r="K657" s="534">
        <v>6</v>
      </c>
    </row>
    <row r="658" spans="2:11" x14ac:dyDescent="0.3">
      <c r="B658" s="529">
        <f t="shared" si="25"/>
        <v>653001</v>
      </c>
      <c r="C658" s="529">
        <f t="shared" si="24"/>
        <v>654</v>
      </c>
      <c r="E658" s="534">
        <v>0</v>
      </c>
      <c r="F658" s="534">
        <v>0</v>
      </c>
      <c r="G658" s="534">
        <v>79</v>
      </c>
      <c r="I658" s="534">
        <v>0</v>
      </c>
      <c r="J658" s="534">
        <v>0</v>
      </c>
      <c r="K658" s="534">
        <v>6</v>
      </c>
    </row>
    <row r="659" spans="2:11" x14ac:dyDescent="0.3">
      <c r="B659" s="529">
        <f t="shared" si="25"/>
        <v>654001</v>
      </c>
      <c r="C659" s="529">
        <f t="shared" si="24"/>
        <v>655</v>
      </c>
      <c r="E659" s="534">
        <v>0</v>
      </c>
      <c r="F659" s="534">
        <v>0</v>
      </c>
      <c r="G659" s="534">
        <v>79</v>
      </c>
      <c r="I659" s="534">
        <v>0</v>
      </c>
      <c r="J659" s="534">
        <v>0</v>
      </c>
      <c r="K659" s="534">
        <v>6</v>
      </c>
    </row>
    <row r="660" spans="2:11" x14ac:dyDescent="0.3">
      <c r="B660" s="529">
        <f t="shared" si="25"/>
        <v>655001</v>
      </c>
      <c r="C660" s="529">
        <f t="shared" si="24"/>
        <v>656</v>
      </c>
      <c r="E660" s="534">
        <v>1</v>
      </c>
      <c r="F660" s="534">
        <v>656</v>
      </c>
      <c r="G660" s="534">
        <v>79</v>
      </c>
      <c r="I660" s="534">
        <v>0</v>
      </c>
      <c r="J660" s="534">
        <v>0</v>
      </c>
      <c r="K660" s="534">
        <v>6</v>
      </c>
    </row>
    <row r="661" spans="2:11" x14ac:dyDescent="0.3">
      <c r="B661" s="529">
        <f t="shared" si="25"/>
        <v>656001</v>
      </c>
      <c r="C661" s="529">
        <f t="shared" si="24"/>
        <v>657</v>
      </c>
      <c r="E661" s="534">
        <v>0</v>
      </c>
      <c r="F661" s="534">
        <v>0</v>
      </c>
      <c r="G661" s="534">
        <v>78</v>
      </c>
      <c r="I661" s="534">
        <v>0</v>
      </c>
      <c r="J661" s="534">
        <v>0</v>
      </c>
      <c r="K661" s="534">
        <v>6</v>
      </c>
    </row>
    <row r="662" spans="2:11" x14ac:dyDescent="0.3">
      <c r="B662" s="529">
        <f t="shared" si="25"/>
        <v>657001</v>
      </c>
      <c r="C662" s="529">
        <f t="shared" si="24"/>
        <v>658</v>
      </c>
      <c r="E662" s="534">
        <v>0</v>
      </c>
      <c r="F662" s="534">
        <v>0</v>
      </c>
      <c r="G662" s="534">
        <v>78</v>
      </c>
      <c r="I662" s="534">
        <v>0</v>
      </c>
      <c r="J662" s="534">
        <v>0</v>
      </c>
      <c r="K662" s="534">
        <v>6</v>
      </c>
    </row>
    <row r="663" spans="2:11" x14ac:dyDescent="0.3">
      <c r="B663" s="529">
        <f t="shared" si="25"/>
        <v>658001</v>
      </c>
      <c r="C663" s="529">
        <f t="shared" si="24"/>
        <v>659</v>
      </c>
      <c r="E663" s="534">
        <v>0</v>
      </c>
      <c r="F663" s="534">
        <v>0</v>
      </c>
      <c r="G663" s="534">
        <v>78</v>
      </c>
      <c r="I663" s="534">
        <v>0</v>
      </c>
      <c r="J663" s="534">
        <v>0</v>
      </c>
      <c r="K663" s="534">
        <v>6</v>
      </c>
    </row>
    <row r="664" spans="2:11" x14ac:dyDescent="0.3">
      <c r="B664" s="529">
        <f t="shared" si="25"/>
        <v>659001</v>
      </c>
      <c r="C664" s="529">
        <f t="shared" si="24"/>
        <v>660</v>
      </c>
      <c r="E664" s="534">
        <v>0</v>
      </c>
      <c r="F664" s="534">
        <v>0</v>
      </c>
      <c r="G664" s="534">
        <v>78</v>
      </c>
      <c r="I664" s="534">
        <v>0</v>
      </c>
      <c r="J664" s="534">
        <v>0</v>
      </c>
      <c r="K664" s="534">
        <v>6</v>
      </c>
    </row>
    <row r="665" spans="2:11" x14ac:dyDescent="0.3">
      <c r="B665" s="529">
        <f t="shared" si="25"/>
        <v>660001</v>
      </c>
      <c r="C665" s="529">
        <f t="shared" si="24"/>
        <v>661</v>
      </c>
      <c r="E665" s="534">
        <v>0</v>
      </c>
      <c r="F665" s="534">
        <v>0</v>
      </c>
      <c r="G665" s="534">
        <v>78</v>
      </c>
      <c r="I665" s="534">
        <v>0</v>
      </c>
      <c r="J665" s="534">
        <v>0</v>
      </c>
      <c r="K665" s="534">
        <v>6</v>
      </c>
    </row>
    <row r="666" spans="2:11" x14ac:dyDescent="0.3">
      <c r="B666" s="529">
        <f t="shared" si="25"/>
        <v>661001</v>
      </c>
      <c r="C666" s="529">
        <f t="shared" si="24"/>
        <v>662</v>
      </c>
      <c r="E666" s="534">
        <v>1</v>
      </c>
      <c r="F666" s="534">
        <v>662</v>
      </c>
      <c r="G666" s="534">
        <v>78</v>
      </c>
      <c r="I666" s="534">
        <v>0</v>
      </c>
      <c r="J666" s="534">
        <v>0</v>
      </c>
      <c r="K666" s="534">
        <v>6</v>
      </c>
    </row>
    <row r="667" spans="2:11" x14ac:dyDescent="0.3">
      <c r="B667" s="529">
        <f t="shared" si="25"/>
        <v>662001</v>
      </c>
      <c r="C667" s="529">
        <f t="shared" si="24"/>
        <v>663</v>
      </c>
      <c r="E667" s="534">
        <v>0</v>
      </c>
      <c r="F667" s="534">
        <v>0</v>
      </c>
      <c r="G667" s="534">
        <v>77</v>
      </c>
      <c r="I667" s="534">
        <v>0</v>
      </c>
      <c r="J667" s="534">
        <v>0</v>
      </c>
      <c r="K667" s="534">
        <v>6</v>
      </c>
    </row>
    <row r="668" spans="2:11" x14ac:dyDescent="0.3">
      <c r="B668" s="529">
        <f t="shared" si="25"/>
        <v>663001</v>
      </c>
      <c r="C668" s="529">
        <f t="shared" si="24"/>
        <v>664</v>
      </c>
      <c r="E668" s="534">
        <v>0</v>
      </c>
      <c r="F668" s="534">
        <v>0</v>
      </c>
      <c r="G668" s="534">
        <v>77</v>
      </c>
      <c r="I668" s="534">
        <v>0</v>
      </c>
      <c r="J668" s="534">
        <v>0</v>
      </c>
      <c r="K668" s="534">
        <v>6</v>
      </c>
    </row>
    <row r="669" spans="2:11" x14ac:dyDescent="0.3">
      <c r="B669" s="529">
        <f t="shared" si="25"/>
        <v>664001</v>
      </c>
      <c r="C669" s="529">
        <f t="shared" si="24"/>
        <v>665</v>
      </c>
      <c r="E669" s="534">
        <v>0</v>
      </c>
      <c r="F669" s="534">
        <v>0</v>
      </c>
      <c r="G669" s="534">
        <v>77</v>
      </c>
      <c r="I669" s="534">
        <v>0</v>
      </c>
      <c r="J669" s="534">
        <v>0</v>
      </c>
      <c r="K669" s="534">
        <v>6</v>
      </c>
    </row>
    <row r="670" spans="2:11" x14ac:dyDescent="0.3">
      <c r="B670" s="529">
        <f t="shared" si="25"/>
        <v>665001</v>
      </c>
      <c r="C670" s="529">
        <f t="shared" si="24"/>
        <v>666</v>
      </c>
      <c r="E670" s="534">
        <v>0</v>
      </c>
      <c r="F670" s="534">
        <v>0</v>
      </c>
      <c r="G670" s="534">
        <v>77</v>
      </c>
      <c r="I670" s="534">
        <v>0</v>
      </c>
      <c r="J670" s="534">
        <v>0</v>
      </c>
      <c r="K670" s="534">
        <v>6</v>
      </c>
    </row>
    <row r="671" spans="2:11" x14ac:dyDescent="0.3">
      <c r="B671" s="529">
        <f t="shared" si="25"/>
        <v>666001</v>
      </c>
      <c r="C671" s="529">
        <f t="shared" si="24"/>
        <v>667</v>
      </c>
      <c r="E671" s="534">
        <v>0</v>
      </c>
      <c r="F671" s="534">
        <v>0</v>
      </c>
      <c r="G671" s="534">
        <v>77</v>
      </c>
      <c r="I671" s="534">
        <v>0</v>
      </c>
      <c r="J671" s="534">
        <v>0</v>
      </c>
      <c r="K671" s="534">
        <v>6</v>
      </c>
    </row>
    <row r="672" spans="2:11" x14ac:dyDescent="0.3">
      <c r="B672" s="529">
        <f t="shared" si="25"/>
        <v>667001</v>
      </c>
      <c r="C672" s="529">
        <f t="shared" ref="C672:C735" si="26">C671+1</f>
        <v>668</v>
      </c>
      <c r="E672" s="534">
        <v>0</v>
      </c>
      <c r="F672" s="534">
        <v>0</v>
      </c>
      <c r="G672" s="534">
        <v>77</v>
      </c>
      <c r="I672" s="534">
        <v>0</v>
      </c>
      <c r="J672" s="534">
        <v>0</v>
      </c>
      <c r="K672" s="534">
        <v>6</v>
      </c>
    </row>
    <row r="673" spans="2:11" x14ac:dyDescent="0.3">
      <c r="B673" s="529">
        <f t="shared" si="25"/>
        <v>668001</v>
      </c>
      <c r="C673" s="529">
        <f t="shared" si="26"/>
        <v>669</v>
      </c>
      <c r="E673" s="534">
        <v>0</v>
      </c>
      <c r="F673" s="534">
        <v>0</v>
      </c>
      <c r="G673" s="534">
        <v>77</v>
      </c>
      <c r="I673" s="534">
        <v>0</v>
      </c>
      <c r="J673" s="534">
        <v>0</v>
      </c>
      <c r="K673" s="534">
        <v>6</v>
      </c>
    </row>
    <row r="674" spans="2:11" x14ac:dyDescent="0.3">
      <c r="B674" s="529">
        <f t="shared" si="25"/>
        <v>669001</v>
      </c>
      <c r="C674" s="529">
        <f t="shared" si="26"/>
        <v>670</v>
      </c>
      <c r="E674" s="534">
        <v>1</v>
      </c>
      <c r="F674" s="534">
        <v>670</v>
      </c>
      <c r="G674" s="534">
        <v>77</v>
      </c>
      <c r="I674" s="534">
        <v>0</v>
      </c>
      <c r="J674" s="534">
        <v>0</v>
      </c>
      <c r="K674" s="534">
        <v>6</v>
      </c>
    </row>
    <row r="675" spans="2:11" x14ac:dyDescent="0.3">
      <c r="B675" s="529">
        <f t="shared" si="25"/>
        <v>670001</v>
      </c>
      <c r="C675" s="529">
        <f t="shared" si="26"/>
        <v>671</v>
      </c>
      <c r="E675" s="534">
        <v>1</v>
      </c>
      <c r="F675" s="534">
        <v>671</v>
      </c>
      <c r="G675" s="534">
        <v>76</v>
      </c>
      <c r="I675" s="534">
        <v>0</v>
      </c>
      <c r="J675" s="534">
        <v>0</v>
      </c>
      <c r="K675" s="534">
        <v>6</v>
      </c>
    </row>
    <row r="676" spans="2:11" x14ac:dyDescent="0.3">
      <c r="B676" s="529">
        <f t="shared" si="25"/>
        <v>671001</v>
      </c>
      <c r="C676" s="529">
        <f t="shared" si="26"/>
        <v>672</v>
      </c>
      <c r="E676" s="534">
        <v>0</v>
      </c>
      <c r="F676" s="534">
        <v>0</v>
      </c>
      <c r="G676" s="534">
        <v>75</v>
      </c>
      <c r="I676" s="534">
        <v>0</v>
      </c>
      <c r="J676" s="534">
        <v>0</v>
      </c>
      <c r="K676" s="534">
        <v>6</v>
      </c>
    </row>
    <row r="677" spans="2:11" x14ac:dyDescent="0.3">
      <c r="B677" s="529">
        <f t="shared" si="25"/>
        <v>672001</v>
      </c>
      <c r="C677" s="529">
        <f t="shared" si="26"/>
        <v>673</v>
      </c>
      <c r="E677" s="534">
        <v>0</v>
      </c>
      <c r="F677" s="534">
        <v>0</v>
      </c>
      <c r="G677" s="534">
        <v>75</v>
      </c>
      <c r="I677" s="534">
        <v>0</v>
      </c>
      <c r="J677" s="534">
        <v>0</v>
      </c>
      <c r="K677" s="534">
        <v>6</v>
      </c>
    </row>
    <row r="678" spans="2:11" x14ac:dyDescent="0.3">
      <c r="B678" s="529">
        <f t="shared" si="25"/>
        <v>673001</v>
      </c>
      <c r="C678" s="529">
        <f t="shared" si="26"/>
        <v>674</v>
      </c>
      <c r="E678" s="534">
        <v>1</v>
      </c>
      <c r="F678" s="534">
        <v>674</v>
      </c>
      <c r="G678" s="534">
        <v>75</v>
      </c>
      <c r="I678" s="534">
        <v>0</v>
      </c>
      <c r="J678" s="534">
        <v>0</v>
      </c>
      <c r="K678" s="534">
        <v>6</v>
      </c>
    </row>
    <row r="679" spans="2:11" x14ac:dyDescent="0.3">
      <c r="B679" s="529">
        <f t="shared" si="25"/>
        <v>674001</v>
      </c>
      <c r="C679" s="529">
        <f t="shared" si="26"/>
        <v>675</v>
      </c>
      <c r="E679" s="534">
        <v>0</v>
      </c>
      <c r="F679" s="534">
        <v>0</v>
      </c>
      <c r="G679" s="534">
        <v>74</v>
      </c>
      <c r="I679" s="534">
        <v>0</v>
      </c>
      <c r="J679" s="534">
        <v>0</v>
      </c>
      <c r="K679" s="534">
        <v>6</v>
      </c>
    </row>
    <row r="680" spans="2:11" x14ac:dyDescent="0.3">
      <c r="B680" s="529">
        <f t="shared" si="25"/>
        <v>675001</v>
      </c>
      <c r="C680" s="529">
        <f t="shared" si="26"/>
        <v>676</v>
      </c>
      <c r="E680" s="534">
        <v>0</v>
      </c>
      <c r="F680" s="534">
        <v>0</v>
      </c>
      <c r="G680" s="534">
        <v>74</v>
      </c>
      <c r="I680" s="534">
        <v>0</v>
      </c>
      <c r="J680" s="534">
        <v>0</v>
      </c>
      <c r="K680" s="534">
        <v>6</v>
      </c>
    </row>
    <row r="681" spans="2:11" x14ac:dyDescent="0.3">
      <c r="B681" s="529">
        <f t="shared" si="25"/>
        <v>676001</v>
      </c>
      <c r="C681" s="529">
        <f t="shared" si="26"/>
        <v>677</v>
      </c>
      <c r="E681" s="534">
        <v>0</v>
      </c>
      <c r="F681" s="534">
        <v>0</v>
      </c>
      <c r="G681" s="534">
        <v>74</v>
      </c>
      <c r="I681" s="534">
        <v>0</v>
      </c>
      <c r="J681" s="534">
        <v>0</v>
      </c>
      <c r="K681" s="534">
        <v>6</v>
      </c>
    </row>
    <row r="682" spans="2:11" x14ac:dyDescent="0.3">
      <c r="B682" s="529">
        <f t="shared" si="25"/>
        <v>677001</v>
      </c>
      <c r="C682" s="529">
        <f t="shared" si="26"/>
        <v>678</v>
      </c>
      <c r="E682" s="534">
        <v>0</v>
      </c>
      <c r="F682" s="534">
        <v>0</v>
      </c>
      <c r="G682" s="534">
        <v>74</v>
      </c>
      <c r="I682" s="534">
        <v>0</v>
      </c>
      <c r="J682" s="534">
        <v>0</v>
      </c>
      <c r="K682" s="534">
        <v>6</v>
      </c>
    </row>
    <row r="683" spans="2:11" x14ac:dyDescent="0.3">
      <c r="B683" s="529">
        <f t="shared" si="25"/>
        <v>678001</v>
      </c>
      <c r="C683" s="529">
        <f t="shared" si="26"/>
        <v>679</v>
      </c>
      <c r="E683" s="534">
        <v>0</v>
      </c>
      <c r="F683" s="534">
        <v>0</v>
      </c>
      <c r="G683" s="534">
        <v>74</v>
      </c>
      <c r="I683" s="534">
        <v>0</v>
      </c>
      <c r="J683" s="534">
        <v>0</v>
      </c>
      <c r="K683" s="534">
        <v>6</v>
      </c>
    </row>
    <row r="684" spans="2:11" x14ac:dyDescent="0.3">
      <c r="B684" s="529">
        <f t="shared" si="25"/>
        <v>679001</v>
      </c>
      <c r="C684" s="529">
        <f t="shared" si="26"/>
        <v>680</v>
      </c>
      <c r="E684" s="534">
        <v>0</v>
      </c>
      <c r="F684" s="534">
        <v>0</v>
      </c>
      <c r="G684" s="534">
        <v>74</v>
      </c>
      <c r="I684" s="534">
        <v>1</v>
      </c>
      <c r="J684" s="534">
        <v>680</v>
      </c>
      <c r="K684" s="534">
        <v>6</v>
      </c>
    </row>
    <row r="685" spans="2:11" x14ac:dyDescent="0.3">
      <c r="B685" s="529">
        <f t="shared" si="25"/>
        <v>680001</v>
      </c>
      <c r="C685" s="529">
        <f t="shared" si="26"/>
        <v>681</v>
      </c>
      <c r="E685" s="534">
        <v>0</v>
      </c>
      <c r="F685" s="534">
        <v>0</v>
      </c>
      <c r="G685" s="534">
        <v>74</v>
      </c>
      <c r="I685" s="534">
        <v>0</v>
      </c>
      <c r="J685" s="534">
        <v>0</v>
      </c>
      <c r="K685" s="534">
        <v>5</v>
      </c>
    </row>
    <row r="686" spans="2:11" x14ac:dyDescent="0.3">
      <c r="B686" s="529">
        <f t="shared" si="25"/>
        <v>681001</v>
      </c>
      <c r="C686" s="529">
        <f t="shared" si="26"/>
        <v>682</v>
      </c>
      <c r="E686" s="534">
        <v>0</v>
      </c>
      <c r="F686" s="534">
        <v>0</v>
      </c>
      <c r="G686" s="534">
        <v>74</v>
      </c>
      <c r="I686" s="534">
        <v>0</v>
      </c>
      <c r="J686" s="534">
        <v>0</v>
      </c>
      <c r="K686" s="534">
        <v>5</v>
      </c>
    </row>
    <row r="687" spans="2:11" x14ac:dyDescent="0.3">
      <c r="B687" s="529">
        <f t="shared" si="25"/>
        <v>682001</v>
      </c>
      <c r="C687" s="529">
        <f t="shared" si="26"/>
        <v>683</v>
      </c>
      <c r="E687" s="534">
        <v>0</v>
      </c>
      <c r="F687" s="534">
        <v>0</v>
      </c>
      <c r="G687" s="534">
        <v>74</v>
      </c>
      <c r="I687" s="534">
        <v>0</v>
      </c>
      <c r="J687" s="534">
        <v>0</v>
      </c>
      <c r="K687" s="534">
        <v>5</v>
      </c>
    </row>
    <row r="688" spans="2:11" x14ac:dyDescent="0.3">
      <c r="B688" s="529">
        <f t="shared" si="25"/>
        <v>683001</v>
      </c>
      <c r="C688" s="529">
        <f t="shared" si="26"/>
        <v>684</v>
      </c>
      <c r="E688" s="534">
        <v>0</v>
      </c>
      <c r="F688" s="534">
        <v>0</v>
      </c>
      <c r="G688" s="534">
        <v>74</v>
      </c>
      <c r="I688" s="534">
        <v>0</v>
      </c>
      <c r="J688" s="534">
        <v>0</v>
      </c>
      <c r="K688" s="534">
        <v>5</v>
      </c>
    </row>
    <row r="689" spans="2:11" x14ac:dyDescent="0.3">
      <c r="B689" s="529">
        <f t="shared" si="25"/>
        <v>684001</v>
      </c>
      <c r="C689" s="529">
        <f t="shared" si="26"/>
        <v>685</v>
      </c>
      <c r="E689" s="534">
        <v>0</v>
      </c>
      <c r="F689" s="534">
        <v>0</v>
      </c>
      <c r="G689" s="534">
        <v>74</v>
      </c>
      <c r="I689" s="534">
        <v>0</v>
      </c>
      <c r="J689" s="534">
        <v>0</v>
      </c>
      <c r="K689" s="534">
        <v>5</v>
      </c>
    </row>
    <row r="690" spans="2:11" x14ac:dyDescent="0.3">
      <c r="B690" s="529">
        <f t="shared" si="25"/>
        <v>685001</v>
      </c>
      <c r="C690" s="529">
        <f t="shared" si="26"/>
        <v>686</v>
      </c>
      <c r="E690" s="534">
        <v>0</v>
      </c>
      <c r="F690" s="534">
        <v>0</v>
      </c>
      <c r="G690" s="534">
        <v>74</v>
      </c>
      <c r="I690" s="534">
        <v>0</v>
      </c>
      <c r="J690" s="534">
        <v>0</v>
      </c>
      <c r="K690" s="534">
        <v>5</v>
      </c>
    </row>
    <row r="691" spans="2:11" x14ac:dyDescent="0.3">
      <c r="B691" s="529">
        <f t="shared" si="25"/>
        <v>686001</v>
      </c>
      <c r="C691" s="529">
        <f t="shared" si="26"/>
        <v>687</v>
      </c>
      <c r="E691" s="534">
        <v>0</v>
      </c>
      <c r="F691" s="534">
        <v>0</v>
      </c>
      <c r="G691" s="534">
        <v>74</v>
      </c>
      <c r="I691" s="534">
        <v>0</v>
      </c>
      <c r="J691" s="534">
        <v>0</v>
      </c>
      <c r="K691" s="534">
        <v>5</v>
      </c>
    </row>
    <row r="692" spans="2:11" x14ac:dyDescent="0.3">
      <c r="B692" s="529">
        <f t="shared" si="25"/>
        <v>687001</v>
      </c>
      <c r="C692" s="529">
        <f t="shared" si="26"/>
        <v>688</v>
      </c>
      <c r="E692" s="534">
        <v>0</v>
      </c>
      <c r="F692" s="534">
        <v>0</v>
      </c>
      <c r="G692" s="534">
        <v>74</v>
      </c>
      <c r="I692" s="534">
        <v>0</v>
      </c>
      <c r="J692" s="534">
        <v>0</v>
      </c>
      <c r="K692" s="534">
        <v>5</v>
      </c>
    </row>
    <row r="693" spans="2:11" x14ac:dyDescent="0.3">
      <c r="B693" s="529">
        <f t="shared" si="25"/>
        <v>688001</v>
      </c>
      <c r="C693" s="529">
        <f t="shared" si="26"/>
        <v>689</v>
      </c>
      <c r="E693" s="534">
        <v>1</v>
      </c>
      <c r="F693" s="534">
        <v>689</v>
      </c>
      <c r="G693" s="534">
        <v>74</v>
      </c>
      <c r="I693" s="534">
        <v>0</v>
      </c>
      <c r="J693" s="534">
        <v>0</v>
      </c>
      <c r="K693" s="534">
        <v>5</v>
      </c>
    </row>
    <row r="694" spans="2:11" x14ac:dyDescent="0.3">
      <c r="B694" s="529">
        <f t="shared" si="25"/>
        <v>689001</v>
      </c>
      <c r="C694" s="529">
        <f t="shared" si="26"/>
        <v>690</v>
      </c>
      <c r="E694" s="534">
        <v>0</v>
      </c>
      <c r="F694" s="534">
        <v>0</v>
      </c>
      <c r="G694" s="534">
        <v>73</v>
      </c>
      <c r="I694" s="534">
        <v>0</v>
      </c>
      <c r="J694" s="534">
        <v>0</v>
      </c>
      <c r="K694" s="534">
        <v>5</v>
      </c>
    </row>
    <row r="695" spans="2:11" x14ac:dyDescent="0.3">
      <c r="B695" s="529">
        <f t="shared" si="25"/>
        <v>690001</v>
      </c>
      <c r="C695" s="529">
        <f t="shared" si="26"/>
        <v>691</v>
      </c>
      <c r="E695" s="534">
        <v>0</v>
      </c>
      <c r="F695" s="534">
        <v>0</v>
      </c>
      <c r="G695" s="534">
        <v>73</v>
      </c>
      <c r="I695" s="534">
        <v>0</v>
      </c>
      <c r="J695" s="534">
        <v>0</v>
      </c>
      <c r="K695" s="534">
        <v>5</v>
      </c>
    </row>
    <row r="696" spans="2:11" x14ac:dyDescent="0.3">
      <c r="B696" s="529">
        <f t="shared" si="25"/>
        <v>691001</v>
      </c>
      <c r="C696" s="529">
        <f t="shared" si="26"/>
        <v>692</v>
      </c>
      <c r="E696" s="534">
        <v>0</v>
      </c>
      <c r="F696" s="534">
        <v>0</v>
      </c>
      <c r="G696" s="534">
        <v>73</v>
      </c>
      <c r="I696" s="534">
        <v>0</v>
      </c>
      <c r="J696" s="534">
        <v>0</v>
      </c>
      <c r="K696" s="534">
        <v>5</v>
      </c>
    </row>
    <row r="697" spans="2:11" x14ac:dyDescent="0.3">
      <c r="B697" s="529">
        <f t="shared" si="25"/>
        <v>692001</v>
      </c>
      <c r="C697" s="529">
        <f t="shared" si="26"/>
        <v>693</v>
      </c>
      <c r="E697" s="534">
        <v>0</v>
      </c>
      <c r="F697" s="534">
        <v>0</v>
      </c>
      <c r="G697" s="534">
        <v>73</v>
      </c>
      <c r="I697" s="534">
        <v>0</v>
      </c>
      <c r="J697" s="534">
        <v>0</v>
      </c>
      <c r="K697" s="534">
        <v>5</v>
      </c>
    </row>
    <row r="698" spans="2:11" x14ac:dyDescent="0.3">
      <c r="B698" s="529">
        <f t="shared" si="25"/>
        <v>693001</v>
      </c>
      <c r="C698" s="529">
        <f t="shared" si="26"/>
        <v>694</v>
      </c>
      <c r="E698" s="534">
        <v>0</v>
      </c>
      <c r="F698" s="534">
        <v>0</v>
      </c>
      <c r="G698" s="534">
        <v>73</v>
      </c>
      <c r="I698" s="534">
        <v>0</v>
      </c>
      <c r="J698" s="534">
        <v>0</v>
      </c>
      <c r="K698" s="534">
        <v>5</v>
      </c>
    </row>
    <row r="699" spans="2:11" x14ac:dyDescent="0.3">
      <c r="B699" s="529">
        <f t="shared" si="25"/>
        <v>694001</v>
      </c>
      <c r="C699" s="529">
        <f t="shared" si="26"/>
        <v>695</v>
      </c>
      <c r="E699" s="534">
        <v>0</v>
      </c>
      <c r="F699" s="534">
        <v>0</v>
      </c>
      <c r="G699" s="534">
        <v>73</v>
      </c>
      <c r="I699" s="534">
        <v>0</v>
      </c>
      <c r="J699" s="534">
        <v>0</v>
      </c>
      <c r="K699" s="534">
        <v>5</v>
      </c>
    </row>
    <row r="700" spans="2:11" x14ac:dyDescent="0.3">
      <c r="B700" s="529">
        <f t="shared" si="25"/>
        <v>695001</v>
      </c>
      <c r="C700" s="529">
        <f t="shared" si="26"/>
        <v>696</v>
      </c>
      <c r="E700" s="534">
        <v>0</v>
      </c>
      <c r="F700" s="534">
        <v>0</v>
      </c>
      <c r="G700" s="534">
        <v>73</v>
      </c>
      <c r="I700" s="534">
        <v>0</v>
      </c>
      <c r="J700" s="534">
        <v>0</v>
      </c>
      <c r="K700" s="534">
        <v>5</v>
      </c>
    </row>
    <row r="701" spans="2:11" x14ac:dyDescent="0.3">
      <c r="B701" s="529">
        <f t="shared" si="25"/>
        <v>696001</v>
      </c>
      <c r="C701" s="529">
        <f t="shared" si="26"/>
        <v>697</v>
      </c>
      <c r="E701" s="534">
        <v>0</v>
      </c>
      <c r="F701" s="534">
        <v>0</v>
      </c>
      <c r="G701" s="534">
        <v>73</v>
      </c>
      <c r="I701" s="534">
        <v>0</v>
      </c>
      <c r="J701" s="534">
        <v>0</v>
      </c>
      <c r="K701" s="534">
        <v>5</v>
      </c>
    </row>
    <row r="702" spans="2:11" x14ac:dyDescent="0.3">
      <c r="B702" s="529">
        <f t="shared" si="25"/>
        <v>697001</v>
      </c>
      <c r="C702" s="529">
        <f t="shared" si="26"/>
        <v>698</v>
      </c>
      <c r="E702" s="534">
        <v>0</v>
      </c>
      <c r="F702" s="534">
        <v>0</v>
      </c>
      <c r="G702" s="534">
        <v>73</v>
      </c>
      <c r="I702" s="534">
        <v>0</v>
      </c>
      <c r="J702" s="534">
        <v>0</v>
      </c>
      <c r="K702" s="534">
        <v>5</v>
      </c>
    </row>
    <row r="703" spans="2:11" x14ac:dyDescent="0.3">
      <c r="B703" s="529">
        <f t="shared" si="25"/>
        <v>698001</v>
      </c>
      <c r="C703" s="529">
        <f t="shared" si="26"/>
        <v>699</v>
      </c>
      <c r="E703" s="534">
        <v>0</v>
      </c>
      <c r="F703" s="534">
        <v>0</v>
      </c>
      <c r="G703" s="534">
        <v>73</v>
      </c>
      <c r="I703" s="534">
        <v>0</v>
      </c>
      <c r="J703" s="534">
        <v>0</v>
      </c>
      <c r="K703" s="534">
        <v>5</v>
      </c>
    </row>
    <row r="704" spans="2:11" x14ac:dyDescent="0.3">
      <c r="B704" s="529">
        <f t="shared" si="25"/>
        <v>699001</v>
      </c>
      <c r="C704" s="529">
        <f t="shared" si="26"/>
        <v>700</v>
      </c>
      <c r="E704" s="534">
        <v>0</v>
      </c>
      <c r="F704" s="534">
        <v>0</v>
      </c>
      <c r="G704" s="534">
        <v>73</v>
      </c>
      <c r="I704" s="534">
        <v>0</v>
      </c>
      <c r="J704" s="534">
        <v>0</v>
      </c>
      <c r="K704" s="534">
        <v>5</v>
      </c>
    </row>
    <row r="705" spans="2:11" x14ac:dyDescent="0.3">
      <c r="B705" s="529">
        <f t="shared" si="25"/>
        <v>700001</v>
      </c>
      <c r="C705" s="529">
        <f t="shared" si="26"/>
        <v>701</v>
      </c>
      <c r="E705" s="534">
        <v>0</v>
      </c>
      <c r="F705" s="534">
        <v>0</v>
      </c>
      <c r="G705" s="534">
        <v>73</v>
      </c>
      <c r="I705" s="534">
        <v>0</v>
      </c>
      <c r="J705" s="534">
        <v>0</v>
      </c>
      <c r="K705" s="534">
        <v>5</v>
      </c>
    </row>
    <row r="706" spans="2:11" x14ac:dyDescent="0.3">
      <c r="B706" s="529">
        <f t="shared" si="25"/>
        <v>701001</v>
      </c>
      <c r="C706" s="529">
        <f t="shared" si="26"/>
        <v>702</v>
      </c>
      <c r="E706" s="534">
        <v>0</v>
      </c>
      <c r="F706" s="534">
        <v>0</v>
      </c>
      <c r="G706" s="534">
        <v>73</v>
      </c>
      <c r="I706" s="534">
        <v>0</v>
      </c>
      <c r="J706" s="534">
        <v>0</v>
      </c>
      <c r="K706" s="534">
        <v>5</v>
      </c>
    </row>
    <row r="707" spans="2:11" x14ac:dyDescent="0.3">
      <c r="B707" s="529">
        <f t="shared" si="25"/>
        <v>702001</v>
      </c>
      <c r="C707" s="529">
        <f t="shared" si="26"/>
        <v>703</v>
      </c>
      <c r="E707" s="534">
        <v>0</v>
      </c>
      <c r="F707" s="534">
        <v>0</v>
      </c>
      <c r="G707" s="534">
        <v>73</v>
      </c>
      <c r="I707" s="534">
        <v>0</v>
      </c>
      <c r="J707" s="534">
        <v>0</v>
      </c>
      <c r="K707" s="534">
        <v>5</v>
      </c>
    </row>
    <row r="708" spans="2:11" x14ac:dyDescent="0.3">
      <c r="B708" s="529">
        <f t="shared" si="25"/>
        <v>703001</v>
      </c>
      <c r="C708" s="529">
        <f t="shared" si="26"/>
        <v>704</v>
      </c>
      <c r="E708" s="534">
        <v>0</v>
      </c>
      <c r="F708" s="534">
        <v>0</v>
      </c>
      <c r="G708" s="534">
        <v>73</v>
      </c>
      <c r="I708" s="534">
        <v>0</v>
      </c>
      <c r="J708" s="534">
        <v>0</v>
      </c>
      <c r="K708" s="534">
        <v>5</v>
      </c>
    </row>
    <row r="709" spans="2:11" x14ac:dyDescent="0.3">
      <c r="B709" s="529">
        <f t="shared" si="25"/>
        <v>704001</v>
      </c>
      <c r="C709" s="529">
        <f t="shared" si="26"/>
        <v>705</v>
      </c>
      <c r="E709" s="534">
        <v>0</v>
      </c>
      <c r="F709" s="534">
        <v>0</v>
      </c>
      <c r="G709" s="534">
        <v>73</v>
      </c>
      <c r="I709" s="534">
        <v>0</v>
      </c>
      <c r="J709" s="534">
        <v>0</v>
      </c>
      <c r="K709" s="534">
        <v>5</v>
      </c>
    </row>
    <row r="710" spans="2:11" x14ac:dyDescent="0.3">
      <c r="B710" s="529">
        <f t="shared" si="25"/>
        <v>705001</v>
      </c>
      <c r="C710" s="529">
        <f t="shared" si="26"/>
        <v>706</v>
      </c>
      <c r="E710" s="534">
        <v>0</v>
      </c>
      <c r="F710" s="534">
        <v>0</v>
      </c>
      <c r="G710" s="534">
        <v>73</v>
      </c>
      <c r="I710" s="534">
        <v>0</v>
      </c>
      <c r="J710" s="534">
        <v>0</v>
      </c>
      <c r="K710" s="534">
        <v>5</v>
      </c>
    </row>
    <row r="711" spans="2:11" x14ac:dyDescent="0.3">
      <c r="B711" s="529">
        <f t="shared" ref="B711:B774" si="27">C710*1000+1</f>
        <v>706001</v>
      </c>
      <c r="C711" s="529">
        <f t="shared" si="26"/>
        <v>707</v>
      </c>
      <c r="E711" s="534">
        <v>0</v>
      </c>
      <c r="F711" s="534">
        <v>0</v>
      </c>
      <c r="G711" s="534">
        <v>73</v>
      </c>
      <c r="I711" s="534">
        <v>0</v>
      </c>
      <c r="J711" s="534">
        <v>0</v>
      </c>
      <c r="K711" s="534">
        <v>5</v>
      </c>
    </row>
    <row r="712" spans="2:11" x14ac:dyDescent="0.3">
      <c r="B712" s="529">
        <f t="shared" si="27"/>
        <v>707001</v>
      </c>
      <c r="C712" s="529">
        <f t="shared" si="26"/>
        <v>708</v>
      </c>
      <c r="E712" s="534">
        <v>0</v>
      </c>
      <c r="F712" s="534">
        <v>0</v>
      </c>
      <c r="G712" s="534">
        <v>73</v>
      </c>
      <c r="I712" s="534">
        <v>0</v>
      </c>
      <c r="J712" s="534">
        <v>0</v>
      </c>
      <c r="K712" s="534">
        <v>5</v>
      </c>
    </row>
    <row r="713" spans="2:11" x14ac:dyDescent="0.3">
      <c r="B713" s="529">
        <f t="shared" si="27"/>
        <v>708001</v>
      </c>
      <c r="C713" s="529">
        <f t="shared" si="26"/>
        <v>709</v>
      </c>
      <c r="E713" s="534">
        <v>0</v>
      </c>
      <c r="F713" s="534">
        <v>0</v>
      </c>
      <c r="G713" s="534">
        <v>73</v>
      </c>
      <c r="I713" s="534">
        <v>0</v>
      </c>
      <c r="J713" s="534">
        <v>0</v>
      </c>
      <c r="K713" s="534">
        <v>5</v>
      </c>
    </row>
    <row r="714" spans="2:11" x14ac:dyDescent="0.3">
      <c r="B714" s="529">
        <f t="shared" si="27"/>
        <v>709001</v>
      </c>
      <c r="C714" s="529">
        <f t="shared" si="26"/>
        <v>710</v>
      </c>
      <c r="E714" s="534">
        <v>0</v>
      </c>
      <c r="F714" s="534">
        <v>0</v>
      </c>
      <c r="G714" s="534">
        <v>73</v>
      </c>
      <c r="I714" s="534">
        <v>0</v>
      </c>
      <c r="J714" s="534">
        <v>0</v>
      </c>
      <c r="K714" s="534">
        <v>5</v>
      </c>
    </row>
    <row r="715" spans="2:11" x14ac:dyDescent="0.3">
      <c r="B715" s="529">
        <f t="shared" si="27"/>
        <v>710001</v>
      </c>
      <c r="C715" s="529">
        <f t="shared" si="26"/>
        <v>711</v>
      </c>
      <c r="E715" s="534">
        <v>0</v>
      </c>
      <c r="F715" s="534">
        <v>0</v>
      </c>
      <c r="G715" s="534">
        <v>73</v>
      </c>
      <c r="I715" s="534">
        <v>0</v>
      </c>
      <c r="J715" s="534">
        <v>0</v>
      </c>
      <c r="K715" s="534">
        <v>5</v>
      </c>
    </row>
    <row r="716" spans="2:11" x14ac:dyDescent="0.3">
      <c r="B716" s="529">
        <f t="shared" si="27"/>
        <v>711001</v>
      </c>
      <c r="C716" s="529">
        <f t="shared" si="26"/>
        <v>712</v>
      </c>
      <c r="E716" s="534">
        <v>0</v>
      </c>
      <c r="F716" s="534">
        <v>0</v>
      </c>
      <c r="G716" s="534">
        <v>73</v>
      </c>
      <c r="I716" s="534">
        <v>0</v>
      </c>
      <c r="J716" s="534">
        <v>0</v>
      </c>
      <c r="K716" s="534">
        <v>5</v>
      </c>
    </row>
    <row r="717" spans="2:11" x14ac:dyDescent="0.3">
      <c r="B717" s="529">
        <f t="shared" si="27"/>
        <v>712001</v>
      </c>
      <c r="C717" s="529">
        <f t="shared" si="26"/>
        <v>713</v>
      </c>
      <c r="E717" s="534">
        <v>0</v>
      </c>
      <c r="F717" s="534">
        <v>0</v>
      </c>
      <c r="G717" s="534">
        <v>73</v>
      </c>
      <c r="I717" s="534">
        <v>0</v>
      </c>
      <c r="J717" s="534">
        <v>0</v>
      </c>
      <c r="K717" s="534">
        <v>5</v>
      </c>
    </row>
    <row r="718" spans="2:11" x14ac:dyDescent="0.3">
      <c r="B718" s="529">
        <f t="shared" si="27"/>
        <v>713001</v>
      </c>
      <c r="C718" s="529">
        <f t="shared" si="26"/>
        <v>714</v>
      </c>
      <c r="E718" s="534">
        <v>0</v>
      </c>
      <c r="F718" s="534">
        <v>0</v>
      </c>
      <c r="G718" s="534">
        <v>73</v>
      </c>
      <c r="I718" s="534">
        <v>0</v>
      </c>
      <c r="J718" s="534">
        <v>0</v>
      </c>
      <c r="K718" s="534">
        <v>5</v>
      </c>
    </row>
    <row r="719" spans="2:11" x14ac:dyDescent="0.3">
      <c r="B719" s="529">
        <f t="shared" si="27"/>
        <v>714001</v>
      </c>
      <c r="C719" s="529">
        <f t="shared" si="26"/>
        <v>715</v>
      </c>
      <c r="E719" s="534">
        <v>0</v>
      </c>
      <c r="F719" s="534">
        <v>0</v>
      </c>
      <c r="G719" s="534">
        <v>73</v>
      </c>
      <c r="I719" s="534">
        <v>0</v>
      </c>
      <c r="J719" s="534">
        <v>0</v>
      </c>
      <c r="K719" s="534">
        <v>5</v>
      </c>
    </row>
    <row r="720" spans="2:11" x14ac:dyDescent="0.3">
      <c r="B720" s="529">
        <f t="shared" si="27"/>
        <v>715001</v>
      </c>
      <c r="C720" s="529">
        <f t="shared" si="26"/>
        <v>716</v>
      </c>
      <c r="E720" s="534">
        <v>0</v>
      </c>
      <c r="F720" s="534">
        <v>0</v>
      </c>
      <c r="G720" s="534">
        <v>73</v>
      </c>
      <c r="I720" s="534">
        <v>0</v>
      </c>
      <c r="J720" s="534">
        <v>0</v>
      </c>
      <c r="K720" s="534">
        <v>5</v>
      </c>
    </row>
    <row r="721" spans="2:11" x14ac:dyDescent="0.3">
      <c r="B721" s="529">
        <f t="shared" si="27"/>
        <v>716001</v>
      </c>
      <c r="C721" s="529">
        <f t="shared" si="26"/>
        <v>717</v>
      </c>
      <c r="E721" s="534">
        <v>0</v>
      </c>
      <c r="F721" s="534">
        <v>0</v>
      </c>
      <c r="G721" s="534">
        <v>73</v>
      </c>
      <c r="I721" s="534">
        <v>0</v>
      </c>
      <c r="J721" s="534">
        <v>0</v>
      </c>
      <c r="K721" s="534">
        <v>5</v>
      </c>
    </row>
    <row r="722" spans="2:11" x14ac:dyDescent="0.3">
      <c r="B722" s="529">
        <f t="shared" si="27"/>
        <v>717001</v>
      </c>
      <c r="C722" s="529">
        <f t="shared" si="26"/>
        <v>718</v>
      </c>
      <c r="E722" s="534">
        <v>0</v>
      </c>
      <c r="F722" s="534">
        <v>0</v>
      </c>
      <c r="G722" s="534">
        <v>73</v>
      </c>
      <c r="I722" s="534">
        <v>0</v>
      </c>
      <c r="J722" s="534">
        <v>0</v>
      </c>
      <c r="K722" s="534">
        <v>5</v>
      </c>
    </row>
    <row r="723" spans="2:11" x14ac:dyDescent="0.3">
      <c r="B723" s="529">
        <f t="shared" si="27"/>
        <v>718001</v>
      </c>
      <c r="C723" s="529">
        <f t="shared" si="26"/>
        <v>719</v>
      </c>
      <c r="E723" s="534">
        <v>1</v>
      </c>
      <c r="F723" s="534">
        <v>719</v>
      </c>
      <c r="G723" s="534">
        <v>73</v>
      </c>
      <c r="I723" s="534">
        <v>0</v>
      </c>
      <c r="J723" s="534">
        <v>0</v>
      </c>
      <c r="K723" s="534">
        <v>5</v>
      </c>
    </row>
    <row r="724" spans="2:11" x14ac:dyDescent="0.3">
      <c r="B724" s="529">
        <f t="shared" si="27"/>
        <v>719001</v>
      </c>
      <c r="C724" s="529">
        <f t="shared" si="26"/>
        <v>720</v>
      </c>
      <c r="E724" s="534">
        <v>0</v>
      </c>
      <c r="F724" s="534">
        <v>0</v>
      </c>
      <c r="G724" s="534">
        <v>72</v>
      </c>
      <c r="I724" s="534">
        <v>0</v>
      </c>
      <c r="J724" s="534">
        <v>0</v>
      </c>
      <c r="K724" s="534">
        <v>5</v>
      </c>
    </row>
    <row r="725" spans="2:11" x14ac:dyDescent="0.3">
      <c r="B725" s="529">
        <f t="shared" si="27"/>
        <v>720001</v>
      </c>
      <c r="C725" s="529">
        <f t="shared" si="26"/>
        <v>721</v>
      </c>
      <c r="E725" s="534">
        <v>0</v>
      </c>
      <c r="F725" s="534">
        <v>0</v>
      </c>
      <c r="G725" s="534">
        <v>72</v>
      </c>
      <c r="I725" s="534">
        <v>0</v>
      </c>
      <c r="J725" s="534">
        <v>0</v>
      </c>
      <c r="K725" s="534">
        <v>5</v>
      </c>
    </row>
    <row r="726" spans="2:11" x14ac:dyDescent="0.3">
      <c r="B726" s="529">
        <f t="shared" si="27"/>
        <v>721001</v>
      </c>
      <c r="C726" s="529">
        <f t="shared" si="26"/>
        <v>722</v>
      </c>
      <c r="E726" s="534">
        <v>0</v>
      </c>
      <c r="F726" s="534">
        <v>0</v>
      </c>
      <c r="G726" s="534">
        <v>72</v>
      </c>
      <c r="I726" s="534">
        <v>0</v>
      </c>
      <c r="J726" s="534">
        <v>0</v>
      </c>
      <c r="K726" s="534">
        <v>5</v>
      </c>
    </row>
    <row r="727" spans="2:11" x14ac:dyDescent="0.3">
      <c r="B727" s="529">
        <f t="shared" si="27"/>
        <v>722001</v>
      </c>
      <c r="C727" s="529">
        <f t="shared" si="26"/>
        <v>723</v>
      </c>
      <c r="E727" s="534">
        <v>0</v>
      </c>
      <c r="F727" s="534">
        <v>0</v>
      </c>
      <c r="G727" s="534">
        <v>72</v>
      </c>
      <c r="I727" s="534">
        <v>0</v>
      </c>
      <c r="J727" s="534">
        <v>0</v>
      </c>
      <c r="K727" s="534">
        <v>5</v>
      </c>
    </row>
    <row r="728" spans="2:11" x14ac:dyDescent="0.3">
      <c r="B728" s="529">
        <f t="shared" si="27"/>
        <v>723001</v>
      </c>
      <c r="C728" s="529">
        <f t="shared" si="26"/>
        <v>724</v>
      </c>
      <c r="E728" s="534">
        <v>0</v>
      </c>
      <c r="F728" s="534">
        <v>0</v>
      </c>
      <c r="G728" s="534">
        <v>72</v>
      </c>
      <c r="I728" s="534">
        <v>0</v>
      </c>
      <c r="J728" s="534">
        <v>0</v>
      </c>
      <c r="K728" s="534">
        <v>5</v>
      </c>
    </row>
    <row r="729" spans="2:11" x14ac:dyDescent="0.3">
      <c r="B729" s="529">
        <f t="shared" si="27"/>
        <v>724001</v>
      </c>
      <c r="C729" s="529">
        <f t="shared" si="26"/>
        <v>725</v>
      </c>
      <c r="E729" s="534">
        <v>0</v>
      </c>
      <c r="F729" s="534">
        <v>0</v>
      </c>
      <c r="G729" s="534">
        <v>72</v>
      </c>
      <c r="I729" s="534">
        <v>0</v>
      </c>
      <c r="J729" s="534">
        <v>0</v>
      </c>
      <c r="K729" s="534">
        <v>5</v>
      </c>
    </row>
    <row r="730" spans="2:11" x14ac:dyDescent="0.3">
      <c r="B730" s="529">
        <f t="shared" si="27"/>
        <v>725001</v>
      </c>
      <c r="C730" s="529">
        <f t="shared" si="26"/>
        <v>726</v>
      </c>
      <c r="E730" s="534">
        <v>0</v>
      </c>
      <c r="F730" s="534">
        <v>0</v>
      </c>
      <c r="G730" s="534">
        <v>72</v>
      </c>
      <c r="I730" s="534">
        <v>0</v>
      </c>
      <c r="J730" s="534">
        <v>0</v>
      </c>
      <c r="K730" s="534">
        <v>5</v>
      </c>
    </row>
    <row r="731" spans="2:11" x14ac:dyDescent="0.3">
      <c r="B731" s="529">
        <f t="shared" si="27"/>
        <v>726001</v>
      </c>
      <c r="C731" s="529">
        <f t="shared" si="26"/>
        <v>727</v>
      </c>
      <c r="E731" s="534">
        <v>0</v>
      </c>
      <c r="F731" s="534">
        <v>0</v>
      </c>
      <c r="G731" s="534">
        <v>72</v>
      </c>
      <c r="I731" s="534">
        <v>0</v>
      </c>
      <c r="J731" s="534">
        <v>0</v>
      </c>
      <c r="K731" s="534">
        <v>5</v>
      </c>
    </row>
    <row r="732" spans="2:11" x14ac:dyDescent="0.3">
      <c r="B732" s="529">
        <f t="shared" si="27"/>
        <v>727001</v>
      </c>
      <c r="C732" s="529">
        <f t="shared" si="26"/>
        <v>728</v>
      </c>
      <c r="E732" s="534">
        <v>0</v>
      </c>
      <c r="F732" s="534">
        <v>0</v>
      </c>
      <c r="G732" s="534">
        <v>72</v>
      </c>
      <c r="I732" s="534">
        <v>0</v>
      </c>
      <c r="J732" s="534">
        <v>0</v>
      </c>
      <c r="K732" s="534">
        <v>5</v>
      </c>
    </row>
    <row r="733" spans="2:11" x14ac:dyDescent="0.3">
      <c r="B733" s="529">
        <f t="shared" si="27"/>
        <v>728001</v>
      </c>
      <c r="C733" s="529">
        <f t="shared" si="26"/>
        <v>729</v>
      </c>
      <c r="E733" s="534">
        <v>1</v>
      </c>
      <c r="F733" s="534">
        <v>729</v>
      </c>
      <c r="G733" s="534">
        <v>72</v>
      </c>
      <c r="I733" s="534">
        <v>0</v>
      </c>
      <c r="J733" s="534">
        <v>0</v>
      </c>
      <c r="K733" s="534">
        <v>5</v>
      </c>
    </row>
    <row r="734" spans="2:11" x14ac:dyDescent="0.3">
      <c r="B734" s="529">
        <f t="shared" si="27"/>
        <v>729001</v>
      </c>
      <c r="C734" s="529">
        <f t="shared" si="26"/>
        <v>730</v>
      </c>
      <c r="E734" s="534">
        <v>1</v>
      </c>
      <c r="F734" s="534">
        <v>730</v>
      </c>
      <c r="G734" s="534">
        <v>71</v>
      </c>
      <c r="I734" s="534">
        <v>0</v>
      </c>
      <c r="J734" s="534">
        <v>0</v>
      </c>
      <c r="K734" s="534">
        <v>5</v>
      </c>
    </row>
    <row r="735" spans="2:11" x14ac:dyDescent="0.3">
      <c r="B735" s="529">
        <f t="shared" si="27"/>
        <v>730001</v>
      </c>
      <c r="C735" s="529">
        <f t="shared" si="26"/>
        <v>731</v>
      </c>
      <c r="E735" s="534">
        <v>0</v>
      </c>
      <c r="F735" s="534">
        <v>0</v>
      </c>
      <c r="G735" s="534">
        <v>70</v>
      </c>
      <c r="I735" s="534">
        <v>0</v>
      </c>
      <c r="J735" s="534">
        <v>0</v>
      </c>
      <c r="K735" s="534">
        <v>5</v>
      </c>
    </row>
    <row r="736" spans="2:11" x14ac:dyDescent="0.3">
      <c r="B736" s="529">
        <f t="shared" si="27"/>
        <v>731001</v>
      </c>
      <c r="C736" s="529">
        <f t="shared" ref="C736:C799" si="28">C735+1</f>
        <v>732</v>
      </c>
      <c r="E736" s="534">
        <v>0</v>
      </c>
      <c r="F736" s="534">
        <v>0</v>
      </c>
      <c r="G736" s="534">
        <v>70</v>
      </c>
      <c r="I736" s="534">
        <v>0</v>
      </c>
      <c r="J736" s="534">
        <v>0</v>
      </c>
      <c r="K736" s="534">
        <v>5</v>
      </c>
    </row>
    <row r="737" spans="2:11" x14ac:dyDescent="0.3">
      <c r="B737" s="529">
        <f t="shared" si="27"/>
        <v>732001</v>
      </c>
      <c r="C737" s="529">
        <f t="shared" si="28"/>
        <v>733</v>
      </c>
      <c r="E737" s="534">
        <v>0</v>
      </c>
      <c r="F737" s="534">
        <v>0</v>
      </c>
      <c r="G737" s="534">
        <v>70</v>
      </c>
      <c r="I737" s="534">
        <v>0</v>
      </c>
      <c r="J737" s="534">
        <v>0</v>
      </c>
      <c r="K737" s="534">
        <v>5</v>
      </c>
    </row>
    <row r="738" spans="2:11" x14ac:dyDescent="0.3">
      <c r="B738" s="529">
        <f t="shared" si="27"/>
        <v>733001</v>
      </c>
      <c r="C738" s="529">
        <f t="shared" si="28"/>
        <v>734</v>
      </c>
      <c r="E738" s="534">
        <v>1</v>
      </c>
      <c r="F738" s="534">
        <v>734</v>
      </c>
      <c r="G738" s="534">
        <v>70</v>
      </c>
      <c r="I738" s="534">
        <v>0</v>
      </c>
      <c r="J738" s="534">
        <v>0</v>
      </c>
      <c r="K738" s="534">
        <v>5</v>
      </c>
    </row>
    <row r="739" spans="2:11" x14ac:dyDescent="0.3">
      <c r="B739" s="529">
        <f t="shared" si="27"/>
        <v>734001</v>
      </c>
      <c r="C739" s="529">
        <f t="shared" si="28"/>
        <v>735</v>
      </c>
      <c r="E739" s="534">
        <v>0</v>
      </c>
      <c r="F739" s="534">
        <v>0</v>
      </c>
      <c r="G739" s="534">
        <v>69</v>
      </c>
      <c r="I739" s="534">
        <v>0</v>
      </c>
      <c r="J739" s="534">
        <v>0</v>
      </c>
      <c r="K739" s="534">
        <v>5</v>
      </c>
    </row>
    <row r="740" spans="2:11" x14ac:dyDescent="0.3">
      <c r="B740" s="529">
        <f t="shared" si="27"/>
        <v>735001</v>
      </c>
      <c r="C740" s="529">
        <f t="shared" si="28"/>
        <v>736</v>
      </c>
      <c r="E740" s="534">
        <v>0</v>
      </c>
      <c r="F740" s="534">
        <v>0</v>
      </c>
      <c r="G740" s="534">
        <v>69</v>
      </c>
      <c r="I740" s="534">
        <v>0</v>
      </c>
      <c r="J740" s="534">
        <v>0</v>
      </c>
      <c r="K740" s="534">
        <v>5</v>
      </c>
    </row>
    <row r="741" spans="2:11" x14ac:dyDescent="0.3">
      <c r="B741" s="529">
        <f t="shared" si="27"/>
        <v>736001</v>
      </c>
      <c r="C741" s="529">
        <f t="shared" si="28"/>
        <v>737</v>
      </c>
      <c r="E741" s="534">
        <v>1</v>
      </c>
      <c r="F741" s="534">
        <v>737</v>
      </c>
      <c r="G741" s="534">
        <v>69</v>
      </c>
      <c r="I741" s="534">
        <v>0</v>
      </c>
      <c r="J741" s="534">
        <v>0</v>
      </c>
      <c r="K741" s="534">
        <v>5</v>
      </c>
    </row>
    <row r="742" spans="2:11" x14ac:dyDescent="0.3">
      <c r="B742" s="529">
        <f t="shared" si="27"/>
        <v>737001</v>
      </c>
      <c r="C742" s="529">
        <f t="shared" si="28"/>
        <v>738</v>
      </c>
      <c r="E742" s="534">
        <v>0</v>
      </c>
      <c r="F742" s="534">
        <v>0</v>
      </c>
      <c r="G742" s="534">
        <v>68</v>
      </c>
      <c r="I742" s="534">
        <v>0</v>
      </c>
      <c r="J742" s="534">
        <v>0</v>
      </c>
      <c r="K742" s="534">
        <v>5</v>
      </c>
    </row>
    <row r="743" spans="2:11" x14ac:dyDescent="0.3">
      <c r="B743" s="529">
        <f t="shared" si="27"/>
        <v>738001</v>
      </c>
      <c r="C743" s="529">
        <f t="shared" si="28"/>
        <v>739</v>
      </c>
      <c r="E743" s="534">
        <v>1</v>
      </c>
      <c r="F743" s="534">
        <v>739</v>
      </c>
      <c r="G743" s="534">
        <v>68</v>
      </c>
      <c r="I743" s="534">
        <v>0</v>
      </c>
      <c r="J743" s="534">
        <v>0</v>
      </c>
      <c r="K743" s="534">
        <v>5</v>
      </c>
    </row>
    <row r="744" spans="2:11" x14ac:dyDescent="0.3">
      <c r="B744" s="529">
        <f t="shared" si="27"/>
        <v>739001</v>
      </c>
      <c r="C744" s="529">
        <f t="shared" si="28"/>
        <v>740</v>
      </c>
      <c r="E744" s="534">
        <v>0</v>
      </c>
      <c r="F744" s="534">
        <v>0</v>
      </c>
      <c r="G744" s="534">
        <v>67</v>
      </c>
      <c r="I744" s="534">
        <v>0</v>
      </c>
      <c r="J744" s="534">
        <v>0</v>
      </c>
      <c r="K744" s="534">
        <v>5</v>
      </c>
    </row>
    <row r="745" spans="2:11" x14ac:dyDescent="0.3">
      <c r="B745" s="529">
        <f t="shared" si="27"/>
        <v>740001</v>
      </c>
      <c r="C745" s="529">
        <f t="shared" si="28"/>
        <v>741</v>
      </c>
      <c r="E745" s="534">
        <v>0</v>
      </c>
      <c r="F745" s="534">
        <v>0</v>
      </c>
      <c r="G745" s="534">
        <v>67</v>
      </c>
      <c r="I745" s="534">
        <v>0</v>
      </c>
      <c r="J745" s="534">
        <v>0</v>
      </c>
      <c r="K745" s="534">
        <v>5</v>
      </c>
    </row>
    <row r="746" spans="2:11" x14ac:dyDescent="0.3">
      <c r="B746" s="529">
        <f t="shared" si="27"/>
        <v>741001</v>
      </c>
      <c r="C746" s="529">
        <f t="shared" si="28"/>
        <v>742</v>
      </c>
      <c r="E746" s="534">
        <v>1</v>
      </c>
      <c r="F746" s="534">
        <v>742</v>
      </c>
      <c r="G746" s="534">
        <v>67</v>
      </c>
      <c r="I746" s="534">
        <v>0</v>
      </c>
      <c r="J746" s="534">
        <v>0</v>
      </c>
      <c r="K746" s="534">
        <v>5</v>
      </c>
    </row>
    <row r="747" spans="2:11" x14ac:dyDescent="0.3">
      <c r="B747" s="529">
        <f t="shared" si="27"/>
        <v>742001</v>
      </c>
      <c r="C747" s="529">
        <f t="shared" si="28"/>
        <v>743</v>
      </c>
      <c r="E747" s="534">
        <v>0</v>
      </c>
      <c r="F747" s="534">
        <v>0</v>
      </c>
      <c r="G747" s="534">
        <v>66</v>
      </c>
      <c r="I747" s="534">
        <v>0</v>
      </c>
      <c r="J747" s="534">
        <v>0</v>
      </c>
      <c r="K747" s="534">
        <v>5</v>
      </c>
    </row>
    <row r="748" spans="2:11" x14ac:dyDescent="0.3">
      <c r="B748" s="529">
        <f t="shared" si="27"/>
        <v>743001</v>
      </c>
      <c r="C748" s="529">
        <f t="shared" si="28"/>
        <v>744</v>
      </c>
      <c r="E748" s="534">
        <v>0</v>
      </c>
      <c r="F748" s="534">
        <v>0</v>
      </c>
      <c r="G748" s="534">
        <v>66</v>
      </c>
      <c r="I748" s="534">
        <v>0</v>
      </c>
      <c r="J748" s="534">
        <v>0</v>
      </c>
      <c r="K748" s="534">
        <v>5</v>
      </c>
    </row>
    <row r="749" spans="2:11" x14ac:dyDescent="0.3">
      <c r="B749" s="529">
        <f t="shared" si="27"/>
        <v>744001</v>
      </c>
      <c r="C749" s="529">
        <f t="shared" si="28"/>
        <v>745</v>
      </c>
      <c r="E749" s="534">
        <v>0</v>
      </c>
      <c r="F749" s="534">
        <v>0</v>
      </c>
      <c r="G749" s="534">
        <v>66</v>
      </c>
      <c r="I749" s="534">
        <v>0</v>
      </c>
      <c r="J749" s="534">
        <v>0</v>
      </c>
      <c r="K749" s="534">
        <v>5</v>
      </c>
    </row>
    <row r="750" spans="2:11" x14ac:dyDescent="0.3">
      <c r="B750" s="529">
        <f t="shared" si="27"/>
        <v>745001</v>
      </c>
      <c r="C750" s="529">
        <f t="shared" si="28"/>
        <v>746</v>
      </c>
      <c r="E750" s="534">
        <v>0</v>
      </c>
      <c r="F750" s="534">
        <v>0</v>
      </c>
      <c r="G750" s="534">
        <v>66</v>
      </c>
      <c r="I750" s="534">
        <v>0</v>
      </c>
      <c r="J750" s="534">
        <v>0</v>
      </c>
      <c r="K750" s="534">
        <v>5</v>
      </c>
    </row>
    <row r="751" spans="2:11" x14ac:dyDescent="0.3">
      <c r="B751" s="529">
        <f t="shared" si="27"/>
        <v>746001</v>
      </c>
      <c r="C751" s="529">
        <f t="shared" si="28"/>
        <v>747</v>
      </c>
      <c r="E751" s="534">
        <v>0</v>
      </c>
      <c r="F751" s="534">
        <v>0</v>
      </c>
      <c r="G751" s="534">
        <v>66</v>
      </c>
      <c r="I751" s="534">
        <v>0</v>
      </c>
      <c r="J751" s="534">
        <v>0</v>
      </c>
      <c r="K751" s="534">
        <v>5</v>
      </c>
    </row>
    <row r="752" spans="2:11" x14ac:dyDescent="0.3">
      <c r="B752" s="529">
        <f t="shared" si="27"/>
        <v>747001</v>
      </c>
      <c r="C752" s="529">
        <f t="shared" si="28"/>
        <v>748</v>
      </c>
      <c r="E752" s="534">
        <v>1</v>
      </c>
      <c r="F752" s="534">
        <v>748</v>
      </c>
      <c r="G752" s="534">
        <v>66</v>
      </c>
      <c r="I752" s="534">
        <v>0</v>
      </c>
      <c r="J752" s="534">
        <v>0</v>
      </c>
      <c r="K752" s="534">
        <v>5</v>
      </c>
    </row>
    <row r="753" spans="2:11" x14ac:dyDescent="0.3">
      <c r="B753" s="529">
        <f t="shared" si="27"/>
        <v>748001</v>
      </c>
      <c r="C753" s="529">
        <f t="shared" si="28"/>
        <v>749</v>
      </c>
      <c r="E753" s="534">
        <v>0</v>
      </c>
      <c r="F753" s="534">
        <v>0</v>
      </c>
      <c r="G753" s="534">
        <v>65</v>
      </c>
      <c r="I753" s="534">
        <v>0</v>
      </c>
      <c r="J753" s="534">
        <v>0</v>
      </c>
      <c r="K753" s="534">
        <v>5</v>
      </c>
    </row>
    <row r="754" spans="2:11" x14ac:dyDescent="0.3">
      <c r="B754" s="529">
        <f t="shared" si="27"/>
        <v>749001</v>
      </c>
      <c r="C754" s="529">
        <f t="shared" si="28"/>
        <v>750</v>
      </c>
      <c r="E754" s="534">
        <v>1</v>
      </c>
      <c r="F754" s="534">
        <v>750</v>
      </c>
      <c r="G754" s="534">
        <v>65</v>
      </c>
      <c r="I754" s="534">
        <v>0</v>
      </c>
      <c r="J754" s="534">
        <v>0</v>
      </c>
      <c r="K754" s="534">
        <v>5</v>
      </c>
    </row>
    <row r="755" spans="2:11" x14ac:dyDescent="0.3">
      <c r="B755" s="529">
        <f t="shared" si="27"/>
        <v>750001</v>
      </c>
      <c r="C755" s="529">
        <f t="shared" si="28"/>
        <v>751</v>
      </c>
      <c r="E755" s="534">
        <v>0</v>
      </c>
      <c r="F755" s="534">
        <v>0</v>
      </c>
      <c r="G755" s="534">
        <v>64</v>
      </c>
      <c r="I755" s="534">
        <v>0</v>
      </c>
      <c r="J755" s="534">
        <v>0</v>
      </c>
      <c r="K755" s="534">
        <v>5</v>
      </c>
    </row>
    <row r="756" spans="2:11" x14ac:dyDescent="0.3">
      <c r="B756" s="529">
        <f t="shared" si="27"/>
        <v>751001</v>
      </c>
      <c r="C756" s="529">
        <f t="shared" si="28"/>
        <v>752</v>
      </c>
      <c r="E756" s="534">
        <v>0</v>
      </c>
      <c r="F756" s="534">
        <v>0</v>
      </c>
      <c r="G756" s="534">
        <v>64</v>
      </c>
      <c r="I756" s="534">
        <v>0</v>
      </c>
      <c r="J756" s="534">
        <v>0</v>
      </c>
      <c r="K756" s="534">
        <v>5</v>
      </c>
    </row>
    <row r="757" spans="2:11" x14ac:dyDescent="0.3">
      <c r="B757" s="529">
        <f t="shared" si="27"/>
        <v>752001</v>
      </c>
      <c r="C757" s="529">
        <f t="shared" si="28"/>
        <v>753</v>
      </c>
      <c r="E757" s="534">
        <v>0</v>
      </c>
      <c r="F757" s="534">
        <v>0</v>
      </c>
      <c r="G757" s="534">
        <v>64</v>
      </c>
      <c r="I757" s="534">
        <v>0</v>
      </c>
      <c r="J757" s="534">
        <v>0</v>
      </c>
      <c r="K757" s="534">
        <v>5</v>
      </c>
    </row>
    <row r="758" spans="2:11" x14ac:dyDescent="0.3">
      <c r="B758" s="529">
        <f t="shared" si="27"/>
        <v>753001</v>
      </c>
      <c r="C758" s="529">
        <f t="shared" si="28"/>
        <v>754</v>
      </c>
      <c r="E758" s="534">
        <v>0</v>
      </c>
      <c r="F758" s="534">
        <v>0</v>
      </c>
      <c r="G758" s="534">
        <v>64</v>
      </c>
      <c r="I758" s="534">
        <v>0</v>
      </c>
      <c r="J758" s="534">
        <v>0</v>
      </c>
      <c r="K758" s="534">
        <v>5</v>
      </c>
    </row>
    <row r="759" spans="2:11" x14ac:dyDescent="0.3">
      <c r="B759" s="529">
        <f t="shared" si="27"/>
        <v>754001</v>
      </c>
      <c r="C759" s="529">
        <f t="shared" si="28"/>
        <v>755</v>
      </c>
      <c r="E759" s="534">
        <v>1</v>
      </c>
      <c r="F759" s="534">
        <v>755</v>
      </c>
      <c r="G759" s="534">
        <v>64</v>
      </c>
      <c r="I759" s="534">
        <v>0</v>
      </c>
      <c r="J759" s="534">
        <v>0</v>
      </c>
      <c r="K759" s="534">
        <v>5</v>
      </c>
    </row>
    <row r="760" spans="2:11" x14ac:dyDescent="0.3">
      <c r="B760" s="529">
        <f t="shared" si="27"/>
        <v>755001</v>
      </c>
      <c r="C760" s="529">
        <f t="shared" si="28"/>
        <v>756</v>
      </c>
      <c r="E760" s="534">
        <v>0</v>
      </c>
      <c r="F760" s="534">
        <v>0</v>
      </c>
      <c r="G760" s="534">
        <v>63</v>
      </c>
      <c r="I760" s="534">
        <v>0</v>
      </c>
      <c r="J760" s="534">
        <v>0</v>
      </c>
      <c r="K760" s="534">
        <v>5</v>
      </c>
    </row>
    <row r="761" spans="2:11" x14ac:dyDescent="0.3">
      <c r="B761" s="529">
        <f t="shared" si="27"/>
        <v>756001</v>
      </c>
      <c r="C761" s="529">
        <f t="shared" si="28"/>
        <v>757</v>
      </c>
      <c r="E761" s="534">
        <v>0</v>
      </c>
      <c r="F761" s="534">
        <v>0</v>
      </c>
      <c r="G761" s="534">
        <v>63</v>
      </c>
      <c r="I761" s="534">
        <v>0</v>
      </c>
      <c r="J761" s="534">
        <v>0</v>
      </c>
      <c r="K761" s="534">
        <v>5</v>
      </c>
    </row>
    <row r="762" spans="2:11" x14ac:dyDescent="0.3">
      <c r="B762" s="529">
        <f t="shared" si="27"/>
        <v>757001</v>
      </c>
      <c r="C762" s="529">
        <f t="shared" si="28"/>
        <v>758</v>
      </c>
      <c r="E762" s="534">
        <v>0</v>
      </c>
      <c r="F762" s="534">
        <v>0</v>
      </c>
      <c r="G762" s="534">
        <v>63</v>
      </c>
      <c r="I762" s="534">
        <v>0</v>
      </c>
      <c r="J762" s="534">
        <v>0</v>
      </c>
      <c r="K762" s="534">
        <v>5</v>
      </c>
    </row>
    <row r="763" spans="2:11" x14ac:dyDescent="0.3">
      <c r="B763" s="529">
        <f t="shared" si="27"/>
        <v>758001</v>
      </c>
      <c r="C763" s="529">
        <f t="shared" si="28"/>
        <v>759</v>
      </c>
      <c r="E763" s="534">
        <v>0</v>
      </c>
      <c r="F763" s="534">
        <v>0</v>
      </c>
      <c r="G763" s="534">
        <v>63</v>
      </c>
      <c r="I763" s="534">
        <v>0</v>
      </c>
      <c r="J763" s="534">
        <v>0</v>
      </c>
      <c r="K763" s="534">
        <v>5</v>
      </c>
    </row>
    <row r="764" spans="2:11" x14ac:dyDescent="0.3">
      <c r="B764" s="529">
        <f t="shared" si="27"/>
        <v>759001</v>
      </c>
      <c r="C764" s="529">
        <f t="shared" si="28"/>
        <v>760</v>
      </c>
      <c r="E764" s="534">
        <v>1</v>
      </c>
      <c r="F764" s="534">
        <v>760</v>
      </c>
      <c r="G764" s="534">
        <v>63</v>
      </c>
      <c r="I764" s="534">
        <v>1</v>
      </c>
      <c r="J764" s="534">
        <v>760</v>
      </c>
      <c r="K764" s="534">
        <v>5</v>
      </c>
    </row>
    <row r="765" spans="2:11" x14ac:dyDescent="0.3">
      <c r="B765" s="529">
        <f t="shared" si="27"/>
        <v>760001</v>
      </c>
      <c r="C765" s="529">
        <f t="shared" si="28"/>
        <v>761</v>
      </c>
      <c r="E765" s="534">
        <v>0</v>
      </c>
      <c r="F765" s="534">
        <v>0</v>
      </c>
      <c r="G765" s="534">
        <v>62</v>
      </c>
      <c r="I765" s="534">
        <v>0</v>
      </c>
      <c r="J765" s="534">
        <v>0</v>
      </c>
      <c r="K765" s="534">
        <v>4</v>
      </c>
    </row>
    <row r="766" spans="2:11" x14ac:dyDescent="0.3">
      <c r="B766" s="529">
        <f t="shared" si="27"/>
        <v>761001</v>
      </c>
      <c r="C766" s="529">
        <f t="shared" si="28"/>
        <v>762</v>
      </c>
      <c r="E766" s="534">
        <v>0</v>
      </c>
      <c r="F766" s="534">
        <v>0</v>
      </c>
      <c r="G766" s="534">
        <v>62</v>
      </c>
      <c r="I766" s="534">
        <v>0</v>
      </c>
      <c r="J766" s="534">
        <v>0</v>
      </c>
      <c r="K766" s="534">
        <v>4</v>
      </c>
    </row>
    <row r="767" spans="2:11" x14ac:dyDescent="0.3">
      <c r="B767" s="529">
        <f t="shared" si="27"/>
        <v>762001</v>
      </c>
      <c r="C767" s="529">
        <f t="shared" si="28"/>
        <v>763</v>
      </c>
      <c r="E767" s="534">
        <v>0</v>
      </c>
      <c r="F767" s="534">
        <v>0</v>
      </c>
      <c r="G767" s="534">
        <v>62</v>
      </c>
      <c r="I767" s="534">
        <v>0</v>
      </c>
      <c r="J767" s="534">
        <v>0</v>
      </c>
      <c r="K767" s="534">
        <v>4</v>
      </c>
    </row>
    <row r="768" spans="2:11" x14ac:dyDescent="0.3">
      <c r="B768" s="529">
        <f t="shared" si="27"/>
        <v>763001</v>
      </c>
      <c r="C768" s="529">
        <f t="shared" si="28"/>
        <v>764</v>
      </c>
      <c r="E768" s="534">
        <v>0</v>
      </c>
      <c r="F768" s="534">
        <v>0</v>
      </c>
      <c r="G768" s="534">
        <v>62</v>
      </c>
      <c r="I768" s="534">
        <v>0</v>
      </c>
      <c r="J768" s="534">
        <v>0</v>
      </c>
      <c r="K768" s="534">
        <v>4</v>
      </c>
    </row>
    <row r="769" spans="2:11" x14ac:dyDescent="0.3">
      <c r="B769" s="529">
        <f t="shared" si="27"/>
        <v>764001</v>
      </c>
      <c r="C769" s="529">
        <f t="shared" si="28"/>
        <v>765</v>
      </c>
      <c r="E769" s="534">
        <v>0</v>
      </c>
      <c r="F769" s="534">
        <v>0</v>
      </c>
      <c r="G769" s="534">
        <v>62</v>
      </c>
      <c r="I769" s="534">
        <v>0</v>
      </c>
      <c r="J769" s="534">
        <v>0</v>
      </c>
      <c r="K769" s="534">
        <v>4</v>
      </c>
    </row>
    <row r="770" spans="2:11" x14ac:dyDescent="0.3">
      <c r="B770" s="529">
        <f t="shared" si="27"/>
        <v>765001</v>
      </c>
      <c r="C770" s="529">
        <f t="shared" si="28"/>
        <v>766</v>
      </c>
      <c r="E770" s="534">
        <v>1</v>
      </c>
      <c r="F770" s="534">
        <v>766</v>
      </c>
      <c r="G770" s="534">
        <v>62</v>
      </c>
      <c r="I770" s="534">
        <v>0</v>
      </c>
      <c r="J770" s="534">
        <v>0</v>
      </c>
      <c r="K770" s="534">
        <v>4</v>
      </c>
    </row>
    <row r="771" spans="2:11" x14ac:dyDescent="0.3">
      <c r="B771" s="529">
        <f t="shared" si="27"/>
        <v>766001</v>
      </c>
      <c r="C771" s="529">
        <f t="shared" si="28"/>
        <v>767</v>
      </c>
      <c r="E771" s="534">
        <v>0</v>
      </c>
      <c r="F771" s="534">
        <v>0</v>
      </c>
      <c r="G771" s="534">
        <v>61</v>
      </c>
      <c r="I771" s="534">
        <v>0</v>
      </c>
      <c r="J771" s="534">
        <v>0</v>
      </c>
      <c r="K771" s="534">
        <v>4</v>
      </c>
    </row>
    <row r="772" spans="2:11" x14ac:dyDescent="0.3">
      <c r="B772" s="529">
        <f t="shared" si="27"/>
        <v>767001</v>
      </c>
      <c r="C772" s="529">
        <f t="shared" si="28"/>
        <v>768</v>
      </c>
      <c r="E772" s="534">
        <v>1</v>
      </c>
      <c r="F772" s="534">
        <v>768</v>
      </c>
      <c r="G772" s="534">
        <v>61</v>
      </c>
      <c r="I772" s="534">
        <v>0</v>
      </c>
      <c r="J772" s="534">
        <v>0</v>
      </c>
      <c r="K772" s="534">
        <v>4</v>
      </c>
    </row>
    <row r="773" spans="2:11" x14ac:dyDescent="0.3">
      <c r="B773" s="529">
        <f t="shared" si="27"/>
        <v>768001</v>
      </c>
      <c r="C773" s="529">
        <f t="shared" si="28"/>
        <v>769</v>
      </c>
      <c r="E773" s="534">
        <v>0</v>
      </c>
      <c r="F773" s="534">
        <v>0</v>
      </c>
      <c r="G773" s="534">
        <v>60</v>
      </c>
      <c r="I773" s="534">
        <v>0</v>
      </c>
      <c r="J773" s="534">
        <v>0</v>
      </c>
      <c r="K773" s="534">
        <v>4</v>
      </c>
    </row>
    <row r="774" spans="2:11" x14ac:dyDescent="0.3">
      <c r="B774" s="529">
        <f t="shared" si="27"/>
        <v>769001</v>
      </c>
      <c r="C774" s="529">
        <f t="shared" si="28"/>
        <v>770</v>
      </c>
      <c r="E774" s="534">
        <v>1</v>
      </c>
      <c r="F774" s="534">
        <v>770</v>
      </c>
      <c r="G774" s="534">
        <v>60</v>
      </c>
      <c r="I774" s="534">
        <v>0</v>
      </c>
      <c r="J774" s="534">
        <v>0</v>
      </c>
      <c r="K774" s="534">
        <v>4</v>
      </c>
    </row>
    <row r="775" spans="2:11" x14ac:dyDescent="0.3">
      <c r="B775" s="529">
        <f t="shared" ref="B775:B838" si="29">C774*1000+1</f>
        <v>770001</v>
      </c>
      <c r="C775" s="529">
        <f t="shared" si="28"/>
        <v>771</v>
      </c>
      <c r="E775" s="534">
        <v>0</v>
      </c>
      <c r="F775" s="534">
        <v>0</v>
      </c>
      <c r="G775" s="534">
        <v>59</v>
      </c>
      <c r="I775" s="534">
        <v>0</v>
      </c>
      <c r="J775" s="534">
        <v>0</v>
      </c>
      <c r="K775" s="534">
        <v>4</v>
      </c>
    </row>
    <row r="776" spans="2:11" x14ac:dyDescent="0.3">
      <c r="B776" s="529">
        <f t="shared" si="29"/>
        <v>771001</v>
      </c>
      <c r="C776" s="529">
        <f t="shared" si="28"/>
        <v>772</v>
      </c>
      <c r="E776" s="534">
        <v>0</v>
      </c>
      <c r="F776" s="534">
        <v>0</v>
      </c>
      <c r="G776" s="534">
        <v>59</v>
      </c>
      <c r="I776" s="534">
        <v>0</v>
      </c>
      <c r="J776" s="534">
        <v>0</v>
      </c>
      <c r="K776" s="534">
        <v>4</v>
      </c>
    </row>
    <row r="777" spans="2:11" x14ac:dyDescent="0.3">
      <c r="B777" s="529">
        <f t="shared" si="29"/>
        <v>772001</v>
      </c>
      <c r="C777" s="529">
        <f t="shared" si="28"/>
        <v>773</v>
      </c>
      <c r="E777" s="534">
        <v>0</v>
      </c>
      <c r="F777" s="534">
        <v>0</v>
      </c>
      <c r="G777" s="534">
        <v>59</v>
      </c>
      <c r="I777" s="534">
        <v>0</v>
      </c>
      <c r="J777" s="534">
        <v>0</v>
      </c>
      <c r="K777" s="534">
        <v>4</v>
      </c>
    </row>
    <row r="778" spans="2:11" x14ac:dyDescent="0.3">
      <c r="B778" s="529">
        <f t="shared" si="29"/>
        <v>773001</v>
      </c>
      <c r="C778" s="529">
        <f t="shared" si="28"/>
        <v>774</v>
      </c>
      <c r="E778" s="534">
        <v>0</v>
      </c>
      <c r="F778" s="534">
        <v>0</v>
      </c>
      <c r="G778" s="534">
        <v>59</v>
      </c>
      <c r="I778" s="534">
        <v>0</v>
      </c>
      <c r="J778" s="534">
        <v>0</v>
      </c>
      <c r="K778" s="534">
        <v>4</v>
      </c>
    </row>
    <row r="779" spans="2:11" x14ac:dyDescent="0.3">
      <c r="B779" s="529">
        <f t="shared" si="29"/>
        <v>774001</v>
      </c>
      <c r="C779" s="529">
        <f t="shared" si="28"/>
        <v>775</v>
      </c>
      <c r="E779" s="534">
        <v>0</v>
      </c>
      <c r="F779" s="534">
        <v>0</v>
      </c>
      <c r="G779" s="534">
        <v>59</v>
      </c>
      <c r="I779" s="534">
        <v>0</v>
      </c>
      <c r="J779" s="534">
        <v>0</v>
      </c>
      <c r="K779" s="534">
        <v>4</v>
      </c>
    </row>
    <row r="780" spans="2:11" x14ac:dyDescent="0.3">
      <c r="B780" s="529">
        <f t="shared" si="29"/>
        <v>775001</v>
      </c>
      <c r="C780" s="529">
        <f t="shared" si="28"/>
        <v>776</v>
      </c>
      <c r="E780" s="534">
        <v>0</v>
      </c>
      <c r="F780" s="534">
        <v>0</v>
      </c>
      <c r="G780" s="534">
        <v>59</v>
      </c>
      <c r="I780" s="534">
        <v>0</v>
      </c>
      <c r="J780" s="534">
        <v>0</v>
      </c>
      <c r="K780" s="534">
        <v>4</v>
      </c>
    </row>
    <row r="781" spans="2:11" x14ac:dyDescent="0.3">
      <c r="B781" s="529">
        <f t="shared" si="29"/>
        <v>776001</v>
      </c>
      <c r="C781" s="529">
        <f t="shared" si="28"/>
        <v>777</v>
      </c>
      <c r="E781" s="534">
        <v>0</v>
      </c>
      <c r="F781" s="534">
        <v>0</v>
      </c>
      <c r="G781" s="534">
        <v>59</v>
      </c>
      <c r="I781" s="534">
        <v>0</v>
      </c>
      <c r="J781" s="534">
        <v>0</v>
      </c>
      <c r="K781" s="534">
        <v>4</v>
      </c>
    </row>
    <row r="782" spans="2:11" x14ac:dyDescent="0.3">
      <c r="B782" s="529">
        <f t="shared" si="29"/>
        <v>777001</v>
      </c>
      <c r="C782" s="529">
        <f t="shared" si="28"/>
        <v>778</v>
      </c>
      <c r="E782" s="534">
        <v>0</v>
      </c>
      <c r="F782" s="534">
        <v>0</v>
      </c>
      <c r="G782" s="534">
        <v>59</v>
      </c>
      <c r="I782" s="534">
        <v>0</v>
      </c>
      <c r="J782" s="534">
        <v>0</v>
      </c>
      <c r="K782" s="534">
        <v>4</v>
      </c>
    </row>
    <row r="783" spans="2:11" x14ac:dyDescent="0.3">
      <c r="B783" s="529">
        <f t="shared" si="29"/>
        <v>778001</v>
      </c>
      <c r="C783" s="529">
        <f t="shared" si="28"/>
        <v>779</v>
      </c>
      <c r="E783" s="534">
        <v>1</v>
      </c>
      <c r="F783" s="534">
        <v>779</v>
      </c>
      <c r="G783" s="534">
        <v>59</v>
      </c>
      <c r="I783" s="534">
        <v>0</v>
      </c>
      <c r="J783" s="534">
        <v>0</v>
      </c>
      <c r="K783" s="534">
        <v>4</v>
      </c>
    </row>
    <row r="784" spans="2:11" x14ac:dyDescent="0.3">
      <c r="B784" s="529">
        <f t="shared" si="29"/>
        <v>779001</v>
      </c>
      <c r="C784" s="529">
        <f t="shared" si="28"/>
        <v>780</v>
      </c>
      <c r="E784" s="534">
        <v>0</v>
      </c>
      <c r="F784" s="534">
        <v>0</v>
      </c>
      <c r="G784" s="534">
        <v>58</v>
      </c>
      <c r="I784" s="534">
        <v>0</v>
      </c>
      <c r="J784" s="534">
        <v>0</v>
      </c>
      <c r="K784" s="534">
        <v>4</v>
      </c>
    </row>
    <row r="785" spans="2:11" x14ac:dyDescent="0.3">
      <c r="B785" s="529">
        <f t="shared" si="29"/>
        <v>780001</v>
      </c>
      <c r="C785" s="529">
        <f t="shared" si="28"/>
        <v>781</v>
      </c>
      <c r="E785" s="534">
        <v>0</v>
      </c>
      <c r="F785" s="534">
        <v>0</v>
      </c>
      <c r="G785" s="534">
        <v>58</v>
      </c>
      <c r="I785" s="534">
        <v>0</v>
      </c>
      <c r="J785" s="534">
        <v>0</v>
      </c>
      <c r="K785" s="534">
        <v>4</v>
      </c>
    </row>
    <row r="786" spans="2:11" x14ac:dyDescent="0.3">
      <c r="B786" s="529">
        <f t="shared" si="29"/>
        <v>781001</v>
      </c>
      <c r="C786" s="529">
        <f t="shared" si="28"/>
        <v>782</v>
      </c>
      <c r="E786" s="534">
        <v>0</v>
      </c>
      <c r="F786" s="534">
        <v>0</v>
      </c>
      <c r="G786" s="534">
        <v>58</v>
      </c>
      <c r="I786" s="534">
        <v>0</v>
      </c>
      <c r="J786" s="534">
        <v>0</v>
      </c>
      <c r="K786" s="534">
        <v>4</v>
      </c>
    </row>
    <row r="787" spans="2:11" x14ac:dyDescent="0.3">
      <c r="B787" s="529">
        <f t="shared" si="29"/>
        <v>782001</v>
      </c>
      <c r="C787" s="529">
        <f t="shared" si="28"/>
        <v>783</v>
      </c>
      <c r="E787" s="534">
        <v>0</v>
      </c>
      <c r="F787" s="534">
        <v>0</v>
      </c>
      <c r="G787" s="534">
        <v>58</v>
      </c>
      <c r="I787" s="534">
        <v>0</v>
      </c>
      <c r="J787" s="534">
        <v>0</v>
      </c>
      <c r="K787" s="534">
        <v>4</v>
      </c>
    </row>
    <row r="788" spans="2:11" x14ac:dyDescent="0.3">
      <c r="B788" s="529">
        <f t="shared" si="29"/>
        <v>783001</v>
      </c>
      <c r="C788" s="529">
        <f t="shared" si="28"/>
        <v>784</v>
      </c>
      <c r="E788" s="534">
        <v>0</v>
      </c>
      <c r="F788" s="534">
        <v>0</v>
      </c>
      <c r="G788" s="534">
        <v>58</v>
      </c>
      <c r="I788" s="534">
        <v>0</v>
      </c>
      <c r="J788" s="534">
        <v>0</v>
      </c>
      <c r="K788" s="534">
        <v>4</v>
      </c>
    </row>
    <row r="789" spans="2:11" x14ac:dyDescent="0.3">
      <c r="B789" s="529">
        <f t="shared" si="29"/>
        <v>784001</v>
      </c>
      <c r="C789" s="529">
        <f t="shared" si="28"/>
        <v>785</v>
      </c>
      <c r="E789" s="534">
        <v>0</v>
      </c>
      <c r="F789" s="534">
        <v>0</v>
      </c>
      <c r="G789" s="534">
        <v>58</v>
      </c>
      <c r="I789" s="534">
        <v>0</v>
      </c>
      <c r="J789" s="534">
        <v>0</v>
      </c>
      <c r="K789" s="534">
        <v>4</v>
      </c>
    </row>
    <row r="790" spans="2:11" x14ac:dyDescent="0.3">
      <c r="B790" s="529">
        <f t="shared" si="29"/>
        <v>785001</v>
      </c>
      <c r="C790" s="529">
        <f t="shared" si="28"/>
        <v>786</v>
      </c>
      <c r="E790" s="534">
        <v>0</v>
      </c>
      <c r="F790" s="534">
        <v>0</v>
      </c>
      <c r="G790" s="534">
        <v>58</v>
      </c>
      <c r="I790" s="534">
        <v>0</v>
      </c>
      <c r="J790" s="534">
        <v>0</v>
      </c>
      <c r="K790" s="534">
        <v>4</v>
      </c>
    </row>
    <row r="791" spans="2:11" x14ac:dyDescent="0.3">
      <c r="B791" s="529">
        <f t="shared" si="29"/>
        <v>786001</v>
      </c>
      <c r="C791" s="529">
        <f t="shared" si="28"/>
        <v>787</v>
      </c>
      <c r="E791" s="534">
        <v>0</v>
      </c>
      <c r="F791" s="534">
        <v>0</v>
      </c>
      <c r="G791" s="534">
        <v>58</v>
      </c>
      <c r="I791" s="534">
        <v>0</v>
      </c>
      <c r="J791" s="534">
        <v>0</v>
      </c>
      <c r="K791" s="534">
        <v>4</v>
      </c>
    </row>
    <row r="792" spans="2:11" x14ac:dyDescent="0.3">
      <c r="B792" s="529">
        <f t="shared" si="29"/>
        <v>787001</v>
      </c>
      <c r="C792" s="529">
        <f t="shared" si="28"/>
        <v>788</v>
      </c>
      <c r="E792" s="534">
        <v>0</v>
      </c>
      <c r="F792" s="534">
        <v>0</v>
      </c>
      <c r="G792" s="534">
        <v>58</v>
      </c>
      <c r="I792" s="534">
        <v>0</v>
      </c>
      <c r="J792" s="534">
        <v>0</v>
      </c>
      <c r="K792" s="534">
        <v>4</v>
      </c>
    </row>
    <row r="793" spans="2:11" x14ac:dyDescent="0.3">
      <c r="B793" s="529">
        <f t="shared" si="29"/>
        <v>788001</v>
      </c>
      <c r="C793" s="529">
        <f t="shared" si="28"/>
        <v>789</v>
      </c>
      <c r="E793" s="534">
        <v>0</v>
      </c>
      <c r="F793" s="534">
        <v>0</v>
      </c>
      <c r="G793" s="534">
        <v>58</v>
      </c>
      <c r="I793" s="534">
        <v>0</v>
      </c>
      <c r="J793" s="534">
        <v>0</v>
      </c>
      <c r="K793" s="534">
        <v>4</v>
      </c>
    </row>
    <row r="794" spans="2:11" x14ac:dyDescent="0.3">
      <c r="B794" s="529">
        <f t="shared" si="29"/>
        <v>789001</v>
      </c>
      <c r="C794" s="529">
        <f t="shared" si="28"/>
        <v>790</v>
      </c>
      <c r="E794" s="534">
        <v>0</v>
      </c>
      <c r="F794" s="534">
        <v>0</v>
      </c>
      <c r="G794" s="534">
        <v>58</v>
      </c>
      <c r="I794" s="534">
        <v>1</v>
      </c>
      <c r="J794" s="534">
        <v>790</v>
      </c>
      <c r="K794" s="534">
        <v>4</v>
      </c>
    </row>
    <row r="795" spans="2:11" x14ac:dyDescent="0.3">
      <c r="B795" s="529">
        <f t="shared" si="29"/>
        <v>790001</v>
      </c>
      <c r="C795" s="529">
        <f t="shared" si="28"/>
        <v>791</v>
      </c>
      <c r="E795" s="534">
        <v>0</v>
      </c>
      <c r="F795" s="534">
        <v>0</v>
      </c>
      <c r="G795" s="534">
        <v>58</v>
      </c>
      <c r="I795" s="534">
        <v>0</v>
      </c>
      <c r="J795" s="534">
        <v>0</v>
      </c>
      <c r="K795" s="534">
        <v>3</v>
      </c>
    </row>
    <row r="796" spans="2:11" x14ac:dyDescent="0.3">
      <c r="B796" s="529">
        <f t="shared" si="29"/>
        <v>791001</v>
      </c>
      <c r="C796" s="529">
        <f t="shared" si="28"/>
        <v>792</v>
      </c>
      <c r="E796" s="534">
        <v>0</v>
      </c>
      <c r="F796" s="534">
        <v>0</v>
      </c>
      <c r="G796" s="534">
        <v>58</v>
      </c>
      <c r="I796" s="534">
        <v>0</v>
      </c>
      <c r="J796" s="534">
        <v>0</v>
      </c>
      <c r="K796" s="534">
        <v>3</v>
      </c>
    </row>
    <row r="797" spans="2:11" x14ac:dyDescent="0.3">
      <c r="B797" s="529">
        <f t="shared" si="29"/>
        <v>792001</v>
      </c>
      <c r="C797" s="529">
        <f t="shared" si="28"/>
        <v>793</v>
      </c>
      <c r="E797" s="534">
        <v>1</v>
      </c>
      <c r="F797" s="534">
        <v>793</v>
      </c>
      <c r="G797" s="534">
        <v>58</v>
      </c>
      <c r="I797" s="534">
        <v>0</v>
      </c>
      <c r="J797" s="534">
        <v>0</v>
      </c>
      <c r="K797" s="534">
        <v>3</v>
      </c>
    </row>
    <row r="798" spans="2:11" x14ac:dyDescent="0.3">
      <c r="B798" s="529">
        <f t="shared" si="29"/>
        <v>793001</v>
      </c>
      <c r="C798" s="529">
        <f t="shared" si="28"/>
        <v>794</v>
      </c>
      <c r="E798" s="534">
        <v>1</v>
      </c>
      <c r="F798" s="534">
        <v>794</v>
      </c>
      <c r="G798" s="534">
        <v>57</v>
      </c>
      <c r="I798" s="534">
        <v>0</v>
      </c>
      <c r="J798" s="534">
        <v>0</v>
      </c>
      <c r="K798" s="534">
        <v>3</v>
      </c>
    </row>
    <row r="799" spans="2:11" x14ac:dyDescent="0.3">
      <c r="B799" s="529">
        <f t="shared" si="29"/>
        <v>794001</v>
      </c>
      <c r="C799" s="529">
        <f t="shared" si="28"/>
        <v>795</v>
      </c>
      <c r="E799" s="534">
        <v>0</v>
      </c>
      <c r="F799" s="534">
        <v>0</v>
      </c>
      <c r="G799" s="534">
        <v>56</v>
      </c>
      <c r="I799" s="534">
        <v>0</v>
      </c>
      <c r="J799" s="534">
        <v>0</v>
      </c>
      <c r="K799" s="534">
        <v>3</v>
      </c>
    </row>
    <row r="800" spans="2:11" x14ac:dyDescent="0.3">
      <c r="B800" s="529">
        <f t="shared" si="29"/>
        <v>795001</v>
      </c>
      <c r="C800" s="529">
        <f t="shared" ref="C800:C863" si="30">C799+1</f>
        <v>796</v>
      </c>
      <c r="E800" s="534">
        <v>0</v>
      </c>
      <c r="F800" s="534">
        <v>0</v>
      </c>
      <c r="G800" s="534">
        <v>56</v>
      </c>
      <c r="I800" s="534">
        <v>0</v>
      </c>
      <c r="J800" s="534">
        <v>0</v>
      </c>
      <c r="K800" s="534">
        <v>3</v>
      </c>
    </row>
    <row r="801" spans="2:11" x14ac:dyDescent="0.3">
      <c r="B801" s="529">
        <f t="shared" si="29"/>
        <v>796001</v>
      </c>
      <c r="C801" s="529">
        <f t="shared" si="30"/>
        <v>797</v>
      </c>
      <c r="E801" s="534">
        <v>0</v>
      </c>
      <c r="F801" s="534">
        <v>0</v>
      </c>
      <c r="G801" s="534">
        <v>56</v>
      </c>
      <c r="I801" s="534">
        <v>0</v>
      </c>
      <c r="J801" s="534">
        <v>0</v>
      </c>
      <c r="K801" s="534">
        <v>3</v>
      </c>
    </row>
    <row r="802" spans="2:11" x14ac:dyDescent="0.3">
      <c r="B802" s="529">
        <f t="shared" si="29"/>
        <v>797001</v>
      </c>
      <c r="C802" s="529">
        <f t="shared" si="30"/>
        <v>798</v>
      </c>
      <c r="E802" s="534">
        <v>0</v>
      </c>
      <c r="F802" s="534">
        <v>0</v>
      </c>
      <c r="G802" s="534">
        <v>56</v>
      </c>
      <c r="I802" s="534">
        <v>0</v>
      </c>
      <c r="J802" s="534">
        <v>0</v>
      </c>
      <c r="K802" s="534">
        <v>3</v>
      </c>
    </row>
    <row r="803" spans="2:11" x14ac:dyDescent="0.3">
      <c r="B803" s="529">
        <f t="shared" si="29"/>
        <v>798001</v>
      </c>
      <c r="C803" s="529">
        <f t="shared" si="30"/>
        <v>799</v>
      </c>
      <c r="E803" s="534">
        <v>0</v>
      </c>
      <c r="F803" s="534">
        <v>0</v>
      </c>
      <c r="G803" s="534">
        <v>56</v>
      </c>
      <c r="I803" s="534">
        <v>0</v>
      </c>
      <c r="J803" s="534">
        <v>0</v>
      </c>
      <c r="K803" s="534">
        <v>3</v>
      </c>
    </row>
    <row r="804" spans="2:11" x14ac:dyDescent="0.3">
      <c r="B804" s="529">
        <f t="shared" si="29"/>
        <v>799001</v>
      </c>
      <c r="C804" s="529">
        <f t="shared" si="30"/>
        <v>800</v>
      </c>
      <c r="E804" s="534">
        <v>1</v>
      </c>
      <c r="F804" s="534">
        <v>800</v>
      </c>
      <c r="G804" s="534">
        <v>56</v>
      </c>
      <c r="I804" s="534">
        <v>0</v>
      </c>
      <c r="J804" s="534">
        <v>0</v>
      </c>
      <c r="K804" s="534">
        <v>3</v>
      </c>
    </row>
    <row r="805" spans="2:11" x14ac:dyDescent="0.3">
      <c r="B805" s="529">
        <f t="shared" si="29"/>
        <v>800001</v>
      </c>
      <c r="C805" s="529">
        <f t="shared" si="30"/>
        <v>801</v>
      </c>
      <c r="E805" s="534">
        <v>1</v>
      </c>
      <c r="F805" s="534">
        <v>801</v>
      </c>
      <c r="G805" s="534">
        <v>55</v>
      </c>
      <c r="I805" s="534">
        <v>0</v>
      </c>
      <c r="J805" s="534">
        <v>0</v>
      </c>
      <c r="K805" s="534">
        <v>3</v>
      </c>
    </row>
    <row r="806" spans="2:11" x14ac:dyDescent="0.3">
      <c r="B806" s="529">
        <f t="shared" si="29"/>
        <v>801001</v>
      </c>
      <c r="C806" s="529">
        <f t="shared" si="30"/>
        <v>802</v>
      </c>
      <c r="E806" s="534">
        <v>0</v>
      </c>
      <c r="F806" s="534">
        <v>0</v>
      </c>
      <c r="G806" s="534">
        <v>54</v>
      </c>
      <c r="I806" s="534">
        <v>0</v>
      </c>
      <c r="J806" s="534">
        <v>0</v>
      </c>
      <c r="K806" s="534">
        <v>3</v>
      </c>
    </row>
    <row r="807" spans="2:11" x14ac:dyDescent="0.3">
      <c r="B807" s="529">
        <f t="shared" si="29"/>
        <v>802001</v>
      </c>
      <c r="C807" s="529">
        <f t="shared" si="30"/>
        <v>803</v>
      </c>
      <c r="E807" s="534">
        <v>0</v>
      </c>
      <c r="F807" s="534">
        <v>0</v>
      </c>
      <c r="G807" s="534">
        <v>54</v>
      </c>
      <c r="I807" s="534">
        <v>0</v>
      </c>
      <c r="J807" s="534">
        <v>0</v>
      </c>
      <c r="K807" s="534">
        <v>3</v>
      </c>
    </row>
    <row r="808" spans="2:11" x14ac:dyDescent="0.3">
      <c r="B808" s="529">
        <f t="shared" si="29"/>
        <v>803001</v>
      </c>
      <c r="C808" s="529">
        <f t="shared" si="30"/>
        <v>804</v>
      </c>
      <c r="E808" s="534">
        <v>0</v>
      </c>
      <c r="F808" s="534">
        <v>0</v>
      </c>
      <c r="G808" s="534">
        <v>54</v>
      </c>
      <c r="I808" s="534">
        <v>0</v>
      </c>
      <c r="J808" s="534">
        <v>0</v>
      </c>
      <c r="K808" s="534">
        <v>3</v>
      </c>
    </row>
    <row r="809" spans="2:11" x14ac:dyDescent="0.3">
      <c r="B809" s="529">
        <f t="shared" si="29"/>
        <v>804001</v>
      </c>
      <c r="C809" s="529">
        <f t="shared" si="30"/>
        <v>805</v>
      </c>
      <c r="E809" s="534">
        <v>0</v>
      </c>
      <c r="F809" s="534">
        <v>0</v>
      </c>
      <c r="G809" s="534">
        <v>54</v>
      </c>
      <c r="I809" s="534">
        <v>0</v>
      </c>
      <c r="J809" s="534">
        <v>0</v>
      </c>
      <c r="K809" s="534">
        <v>3</v>
      </c>
    </row>
    <row r="810" spans="2:11" x14ac:dyDescent="0.3">
      <c r="B810" s="529">
        <f t="shared" si="29"/>
        <v>805001</v>
      </c>
      <c r="C810" s="529">
        <f t="shared" si="30"/>
        <v>806</v>
      </c>
      <c r="E810" s="534">
        <v>0</v>
      </c>
      <c r="F810" s="534">
        <v>0</v>
      </c>
      <c r="G810" s="534">
        <v>54</v>
      </c>
      <c r="I810" s="534">
        <v>0</v>
      </c>
      <c r="J810" s="534">
        <v>0</v>
      </c>
      <c r="K810" s="534">
        <v>3</v>
      </c>
    </row>
    <row r="811" spans="2:11" x14ac:dyDescent="0.3">
      <c r="B811" s="529">
        <f t="shared" si="29"/>
        <v>806001</v>
      </c>
      <c r="C811" s="529">
        <f t="shared" si="30"/>
        <v>807</v>
      </c>
      <c r="E811" s="534">
        <v>0</v>
      </c>
      <c r="F811" s="534">
        <v>0</v>
      </c>
      <c r="G811" s="534">
        <v>54</v>
      </c>
      <c r="I811" s="534">
        <v>0</v>
      </c>
      <c r="J811" s="534">
        <v>0</v>
      </c>
      <c r="K811" s="534">
        <v>3</v>
      </c>
    </row>
    <row r="812" spans="2:11" x14ac:dyDescent="0.3">
      <c r="B812" s="529">
        <f t="shared" si="29"/>
        <v>807001</v>
      </c>
      <c r="C812" s="529">
        <f t="shared" si="30"/>
        <v>808</v>
      </c>
      <c r="E812" s="534">
        <v>0</v>
      </c>
      <c r="F812" s="534">
        <v>0</v>
      </c>
      <c r="G812" s="534">
        <v>54</v>
      </c>
      <c r="I812" s="534">
        <v>0</v>
      </c>
      <c r="J812" s="534">
        <v>0</v>
      </c>
      <c r="K812" s="534">
        <v>3</v>
      </c>
    </row>
    <row r="813" spans="2:11" x14ac:dyDescent="0.3">
      <c r="B813" s="529">
        <f t="shared" si="29"/>
        <v>808001</v>
      </c>
      <c r="C813" s="529">
        <f t="shared" si="30"/>
        <v>809</v>
      </c>
      <c r="E813" s="534">
        <v>0</v>
      </c>
      <c r="F813" s="534">
        <v>0</v>
      </c>
      <c r="G813" s="534">
        <v>54</v>
      </c>
      <c r="I813" s="534">
        <v>0</v>
      </c>
      <c r="J813" s="534">
        <v>0</v>
      </c>
      <c r="K813" s="534">
        <v>3</v>
      </c>
    </row>
    <row r="814" spans="2:11" x14ac:dyDescent="0.3">
      <c r="B814" s="529">
        <f t="shared" si="29"/>
        <v>809001</v>
      </c>
      <c r="C814" s="529">
        <f t="shared" si="30"/>
        <v>810</v>
      </c>
      <c r="E814" s="534">
        <v>0</v>
      </c>
      <c r="F814" s="534">
        <v>0</v>
      </c>
      <c r="G814" s="534">
        <v>54</v>
      </c>
      <c r="I814" s="534">
        <v>0</v>
      </c>
      <c r="J814" s="534">
        <v>0</v>
      </c>
      <c r="K814" s="534">
        <v>3</v>
      </c>
    </row>
    <row r="815" spans="2:11" x14ac:dyDescent="0.3">
      <c r="B815" s="529">
        <f t="shared" si="29"/>
        <v>810001</v>
      </c>
      <c r="C815" s="529">
        <f t="shared" si="30"/>
        <v>811</v>
      </c>
      <c r="E815" s="534">
        <v>0</v>
      </c>
      <c r="F815" s="534">
        <v>0</v>
      </c>
      <c r="G815" s="534">
        <v>54</v>
      </c>
      <c r="I815" s="534">
        <v>0</v>
      </c>
      <c r="J815" s="534">
        <v>0</v>
      </c>
      <c r="K815" s="534">
        <v>3</v>
      </c>
    </row>
    <row r="816" spans="2:11" x14ac:dyDescent="0.3">
      <c r="B816" s="529">
        <f t="shared" si="29"/>
        <v>811001</v>
      </c>
      <c r="C816" s="529">
        <f t="shared" si="30"/>
        <v>812</v>
      </c>
      <c r="E816" s="534">
        <v>0</v>
      </c>
      <c r="F816" s="534">
        <v>0</v>
      </c>
      <c r="G816" s="534">
        <v>54</v>
      </c>
      <c r="I816" s="534">
        <v>0</v>
      </c>
      <c r="J816" s="534">
        <v>0</v>
      </c>
      <c r="K816" s="534">
        <v>3</v>
      </c>
    </row>
    <row r="817" spans="2:11" x14ac:dyDescent="0.3">
      <c r="B817" s="529">
        <f t="shared" si="29"/>
        <v>812001</v>
      </c>
      <c r="C817" s="529">
        <f t="shared" si="30"/>
        <v>813</v>
      </c>
      <c r="E817" s="534">
        <v>0</v>
      </c>
      <c r="F817" s="534">
        <v>0</v>
      </c>
      <c r="G817" s="534">
        <v>54</v>
      </c>
      <c r="I817" s="534">
        <v>0</v>
      </c>
      <c r="J817" s="534">
        <v>0</v>
      </c>
      <c r="K817" s="534">
        <v>3</v>
      </c>
    </row>
    <row r="818" spans="2:11" x14ac:dyDescent="0.3">
      <c r="B818" s="529">
        <f t="shared" si="29"/>
        <v>813001</v>
      </c>
      <c r="C818" s="529">
        <f t="shared" si="30"/>
        <v>814</v>
      </c>
      <c r="E818" s="534">
        <v>0</v>
      </c>
      <c r="F818" s="534">
        <v>0</v>
      </c>
      <c r="G818" s="534">
        <v>54</v>
      </c>
      <c r="I818" s="534">
        <v>0</v>
      </c>
      <c r="J818" s="534">
        <v>0</v>
      </c>
      <c r="K818" s="534">
        <v>3</v>
      </c>
    </row>
    <row r="819" spans="2:11" x14ac:dyDescent="0.3">
      <c r="B819" s="529">
        <f t="shared" si="29"/>
        <v>814001</v>
      </c>
      <c r="C819" s="529">
        <f t="shared" si="30"/>
        <v>815</v>
      </c>
      <c r="E819" s="534">
        <v>0</v>
      </c>
      <c r="F819" s="534">
        <v>0</v>
      </c>
      <c r="G819" s="534">
        <v>54</v>
      </c>
      <c r="I819" s="534">
        <v>0</v>
      </c>
      <c r="J819" s="534">
        <v>0</v>
      </c>
      <c r="K819" s="534">
        <v>3</v>
      </c>
    </row>
    <row r="820" spans="2:11" x14ac:dyDescent="0.3">
      <c r="B820" s="529">
        <f t="shared" si="29"/>
        <v>815001</v>
      </c>
      <c r="C820" s="529">
        <f t="shared" si="30"/>
        <v>816</v>
      </c>
      <c r="E820" s="534">
        <v>0</v>
      </c>
      <c r="F820" s="534">
        <v>0</v>
      </c>
      <c r="G820" s="534">
        <v>54</v>
      </c>
      <c r="I820" s="534">
        <v>0</v>
      </c>
      <c r="J820" s="534">
        <v>0</v>
      </c>
      <c r="K820" s="534">
        <v>3</v>
      </c>
    </row>
    <row r="821" spans="2:11" x14ac:dyDescent="0.3">
      <c r="B821" s="529">
        <f t="shared" si="29"/>
        <v>816001</v>
      </c>
      <c r="C821" s="529">
        <f t="shared" si="30"/>
        <v>817</v>
      </c>
      <c r="E821" s="534">
        <v>0</v>
      </c>
      <c r="F821" s="534">
        <v>0</v>
      </c>
      <c r="G821" s="534">
        <v>54</v>
      </c>
      <c r="I821" s="534">
        <v>0</v>
      </c>
      <c r="J821" s="534">
        <v>0</v>
      </c>
      <c r="K821" s="534">
        <v>3</v>
      </c>
    </row>
    <row r="822" spans="2:11" x14ac:dyDescent="0.3">
      <c r="B822" s="529">
        <f t="shared" si="29"/>
        <v>817001</v>
      </c>
      <c r="C822" s="529">
        <f t="shared" si="30"/>
        <v>818</v>
      </c>
      <c r="E822" s="534">
        <v>0</v>
      </c>
      <c r="F822" s="534">
        <v>0</v>
      </c>
      <c r="G822" s="534">
        <v>54</v>
      </c>
      <c r="I822" s="534">
        <v>0</v>
      </c>
      <c r="J822" s="534">
        <v>0</v>
      </c>
      <c r="K822" s="534">
        <v>3</v>
      </c>
    </row>
    <row r="823" spans="2:11" x14ac:dyDescent="0.3">
      <c r="B823" s="529">
        <f t="shared" si="29"/>
        <v>818001</v>
      </c>
      <c r="C823" s="529">
        <f t="shared" si="30"/>
        <v>819</v>
      </c>
      <c r="E823" s="534">
        <v>0</v>
      </c>
      <c r="F823" s="534">
        <v>0</v>
      </c>
      <c r="G823" s="534">
        <v>54</v>
      </c>
      <c r="I823" s="534">
        <v>0</v>
      </c>
      <c r="J823" s="534">
        <v>0</v>
      </c>
      <c r="K823" s="534">
        <v>3</v>
      </c>
    </row>
    <row r="824" spans="2:11" x14ac:dyDescent="0.3">
      <c r="B824" s="529">
        <f t="shared" si="29"/>
        <v>819001</v>
      </c>
      <c r="C824" s="529">
        <f t="shared" si="30"/>
        <v>820</v>
      </c>
      <c r="E824" s="534">
        <v>0</v>
      </c>
      <c r="F824" s="534">
        <v>0</v>
      </c>
      <c r="G824" s="534">
        <v>54</v>
      </c>
      <c r="I824" s="534">
        <v>1</v>
      </c>
      <c r="J824" s="534">
        <v>820</v>
      </c>
      <c r="K824" s="534">
        <v>3</v>
      </c>
    </row>
    <row r="825" spans="2:11" x14ac:dyDescent="0.3">
      <c r="B825" s="529">
        <f t="shared" si="29"/>
        <v>820001</v>
      </c>
      <c r="C825" s="529">
        <f t="shared" si="30"/>
        <v>821</v>
      </c>
      <c r="E825" s="534">
        <v>0</v>
      </c>
      <c r="F825" s="534">
        <v>0</v>
      </c>
      <c r="G825" s="534">
        <v>54</v>
      </c>
      <c r="I825" s="534">
        <v>0</v>
      </c>
      <c r="J825" s="534">
        <v>0</v>
      </c>
      <c r="K825" s="534">
        <v>2</v>
      </c>
    </row>
    <row r="826" spans="2:11" x14ac:dyDescent="0.3">
      <c r="B826" s="529">
        <f t="shared" si="29"/>
        <v>821001</v>
      </c>
      <c r="C826" s="529">
        <f t="shared" si="30"/>
        <v>822</v>
      </c>
      <c r="E826" s="534">
        <v>0</v>
      </c>
      <c r="F826" s="534">
        <v>0</v>
      </c>
      <c r="G826" s="534">
        <v>54</v>
      </c>
      <c r="I826" s="534">
        <v>0</v>
      </c>
      <c r="J826" s="534">
        <v>0</v>
      </c>
      <c r="K826" s="534">
        <v>2</v>
      </c>
    </row>
    <row r="827" spans="2:11" x14ac:dyDescent="0.3">
      <c r="B827" s="529">
        <f t="shared" si="29"/>
        <v>822001</v>
      </c>
      <c r="C827" s="529">
        <f t="shared" si="30"/>
        <v>823</v>
      </c>
      <c r="E827" s="534">
        <v>1</v>
      </c>
      <c r="F827" s="534">
        <v>823</v>
      </c>
      <c r="G827" s="534">
        <v>54</v>
      </c>
      <c r="I827" s="534">
        <v>0</v>
      </c>
      <c r="J827" s="534">
        <v>0</v>
      </c>
      <c r="K827" s="534">
        <v>2</v>
      </c>
    </row>
    <row r="828" spans="2:11" x14ac:dyDescent="0.3">
      <c r="B828" s="529">
        <f t="shared" si="29"/>
        <v>823001</v>
      </c>
      <c r="C828" s="529">
        <f t="shared" si="30"/>
        <v>824</v>
      </c>
      <c r="E828" s="534">
        <v>0</v>
      </c>
      <c r="F828" s="534">
        <v>0</v>
      </c>
      <c r="G828" s="534">
        <v>53</v>
      </c>
      <c r="I828" s="534">
        <v>0</v>
      </c>
      <c r="J828" s="534">
        <v>0</v>
      </c>
      <c r="K828" s="534">
        <v>2</v>
      </c>
    </row>
    <row r="829" spans="2:11" x14ac:dyDescent="0.3">
      <c r="B829" s="529">
        <f t="shared" si="29"/>
        <v>824001</v>
      </c>
      <c r="C829" s="529">
        <f t="shared" si="30"/>
        <v>825</v>
      </c>
      <c r="E829" s="534">
        <v>0</v>
      </c>
      <c r="F829" s="534">
        <v>0</v>
      </c>
      <c r="G829" s="534">
        <v>53</v>
      </c>
      <c r="I829" s="534">
        <v>0</v>
      </c>
      <c r="J829" s="534">
        <v>0</v>
      </c>
      <c r="K829" s="534">
        <v>2</v>
      </c>
    </row>
    <row r="830" spans="2:11" x14ac:dyDescent="0.3">
      <c r="B830" s="529">
        <f t="shared" si="29"/>
        <v>825001</v>
      </c>
      <c r="C830" s="529">
        <f t="shared" si="30"/>
        <v>826</v>
      </c>
      <c r="E830" s="534">
        <v>0</v>
      </c>
      <c r="F830" s="534">
        <v>0</v>
      </c>
      <c r="G830" s="534">
        <v>53</v>
      </c>
      <c r="I830" s="534">
        <v>0</v>
      </c>
      <c r="J830" s="534">
        <v>0</v>
      </c>
      <c r="K830" s="534">
        <v>2</v>
      </c>
    </row>
    <row r="831" spans="2:11" x14ac:dyDescent="0.3">
      <c r="B831" s="529">
        <f t="shared" si="29"/>
        <v>826001</v>
      </c>
      <c r="C831" s="529">
        <f t="shared" si="30"/>
        <v>827</v>
      </c>
      <c r="E831" s="534">
        <v>0</v>
      </c>
      <c r="F831" s="534">
        <v>0</v>
      </c>
      <c r="G831" s="534">
        <v>53</v>
      </c>
      <c r="I831" s="534">
        <v>0</v>
      </c>
      <c r="J831" s="534">
        <v>0</v>
      </c>
      <c r="K831" s="534">
        <v>2</v>
      </c>
    </row>
    <row r="832" spans="2:11" x14ac:dyDescent="0.3">
      <c r="B832" s="529">
        <f t="shared" si="29"/>
        <v>827001</v>
      </c>
      <c r="C832" s="529">
        <f t="shared" si="30"/>
        <v>828</v>
      </c>
      <c r="E832" s="534">
        <v>0</v>
      </c>
      <c r="F832" s="534">
        <v>0</v>
      </c>
      <c r="G832" s="534">
        <v>53</v>
      </c>
      <c r="I832" s="534">
        <v>0</v>
      </c>
      <c r="J832" s="534">
        <v>0</v>
      </c>
      <c r="K832" s="534">
        <v>2</v>
      </c>
    </row>
    <row r="833" spans="2:11" x14ac:dyDescent="0.3">
      <c r="B833" s="529">
        <f t="shared" si="29"/>
        <v>828001</v>
      </c>
      <c r="C833" s="529">
        <f t="shared" si="30"/>
        <v>829</v>
      </c>
      <c r="E833" s="534">
        <v>0</v>
      </c>
      <c r="F833" s="534">
        <v>0</v>
      </c>
      <c r="G833" s="534">
        <v>53</v>
      </c>
      <c r="I833" s="534">
        <v>0</v>
      </c>
      <c r="J833" s="534">
        <v>0</v>
      </c>
      <c r="K833" s="534">
        <v>2</v>
      </c>
    </row>
    <row r="834" spans="2:11" x14ac:dyDescent="0.3">
      <c r="B834" s="529">
        <f t="shared" si="29"/>
        <v>829001</v>
      </c>
      <c r="C834" s="529">
        <f t="shared" si="30"/>
        <v>830</v>
      </c>
      <c r="E834" s="534">
        <v>1</v>
      </c>
      <c r="F834" s="534">
        <v>830</v>
      </c>
      <c r="G834" s="534">
        <v>53</v>
      </c>
      <c r="I834" s="534">
        <v>0</v>
      </c>
      <c r="J834" s="534">
        <v>0</v>
      </c>
      <c r="K834" s="534">
        <v>2</v>
      </c>
    </row>
    <row r="835" spans="2:11" x14ac:dyDescent="0.3">
      <c r="B835" s="529">
        <f t="shared" si="29"/>
        <v>830001</v>
      </c>
      <c r="C835" s="529">
        <f t="shared" si="30"/>
        <v>831</v>
      </c>
      <c r="E835" s="534">
        <v>0</v>
      </c>
      <c r="F835" s="534">
        <v>0</v>
      </c>
      <c r="G835" s="534">
        <v>52</v>
      </c>
      <c r="I835" s="534">
        <v>0</v>
      </c>
      <c r="J835" s="534">
        <v>0</v>
      </c>
      <c r="K835" s="534">
        <v>2</v>
      </c>
    </row>
    <row r="836" spans="2:11" x14ac:dyDescent="0.3">
      <c r="B836" s="529">
        <f t="shared" si="29"/>
        <v>831001</v>
      </c>
      <c r="C836" s="529">
        <f t="shared" si="30"/>
        <v>832</v>
      </c>
      <c r="E836" s="534">
        <v>0</v>
      </c>
      <c r="F836" s="534">
        <v>0</v>
      </c>
      <c r="G836" s="534">
        <v>52</v>
      </c>
      <c r="I836" s="534">
        <v>0</v>
      </c>
      <c r="J836" s="534">
        <v>0</v>
      </c>
      <c r="K836" s="534">
        <v>2</v>
      </c>
    </row>
    <row r="837" spans="2:11" x14ac:dyDescent="0.3">
      <c r="B837" s="529">
        <f t="shared" si="29"/>
        <v>832001</v>
      </c>
      <c r="C837" s="529">
        <f t="shared" si="30"/>
        <v>833</v>
      </c>
      <c r="E837" s="534">
        <v>0</v>
      </c>
      <c r="F837" s="534">
        <v>0</v>
      </c>
      <c r="G837" s="534">
        <v>52</v>
      </c>
      <c r="I837" s="534">
        <v>0</v>
      </c>
      <c r="J837" s="534">
        <v>0</v>
      </c>
      <c r="K837" s="534">
        <v>2</v>
      </c>
    </row>
    <row r="838" spans="2:11" x14ac:dyDescent="0.3">
      <c r="B838" s="529">
        <f t="shared" si="29"/>
        <v>833001</v>
      </c>
      <c r="C838" s="529">
        <f t="shared" si="30"/>
        <v>834</v>
      </c>
      <c r="E838" s="534">
        <v>0</v>
      </c>
      <c r="F838" s="534">
        <v>0</v>
      </c>
      <c r="G838" s="534">
        <v>52</v>
      </c>
      <c r="I838" s="534">
        <v>0</v>
      </c>
      <c r="J838" s="534">
        <v>0</v>
      </c>
      <c r="K838" s="534">
        <v>2</v>
      </c>
    </row>
    <row r="839" spans="2:11" x14ac:dyDescent="0.3">
      <c r="B839" s="529">
        <f t="shared" ref="B839:B902" si="31">C838*1000+1</f>
        <v>834001</v>
      </c>
      <c r="C839" s="529">
        <f t="shared" si="30"/>
        <v>835</v>
      </c>
      <c r="E839" s="534">
        <v>0</v>
      </c>
      <c r="F839" s="534">
        <v>0</v>
      </c>
      <c r="G839" s="534">
        <v>52</v>
      </c>
      <c r="I839" s="534">
        <v>0</v>
      </c>
      <c r="J839" s="534">
        <v>0</v>
      </c>
      <c r="K839" s="534">
        <v>2</v>
      </c>
    </row>
    <row r="840" spans="2:11" x14ac:dyDescent="0.3">
      <c r="B840" s="529">
        <f t="shared" si="31"/>
        <v>835001</v>
      </c>
      <c r="C840" s="529">
        <f t="shared" si="30"/>
        <v>836</v>
      </c>
      <c r="E840" s="534">
        <v>0</v>
      </c>
      <c r="F840" s="534">
        <v>0</v>
      </c>
      <c r="G840" s="534">
        <v>52</v>
      </c>
      <c r="I840" s="534">
        <v>0</v>
      </c>
      <c r="J840" s="534">
        <v>0</v>
      </c>
      <c r="K840" s="534">
        <v>2</v>
      </c>
    </row>
    <row r="841" spans="2:11" x14ac:dyDescent="0.3">
      <c r="B841" s="529">
        <f t="shared" si="31"/>
        <v>836001</v>
      </c>
      <c r="C841" s="529">
        <f t="shared" si="30"/>
        <v>837</v>
      </c>
      <c r="E841" s="534">
        <v>0</v>
      </c>
      <c r="F841" s="534">
        <v>0</v>
      </c>
      <c r="G841" s="534">
        <v>52</v>
      </c>
      <c r="I841" s="534">
        <v>0</v>
      </c>
      <c r="J841" s="534">
        <v>0</v>
      </c>
      <c r="K841" s="534">
        <v>2</v>
      </c>
    </row>
    <row r="842" spans="2:11" x14ac:dyDescent="0.3">
      <c r="B842" s="529">
        <f t="shared" si="31"/>
        <v>837001</v>
      </c>
      <c r="C842" s="529">
        <f t="shared" si="30"/>
        <v>838</v>
      </c>
      <c r="E842" s="534">
        <v>0</v>
      </c>
      <c r="F842" s="534">
        <v>0</v>
      </c>
      <c r="G842" s="534">
        <v>52</v>
      </c>
      <c r="I842" s="534">
        <v>0</v>
      </c>
      <c r="J842" s="534">
        <v>0</v>
      </c>
      <c r="K842" s="534">
        <v>2</v>
      </c>
    </row>
    <row r="843" spans="2:11" x14ac:dyDescent="0.3">
      <c r="B843" s="529">
        <f t="shared" si="31"/>
        <v>838001</v>
      </c>
      <c r="C843" s="529">
        <f t="shared" si="30"/>
        <v>839</v>
      </c>
      <c r="E843" s="534">
        <v>0</v>
      </c>
      <c r="F843" s="534">
        <v>0</v>
      </c>
      <c r="G843" s="534">
        <v>52</v>
      </c>
      <c r="I843" s="534">
        <v>0</v>
      </c>
      <c r="J843" s="534">
        <v>0</v>
      </c>
      <c r="K843" s="534">
        <v>2</v>
      </c>
    </row>
    <row r="844" spans="2:11" x14ac:dyDescent="0.3">
      <c r="B844" s="529">
        <f t="shared" si="31"/>
        <v>839001</v>
      </c>
      <c r="C844" s="529">
        <f t="shared" si="30"/>
        <v>840</v>
      </c>
      <c r="E844" s="534">
        <v>0</v>
      </c>
      <c r="F844" s="534">
        <v>0</v>
      </c>
      <c r="G844" s="534">
        <v>52</v>
      </c>
      <c r="I844" s="534">
        <v>0</v>
      </c>
      <c r="J844" s="534">
        <v>0</v>
      </c>
      <c r="K844" s="534">
        <v>2</v>
      </c>
    </row>
    <row r="845" spans="2:11" x14ac:dyDescent="0.3">
      <c r="B845" s="529">
        <f t="shared" si="31"/>
        <v>840001</v>
      </c>
      <c r="C845" s="529">
        <f t="shared" si="30"/>
        <v>841</v>
      </c>
      <c r="E845" s="534">
        <v>0</v>
      </c>
      <c r="F845" s="534">
        <v>0</v>
      </c>
      <c r="G845" s="534">
        <v>52</v>
      </c>
      <c r="I845" s="534">
        <v>0</v>
      </c>
      <c r="J845" s="534">
        <v>0</v>
      </c>
      <c r="K845" s="534">
        <v>2</v>
      </c>
    </row>
    <row r="846" spans="2:11" x14ac:dyDescent="0.3">
      <c r="B846" s="529">
        <f t="shared" si="31"/>
        <v>841001</v>
      </c>
      <c r="C846" s="529">
        <f t="shared" si="30"/>
        <v>842</v>
      </c>
      <c r="E846" s="534">
        <v>0</v>
      </c>
      <c r="F846" s="534">
        <v>0</v>
      </c>
      <c r="G846" s="534">
        <v>52</v>
      </c>
      <c r="I846" s="534">
        <v>0</v>
      </c>
      <c r="J846" s="534">
        <v>0</v>
      </c>
      <c r="K846" s="534">
        <v>2</v>
      </c>
    </row>
    <row r="847" spans="2:11" x14ac:dyDescent="0.3">
      <c r="B847" s="529">
        <f t="shared" si="31"/>
        <v>842001</v>
      </c>
      <c r="C847" s="529">
        <f t="shared" si="30"/>
        <v>843</v>
      </c>
      <c r="E847" s="534">
        <v>0</v>
      </c>
      <c r="F847" s="534">
        <v>0</v>
      </c>
      <c r="G847" s="534">
        <v>52</v>
      </c>
      <c r="I847" s="534">
        <v>0</v>
      </c>
      <c r="J847" s="534">
        <v>0</v>
      </c>
      <c r="K847" s="534">
        <v>2</v>
      </c>
    </row>
    <row r="848" spans="2:11" x14ac:dyDescent="0.3">
      <c r="B848" s="529">
        <f t="shared" si="31"/>
        <v>843001</v>
      </c>
      <c r="C848" s="529">
        <f t="shared" si="30"/>
        <v>844</v>
      </c>
      <c r="E848" s="534">
        <v>0</v>
      </c>
      <c r="F848" s="534">
        <v>0</v>
      </c>
      <c r="G848" s="534">
        <v>52</v>
      </c>
      <c r="I848" s="534">
        <v>0</v>
      </c>
      <c r="J848" s="534">
        <v>0</v>
      </c>
      <c r="K848" s="534">
        <v>2</v>
      </c>
    </row>
    <row r="849" spans="2:11" x14ac:dyDescent="0.3">
      <c r="B849" s="529">
        <f t="shared" si="31"/>
        <v>844001</v>
      </c>
      <c r="C849" s="529">
        <f t="shared" si="30"/>
        <v>845</v>
      </c>
      <c r="E849" s="534">
        <v>0</v>
      </c>
      <c r="F849" s="534">
        <v>0</v>
      </c>
      <c r="G849" s="534">
        <v>52</v>
      </c>
      <c r="I849" s="534">
        <v>0</v>
      </c>
      <c r="J849" s="534">
        <v>0</v>
      </c>
      <c r="K849" s="534">
        <v>2</v>
      </c>
    </row>
    <row r="850" spans="2:11" x14ac:dyDescent="0.3">
      <c r="B850" s="529">
        <f t="shared" si="31"/>
        <v>845001</v>
      </c>
      <c r="C850" s="529">
        <f t="shared" si="30"/>
        <v>846</v>
      </c>
      <c r="E850" s="534">
        <v>0</v>
      </c>
      <c r="F850" s="534">
        <v>0</v>
      </c>
      <c r="G850" s="534">
        <v>52</v>
      </c>
      <c r="I850" s="534">
        <v>0</v>
      </c>
      <c r="J850" s="534">
        <v>0</v>
      </c>
      <c r="K850" s="534">
        <v>2</v>
      </c>
    </row>
    <row r="851" spans="2:11" x14ac:dyDescent="0.3">
      <c r="B851" s="529">
        <f t="shared" si="31"/>
        <v>846001</v>
      </c>
      <c r="C851" s="529">
        <f t="shared" si="30"/>
        <v>847</v>
      </c>
      <c r="E851" s="534">
        <v>0</v>
      </c>
      <c r="F851" s="534">
        <v>0</v>
      </c>
      <c r="G851" s="534">
        <v>52</v>
      </c>
      <c r="I851" s="534">
        <v>0</v>
      </c>
      <c r="J851" s="534">
        <v>0</v>
      </c>
      <c r="K851" s="534">
        <v>2</v>
      </c>
    </row>
    <row r="852" spans="2:11" x14ac:dyDescent="0.3">
      <c r="B852" s="529">
        <f t="shared" si="31"/>
        <v>847001</v>
      </c>
      <c r="C852" s="529">
        <f t="shared" si="30"/>
        <v>848</v>
      </c>
      <c r="E852" s="534">
        <v>0</v>
      </c>
      <c r="F852" s="534">
        <v>0</v>
      </c>
      <c r="G852" s="534">
        <v>52</v>
      </c>
      <c r="I852" s="534">
        <v>0</v>
      </c>
      <c r="J852" s="534">
        <v>0</v>
      </c>
      <c r="K852" s="534">
        <v>2</v>
      </c>
    </row>
    <row r="853" spans="2:11" x14ac:dyDescent="0.3">
      <c r="B853" s="529">
        <f t="shared" si="31"/>
        <v>848001</v>
      </c>
      <c r="C853" s="529">
        <f t="shared" si="30"/>
        <v>849</v>
      </c>
      <c r="E853" s="534">
        <v>0</v>
      </c>
      <c r="F853" s="534">
        <v>0</v>
      </c>
      <c r="G853" s="534">
        <v>52</v>
      </c>
      <c r="I853" s="534">
        <v>0</v>
      </c>
      <c r="J853" s="534">
        <v>0</v>
      </c>
      <c r="K853" s="534">
        <v>2</v>
      </c>
    </row>
    <row r="854" spans="2:11" x14ac:dyDescent="0.3">
      <c r="B854" s="529">
        <f t="shared" si="31"/>
        <v>849001</v>
      </c>
      <c r="C854" s="529">
        <f t="shared" si="30"/>
        <v>850</v>
      </c>
      <c r="E854" s="534">
        <v>0</v>
      </c>
      <c r="F854" s="534">
        <v>0</v>
      </c>
      <c r="G854" s="534">
        <v>52</v>
      </c>
      <c r="I854" s="534">
        <v>0</v>
      </c>
      <c r="J854" s="534">
        <v>0</v>
      </c>
      <c r="K854" s="534">
        <v>2</v>
      </c>
    </row>
    <row r="855" spans="2:11" x14ac:dyDescent="0.3">
      <c r="B855" s="529">
        <f t="shared" si="31"/>
        <v>850001</v>
      </c>
      <c r="C855" s="529">
        <f t="shared" si="30"/>
        <v>851</v>
      </c>
      <c r="E855" s="534">
        <v>0</v>
      </c>
      <c r="F855" s="534">
        <v>0</v>
      </c>
      <c r="G855" s="534">
        <v>52</v>
      </c>
      <c r="I855" s="534">
        <v>0</v>
      </c>
      <c r="J855" s="534">
        <v>0</v>
      </c>
      <c r="K855" s="534">
        <v>2</v>
      </c>
    </row>
    <row r="856" spans="2:11" x14ac:dyDescent="0.3">
      <c r="B856" s="529">
        <f t="shared" si="31"/>
        <v>851001</v>
      </c>
      <c r="C856" s="529">
        <f t="shared" si="30"/>
        <v>852</v>
      </c>
      <c r="E856" s="534">
        <v>0</v>
      </c>
      <c r="F856" s="534">
        <v>0</v>
      </c>
      <c r="G856" s="534">
        <v>52</v>
      </c>
      <c r="I856" s="534">
        <v>0</v>
      </c>
      <c r="J856" s="534">
        <v>0</v>
      </c>
      <c r="K856" s="534">
        <v>2</v>
      </c>
    </row>
    <row r="857" spans="2:11" x14ac:dyDescent="0.3">
      <c r="B857" s="529">
        <f t="shared" si="31"/>
        <v>852001</v>
      </c>
      <c r="C857" s="529">
        <f t="shared" si="30"/>
        <v>853</v>
      </c>
      <c r="E857" s="534">
        <v>0</v>
      </c>
      <c r="F857" s="534">
        <v>0</v>
      </c>
      <c r="G857" s="534">
        <v>52</v>
      </c>
      <c r="I857" s="534">
        <v>0</v>
      </c>
      <c r="J857" s="534">
        <v>0</v>
      </c>
      <c r="K857" s="534">
        <v>2</v>
      </c>
    </row>
    <row r="858" spans="2:11" x14ac:dyDescent="0.3">
      <c r="B858" s="529">
        <f t="shared" si="31"/>
        <v>853001</v>
      </c>
      <c r="C858" s="529">
        <f t="shared" si="30"/>
        <v>854</v>
      </c>
      <c r="E858" s="534">
        <v>0</v>
      </c>
      <c r="F858" s="534">
        <v>0</v>
      </c>
      <c r="G858" s="534">
        <v>52</v>
      </c>
      <c r="I858" s="534">
        <v>0</v>
      </c>
      <c r="J858" s="534">
        <v>0</v>
      </c>
      <c r="K858" s="534">
        <v>2</v>
      </c>
    </row>
    <row r="859" spans="2:11" x14ac:dyDescent="0.3">
      <c r="B859" s="529">
        <f t="shared" si="31"/>
        <v>854001</v>
      </c>
      <c r="C859" s="529">
        <f t="shared" si="30"/>
        <v>855</v>
      </c>
      <c r="E859" s="534">
        <v>0</v>
      </c>
      <c r="F859" s="534">
        <v>0</v>
      </c>
      <c r="G859" s="534">
        <v>52</v>
      </c>
      <c r="I859" s="534">
        <v>0</v>
      </c>
      <c r="J859" s="534">
        <v>0</v>
      </c>
      <c r="K859" s="534">
        <v>2</v>
      </c>
    </row>
    <row r="860" spans="2:11" x14ac:dyDescent="0.3">
      <c r="B860" s="529">
        <f t="shared" si="31"/>
        <v>855001</v>
      </c>
      <c r="C860" s="529">
        <f t="shared" si="30"/>
        <v>856</v>
      </c>
      <c r="E860" s="534">
        <v>0</v>
      </c>
      <c r="F860" s="534">
        <v>0</v>
      </c>
      <c r="G860" s="534">
        <v>52</v>
      </c>
      <c r="I860" s="534">
        <v>0</v>
      </c>
      <c r="J860" s="534">
        <v>0</v>
      </c>
      <c r="K860" s="534">
        <v>2</v>
      </c>
    </row>
    <row r="861" spans="2:11" x14ac:dyDescent="0.3">
      <c r="B861" s="529">
        <f t="shared" si="31"/>
        <v>856001</v>
      </c>
      <c r="C861" s="529">
        <f t="shared" si="30"/>
        <v>857</v>
      </c>
      <c r="E861" s="534">
        <v>0</v>
      </c>
      <c r="F861" s="534">
        <v>0</v>
      </c>
      <c r="G861" s="534">
        <v>52</v>
      </c>
      <c r="I861" s="534">
        <v>0</v>
      </c>
      <c r="J861" s="534">
        <v>0</v>
      </c>
      <c r="K861" s="534">
        <v>2</v>
      </c>
    </row>
    <row r="862" spans="2:11" x14ac:dyDescent="0.3">
      <c r="B862" s="529">
        <f t="shared" si="31"/>
        <v>857001</v>
      </c>
      <c r="C862" s="529">
        <f t="shared" si="30"/>
        <v>858</v>
      </c>
      <c r="E862" s="534">
        <v>0</v>
      </c>
      <c r="F862" s="534">
        <v>0</v>
      </c>
      <c r="G862" s="534">
        <v>52</v>
      </c>
      <c r="I862" s="534">
        <v>0</v>
      </c>
      <c r="J862" s="534">
        <v>0</v>
      </c>
      <c r="K862" s="534">
        <v>2</v>
      </c>
    </row>
    <row r="863" spans="2:11" x14ac:dyDescent="0.3">
      <c r="B863" s="529">
        <f t="shared" si="31"/>
        <v>858001</v>
      </c>
      <c r="C863" s="529">
        <f t="shared" si="30"/>
        <v>859</v>
      </c>
      <c r="E863" s="534">
        <v>0</v>
      </c>
      <c r="F863" s="534">
        <v>0</v>
      </c>
      <c r="G863" s="534">
        <v>52</v>
      </c>
      <c r="I863" s="534">
        <v>0</v>
      </c>
      <c r="J863" s="534">
        <v>0</v>
      </c>
      <c r="K863" s="534">
        <v>2</v>
      </c>
    </row>
    <row r="864" spans="2:11" x14ac:dyDescent="0.3">
      <c r="B864" s="529">
        <f t="shared" si="31"/>
        <v>859001</v>
      </c>
      <c r="C864" s="529">
        <f t="shared" ref="C864:C927" si="32">C863+1</f>
        <v>860</v>
      </c>
      <c r="E864" s="534">
        <v>0</v>
      </c>
      <c r="F864" s="534">
        <v>0</v>
      </c>
      <c r="G864" s="534">
        <v>52</v>
      </c>
      <c r="I864" s="534">
        <v>0</v>
      </c>
      <c r="J864" s="534">
        <v>0</v>
      </c>
      <c r="K864" s="534">
        <v>2</v>
      </c>
    </row>
    <row r="865" spans="2:11" x14ac:dyDescent="0.3">
      <c r="B865" s="529">
        <f t="shared" si="31"/>
        <v>860001</v>
      </c>
      <c r="C865" s="529">
        <f t="shared" si="32"/>
        <v>861</v>
      </c>
      <c r="E865" s="534">
        <v>0</v>
      </c>
      <c r="F865" s="534">
        <v>0</v>
      </c>
      <c r="G865" s="534">
        <v>52</v>
      </c>
      <c r="I865" s="534">
        <v>0</v>
      </c>
      <c r="J865" s="534">
        <v>0</v>
      </c>
      <c r="K865" s="534">
        <v>2</v>
      </c>
    </row>
    <row r="866" spans="2:11" x14ac:dyDescent="0.3">
      <c r="B866" s="529">
        <f t="shared" si="31"/>
        <v>861001</v>
      </c>
      <c r="C866" s="529">
        <f t="shared" si="32"/>
        <v>862</v>
      </c>
      <c r="E866" s="534">
        <v>0</v>
      </c>
      <c r="F866" s="534">
        <v>0</v>
      </c>
      <c r="G866" s="534">
        <v>52</v>
      </c>
      <c r="I866" s="534">
        <v>0</v>
      </c>
      <c r="J866" s="534">
        <v>0</v>
      </c>
      <c r="K866" s="534">
        <v>2</v>
      </c>
    </row>
    <row r="867" spans="2:11" x14ac:dyDescent="0.3">
      <c r="B867" s="529">
        <f t="shared" si="31"/>
        <v>862001</v>
      </c>
      <c r="C867" s="529">
        <f t="shared" si="32"/>
        <v>863</v>
      </c>
      <c r="E867" s="534">
        <v>0</v>
      </c>
      <c r="F867" s="534">
        <v>0</v>
      </c>
      <c r="G867" s="534">
        <v>52</v>
      </c>
      <c r="I867" s="534">
        <v>0</v>
      </c>
      <c r="J867" s="534">
        <v>0</v>
      </c>
      <c r="K867" s="534">
        <v>2</v>
      </c>
    </row>
    <row r="868" spans="2:11" x14ac:dyDescent="0.3">
      <c r="B868" s="529">
        <f t="shared" si="31"/>
        <v>863001</v>
      </c>
      <c r="C868" s="529">
        <f t="shared" si="32"/>
        <v>864</v>
      </c>
      <c r="E868" s="534">
        <v>0</v>
      </c>
      <c r="F868" s="534">
        <v>0</v>
      </c>
      <c r="G868" s="534">
        <v>52</v>
      </c>
      <c r="I868" s="534">
        <v>0</v>
      </c>
      <c r="J868" s="534">
        <v>0</v>
      </c>
      <c r="K868" s="534">
        <v>2</v>
      </c>
    </row>
    <row r="869" spans="2:11" x14ac:dyDescent="0.3">
      <c r="B869" s="529">
        <f t="shared" si="31"/>
        <v>864001</v>
      </c>
      <c r="C869" s="529">
        <f t="shared" si="32"/>
        <v>865</v>
      </c>
      <c r="E869" s="534">
        <v>0</v>
      </c>
      <c r="F869" s="534">
        <v>0</v>
      </c>
      <c r="G869" s="534">
        <v>52</v>
      </c>
      <c r="I869" s="534">
        <v>0</v>
      </c>
      <c r="J869" s="534">
        <v>0</v>
      </c>
      <c r="K869" s="534">
        <v>2</v>
      </c>
    </row>
    <row r="870" spans="2:11" x14ac:dyDescent="0.3">
      <c r="B870" s="529">
        <f t="shared" si="31"/>
        <v>865001</v>
      </c>
      <c r="C870" s="529">
        <f t="shared" si="32"/>
        <v>866</v>
      </c>
      <c r="E870" s="534">
        <v>0</v>
      </c>
      <c r="F870" s="534">
        <v>0</v>
      </c>
      <c r="G870" s="534">
        <v>52</v>
      </c>
      <c r="I870" s="534">
        <v>0</v>
      </c>
      <c r="J870" s="534">
        <v>0</v>
      </c>
      <c r="K870" s="534">
        <v>2</v>
      </c>
    </row>
    <row r="871" spans="2:11" x14ac:dyDescent="0.3">
      <c r="B871" s="529">
        <f t="shared" si="31"/>
        <v>866001</v>
      </c>
      <c r="C871" s="529">
        <f t="shared" si="32"/>
        <v>867</v>
      </c>
      <c r="E871" s="534">
        <v>0</v>
      </c>
      <c r="F871" s="534">
        <v>0</v>
      </c>
      <c r="G871" s="534">
        <v>52</v>
      </c>
      <c r="I871" s="534">
        <v>0</v>
      </c>
      <c r="J871" s="534">
        <v>0</v>
      </c>
      <c r="K871" s="534">
        <v>2</v>
      </c>
    </row>
    <row r="872" spans="2:11" x14ac:dyDescent="0.3">
      <c r="B872" s="529">
        <f t="shared" si="31"/>
        <v>867001</v>
      </c>
      <c r="C872" s="529">
        <f t="shared" si="32"/>
        <v>868</v>
      </c>
      <c r="E872" s="534">
        <v>0</v>
      </c>
      <c r="F872" s="534">
        <v>0</v>
      </c>
      <c r="G872" s="534">
        <v>52</v>
      </c>
      <c r="I872" s="534">
        <v>0</v>
      </c>
      <c r="J872" s="534">
        <v>0</v>
      </c>
      <c r="K872" s="534">
        <v>2</v>
      </c>
    </row>
    <row r="873" spans="2:11" x14ac:dyDescent="0.3">
      <c r="B873" s="529">
        <f t="shared" si="31"/>
        <v>868001</v>
      </c>
      <c r="C873" s="529">
        <f t="shared" si="32"/>
        <v>869</v>
      </c>
      <c r="E873" s="534">
        <v>0</v>
      </c>
      <c r="F873" s="534">
        <v>0</v>
      </c>
      <c r="G873" s="534">
        <v>52</v>
      </c>
      <c r="I873" s="534">
        <v>0</v>
      </c>
      <c r="J873" s="534">
        <v>0</v>
      </c>
      <c r="K873" s="534">
        <v>2</v>
      </c>
    </row>
    <row r="874" spans="2:11" x14ac:dyDescent="0.3">
      <c r="B874" s="529">
        <f t="shared" si="31"/>
        <v>869001</v>
      </c>
      <c r="C874" s="529">
        <f t="shared" si="32"/>
        <v>870</v>
      </c>
      <c r="E874" s="534">
        <v>0</v>
      </c>
      <c r="F874" s="534">
        <v>0</v>
      </c>
      <c r="G874" s="534">
        <v>52</v>
      </c>
      <c r="I874" s="534">
        <v>0</v>
      </c>
      <c r="J874" s="534">
        <v>0</v>
      </c>
      <c r="K874" s="534">
        <v>2</v>
      </c>
    </row>
    <row r="875" spans="2:11" x14ac:dyDescent="0.3">
      <c r="B875" s="529">
        <f t="shared" si="31"/>
        <v>870001</v>
      </c>
      <c r="C875" s="529">
        <f t="shared" si="32"/>
        <v>871</v>
      </c>
      <c r="E875" s="534">
        <v>0</v>
      </c>
      <c r="F875" s="534">
        <v>0</v>
      </c>
      <c r="G875" s="534">
        <v>52</v>
      </c>
      <c r="I875" s="534">
        <v>0</v>
      </c>
      <c r="J875" s="534">
        <v>0</v>
      </c>
      <c r="K875" s="534">
        <v>2</v>
      </c>
    </row>
    <row r="876" spans="2:11" x14ac:dyDescent="0.3">
      <c r="B876" s="529">
        <f t="shared" si="31"/>
        <v>871001</v>
      </c>
      <c r="C876" s="529">
        <f t="shared" si="32"/>
        <v>872</v>
      </c>
      <c r="E876" s="534">
        <v>0</v>
      </c>
      <c r="F876" s="534">
        <v>0</v>
      </c>
      <c r="G876" s="534">
        <v>52</v>
      </c>
      <c r="I876" s="534">
        <v>0</v>
      </c>
      <c r="J876" s="534">
        <v>0</v>
      </c>
      <c r="K876" s="534">
        <v>2</v>
      </c>
    </row>
    <row r="877" spans="2:11" x14ac:dyDescent="0.3">
      <c r="B877" s="529">
        <f t="shared" si="31"/>
        <v>872001</v>
      </c>
      <c r="C877" s="529">
        <f t="shared" si="32"/>
        <v>873</v>
      </c>
      <c r="E877" s="534">
        <v>0</v>
      </c>
      <c r="F877" s="534">
        <v>0</v>
      </c>
      <c r="G877" s="534">
        <v>52</v>
      </c>
      <c r="I877" s="534">
        <v>0</v>
      </c>
      <c r="J877" s="534">
        <v>0</v>
      </c>
      <c r="K877" s="534">
        <v>2</v>
      </c>
    </row>
    <row r="878" spans="2:11" x14ac:dyDescent="0.3">
      <c r="B878" s="529">
        <f t="shared" si="31"/>
        <v>873001</v>
      </c>
      <c r="C878" s="529">
        <f t="shared" si="32"/>
        <v>874</v>
      </c>
      <c r="E878" s="534">
        <v>0</v>
      </c>
      <c r="F878" s="534">
        <v>0</v>
      </c>
      <c r="G878" s="534">
        <v>52</v>
      </c>
      <c r="I878" s="534">
        <v>0</v>
      </c>
      <c r="J878" s="534">
        <v>0</v>
      </c>
      <c r="K878" s="534">
        <v>2</v>
      </c>
    </row>
    <row r="879" spans="2:11" x14ac:dyDescent="0.3">
      <c r="B879" s="529">
        <f t="shared" si="31"/>
        <v>874001</v>
      </c>
      <c r="C879" s="529">
        <f t="shared" si="32"/>
        <v>875</v>
      </c>
      <c r="E879" s="534">
        <v>0</v>
      </c>
      <c r="F879" s="534">
        <v>0</v>
      </c>
      <c r="G879" s="534">
        <v>52</v>
      </c>
      <c r="I879" s="534">
        <v>0</v>
      </c>
      <c r="J879" s="534">
        <v>0</v>
      </c>
      <c r="K879" s="534">
        <v>2</v>
      </c>
    </row>
    <row r="880" spans="2:11" x14ac:dyDescent="0.3">
      <c r="B880" s="529">
        <f t="shared" si="31"/>
        <v>875001</v>
      </c>
      <c r="C880" s="529">
        <f t="shared" si="32"/>
        <v>876</v>
      </c>
      <c r="E880" s="534">
        <v>0</v>
      </c>
      <c r="F880" s="534">
        <v>0</v>
      </c>
      <c r="G880" s="534">
        <v>52</v>
      </c>
      <c r="I880" s="534">
        <v>0</v>
      </c>
      <c r="J880" s="534">
        <v>0</v>
      </c>
      <c r="K880" s="534">
        <v>2</v>
      </c>
    </row>
    <row r="881" spans="2:11" x14ac:dyDescent="0.3">
      <c r="B881" s="529">
        <f t="shared" si="31"/>
        <v>876001</v>
      </c>
      <c r="C881" s="529">
        <f t="shared" si="32"/>
        <v>877</v>
      </c>
      <c r="E881" s="534">
        <v>0</v>
      </c>
      <c r="F881" s="534">
        <v>0</v>
      </c>
      <c r="G881" s="534">
        <v>52</v>
      </c>
      <c r="I881" s="534">
        <v>0</v>
      </c>
      <c r="J881" s="534">
        <v>0</v>
      </c>
      <c r="K881" s="534">
        <v>2</v>
      </c>
    </row>
    <row r="882" spans="2:11" x14ac:dyDescent="0.3">
      <c r="B882" s="529">
        <f t="shared" si="31"/>
        <v>877001</v>
      </c>
      <c r="C882" s="529">
        <f t="shared" si="32"/>
        <v>878</v>
      </c>
      <c r="E882" s="534">
        <v>0</v>
      </c>
      <c r="F882" s="534">
        <v>0</v>
      </c>
      <c r="G882" s="534">
        <v>52</v>
      </c>
      <c r="I882" s="534">
        <v>0</v>
      </c>
      <c r="J882" s="534">
        <v>0</v>
      </c>
      <c r="K882" s="534">
        <v>2</v>
      </c>
    </row>
    <row r="883" spans="2:11" x14ac:dyDescent="0.3">
      <c r="B883" s="529">
        <f t="shared" si="31"/>
        <v>878001</v>
      </c>
      <c r="C883" s="529">
        <f t="shared" si="32"/>
        <v>879</v>
      </c>
      <c r="E883" s="534">
        <v>0</v>
      </c>
      <c r="F883" s="534">
        <v>0</v>
      </c>
      <c r="G883" s="534">
        <v>52</v>
      </c>
      <c r="I883" s="534">
        <v>0</v>
      </c>
      <c r="J883" s="534">
        <v>0</v>
      </c>
      <c r="K883" s="534">
        <v>2</v>
      </c>
    </row>
    <row r="884" spans="2:11" x14ac:dyDescent="0.3">
      <c r="B884" s="529">
        <f t="shared" si="31"/>
        <v>879001</v>
      </c>
      <c r="C884" s="529">
        <f t="shared" si="32"/>
        <v>880</v>
      </c>
      <c r="E884" s="534">
        <v>0</v>
      </c>
      <c r="F884" s="534">
        <v>0</v>
      </c>
      <c r="G884" s="534">
        <v>52</v>
      </c>
      <c r="I884" s="534">
        <v>0</v>
      </c>
      <c r="J884" s="534">
        <v>0</v>
      </c>
      <c r="K884" s="534">
        <v>2</v>
      </c>
    </row>
    <row r="885" spans="2:11" x14ac:dyDescent="0.3">
      <c r="B885" s="529">
        <f t="shared" si="31"/>
        <v>880001</v>
      </c>
      <c r="C885" s="529">
        <f t="shared" si="32"/>
        <v>881</v>
      </c>
      <c r="E885" s="534">
        <v>0</v>
      </c>
      <c r="F885" s="534">
        <v>0</v>
      </c>
      <c r="G885" s="534">
        <v>52</v>
      </c>
      <c r="I885" s="534">
        <v>0</v>
      </c>
      <c r="J885" s="534">
        <v>0</v>
      </c>
      <c r="K885" s="534">
        <v>2</v>
      </c>
    </row>
    <row r="886" spans="2:11" x14ac:dyDescent="0.3">
      <c r="B886" s="529">
        <f t="shared" si="31"/>
        <v>881001</v>
      </c>
      <c r="C886" s="529">
        <f t="shared" si="32"/>
        <v>882</v>
      </c>
      <c r="E886" s="534">
        <v>0</v>
      </c>
      <c r="F886" s="534">
        <v>0</v>
      </c>
      <c r="G886" s="534">
        <v>52</v>
      </c>
      <c r="I886" s="534">
        <v>0</v>
      </c>
      <c r="J886" s="534">
        <v>0</v>
      </c>
      <c r="K886" s="534">
        <v>2</v>
      </c>
    </row>
    <row r="887" spans="2:11" x14ac:dyDescent="0.3">
      <c r="B887" s="529">
        <f t="shared" si="31"/>
        <v>882001</v>
      </c>
      <c r="C887" s="529">
        <f t="shared" si="32"/>
        <v>883</v>
      </c>
      <c r="E887" s="534">
        <v>0</v>
      </c>
      <c r="F887" s="534">
        <v>0</v>
      </c>
      <c r="G887" s="534">
        <v>52</v>
      </c>
      <c r="I887" s="534">
        <v>0</v>
      </c>
      <c r="J887" s="534">
        <v>0</v>
      </c>
      <c r="K887" s="534">
        <v>2</v>
      </c>
    </row>
    <row r="888" spans="2:11" x14ac:dyDescent="0.3">
      <c r="B888" s="529">
        <f t="shared" si="31"/>
        <v>883001</v>
      </c>
      <c r="C888" s="529">
        <f t="shared" si="32"/>
        <v>884</v>
      </c>
      <c r="E888" s="534">
        <v>0</v>
      </c>
      <c r="F888" s="534">
        <v>0</v>
      </c>
      <c r="G888" s="534">
        <v>52</v>
      </c>
      <c r="I888" s="534">
        <v>0</v>
      </c>
      <c r="J888" s="534">
        <v>0</v>
      </c>
      <c r="K888" s="534">
        <v>2</v>
      </c>
    </row>
    <row r="889" spans="2:11" x14ac:dyDescent="0.3">
      <c r="B889" s="529">
        <f t="shared" si="31"/>
        <v>884001</v>
      </c>
      <c r="C889" s="529">
        <f t="shared" si="32"/>
        <v>885</v>
      </c>
      <c r="E889" s="534">
        <v>0</v>
      </c>
      <c r="F889" s="534">
        <v>0</v>
      </c>
      <c r="G889" s="534">
        <v>52</v>
      </c>
      <c r="I889" s="534">
        <v>0</v>
      </c>
      <c r="J889" s="534">
        <v>0</v>
      </c>
      <c r="K889" s="534">
        <v>2</v>
      </c>
    </row>
    <row r="890" spans="2:11" x14ac:dyDescent="0.3">
      <c r="B890" s="529">
        <f t="shared" si="31"/>
        <v>885001</v>
      </c>
      <c r="C890" s="529">
        <f t="shared" si="32"/>
        <v>886</v>
      </c>
      <c r="E890" s="534">
        <v>0</v>
      </c>
      <c r="F890" s="534">
        <v>0</v>
      </c>
      <c r="G890" s="534">
        <v>52</v>
      </c>
      <c r="I890" s="534">
        <v>0</v>
      </c>
      <c r="J890" s="534">
        <v>0</v>
      </c>
      <c r="K890" s="534">
        <v>2</v>
      </c>
    </row>
    <row r="891" spans="2:11" x14ac:dyDescent="0.3">
      <c r="B891" s="529">
        <f t="shared" si="31"/>
        <v>886001</v>
      </c>
      <c r="C891" s="529">
        <f t="shared" si="32"/>
        <v>887</v>
      </c>
      <c r="E891" s="534">
        <v>0</v>
      </c>
      <c r="F891" s="534">
        <v>0</v>
      </c>
      <c r="G891" s="534">
        <v>52</v>
      </c>
      <c r="I891" s="534">
        <v>0</v>
      </c>
      <c r="J891" s="534">
        <v>0</v>
      </c>
      <c r="K891" s="534">
        <v>2</v>
      </c>
    </row>
    <row r="892" spans="2:11" x14ac:dyDescent="0.3">
      <c r="B892" s="529">
        <f t="shared" si="31"/>
        <v>887001</v>
      </c>
      <c r="C892" s="529">
        <f t="shared" si="32"/>
        <v>888</v>
      </c>
      <c r="E892" s="534">
        <v>0</v>
      </c>
      <c r="F892" s="534">
        <v>0</v>
      </c>
      <c r="G892" s="534">
        <v>52</v>
      </c>
      <c r="I892" s="534">
        <v>0</v>
      </c>
      <c r="J892" s="534">
        <v>0</v>
      </c>
      <c r="K892" s="534">
        <v>2</v>
      </c>
    </row>
    <row r="893" spans="2:11" x14ac:dyDescent="0.3">
      <c r="B893" s="529">
        <f t="shared" si="31"/>
        <v>888001</v>
      </c>
      <c r="C893" s="529">
        <f t="shared" si="32"/>
        <v>889</v>
      </c>
      <c r="E893" s="534">
        <v>0</v>
      </c>
      <c r="F893" s="534">
        <v>0</v>
      </c>
      <c r="G893" s="534">
        <v>52</v>
      </c>
      <c r="I893" s="534">
        <v>0</v>
      </c>
      <c r="J893" s="534">
        <v>0</v>
      </c>
      <c r="K893" s="534">
        <v>2</v>
      </c>
    </row>
    <row r="894" spans="2:11" x14ac:dyDescent="0.3">
      <c r="B894" s="529">
        <f t="shared" si="31"/>
        <v>889001</v>
      </c>
      <c r="C894" s="529">
        <f t="shared" si="32"/>
        <v>890</v>
      </c>
      <c r="E894" s="534">
        <v>0</v>
      </c>
      <c r="F894" s="534">
        <v>0</v>
      </c>
      <c r="G894" s="534">
        <v>52</v>
      </c>
      <c r="I894" s="534">
        <v>0</v>
      </c>
      <c r="J894" s="534">
        <v>0</v>
      </c>
      <c r="K894" s="534">
        <v>2</v>
      </c>
    </row>
    <row r="895" spans="2:11" x14ac:dyDescent="0.3">
      <c r="B895" s="529">
        <f t="shared" si="31"/>
        <v>890001</v>
      </c>
      <c r="C895" s="529">
        <f t="shared" si="32"/>
        <v>891</v>
      </c>
      <c r="E895" s="534">
        <v>0</v>
      </c>
      <c r="F895" s="534">
        <v>0</v>
      </c>
      <c r="G895" s="534">
        <v>52</v>
      </c>
      <c r="I895" s="534">
        <v>0</v>
      </c>
      <c r="J895" s="534">
        <v>0</v>
      </c>
      <c r="K895" s="534">
        <v>2</v>
      </c>
    </row>
    <row r="896" spans="2:11" x14ac:dyDescent="0.3">
      <c r="B896" s="529">
        <f t="shared" si="31"/>
        <v>891001</v>
      </c>
      <c r="C896" s="529">
        <f t="shared" si="32"/>
        <v>892</v>
      </c>
      <c r="E896" s="534">
        <v>0</v>
      </c>
      <c r="F896" s="534">
        <v>0</v>
      </c>
      <c r="G896" s="534">
        <v>52</v>
      </c>
      <c r="I896" s="534">
        <v>0</v>
      </c>
      <c r="J896" s="534">
        <v>0</v>
      </c>
      <c r="K896" s="534">
        <v>2</v>
      </c>
    </row>
    <row r="897" spans="2:11" x14ac:dyDescent="0.3">
      <c r="B897" s="529">
        <f t="shared" si="31"/>
        <v>892001</v>
      </c>
      <c r="C897" s="529">
        <f t="shared" si="32"/>
        <v>893</v>
      </c>
      <c r="E897" s="534">
        <v>0</v>
      </c>
      <c r="F897" s="534">
        <v>0</v>
      </c>
      <c r="G897" s="534">
        <v>52</v>
      </c>
      <c r="I897" s="534">
        <v>0</v>
      </c>
      <c r="J897" s="534">
        <v>0</v>
      </c>
      <c r="K897" s="534">
        <v>2</v>
      </c>
    </row>
    <row r="898" spans="2:11" x14ac:dyDescent="0.3">
      <c r="B898" s="529">
        <f t="shared" si="31"/>
        <v>893001</v>
      </c>
      <c r="C898" s="529">
        <f t="shared" si="32"/>
        <v>894</v>
      </c>
      <c r="E898" s="534">
        <v>0</v>
      </c>
      <c r="F898" s="534">
        <v>0</v>
      </c>
      <c r="G898" s="534">
        <v>52</v>
      </c>
      <c r="I898" s="534">
        <v>0</v>
      </c>
      <c r="J898" s="534">
        <v>0</v>
      </c>
      <c r="K898" s="534">
        <v>2</v>
      </c>
    </row>
    <row r="899" spans="2:11" x14ac:dyDescent="0.3">
      <c r="B899" s="529">
        <f t="shared" si="31"/>
        <v>894001</v>
      </c>
      <c r="C899" s="529">
        <f t="shared" si="32"/>
        <v>895</v>
      </c>
      <c r="E899" s="534">
        <v>0</v>
      </c>
      <c r="F899" s="534">
        <v>0</v>
      </c>
      <c r="G899" s="534">
        <v>52</v>
      </c>
      <c r="I899" s="534">
        <v>0</v>
      </c>
      <c r="J899" s="534">
        <v>0</v>
      </c>
      <c r="K899" s="534">
        <v>2</v>
      </c>
    </row>
    <row r="900" spans="2:11" x14ac:dyDescent="0.3">
      <c r="B900" s="529">
        <f t="shared" si="31"/>
        <v>895001</v>
      </c>
      <c r="C900" s="529">
        <f t="shared" si="32"/>
        <v>896</v>
      </c>
      <c r="E900" s="534">
        <v>0</v>
      </c>
      <c r="F900" s="534">
        <v>0</v>
      </c>
      <c r="G900" s="534">
        <v>52</v>
      </c>
      <c r="I900" s="534">
        <v>0</v>
      </c>
      <c r="J900" s="534">
        <v>0</v>
      </c>
      <c r="K900" s="534">
        <v>2</v>
      </c>
    </row>
    <row r="901" spans="2:11" x14ac:dyDescent="0.3">
      <c r="B901" s="529">
        <f t="shared" si="31"/>
        <v>896001</v>
      </c>
      <c r="C901" s="529">
        <f t="shared" si="32"/>
        <v>897</v>
      </c>
      <c r="E901" s="534">
        <v>0</v>
      </c>
      <c r="F901" s="534">
        <v>0</v>
      </c>
      <c r="G901" s="534">
        <v>52</v>
      </c>
      <c r="I901" s="534">
        <v>0</v>
      </c>
      <c r="J901" s="534">
        <v>0</v>
      </c>
      <c r="K901" s="534">
        <v>2</v>
      </c>
    </row>
    <row r="902" spans="2:11" x14ac:dyDescent="0.3">
      <c r="B902" s="529">
        <f t="shared" si="31"/>
        <v>897001</v>
      </c>
      <c r="C902" s="529">
        <f t="shared" si="32"/>
        <v>898</v>
      </c>
      <c r="E902" s="534">
        <v>0</v>
      </c>
      <c r="F902" s="534">
        <v>0</v>
      </c>
      <c r="G902" s="534">
        <v>52</v>
      </c>
      <c r="I902" s="534">
        <v>0</v>
      </c>
      <c r="J902" s="534">
        <v>0</v>
      </c>
      <c r="K902" s="534">
        <v>2</v>
      </c>
    </row>
    <row r="903" spans="2:11" x14ac:dyDescent="0.3">
      <c r="B903" s="529">
        <f t="shared" ref="B903:B966" si="33">C902*1000+1</f>
        <v>898001</v>
      </c>
      <c r="C903" s="529">
        <f t="shared" si="32"/>
        <v>899</v>
      </c>
      <c r="E903" s="534">
        <v>0</v>
      </c>
      <c r="F903" s="534">
        <v>0</v>
      </c>
      <c r="G903" s="534">
        <v>52</v>
      </c>
      <c r="I903" s="534">
        <v>0</v>
      </c>
      <c r="J903" s="534">
        <v>0</v>
      </c>
      <c r="K903" s="534">
        <v>2</v>
      </c>
    </row>
    <row r="904" spans="2:11" x14ac:dyDescent="0.3">
      <c r="B904" s="529">
        <f t="shared" si="33"/>
        <v>899001</v>
      </c>
      <c r="C904" s="529">
        <f t="shared" si="32"/>
        <v>900</v>
      </c>
      <c r="E904" s="534">
        <v>0</v>
      </c>
      <c r="F904" s="534">
        <v>0</v>
      </c>
      <c r="G904" s="534">
        <v>52</v>
      </c>
      <c r="I904" s="534">
        <v>0</v>
      </c>
      <c r="J904" s="534">
        <v>0</v>
      </c>
      <c r="K904" s="534">
        <v>2</v>
      </c>
    </row>
    <row r="905" spans="2:11" x14ac:dyDescent="0.3">
      <c r="B905" s="529">
        <f t="shared" si="33"/>
        <v>900001</v>
      </c>
      <c r="C905" s="529">
        <f t="shared" si="32"/>
        <v>901</v>
      </c>
      <c r="E905" s="534">
        <v>0</v>
      </c>
      <c r="F905" s="534">
        <v>0</v>
      </c>
      <c r="G905" s="534">
        <v>52</v>
      </c>
      <c r="I905" s="534">
        <v>0</v>
      </c>
      <c r="J905" s="534">
        <v>0</v>
      </c>
      <c r="K905" s="534">
        <v>2</v>
      </c>
    </row>
    <row r="906" spans="2:11" x14ac:dyDescent="0.3">
      <c r="B906" s="529">
        <f t="shared" si="33"/>
        <v>901001</v>
      </c>
      <c r="C906" s="529">
        <f t="shared" si="32"/>
        <v>902</v>
      </c>
      <c r="E906" s="534">
        <v>1</v>
      </c>
      <c r="F906" s="534">
        <v>902</v>
      </c>
      <c r="G906" s="534">
        <v>52</v>
      </c>
      <c r="I906" s="534">
        <v>0</v>
      </c>
      <c r="J906" s="534">
        <v>0</v>
      </c>
      <c r="K906" s="534">
        <v>2</v>
      </c>
    </row>
    <row r="907" spans="2:11" x14ac:dyDescent="0.3">
      <c r="B907" s="529">
        <f t="shared" si="33"/>
        <v>902001</v>
      </c>
      <c r="C907" s="529">
        <f t="shared" si="32"/>
        <v>903</v>
      </c>
      <c r="E907" s="534">
        <v>0</v>
      </c>
      <c r="F907" s="534">
        <v>0</v>
      </c>
      <c r="G907" s="534">
        <v>51</v>
      </c>
      <c r="I907" s="534">
        <v>0</v>
      </c>
      <c r="J907" s="534">
        <v>0</v>
      </c>
      <c r="K907" s="534">
        <v>2</v>
      </c>
    </row>
    <row r="908" spans="2:11" x14ac:dyDescent="0.3">
      <c r="B908" s="529">
        <f t="shared" si="33"/>
        <v>903001</v>
      </c>
      <c r="C908" s="529">
        <f t="shared" si="32"/>
        <v>904</v>
      </c>
      <c r="E908" s="534">
        <v>0</v>
      </c>
      <c r="F908" s="534">
        <v>0</v>
      </c>
      <c r="G908" s="534">
        <v>51</v>
      </c>
      <c r="I908" s="534">
        <v>0</v>
      </c>
      <c r="J908" s="534">
        <v>0</v>
      </c>
      <c r="K908" s="534">
        <v>2</v>
      </c>
    </row>
    <row r="909" spans="2:11" x14ac:dyDescent="0.3">
      <c r="B909" s="529">
        <f t="shared" si="33"/>
        <v>904001</v>
      </c>
      <c r="C909" s="529">
        <f t="shared" si="32"/>
        <v>905</v>
      </c>
      <c r="E909" s="534">
        <v>0</v>
      </c>
      <c r="F909" s="534">
        <v>0</v>
      </c>
      <c r="G909" s="534">
        <v>51</v>
      </c>
      <c r="I909" s="534">
        <v>0</v>
      </c>
      <c r="J909" s="534">
        <v>0</v>
      </c>
      <c r="K909" s="534">
        <v>2</v>
      </c>
    </row>
    <row r="910" spans="2:11" x14ac:dyDescent="0.3">
      <c r="B910" s="529">
        <f t="shared" si="33"/>
        <v>905001</v>
      </c>
      <c r="C910" s="529">
        <f t="shared" si="32"/>
        <v>906</v>
      </c>
      <c r="E910" s="534">
        <v>0</v>
      </c>
      <c r="F910" s="534">
        <v>0</v>
      </c>
      <c r="G910" s="534">
        <v>51</v>
      </c>
      <c r="I910" s="534">
        <v>0</v>
      </c>
      <c r="J910" s="534">
        <v>0</v>
      </c>
      <c r="K910" s="534">
        <v>2</v>
      </c>
    </row>
    <row r="911" spans="2:11" x14ac:dyDescent="0.3">
      <c r="B911" s="529">
        <f t="shared" si="33"/>
        <v>906001</v>
      </c>
      <c r="C911" s="529">
        <f t="shared" si="32"/>
        <v>907</v>
      </c>
      <c r="E911" s="534">
        <v>0</v>
      </c>
      <c r="F911" s="534">
        <v>0</v>
      </c>
      <c r="G911" s="534">
        <v>51</v>
      </c>
      <c r="I911" s="534">
        <v>0</v>
      </c>
      <c r="J911" s="534">
        <v>0</v>
      </c>
      <c r="K911" s="534">
        <v>2</v>
      </c>
    </row>
    <row r="912" spans="2:11" x14ac:dyDescent="0.3">
      <c r="B912" s="529">
        <f t="shared" si="33"/>
        <v>907001</v>
      </c>
      <c r="C912" s="529">
        <f t="shared" si="32"/>
        <v>908</v>
      </c>
      <c r="E912" s="534">
        <v>0</v>
      </c>
      <c r="F912" s="534">
        <v>0</v>
      </c>
      <c r="G912" s="534">
        <v>51</v>
      </c>
      <c r="I912" s="534">
        <v>0</v>
      </c>
      <c r="J912" s="534">
        <v>0</v>
      </c>
      <c r="K912" s="534">
        <v>2</v>
      </c>
    </row>
    <row r="913" spans="2:11" x14ac:dyDescent="0.3">
      <c r="B913" s="529">
        <f t="shared" si="33"/>
        <v>908001</v>
      </c>
      <c r="C913" s="529">
        <f t="shared" si="32"/>
        <v>909</v>
      </c>
      <c r="E913" s="534">
        <v>0</v>
      </c>
      <c r="F913" s="534">
        <v>0</v>
      </c>
      <c r="G913" s="534">
        <v>51</v>
      </c>
      <c r="I913" s="534">
        <v>0</v>
      </c>
      <c r="J913" s="534">
        <v>0</v>
      </c>
      <c r="K913" s="534">
        <v>2</v>
      </c>
    </row>
    <row r="914" spans="2:11" x14ac:dyDescent="0.3">
      <c r="B914" s="529">
        <f t="shared" si="33"/>
        <v>909001</v>
      </c>
      <c r="C914" s="529">
        <f t="shared" si="32"/>
        <v>910</v>
      </c>
      <c r="E914" s="534">
        <v>0</v>
      </c>
      <c r="F914" s="534">
        <v>0</v>
      </c>
      <c r="G914" s="534">
        <v>51</v>
      </c>
      <c r="I914" s="534">
        <v>0</v>
      </c>
      <c r="J914" s="534">
        <v>0</v>
      </c>
      <c r="K914" s="534">
        <v>2</v>
      </c>
    </row>
    <row r="915" spans="2:11" x14ac:dyDescent="0.3">
      <c r="B915" s="529">
        <f t="shared" si="33"/>
        <v>910001</v>
      </c>
      <c r="C915" s="529">
        <f t="shared" si="32"/>
        <v>911</v>
      </c>
      <c r="E915" s="534">
        <v>0</v>
      </c>
      <c r="F915" s="534">
        <v>0</v>
      </c>
      <c r="G915" s="534">
        <v>51</v>
      </c>
      <c r="I915" s="534">
        <v>0</v>
      </c>
      <c r="J915" s="534">
        <v>0</v>
      </c>
      <c r="K915" s="534">
        <v>2</v>
      </c>
    </row>
    <row r="916" spans="2:11" x14ac:dyDescent="0.3">
      <c r="B916" s="529">
        <f t="shared" si="33"/>
        <v>911001</v>
      </c>
      <c r="C916" s="529">
        <f t="shared" si="32"/>
        <v>912</v>
      </c>
      <c r="E916" s="534">
        <v>0</v>
      </c>
      <c r="F916" s="534">
        <v>0</v>
      </c>
      <c r="G916" s="534">
        <v>51</v>
      </c>
      <c r="I916" s="534">
        <v>0</v>
      </c>
      <c r="J916" s="534">
        <v>0</v>
      </c>
      <c r="K916" s="534">
        <v>2</v>
      </c>
    </row>
    <row r="917" spans="2:11" x14ac:dyDescent="0.3">
      <c r="B917" s="529">
        <f t="shared" si="33"/>
        <v>912001</v>
      </c>
      <c r="C917" s="529">
        <f t="shared" si="32"/>
        <v>913</v>
      </c>
      <c r="E917" s="534">
        <v>0</v>
      </c>
      <c r="F917" s="534">
        <v>0</v>
      </c>
      <c r="G917" s="534">
        <v>51</v>
      </c>
      <c r="I917" s="534">
        <v>0</v>
      </c>
      <c r="J917" s="534">
        <v>0</v>
      </c>
      <c r="K917" s="534">
        <v>2</v>
      </c>
    </row>
    <row r="918" spans="2:11" x14ac:dyDescent="0.3">
      <c r="B918" s="529">
        <f t="shared" si="33"/>
        <v>913001</v>
      </c>
      <c r="C918" s="529">
        <f t="shared" si="32"/>
        <v>914</v>
      </c>
      <c r="E918" s="534">
        <v>0</v>
      </c>
      <c r="F918" s="534">
        <v>0</v>
      </c>
      <c r="G918" s="534">
        <v>51</v>
      </c>
      <c r="I918" s="534">
        <v>0</v>
      </c>
      <c r="J918" s="534">
        <v>0</v>
      </c>
      <c r="K918" s="534">
        <v>2</v>
      </c>
    </row>
    <row r="919" spans="2:11" x14ac:dyDescent="0.3">
      <c r="B919" s="529">
        <f t="shared" si="33"/>
        <v>914001</v>
      </c>
      <c r="C919" s="529">
        <f t="shared" si="32"/>
        <v>915</v>
      </c>
      <c r="E919" s="534">
        <v>0</v>
      </c>
      <c r="F919" s="534">
        <v>0</v>
      </c>
      <c r="G919" s="534">
        <v>51</v>
      </c>
      <c r="I919" s="534">
        <v>0</v>
      </c>
      <c r="J919" s="534">
        <v>0</v>
      </c>
      <c r="K919" s="534">
        <v>2</v>
      </c>
    </row>
    <row r="920" spans="2:11" x14ac:dyDescent="0.3">
      <c r="B920" s="529">
        <f t="shared" si="33"/>
        <v>915001</v>
      </c>
      <c r="C920" s="529">
        <f t="shared" si="32"/>
        <v>916</v>
      </c>
      <c r="E920" s="534">
        <v>0</v>
      </c>
      <c r="F920" s="534">
        <v>0</v>
      </c>
      <c r="G920" s="534">
        <v>51</v>
      </c>
      <c r="I920" s="534">
        <v>0</v>
      </c>
      <c r="J920" s="534">
        <v>0</v>
      </c>
      <c r="K920" s="534">
        <v>2</v>
      </c>
    </row>
    <row r="921" spans="2:11" x14ac:dyDescent="0.3">
      <c r="B921" s="529">
        <f t="shared" si="33"/>
        <v>916001</v>
      </c>
      <c r="C921" s="529">
        <f t="shared" si="32"/>
        <v>917</v>
      </c>
      <c r="E921" s="534">
        <v>0</v>
      </c>
      <c r="F921" s="534">
        <v>0</v>
      </c>
      <c r="G921" s="534">
        <v>51</v>
      </c>
      <c r="I921" s="534">
        <v>0</v>
      </c>
      <c r="J921" s="534">
        <v>0</v>
      </c>
      <c r="K921" s="534">
        <v>2</v>
      </c>
    </row>
    <row r="922" spans="2:11" x14ac:dyDescent="0.3">
      <c r="B922" s="529">
        <f t="shared" si="33"/>
        <v>917001</v>
      </c>
      <c r="C922" s="529">
        <f t="shared" si="32"/>
        <v>918</v>
      </c>
      <c r="E922" s="534">
        <v>0</v>
      </c>
      <c r="F922" s="534">
        <v>0</v>
      </c>
      <c r="G922" s="534">
        <v>51</v>
      </c>
      <c r="I922" s="534">
        <v>0</v>
      </c>
      <c r="J922" s="534">
        <v>0</v>
      </c>
      <c r="K922" s="534">
        <v>2</v>
      </c>
    </row>
    <row r="923" spans="2:11" x14ac:dyDescent="0.3">
      <c r="B923" s="529">
        <f t="shared" si="33"/>
        <v>918001</v>
      </c>
      <c r="C923" s="529">
        <f t="shared" si="32"/>
        <v>919</v>
      </c>
      <c r="E923" s="534">
        <v>0</v>
      </c>
      <c r="F923" s="534">
        <v>0</v>
      </c>
      <c r="G923" s="534">
        <v>51</v>
      </c>
      <c r="I923" s="534">
        <v>0</v>
      </c>
      <c r="J923" s="534">
        <v>0</v>
      </c>
      <c r="K923" s="534">
        <v>2</v>
      </c>
    </row>
    <row r="924" spans="2:11" x14ac:dyDescent="0.3">
      <c r="B924" s="529">
        <f t="shared" si="33"/>
        <v>919001</v>
      </c>
      <c r="C924" s="529">
        <f t="shared" si="32"/>
        <v>920</v>
      </c>
      <c r="E924" s="534">
        <v>0</v>
      </c>
      <c r="F924" s="534">
        <v>0</v>
      </c>
      <c r="G924" s="534">
        <v>51</v>
      </c>
      <c r="I924" s="534">
        <v>0</v>
      </c>
      <c r="J924" s="534">
        <v>0</v>
      </c>
      <c r="K924" s="534">
        <v>2</v>
      </c>
    </row>
    <row r="925" spans="2:11" x14ac:dyDescent="0.3">
      <c r="B925" s="529">
        <f t="shared" si="33"/>
        <v>920001</v>
      </c>
      <c r="C925" s="529">
        <f t="shared" si="32"/>
        <v>921</v>
      </c>
      <c r="E925" s="534">
        <v>0</v>
      </c>
      <c r="F925" s="534">
        <v>0</v>
      </c>
      <c r="G925" s="534">
        <v>51</v>
      </c>
      <c r="I925" s="534">
        <v>0</v>
      </c>
      <c r="J925" s="534">
        <v>0</v>
      </c>
      <c r="K925" s="534">
        <v>2</v>
      </c>
    </row>
    <row r="926" spans="2:11" x14ac:dyDescent="0.3">
      <c r="B926" s="529">
        <f t="shared" si="33"/>
        <v>921001</v>
      </c>
      <c r="C926" s="529">
        <f t="shared" si="32"/>
        <v>922</v>
      </c>
      <c r="E926" s="534">
        <v>0</v>
      </c>
      <c r="F926" s="534">
        <v>0</v>
      </c>
      <c r="G926" s="534">
        <v>51</v>
      </c>
      <c r="I926" s="534">
        <v>0</v>
      </c>
      <c r="J926" s="534">
        <v>0</v>
      </c>
      <c r="K926" s="534">
        <v>2</v>
      </c>
    </row>
    <row r="927" spans="2:11" x14ac:dyDescent="0.3">
      <c r="B927" s="529">
        <f t="shared" si="33"/>
        <v>922001</v>
      </c>
      <c r="C927" s="529">
        <f t="shared" si="32"/>
        <v>923</v>
      </c>
      <c r="E927" s="534">
        <v>0</v>
      </c>
      <c r="F927" s="534">
        <v>0</v>
      </c>
      <c r="G927" s="534">
        <v>51</v>
      </c>
      <c r="I927" s="534">
        <v>0</v>
      </c>
      <c r="J927" s="534">
        <v>0</v>
      </c>
      <c r="K927" s="534">
        <v>2</v>
      </c>
    </row>
    <row r="928" spans="2:11" x14ac:dyDescent="0.3">
      <c r="B928" s="529">
        <f t="shared" si="33"/>
        <v>923001</v>
      </c>
      <c r="C928" s="529">
        <f t="shared" ref="C928:C991" si="34">C927+1</f>
        <v>924</v>
      </c>
      <c r="E928" s="534">
        <v>0</v>
      </c>
      <c r="F928" s="534">
        <v>0</v>
      </c>
      <c r="G928" s="534">
        <v>51</v>
      </c>
      <c r="I928" s="534">
        <v>0</v>
      </c>
      <c r="J928" s="534">
        <v>0</v>
      </c>
      <c r="K928" s="534">
        <v>2</v>
      </c>
    </row>
    <row r="929" spans="2:11" x14ac:dyDescent="0.3">
      <c r="B929" s="529">
        <f t="shared" si="33"/>
        <v>924001</v>
      </c>
      <c r="C929" s="529">
        <f t="shared" si="34"/>
        <v>925</v>
      </c>
      <c r="E929" s="534">
        <v>0</v>
      </c>
      <c r="F929" s="534">
        <v>0</v>
      </c>
      <c r="G929" s="534">
        <v>51</v>
      </c>
      <c r="I929" s="534">
        <v>0</v>
      </c>
      <c r="J929" s="534">
        <v>0</v>
      </c>
      <c r="K929" s="534">
        <v>2</v>
      </c>
    </row>
    <row r="930" spans="2:11" x14ac:dyDescent="0.3">
      <c r="B930" s="529">
        <f t="shared" si="33"/>
        <v>925001</v>
      </c>
      <c r="C930" s="529">
        <f t="shared" si="34"/>
        <v>926</v>
      </c>
      <c r="E930" s="534">
        <v>0</v>
      </c>
      <c r="F930" s="534">
        <v>0</v>
      </c>
      <c r="G930" s="534">
        <v>51</v>
      </c>
      <c r="I930" s="534">
        <v>0</v>
      </c>
      <c r="J930" s="534">
        <v>0</v>
      </c>
      <c r="K930" s="534">
        <v>2</v>
      </c>
    </row>
    <row r="931" spans="2:11" x14ac:dyDescent="0.3">
      <c r="B931" s="529">
        <f t="shared" si="33"/>
        <v>926001</v>
      </c>
      <c r="C931" s="529">
        <f t="shared" si="34"/>
        <v>927</v>
      </c>
      <c r="E931" s="534">
        <v>0</v>
      </c>
      <c r="F931" s="534">
        <v>0</v>
      </c>
      <c r="G931" s="534">
        <v>51</v>
      </c>
      <c r="I931" s="534">
        <v>0</v>
      </c>
      <c r="J931" s="534">
        <v>0</v>
      </c>
      <c r="K931" s="534">
        <v>2</v>
      </c>
    </row>
    <row r="932" spans="2:11" x14ac:dyDescent="0.3">
      <c r="B932" s="529">
        <f t="shared" si="33"/>
        <v>927001</v>
      </c>
      <c r="C932" s="529">
        <f t="shared" si="34"/>
        <v>928</v>
      </c>
      <c r="E932" s="534">
        <v>0</v>
      </c>
      <c r="F932" s="534">
        <v>0</v>
      </c>
      <c r="G932" s="534">
        <v>51</v>
      </c>
      <c r="I932" s="534">
        <v>0</v>
      </c>
      <c r="J932" s="534">
        <v>0</v>
      </c>
      <c r="K932" s="534">
        <v>2</v>
      </c>
    </row>
    <row r="933" spans="2:11" x14ac:dyDescent="0.3">
      <c r="B933" s="529">
        <f t="shared" si="33"/>
        <v>928001</v>
      </c>
      <c r="C933" s="529">
        <f t="shared" si="34"/>
        <v>929</v>
      </c>
      <c r="E933" s="534">
        <v>0</v>
      </c>
      <c r="F933" s="534">
        <v>0</v>
      </c>
      <c r="G933" s="534">
        <v>51</v>
      </c>
      <c r="I933" s="534">
        <v>0</v>
      </c>
      <c r="J933" s="534">
        <v>0</v>
      </c>
      <c r="K933" s="534">
        <v>2</v>
      </c>
    </row>
    <row r="934" spans="2:11" x14ac:dyDescent="0.3">
      <c r="B934" s="529">
        <f t="shared" si="33"/>
        <v>929001</v>
      </c>
      <c r="C934" s="529">
        <f t="shared" si="34"/>
        <v>930</v>
      </c>
      <c r="E934" s="534">
        <v>0</v>
      </c>
      <c r="F934" s="534">
        <v>0</v>
      </c>
      <c r="G934" s="534">
        <v>51</v>
      </c>
      <c r="I934" s="534">
        <v>0</v>
      </c>
      <c r="J934" s="534">
        <v>0</v>
      </c>
      <c r="K934" s="534">
        <v>2</v>
      </c>
    </row>
    <row r="935" spans="2:11" x14ac:dyDescent="0.3">
      <c r="B935" s="529">
        <f t="shared" si="33"/>
        <v>930001</v>
      </c>
      <c r="C935" s="529">
        <f t="shared" si="34"/>
        <v>931</v>
      </c>
      <c r="E935" s="534">
        <v>0</v>
      </c>
      <c r="F935" s="534">
        <v>0</v>
      </c>
      <c r="G935" s="534">
        <v>51</v>
      </c>
      <c r="I935" s="534">
        <v>0</v>
      </c>
      <c r="J935" s="534">
        <v>0</v>
      </c>
      <c r="K935" s="534">
        <v>2</v>
      </c>
    </row>
    <row r="936" spans="2:11" x14ac:dyDescent="0.3">
      <c r="B936" s="529">
        <f t="shared" si="33"/>
        <v>931001</v>
      </c>
      <c r="C936" s="529">
        <f t="shared" si="34"/>
        <v>932</v>
      </c>
      <c r="E936" s="534">
        <v>0</v>
      </c>
      <c r="F936" s="534">
        <v>0</v>
      </c>
      <c r="G936" s="534">
        <v>51</v>
      </c>
      <c r="I936" s="534">
        <v>0</v>
      </c>
      <c r="J936" s="534">
        <v>0</v>
      </c>
      <c r="K936" s="534">
        <v>2</v>
      </c>
    </row>
    <row r="937" spans="2:11" x14ac:dyDescent="0.3">
      <c r="B937" s="529">
        <f t="shared" si="33"/>
        <v>932001</v>
      </c>
      <c r="C937" s="529">
        <f t="shared" si="34"/>
        <v>933</v>
      </c>
      <c r="E937" s="534">
        <v>0</v>
      </c>
      <c r="F937" s="534">
        <v>0</v>
      </c>
      <c r="G937" s="534">
        <v>51</v>
      </c>
      <c r="I937" s="534">
        <v>0</v>
      </c>
      <c r="J937" s="534">
        <v>0</v>
      </c>
      <c r="K937" s="534">
        <v>2</v>
      </c>
    </row>
    <row r="938" spans="2:11" x14ac:dyDescent="0.3">
      <c r="B938" s="529">
        <f t="shared" si="33"/>
        <v>933001</v>
      </c>
      <c r="C938" s="529">
        <f t="shared" si="34"/>
        <v>934</v>
      </c>
      <c r="E938" s="534">
        <v>0</v>
      </c>
      <c r="F938" s="534">
        <v>0</v>
      </c>
      <c r="G938" s="534">
        <v>51</v>
      </c>
      <c r="I938" s="534">
        <v>0</v>
      </c>
      <c r="J938" s="534">
        <v>0</v>
      </c>
      <c r="K938" s="534">
        <v>2</v>
      </c>
    </row>
    <row r="939" spans="2:11" x14ac:dyDescent="0.3">
      <c r="B939" s="529">
        <f t="shared" si="33"/>
        <v>934001</v>
      </c>
      <c r="C939" s="529">
        <f t="shared" si="34"/>
        <v>935</v>
      </c>
      <c r="E939" s="534">
        <v>0</v>
      </c>
      <c r="F939" s="534">
        <v>0</v>
      </c>
      <c r="G939" s="534">
        <v>51</v>
      </c>
      <c r="I939" s="534">
        <v>0</v>
      </c>
      <c r="J939" s="534">
        <v>0</v>
      </c>
      <c r="K939" s="534">
        <v>2</v>
      </c>
    </row>
    <row r="940" spans="2:11" x14ac:dyDescent="0.3">
      <c r="B940" s="529">
        <f t="shared" si="33"/>
        <v>935001</v>
      </c>
      <c r="C940" s="529">
        <f t="shared" si="34"/>
        <v>936</v>
      </c>
      <c r="E940" s="534">
        <v>0</v>
      </c>
      <c r="F940" s="534">
        <v>0</v>
      </c>
      <c r="G940" s="534">
        <v>51</v>
      </c>
      <c r="I940" s="534">
        <v>0</v>
      </c>
      <c r="J940" s="534">
        <v>0</v>
      </c>
      <c r="K940" s="534">
        <v>2</v>
      </c>
    </row>
    <row r="941" spans="2:11" x14ac:dyDescent="0.3">
      <c r="B941" s="529">
        <f t="shared" si="33"/>
        <v>936001</v>
      </c>
      <c r="C941" s="529">
        <f t="shared" si="34"/>
        <v>937</v>
      </c>
      <c r="E941" s="534">
        <v>0</v>
      </c>
      <c r="F941" s="534">
        <v>0</v>
      </c>
      <c r="G941" s="534">
        <v>51</v>
      </c>
      <c r="I941" s="534">
        <v>0</v>
      </c>
      <c r="J941" s="534">
        <v>0</v>
      </c>
      <c r="K941" s="534">
        <v>2</v>
      </c>
    </row>
    <row r="942" spans="2:11" x14ac:dyDescent="0.3">
      <c r="B942" s="529">
        <f t="shared" si="33"/>
        <v>937001</v>
      </c>
      <c r="C942" s="529">
        <f t="shared" si="34"/>
        <v>938</v>
      </c>
      <c r="E942" s="534">
        <v>1</v>
      </c>
      <c r="F942" s="534">
        <v>938</v>
      </c>
      <c r="G942" s="534">
        <v>51</v>
      </c>
      <c r="I942" s="534">
        <v>0</v>
      </c>
      <c r="J942" s="534">
        <v>0</v>
      </c>
      <c r="K942" s="534">
        <v>2</v>
      </c>
    </row>
    <row r="943" spans="2:11" x14ac:dyDescent="0.3">
      <c r="B943" s="529">
        <f t="shared" si="33"/>
        <v>938001</v>
      </c>
      <c r="C943" s="529">
        <f t="shared" si="34"/>
        <v>939</v>
      </c>
      <c r="E943" s="534">
        <v>0</v>
      </c>
      <c r="F943" s="534">
        <v>0</v>
      </c>
      <c r="G943" s="534">
        <v>50</v>
      </c>
      <c r="I943" s="534">
        <v>0</v>
      </c>
      <c r="J943" s="534">
        <v>0</v>
      </c>
      <c r="K943" s="534">
        <v>2</v>
      </c>
    </row>
    <row r="944" spans="2:11" x14ac:dyDescent="0.3">
      <c r="B944" s="529">
        <f t="shared" si="33"/>
        <v>939001</v>
      </c>
      <c r="C944" s="529">
        <f t="shared" si="34"/>
        <v>940</v>
      </c>
      <c r="E944" s="534">
        <v>0</v>
      </c>
      <c r="F944" s="534">
        <v>0</v>
      </c>
      <c r="G944" s="534">
        <v>50</v>
      </c>
      <c r="I944" s="534">
        <v>0</v>
      </c>
      <c r="J944" s="534">
        <v>0</v>
      </c>
      <c r="K944" s="534">
        <v>2</v>
      </c>
    </row>
    <row r="945" spans="2:11" x14ac:dyDescent="0.3">
      <c r="B945" s="529">
        <f t="shared" si="33"/>
        <v>940001</v>
      </c>
      <c r="C945" s="529">
        <f t="shared" si="34"/>
        <v>941</v>
      </c>
      <c r="E945" s="534">
        <v>0</v>
      </c>
      <c r="F945" s="534">
        <v>0</v>
      </c>
      <c r="G945" s="534">
        <v>50</v>
      </c>
      <c r="I945" s="534">
        <v>0</v>
      </c>
      <c r="J945" s="534">
        <v>0</v>
      </c>
      <c r="K945" s="534">
        <v>2</v>
      </c>
    </row>
    <row r="946" spans="2:11" x14ac:dyDescent="0.3">
      <c r="B946" s="529">
        <f t="shared" si="33"/>
        <v>941001</v>
      </c>
      <c r="C946" s="529">
        <f t="shared" si="34"/>
        <v>942</v>
      </c>
      <c r="E946" s="534">
        <v>0</v>
      </c>
      <c r="F946" s="534">
        <v>0</v>
      </c>
      <c r="G946" s="534">
        <v>50</v>
      </c>
      <c r="I946" s="534">
        <v>0</v>
      </c>
      <c r="J946" s="534">
        <v>0</v>
      </c>
      <c r="K946" s="534">
        <v>2</v>
      </c>
    </row>
    <row r="947" spans="2:11" x14ac:dyDescent="0.3">
      <c r="B947" s="529">
        <f t="shared" si="33"/>
        <v>942001</v>
      </c>
      <c r="C947" s="529">
        <f t="shared" si="34"/>
        <v>943</v>
      </c>
      <c r="E947" s="534">
        <v>0</v>
      </c>
      <c r="F947" s="534">
        <v>0</v>
      </c>
      <c r="G947" s="534">
        <v>50</v>
      </c>
      <c r="I947" s="534">
        <v>0</v>
      </c>
      <c r="J947" s="534">
        <v>0</v>
      </c>
      <c r="K947" s="534">
        <v>2</v>
      </c>
    </row>
    <row r="948" spans="2:11" x14ac:dyDescent="0.3">
      <c r="B948" s="529">
        <f t="shared" si="33"/>
        <v>943001</v>
      </c>
      <c r="C948" s="529">
        <f t="shared" si="34"/>
        <v>944</v>
      </c>
      <c r="E948" s="534">
        <v>0</v>
      </c>
      <c r="F948" s="534">
        <v>0</v>
      </c>
      <c r="G948" s="534">
        <v>50</v>
      </c>
      <c r="I948" s="534">
        <v>0</v>
      </c>
      <c r="J948" s="534">
        <v>0</v>
      </c>
      <c r="K948" s="534">
        <v>2</v>
      </c>
    </row>
    <row r="949" spans="2:11" x14ac:dyDescent="0.3">
      <c r="B949" s="529">
        <f t="shared" si="33"/>
        <v>944001</v>
      </c>
      <c r="C949" s="529">
        <f t="shared" si="34"/>
        <v>945</v>
      </c>
      <c r="E949" s="534">
        <v>0</v>
      </c>
      <c r="F949" s="534">
        <v>0</v>
      </c>
      <c r="G949" s="534">
        <v>50</v>
      </c>
      <c r="I949" s="534">
        <v>0</v>
      </c>
      <c r="J949" s="534">
        <v>0</v>
      </c>
      <c r="K949" s="534">
        <v>2</v>
      </c>
    </row>
    <row r="950" spans="2:11" x14ac:dyDescent="0.3">
      <c r="B950" s="529">
        <f t="shared" si="33"/>
        <v>945001</v>
      </c>
      <c r="C950" s="529">
        <f t="shared" si="34"/>
        <v>946</v>
      </c>
      <c r="E950" s="534">
        <v>0</v>
      </c>
      <c r="F950" s="534">
        <v>0</v>
      </c>
      <c r="G950" s="534">
        <v>50</v>
      </c>
      <c r="I950" s="534">
        <v>0</v>
      </c>
      <c r="J950" s="534">
        <v>0</v>
      </c>
      <c r="K950" s="534">
        <v>2</v>
      </c>
    </row>
    <row r="951" spans="2:11" x14ac:dyDescent="0.3">
      <c r="B951" s="529">
        <f t="shared" si="33"/>
        <v>946001</v>
      </c>
      <c r="C951" s="529">
        <f t="shared" si="34"/>
        <v>947</v>
      </c>
      <c r="E951" s="534">
        <v>0</v>
      </c>
      <c r="F951" s="534">
        <v>0</v>
      </c>
      <c r="G951" s="534">
        <v>50</v>
      </c>
      <c r="I951" s="534">
        <v>0</v>
      </c>
      <c r="J951" s="534">
        <v>0</v>
      </c>
      <c r="K951" s="534">
        <v>2</v>
      </c>
    </row>
    <row r="952" spans="2:11" x14ac:dyDescent="0.3">
      <c r="B952" s="529">
        <f t="shared" si="33"/>
        <v>947001</v>
      </c>
      <c r="C952" s="529">
        <f t="shared" si="34"/>
        <v>948</v>
      </c>
      <c r="E952" s="534">
        <v>0</v>
      </c>
      <c r="F952" s="534">
        <v>0</v>
      </c>
      <c r="G952" s="534">
        <v>50</v>
      </c>
      <c r="I952" s="534">
        <v>0</v>
      </c>
      <c r="J952" s="534">
        <v>0</v>
      </c>
      <c r="K952" s="534">
        <v>2</v>
      </c>
    </row>
    <row r="953" spans="2:11" x14ac:dyDescent="0.3">
      <c r="B953" s="529">
        <f t="shared" si="33"/>
        <v>948001</v>
      </c>
      <c r="C953" s="529">
        <f t="shared" si="34"/>
        <v>949</v>
      </c>
      <c r="E953" s="534">
        <v>0</v>
      </c>
      <c r="F953" s="534">
        <v>0</v>
      </c>
      <c r="G953" s="534">
        <v>50</v>
      </c>
      <c r="I953" s="534">
        <v>0</v>
      </c>
      <c r="J953" s="534">
        <v>0</v>
      </c>
      <c r="K953" s="534">
        <v>2</v>
      </c>
    </row>
    <row r="954" spans="2:11" x14ac:dyDescent="0.3">
      <c r="B954" s="529">
        <f t="shared" si="33"/>
        <v>949001</v>
      </c>
      <c r="C954" s="529">
        <f t="shared" si="34"/>
        <v>950</v>
      </c>
      <c r="E954" s="534">
        <v>0</v>
      </c>
      <c r="F954" s="534">
        <v>0</v>
      </c>
      <c r="G954" s="534">
        <v>50</v>
      </c>
      <c r="I954" s="534">
        <v>0</v>
      </c>
      <c r="J954" s="534">
        <v>0</v>
      </c>
      <c r="K954" s="534">
        <v>2</v>
      </c>
    </row>
    <row r="955" spans="2:11" x14ac:dyDescent="0.3">
      <c r="B955" s="529">
        <f t="shared" si="33"/>
        <v>950001</v>
      </c>
      <c r="C955" s="529">
        <f t="shared" si="34"/>
        <v>951</v>
      </c>
      <c r="E955" s="534">
        <v>0</v>
      </c>
      <c r="F955" s="534">
        <v>0</v>
      </c>
      <c r="G955" s="534">
        <v>50</v>
      </c>
      <c r="I955" s="534">
        <v>0</v>
      </c>
      <c r="J955" s="534">
        <v>0</v>
      </c>
      <c r="K955" s="534">
        <v>2</v>
      </c>
    </row>
    <row r="956" spans="2:11" x14ac:dyDescent="0.3">
      <c r="B956" s="529">
        <f t="shared" si="33"/>
        <v>951001</v>
      </c>
      <c r="C956" s="529">
        <f t="shared" si="34"/>
        <v>952</v>
      </c>
      <c r="E956" s="534">
        <v>0</v>
      </c>
      <c r="F956" s="534">
        <v>0</v>
      </c>
      <c r="G956" s="534">
        <v>50</v>
      </c>
      <c r="I956" s="534">
        <v>0</v>
      </c>
      <c r="J956" s="534">
        <v>0</v>
      </c>
      <c r="K956" s="534">
        <v>2</v>
      </c>
    </row>
    <row r="957" spans="2:11" x14ac:dyDescent="0.3">
      <c r="B957" s="529">
        <f t="shared" si="33"/>
        <v>952001</v>
      </c>
      <c r="C957" s="529">
        <f t="shared" si="34"/>
        <v>953</v>
      </c>
      <c r="E957" s="534">
        <v>0</v>
      </c>
      <c r="F957" s="534">
        <v>0</v>
      </c>
      <c r="G957" s="534">
        <v>50</v>
      </c>
      <c r="I957" s="534">
        <v>0</v>
      </c>
      <c r="J957" s="534">
        <v>0</v>
      </c>
      <c r="K957" s="534">
        <v>2</v>
      </c>
    </row>
    <row r="958" spans="2:11" x14ac:dyDescent="0.3">
      <c r="B958" s="529">
        <f t="shared" si="33"/>
        <v>953001</v>
      </c>
      <c r="C958" s="529">
        <f t="shared" si="34"/>
        <v>954</v>
      </c>
      <c r="E958" s="534">
        <v>0</v>
      </c>
      <c r="F958" s="534">
        <v>0</v>
      </c>
      <c r="G958" s="534">
        <v>50</v>
      </c>
      <c r="I958" s="534">
        <v>0</v>
      </c>
      <c r="J958" s="534">
        <v>0</v>
      </c>
      <c r="K958" s="534">
        <v>2</v>
      </c>
    </row>
    <row r="959" spans="2:11" x14ac:dyDescent="0.3">
      <c r="B959" s="529">
        <f t="shared" si="33"/>
        <v>954001</v>
      </c>
      <c r="C959" s="529">
        <f t="shared" si="34"/>
        <v>955</v>
      </c>
      <c r="E959" s="534">
        <v>0</v>
      </c>
      <c r="F959" s="534">
        <v>0</v>
      </c>
      <c r="G959" s="534">
        <v>50</v>
      </c>
      <c r="I959" s="534">
        <v>0</v>
      </c>
      <c r="J959" s="534">
        <v>0</v>
      </c>
      <c r="K959" s="534">
        <v>2</v>
      </c>
    </row>
    <row r="960" spans="2:11" x14ac:dyDescent="0.3">
      <c r="B960" s="529">
        <f t="shared" si="33"/>
        <v>955001</v>
      </c>
      <c r="C960" s="529">
        <f t="shared" si="34"/>
        <v>956</v>
      </c>
      <c r="E960" s="534">
        <v>0</v>
      </c>
      <c r="F960" s="534">
        <v>0</v>
      </c>
      <c r="G960" s="534">
        <v>50</v>
      </c>
      <c r="I960" s="534">
        <v>0</v>
      </c>
      <c r="J960" s="534">
        <v>0</v>
      </c>
      <c r="K960" s="534">
        <v>2</v>
      </c>
    </row>
    <row r="961" spans="2:11" x14ac:dyDescent="0.3">
      <c r="B961" s="529">
        <f t="shared" si="33"/>
        <v>956001</v>
      </c>
      <c r="C961" s="529">
        <f t="shared" si="34"/>
        <v>957</v>
      </c>
      <c r="E961" s="534">
        <v>0</v>
      </c>
      <c r="F961" s="534">
        <v>0</v>
      </c>
      <c r="G961" s="534">
        <v>50</v>
      </c>
      <c r="I961" s="534">
        <v>0</v>
      </c>
      <c r="J961" s="534">
        <v>0</v>
      </c>
      <c r="K961" s="534">
        <v>2</v>
      </c>
    </row>
    <row r="962" spans="2:11" x14ac:dyDescent="0.3">
      <c r="B962" s="529">
        <f t="shared" si="33"/>
        <v>957001</v>
      </c>
      <c r="C962" s="529">
        <f t="shared" si="34"/>
        <v>958</v>
      </c>
      <c r="E962" s="534">
        <v>0</v>
      </c>
      <c r="F962" s="534">
        <v>0</v>
      </c>
      <c r="G962" s="534">
        <v>50</v>
      </c>
      <c r="I962" s="534">
        <v>0</v>
      </c>
      <c r="J962" s="534">
        <v>0</v>
      </c>
      <c r="K962" s="534">
        <v>2</v>
      </c>
    </row>
    <row r="963" spans="2:11" x14ac:dyDescent="0.3">
      <c r="B963" s="529">
        <f t="shared" si="33"/>
        <v>958001</v>
      </c>
      <c r="C963" s="529">
        <f t="shared" si="34"/>
        <v>959</v>
      </c>
      <c r="E963" s="534">
        <v>0</v>
      </c>
      <c r="F963" s="534">
        <v>0</v>
      </c>
      <c r="G963" s="534">
        <v>50</v>
      </c>
      <c r="I963" s="534">
        <v>0</v>
      </c>
      <c r="J963" s="534">
        <v>0</v>
      </c>
      <c r="K963" s="534">
        <v>2</v>
      </c>
    </row>
    <row r="964" spans="2:11" x14ac:dyDescent="0.3">
      <c r="B964" s="529">
        <f t="shared" si="33"/>
        <v>959001</v>
      </c>
      <c r="C964" s="529">
        <f t="shared" si="34"/>
        <v>960</v>
      </c>
      <c r="E964" s="534">
        <v>0</v>
      </c>
      <c r="F964" s="534">
        <v>0</v>
      </c>
      <c r="G964" s="534">
        <v>50</v>
      </c>
      <c r="I964" s="534">
        <v>0</v>
      </c>
      <c r="J964" s="534">
        <v>0</v>
      </c>
      <c r="K964" s="534">
        <v>2</v>
      </c>
    </row>
    <row r="965" spans="2:11" x14ac:dyDescent="0.3">
      <c r="B965" s="529">
        <f t="shared" si="33"/>
        <v>960001</v>
      </c>
      <c r="C965" s="529">
        <f t="shared" si="34"/>
        <v>961</v>
      </c>
      <c r="E965" s="534">
        <v>0</v>
      </c>
      <c r="F965" s="534">
        <v>0</v>
      </c>
      <c r="G965" s="534">
        <v>50</v>
      </c>
      <c r="I965" s="534">
        <v>0</v>
      </c>
      <c r="J965" s="534">
        <v>0</v>
      </c>
      <c r="K965" s="534">
        <v>2</v>
      </c>
    </row>
    <row r="966" spans="2:11" x14ac:dyDescent="0.3">
      <c r="B966" s="529">
        <f t="shared" si="33"/>
        <v>961001</v>
      </c>
      <c r="C966" s="529">
        <f t="shared" si="34"/>
        <v>962</v>
      </c>
      <c r="E966" s="534">
        <v>0</v>
      </c>
      <c r="F966" s="534">
        <v>0</v>
      </c>
      <c r="G966" s="534">
        <v>50</v>
      </c>
      <c r="I966" s="534">
        <v>0</v>
      </c>
      <c r="J966" s="534">
        <v>0</v>
      </c>
      <c r="K966" s="534">
        <v>2</v>
      </c>
    </row>
    <row r="967" spans="2:11" x14ac:dyDescent="0.3">
      <c r="B967" s="529">
        <f t="shared" ref="B967:B1030" si="35">C966*1000+1</f>
        <v>962001</v>
      </c>
      <c r="C967" s="529">
        <f t="shared" si="34"/>
        <v>963</v>
      </c>
      <c r="E967" s="534">
        <v>0</v>
      </c>
      <c r="F967" s="534">
        <v>0</v>
      </c>
      <c r="G967" s="534">
        <v>50</v>
      </c>
      <c r="I967" s="534">
        <v>0</v>
      </c>
      <c r="J967" s="534">
        <v>0</v>
      </c>
      <c r="K967" s="534">
        <v>2</v>
      </c>
    </row>
    <row r="968" spans="2:11" x14ac:dyDescent="0.3">
      <c r="B968" s="529">
        <f t="shared" si="35"/>
        <v>963001</v>
      </c>
      <c r="C968" s="529">
        <f t="shared" si="34"/>
        <v>964</v>
      </c>
      <c r="E968" s="534">
        <v>0</v>
      </c>
      <c r="F968" s="534">
        <v>0</v>
      </c>
      <c r="G968" s="534">
        <v>50</v>
      </c>
      <c r="I968" s="534">
        <v>0</v>
      </c>
      <c r="J968" s="534">
        <v>0</v>
      </c>
      <c r="K968" s="534">
        <v>2</v>
      </c>
    </row>
    <row r="969" spans="2:11" x14ac:dyDescent="0.3">
      <c r="B969" s="529">
        <f t="shared" si="35"/>
        <v>964001</v>
      </c>
      <c r="C969" s="529">
        <f t="shared" si="34"/>
        <v>965</v>
      </c>
      <c r="E969" s="534">
        <v>0</v>
      </c>
      <c r="F969" s="534">
        <v>0</v>
      </c>
      <c r="G969" s="534">
        <v>50</v>
      </c>
      <c r="I969" s="534">
        <v>0</v>
      </c>
      <c r="J969" s="534">
        <v>0</v>
      </c>
      <c r="K969" s="534">
        <v>2</v>
      </c>
    </row>
    <row r="970" spans="2:11" x14ac:dyDescent="0.3">
      <c r="B970" s="529">
        <f t="shared" si="35"/>
        <v>965001</v>
      </c>
      <c r="C970" s="529">
        <f t="shared" si="34"/>
        <v>966</v>
      </c>
      <c r="E970" s="534">
        <v>0</v>
      </c>
      <c r="F970" s="534">
        <v>0</v>
      </c>
      <c r="G970" s="534">
        <v>50</v>
      </c>
      <c r="I970" s="534">
        <v>0</v>
      </c>
      <c r="J970" s="534">
        <v>0</v>
      </c>
      <c r="K970" s="534">
        <v>2</v>
      </c>
    </row>
    <row r="971" spans="2:11" x14ac:dyDescent="0.3">
      <c r="B971" s="529">
        <f t="shared" si="35"/>
        <v>966001</v>
      </c>
      <c r="C971" s="529">
        <f t="shared" si="34"/>
        <v>967</v>
      </c>
      <c r="E971" s="534">
        <v>0</v>
      </c>
      <c r="F971" s="534">
        <v>0</v>
      </c>
      <c r="G971" s="534">
        <v>50</v>
      </c>
      <c r="I971" s="534">
        <v>0</v>
      </c>
      <c r="J971" s="534">
        <v>0</v>
      </c>
      <c r="K971" s="534">
        <v>2</v>
      </c>
    </row>
    <row r="972" spans="2:11" x14ac:dyDescent="0.3">
      <c r="B972" s="529">
        <f t="shared" si="35"/>
        <v>967001</v>
      </c>
      <c r="C972" s="529">
        <f t="shared" si="34"/>
        <v>968</v>
      </c>
      <c r="E972" s="534">
        <v>0</v>
      </c>
      <c r="F972" s="534">
        <v>0</v>
      </c>
      <c r="G972" s="534">
        <v>50</v>
      </c>
      <c r="I972" s="534">
        <v>0</v>
      </c>
      <c r="J972" s="534">
        <v>0</v>
      </c>
      <c r="K972" s="534">
        <v>2</v>
      </c>
    </row>
    <row r="973" spans="2:11" x14ac:dyDescent="0.3">
      <c r="B973" s="529">
        <f t="shared" si="35"/>
        <v>968001</v>
      </c>
      <c r="C973" s="529">
        <f t="shared" si="34"/>
        <v>969</v>
      </c>
      <c r="E973" s="534">
        <v>0</v>
      </c>
      <c r="F973" s="534">
        <v>0</v>
      </c>
      <c r="G973" s="534">
        <v>50</v>
      </c>
      <c r="I973" s="534">
        <v>0</v>
      </c>
      <c r="J973" s="534">
        <v>0</v>
      </c>
      <c r="K973" s="534">
        <v>2</v>
      </c>
    </row>
    <row r="974" spans="2:11" x14ac:dyDescent="0.3">
      <c r="B974" s="529">
        <f t="shared" si="35"/>
        <v>969001</v>
      </c>
      <c r="C974" s="529">
        <f t="shared" si="34"/>
        <v>970</v>
      </c>
      <c r="E974" s="534">
        <v>0</v>
      </c>
      <c r="F974" s="534">
        <v>0</v>
      </c>
      <c r="G974" s="534">
        <v>50</v>
      </c>
      <c r="I974" s="534">
        <v>0</v>
      </c>
      <c r="J974" s="534">
        <v>0</v>
      </c>
      <c r="K974" s="534">
        <v>2</v>
      </c>
    </row>
    <row r="975" spans="2:11" x14ac:dyDescent="0.3">
      <c r="B975" s="529">
        <f t="shared" si="35"/>
        <v>970001</v>
      </c>
      <c r="C975" s="529">
        <f t="shared" si="34"/>
        <v>971</v>
      </c>
      <c r="E975" s="534">
        <v>0</v>
      </c>
      <c r="F975" s="534">
        <v>0</v>
      </c>
      <c r="G975" s="534">
        <v>50</v>
      </c>
      <c r="I975" s="534">
        <v>0</v>
      </c>
      <c r="J975" s="534">
        <v>0</v>
      </c>
      <c r="K975" s="534">
        <v>2</v>
      </c>
    </row>
    <row r="976" spans="2:11" x14ac:dyDescent="0.3">
      <c r="B976" s="529">
        <f t="shared" si="35"/>
        <v>971001</v>
      </c>
      <c r="C976" s="529">
        <f t="shared" si="34"/>
        <v>972</v>
      </c>
      <c r="E976" s="534">
        <v>0</v>
      </c>
      <c r="F976" s="534">
        <v>0</v>
      </c>
      <c r="G976" s="534">
        <v>50</v>
      </c>
      <c r="I976" s="534">
        <v>0</v>
      </c>
      <c r="J976" s="534">
        <v>0</v>
      </c>
      <c r="K976" s="534">
        <v>2</v>
      </c>
    </row>
    <row r="977" spans="2:11" x14ac:dyDescent="0.3">
      <c r="B977" s="529">
        <f t="shared" si="35"/>
        <v>972001</v>
      </c>
      <c r="C977" s="529">
        <f t="shared" si="34"/>
        <v>973</v>
      </c>
      <c r="E977" s="534">
        <v>0</v>
      </c>
      <c r="F977" s="534">
        <v>0</v>
      </c>
      <c r="G977" s="534">
        <v>50</v>
      </c>
      <c r="I977" s="534">
        <v>0</v>
      </c>
      <c r="J977" s="534">
        <v>0</v>
      </c>
      <c r="K977" s="534">
        <v>2</v>
      </c>
    </row>
    <row r="978" spans="2:11" x14ac:dyDescent="0.3">
      <c r="B978" s="529">
        <f t="shared" si="35"/>
        <v>973001</v>
      </c>
      <c r="C978" s="529">
        <f t="shared" si="34"/>
        <v>974</v>
      </c>
      <c r="E978" s="534">
        <v>0</v>
      </c>
      <c r="F978" s="534">
        <v>0</v>
      </c>
      <c r="G978" s="534">
        <v>50</v>
      </c>
      <c r="I978" s="534">
        <v>0</v>
      </c>
      <c r="J978" s="534">
        <v>0</v>
      </c>
      <c r="K978" s="534">
        <v>2</v>
      </c>
    </row>
    <row r="979" spans="2:11" x14ac:dyDescent="0.3">
      <c r="B979" s="529">
        <f t="shared" si="35"/>
        <v>974001</v>
      </c>
      <c r="C979" s="529">
        <f t="shared" si="34"/>
        <v>975</v>
      </c>
      <c r="E979" s="534">
        <v>0</v>
      </c>
      <c r="F979" s="534">
        <v>0</v>
      </c>
      <c r="G979" s="534">
        <v>50</v>
      </c>
      <c r="I979" s="534">
        <v>0</v>
      </c>
      <c r="J979" s="534">
        <v>0</v>
      </c>
      <c r="K979" s="534">
        <v>2</v>
      </c>
    </row>
    <row r="980" spans="2:11" x14ac:dyDescent="0.3">
      <c r="B980" s="529">
        <f t="shared" si="35"/>
        <v>975001</v>
      </c>
      <c r="C980" s="529">
        <f t="shared" si="34"/>
        <v>976</v>
      </c>
      <c r="E980" s="534">
        <v>0</v>
      </c>
      <c r="F980" s="534">
        <v>0</v>
      </c>
      <c r="G980" s="534">
        <v>50</v>
      </c>
      <c r="I980" s="534">
        <v>0</v>
      </c>
      <c r="J980" s="534">
        <v>0</v>
      </c>
      <c r="K980" s="534">
        <v>2</v>
      </c>
    </row>
    <row r="981" spans="2:11" x14ac:dyDescent="0.3">
      <c r="B981" s="529">
        <f t="shared" si="35"/>
        <v>976001</v>
      </c>
      <c r="C981" s="529">
        <f t="shared" si="34"/>
        <v>977</v>
      </c>
      <c r="E981" s="534">
        <v>0</v>
      </c>
      <c r="F981" s="534">
        <v>0</v>
      </c>
      <c r="G981" s="534">
        <v>50</v>
      </c>
      <c r="I981" s="534">
        <v>0</v>
      </c>
      <c r="J981" s="534">
        <v>0</v>
      </c>
      <c r="K981" s="534">
        <v>2</v>
      </c>
    </row>
    <row r="982" spans="2:11" x14ac:dyDescent="0.3">
      <c r="B982" s="529">
        <f t="shared" si="35"/>
        <v>977001</v>
      </c>
      <c r="C982" s="529">
        <f t="shared" si="34"/>
        <v>978</v>
      </c>
      <c r="E982" s="534">
        <v>0</v>
      </c>
      <c r="F982" s="534">
        <v>0</v>
      </c>
      <c r="G982" s="534">
        <v>50</v>
      </c>
      <c r="I982" s="534">
        <v>0</v>
      </c>
      <c r="J982" s="534">
        <v>0</v>
      </c>
      <c r="K982" s="534">
        <v>2</v>
      </c>
    </row>
    <row r="983" spans="2:11" x14ac:dyDescent="0.3">
      <c r="B983" s="529">
        <f t="shared" si="35"/>
        <v>978001</v>
      </c>
      <c r="C983" s="529">
        <f t="shared" si="34"/>
        <v>979</v>
      </c>
      <c r="E983" s="534">
        <v>0</v>
      </c>
      <c r="F983" s="534">
        <v>0</v>
      </c>
      <c r="G983" s="534">
        <v>50</v>
      </c>
      <c r="I983" s="534">
        <v>0</v>
      </c>
      <c r="J983" s="534">
        <v>0</v>
      </c>
      <c r="K983" s="534">
        <v>2</v>
      </c>
    </row>
    <row r="984" spans="2:11" x14ac:dyDescent="0.3">
      <c r="B984" s="529">
        <f t="shared" si="35"/>
        <v>979001</v>
      </c>
      <c r="C984" s="529">
        <f t="shared" si="34"/>
        <v>980</v>
      </c>
      <c r="E984" s="534">
        <v>0</v>
      </c>
      <c r="F984" s="534">
        <v>0</v>
      </c>
      <c r="G984" s="534">
        <v>50</v>
      </c>
      <c r="I984" s="534">
        <v>0</v>
      </c>
      <c r="J984" s="534">
        <v>0</v>
      </c>
      <c r="K984" s="534">
        <v>2</v>
      </c>
    </row>
    <row r="985" spans="2:11" x14ac:dyDescent="0.3">
      <c r="B985" s="529">
        <f t="shared" si="35"/>
        <v>980001</v>
      </c>
      <c r="C985" s="529">
        <f t="shared" si="34"/>
        <v>981</v>
      </c>
      <c r="E985" s="534">
        <v>0</v>
      </c>
      <c r="F985" s="534">
        <v>0</v>
      </c>
      <c r="G985" s="534">
        <v>50</v>
      </c>
      <c r="I985" s="534">
        <v>0</v>
      </c>
      <c r="J985" s="534">
        <v>0</v>
      </c>
      <c r="K985" s="534">
        <v>2</v>
      </c>
    </row>
    <row r="986" spans="2:11" x14ac:dyDescent="0.3">
      <c r="B986" s="529">
        <f t="shared" si="35"/>
        <v>981001</v>
      </c>
      <c r="C986" s="529">
        <f t="shared" si="34"/>
        <v>982</v>
      </c>
      <c r="E986" s="534">
        <v>0</v>
      </c>
      <c r="F986" s="534">
        <v>0</v>
      </c>
      <c r="G986" s="534">
        <v>50</v>
      </c>
      <c r="I986" s="534">
        <v>0</v>
      </c>
      <c r="J986" s="534">
        <v>0</v>
      </c>
      <c r="K986" s="534">
        <v>2</v>
      </c>
    </row>
    <row r="987" spans="2:11" x14ac:dyDescent="0.3">
      <c r="B987" s="529">
        <f t="shared" si="35"/>
        <v>982001</v>
      </c>
      <c r="C987" s="529">
        <f t="shared" si="34"/>
        <v>983</v>
      </c>
      <c r="E987" s="534">
        <v>0</v>
      </c>
      <c r="F987" s="534">
        <v>0</v>
      </c>
      <c r="G987" s="534">
        <v>50</v>
      </c>
      <c r="I987" s="534">
        <v>0</v>
      </c>
      <c r="J987" s="534">
        <v>0</v>
      </c>
      <c r="K987" s="534">
        <v>2</v>
      </c>
    </row>
    <row r="988" spans="2:11" x14ac:dyDescent="0.3">
      <c r="B988" s="529">
        <f t="shared" si="35"/>
        <v>983001</v>
      </c>
      <c r="C988" s="529">
        <f t="shared" si="34"/>
        <v>984</v>
      </c>
      <c r="E988" s="534">
        <v>0</v>
      </c>
      <c r="F988" s="534">
        <v>0</v>
      </c>
      <c r="G988" s="534">
        <v>50</v>
      </c>
      <c r="I988" s="534">
        <v>0</v>
      </c>
      <c r="J988" s="534">
        <v>0</v>
      </c>
      <c r="K988" s="534">
        <v>2</v>
      </c>
    </row>
    <row r="989" spans="2:11" x14ac:dyDescent="0.3">
      <c r="B989" s="529">
        <f t="shared" si="35"/>
        <v>984001</v>
      </c>
      <c r="C989" s="529">
        <f t="shared" si="34"/>
        <v>985</v>
      </c>
      <c r="E989" s="534">
        <v>0</v>
      </c>
      <c r="F989" s="534">
        <v>0</v>
      </c>
      <c r="G989" s="534">
        <v>50</v>
      </c>
      <c r="I989" s="534">
        <v>0</v>
      </c>
      <c r="J989" s="534">
        <v>0</v>
      </c>
      <c r="K989" s="534">
        <v>2</v>
      </c>
    </row>
    <row r="990" spans="2:11" x14ac:dyDescent="0.3">
      <c r="B990" s="529">
        <f t="shared" si="35"/>
        <v>985001</v>
      </c>
      <c r="C990" s="529">
        <f t="shared" si="34"/>
        <v>986</v>
      </c>
      <c r="E990" s="534">
        <v>1</v>
      </c>
      <c r="F990" s="534">
        <v>986</v>
      </c>
      <c r="G990" s="534">
        <v>50</v>
      </c>
      <c r="I990" s="534">
        <v>0</v>
      </c>
      <c r="J990" s="534">
        <v>0</v>
      </c>
      <c r="K990" s="534">
        <v>2</v>
      </c>
    </row>
    <row r="991" spans="2:11" x14ac:dyDescent="0.3">
      <c r="B991" s="529">
        <f t="shared" si="35"/>
        <v>986001</v>
      </c>
      <c r="C991" s="529">
        <f t="shared" si="34"/>
        <v>987</v>
      </c>
      <c r="E991" s="534">
        <v>0</v>
      </c>
      <c r="F991" s="534">
        <v>0</v>
      </c>
      <c r="G991" s="534">
        <v>49</v>
      </c>
      <c r="I991" s="534">
        <v>0</v>
      </c>
      <c r="J991" s="534">
        <v>0</v>
      </c>
      <c r="K991" s="534">
        <v>2</v>
      </c>
    </row>
    <row r="992" spans="2:11" x14ac:dyDescent="0.3">
      <c r="B992" s="529">
        <f t="shared" si="35"/>
        <v>987001</v>
      </c>
      <c r="C992" s="529">
        <f t="shared" ref="C992:C1055" si="36">C991+1</f>
        <v>988</v>
      </c>
      <c r="E992" s="534">
        <v>0</v>
      </c>
      <c r="F992" s="534">
        <v>0</v>
      </c>
      <c r="G992" s="534">
        <v>49</v>
      </c>
      <c r="I992" s="534">
        <v>0</v>
      </c>
      <c r="J992" s="534">
        <v>0</v>
      </c>
      <c r="K992" s="534">
        <v>2</v>
      </c>
    </row>
    <row r="993" spans="2:11" x14ac:dyDescent="0.3">
      <c r="B993" s="529">
        <f t="shared" si="35"/>
        <v>988001</v>
      </c>
      <c r="C993" s="529">
        <f t="shared" si="36"/>
        <v>989</v>
      </c>
      <c r="E993" s="534">
        <v>0</v>
      </c>
      <c r="F993" s="534">
        <v>0</v>
      </c>
      <c r="G993" s="534">
        <v>49</v>
      </c>
      <c r="I993" s="534">
        <v>0</v>
      </c>
      <c r="J993" s="534">
        <v>0</v>
      </c>
      <c r="K993" s="534">
        <v>2</v>
      </c>
    </row>
    <row r="994" spans="2:11" x14ac:dyDescent="0.3">
      <c r="B994" s="529">
        <f t="shared" si="35"/>
        <v>989001</v>
      </c>
      <c r="C994" s="529">
        <f t="shared" si="36"/>
        <v>990</v>
      </c>
      <c r="E994" s="534">
        <v>0</v>
      </c>
      <c r="F994" s="534">
        <v>0</v>
      </c>
      <c r="G994" s="534">
        <v>49</v>
      </c>
      <c r="I994" s="534">
        <v>0</v>
      </c>
      <c r="J994" s="534">
        <v>0</v>
      </c>
      <c r="K994" s="534">
        <v>2</v>
      </c>
    </row>
    <row r="995" spans="2:11" x14ac:dyDescent="0.3">
      <c r="B995" s="529">
        <f t="shared" si="35"/>
        <v>990001</v>
      </c>
      <c r="C995" s="529">
        <f t="shared" si="36"/>
        <v>991</v>
      </c>
      <c r="E995" s="534">
        <v>0</v>
      </c>
      <c r="F995" s="534">
        <v>0</v>
      </c>
      <c r="G995" s="534">
        <v>49</v>
      </c>
      <c r="I995" s="534">
        <v>0</v>
      </c>
      <c r="J995" s="534">
        <v>0</v>
      </c>
      <c r="K995" s="534">
        <v>2</v>
      </c>
    </row>
    <row r="996" spans="2:11" x14ac:dyDescent="0.3">
      <c r="B996" s="529">
        <f t="shared" si="35"/>
        <v>991001</v>
      </c>
      <c r="C996" s="529">
        <f t="shared" si="36"/>
        <v>992</v>
      </c>
      <c r="E996" s="534">
        <v>0</v>
      </c>
      <c r="F996" s="534">
        <v>0</v>
      </c>
      <c r="G996" s="534">
        <v>49</v>
      </c>
      <c r="I996" s="534">
        <v>0</v>
      </c>
      <c r="J996" s="534">
        <v>0</v>
      </c>
      <c r="K996" s="534">
        <v>2</v>
      </c>
    </row>
    <row r="997" spans="2:11" x14ac:dyDescent="0.3">
      <c r="B997" s="529">
        <f t="shared" si="35"/>
        <v>992001</v>
      </c>
      <c r="C997" s="529">
        <f t="shared" si="36"/>
        <v>993</v>
      </c>
      <c r="E997" s="534">
        <v>0</v>
      </c>
      <c r="F997" s="534">
        <v>0</v>
      </c>
      <c r="G997" s="534">
        <v>49</v>
      </c>
      <c r="I997" s="534">
        <v>0</v>
      </c>
      <c r="J997" s="534">
        <v>0</v>
      </c>
      <c r="K997" s="534">
        <v>2</v>
      </c>
    </row>
    <row r="998" spans="2:11" x14ac:dyDescent="0.3">
      <c r="B998" s="529">
        <f t="shared" si="35"/>
        <v>993001</v>
      </c>
      <c r="C998" s="529">
        <f t="shared" si="36"/>
        <v>994</v>
      </c>
      <c r="E998" s="534">
        <v>0</v>
      </c>
      <c r="F998" s="534">
        <v>0</v>
      </c>
      <c r="G998" s="534">
        <v>49</v>
      </c>
      <c r="I998" s="534">
        <v>0</v>
      </c>
      <c r="J998" s="534">
        <v>0</v>
      </c>
      <c r="K998" s="534">
        <v>2</v>
      </c>
    </row>
    <row r="999" spans="2:11" x14ac:dyDescent="0.3">
      <c r="B999" s="529">
        <f t="shared" si="35"/>
        <v>994001</v>
      </c>
      <c r="C999" s="529">
        <f t="shared" si="36"/>
        <v>995</v>
      </c>
      <c r="E999" s="534">
        <v>0</v>
      </c>
      <c r="F999" s="534">
        <v>0</v>
      </c>
      <c r="G999" s="534">
        <v>49</v>
      </c>
      <c r="I999" s="534">
        <v>0</v>
      </c>
      <c r="J999" s="534">
        <v>0</v>
      </c>
      <c r="K999" s="534">
        <v>2</v>
      </c>
    </row>
    <row r="1000" spans="2:11" x14ac:dyDescent="0.3">
      <c r="B1000" s="529">
        <f t="shared" si="35"/>
        <v>995001</v>
      </c>
      <c r="C1000" s="529">
        <f t="shared" si="36"/>
        <v>996</v>
      </c>
      <c r="E1000" s="534">
        <v>1</v>
      </c>
      <c r="F1000" s="534">
        <v>996</v>
      </c>
      <c r="G1000" s="534">
        <v>49</v>
      </c>
      <c r="I1000" s="534">
        <v>0</v>
      </c>
      <c r="J1000" s="534">
        <v>0</v>
      </c>
      <c r="K1000" s="534">
        <v>2</v>
      </c>
    </row>
    <row r="1001" spans="2:11" x14ac:dyDescent="0.3">
      <c r="B1001" s="529">
        <f t="shared" si="35"/>
        <v>996001</v>
      </c>
      <c r="C1001" s="529">
        <f t="shared" si="36"/>
        <v>997</v>
      </c>
      <c r="E1001" s="534">
        <v>0</v>
      </c>
      <c r="F1001" s="534">
        <v>0</v>
      </c>
      <c r="G1001" s="534">
        <v>48</v>
      </c>
      <c r="I1001" s="534">
        <v>0</v>
      </c>
      <c r="J1001" s="534">
        <v>0</v>
      </c>
      <c r="K1001" s="534">
        <v>2</v>
      </c>
    </row>
    <row r="1002" spans="2:11" x14ac:dyDescent="0.3">
      <c r="B1002" s="529">
        <f t="shared" si="35"/>
        <v>997001</v>
      </c>
      <c r="C1002" s="529">
        <f t="shared" si="36"/>
        <v>998</v>
      </c>
      <c r="E1002" s="534">
        <v>0</v>
      </c>
      <c r="F1002" s="534">
        <v>0</v>
      </c>
      <c r="G1002" s="534">
        <v>48</v>
      </c>
      <c r="I1002" s="534">
        <v>0</v>
      </c>
      <c r="J1002" s="534">
        <v>0</v>
      </c>
      <c r="K1002" s="534">
        <v>2</v>
      </c>
    </row>
    <row r="1003" spans="2:11" x14ac:dyDescent="0.3">
      <c r="B1003" s="529">
        <f t="shared" si="35"/>
        <v>998001</v>
      </c>
      <c r="C1003" s="529">
        <f t="shared" si="36"/>
        <v>999</v>
      </c>
      <c r="E1003" s="534">
        <v>0</v>
      </c>
      <c r="F1003" s="534">
        <v>0</v>
      </c>
      <c r="G1003" s="534">
        <v>48</v>
      </c>
      <c r="I1003" s="534">
        <v>0</v>
      </c>
      <c r="J1003" s="534">
        <v>0</v>
      </c>
      <c r="K1003" s="534">
        <v>2</v>
      </c>
    </row>
    <row r="1004" spans="2:11" x14ac:dyDescent="0.3">
      <c r="B1004" s="529">
        <f t="shared" si="35"/>
        <v>999001</v>
      </c>
      <c r="C1004" s="529">
        <f t="shared" si="36"/>
        <v>1000</v>
      </c>
      <c r="E1004" s="534">
        <v>1</v>
      </c>
      <c r="F1004" s="534">
        <v>1000</v>
      </c>
      <c r="G1004" s="534">
        <v>48</v>
      </c>
      <c r="I1004" s="534">
        <v>0</v>
      </c>
      <c r="J1004" s="534">
        <v>0</v>
      </c>
      <c r="K1004" s="534">
        <v>2</v>
      </c>
    </row>
    <row r="1005" spans="2:11" x14ac:dyDescent="0.3">
      <c r="B1005" s="529">
        <f t="shared" si="35"/>
        <v>1000001</v>
      </c>
      <c r="C1005" s="529">
        <f t="shared" si="36"/>
        <v>1001</v>
      </c>
      <c r="E1005" s="534">
        <v>0</v>
      </c>
      <c r="F1005" s="534">
        <v>0</v>
      </c>
      <c r="G1005" s="534">
        <v>47</v>
      </c>
      <c r="I1005" s="534">
        <v>0</v>
      </c>
      <c r="J1005" s="534">
        <v>0</v>
      </c>
      <c r="K1005" s="534">
        <v>2</v>
      </c>
    </row>
    <row r="1006" spans="2:11" x14ac:dyDescent="0.3">
      <c r="B1006" s="529">
        <f t="shared" si="35"/>
        <v>1001001</v>
      </c>
      <c r="C1006" s="529">
        <f t="shared" si="36"/>
        <v>1002</v>
      </c>
      <c r="E1006" s="534">
        <v>0</v>
      </c>
      <c r="F1006" s="534">
        <v>0</v>
      </c>
      <c r="G1006" s="534">
        <v>47</v>
      </c>
      <c r="I1006" s="534">
        <v>0</v>
      </c>
      <c r="J1006" s="534">
        <v>0</v>
      </c>
      <c r="K1006" s="534">
        <v>2</v>
      </c>
    </row>
    <row r="1007" spans="2:11" x14ac:dyDescent="0.3">
      <c r="B1007" s="529">
        <f t="shared" si="35"/>
        <v>1002001</v>
      </c>
      <c r="C1007" s="529">
        <f t="shared" si="36"/>
        <v>1003</v>
      </c>
      <c r="E1007" s="534">
        <v>0</v>
      </c>
      <c r="F1007" s="534">
        <v>0</v>
      </c>
      <c r="G1007" s="534">
        <v>47</v>
      </c>
      <c r="I1007" s="534">
        <v>0</v>
      </c>
      <c r="J1007" s="534">
        <v>0</v>
      </c>
      <c r="K1007" s="534">
        <v>2</v>
      </c>
    </row>
    <row r="1008" spans="2:11" x14ac:dyDescent="0.3">
      <c r="B1008" s="529">
        <f t="shared" si="35"/>
        <v>1003001</v>
      </c>
      <c r="C1008" s="529">
        <f t="shared" si="36"/>
        <v>1004</v>
      </c>
      <c r="E1008" s="534">
        <v>0</v>
      </c>
      <c r="F1008" s="534">
        <v>0</v>
      </c>
      <c r="G1008" s="534">
        <v>47</v>
      </c>
      <c r="I1008" s="534">
        <v>0</v>
      </c>
      <c r="J1008" s="534">
        <v>0</v>
      </c>
      <c r="K1008" s="534">
        <v>2</v>
      </c>
    </row>
    <row r="1009" spans="2:11" x14ac:dyDescent="0.3">
      <c r="B1009" s="529">
        <f t="shared" si="35"/>
        <v>1004001</v>
      </c>
      <c r="C1009" s="529">
        <f t="shared" si="36"/>
        <v>1005</v>
      </c>
      <c r="E1009" s="534">
        <v>0</v>
      </c>
      <c r="F1009" s="534">
        <v>0</v>
      </c>
      <c r="G1009" s="534">
        <v>47</v>
      </c>
      <c r="I1009" s="534">
        <v>0</v>
      </c>
      <c r="J1009" s="534">
        <v>0</v>
      </c>
      <c r="K1009" s="534">
        <v>2</v>
      </c>
    </row>
    <row r="1010" spans="2:11" x14ac:dyDescent="0.3">
      <c r="B1010" s="529">
        <f t="shared" si="35"/>
        <v>1005001</v>
      </c>
      <c r="C1010" s="529">
        <f t="shared" si="36"/>
        <v>1006</v>
      </c>
      <c r="E1010" s="534">
        <v>0</v>
      </c>
      <c r="F1010" s="534">
        <v>0</v>
      </c>
      <c r="G1010" s="534">
        <v>47</v>
      </c>
      <c r="I1010" s="534">
        <v>0</v>
      </c>
      <c r="J1010" s="534">
        <v>0</v>
      </c>
      <c r="K1010" s="534">
        <v>2</v>
      </c>
    </row>
    <row r="1011" spans="2:11" x14ac:dyDescent="0.3">
      <c r="B1011" s="529">
        <f t="shared" si="35"/>
        <v>1006001</v>
      </c>
      <c r="C1011" s="529">
        <f t="shared" si="36"/>
        <v>1007</v>
      </c>
      <c r="E1011" s="534">
        <v>0</v>
      </c>
      <c r="F1011" s="534">
        <v>0</v>
      </c>
      <c r="G1011" s="534">
        <v>47</v>
      </c>
      <c r="I1011" s="534">
        <v>0</v>
      </c>
      <c r="J1011" s="534">
        <v>0</v>
      </c>
      <c r="K1011" s="534">
        <v>2</v>
      </c>
    </row>
    <row r="1012" spans="2:11" x14ac:dyDescent="0.3">
      <c r="B1012" s="529">
        <f t="shared" si="35"/>
        <v>1007001</v>
      </c>
      <c r="C1012" s="529">
        <f t="shared" si="36"/>
        <v>1008</v>
      </c>
      <c r="E1012" s="534">
        <v>0</v>
      </c>
      <c r="F1012" s="534">
        <v>0</v>
      </c>
      <c r="G1012" s="534">
        <v>47</v>
      </c>
      <c r="I1012" s="534">
        <v>0</v>
      </c>
      <c r="J1012" s="534">
        <v>0</v>
      </c>
      <c r="K1012" s="534">
        <v>2</v>
      </c>
    </row>
    <row r="1013" spans="2:11" x14ac:dyDescent="0.3">
      <c r="B1013" s="529">
        <f t="shared" si="35"/>
        <v>1008001</v>
      </c>
      <c r="C1013" s="529">
        <f t="shared" si="36"/>
        <v>1009</v>
      </c>
      <c r="E1013" s="534">
        <v>0</v>
      </c>
      <c r="F1013" s="534">
        <v>0</v>
      </c>
      <c r="G1013" s="534">
        <v>47</v>
      </c>
      <c r="I1013" s="534">
        <v>0</v>
      </c>
      <c r="J1013" s="534">
        <v>0</v>
      </c>
      <c r="K1013" s="534">
        <v>2</v>
      </c>
    </row>
    <row r="1014" spans="2:11" x14ac:dyDescent="0.3">
      <c r="B1014" s="529">
        <f t="shared" si="35"/>
        <v>1009001</v>
      </c>
      <c r="C1014" s="529">
        <f t="shared" si="36"/>
        <v>1010</v>
      </c>
      <c r="E1014" s="534">
        <v>2</v>
      </c>
      <c r="F1014" s="534">
        <v>2020</v>
      </c>
      <c r="G1014" s="534">
        <v>47</v>
      </c>
      <c r="I1014" s="534">
        <v>0</v>
      </c>
      <c r="J1014" s="534">
        <v>0</v>
      </c>
      <c r="K1014" s="534">
        <v>2</v>
      </c>
    </row>
    <row r="1015" spans="2:11" x14ac:dyDescent="0.3">
      <c r="B1015" s="529">
        <f t="shared" si="35"/>
        <v>1010001</v>
      </c>
      <c r="C1015" s="529">
        <f t="shared" si="36"/>
        <v>1011</v>
      </c>
      <c r="E1015" s="534">
        <v>0</v>
      </c>
      <c r="F1015" s="534">
        <v>0</v>
      </c>
      <c r="G1015" s="534">
        <v>45</v>
      </c>
      <c r="I1015" s="534">
        <v>0</v>
      </c>
      <c r="J1015" s="534">
        <v>0</v>
      </c>
      <c r="K1015" s="534">
        <v>2</v>
      </c>
    </row>
    <row r="1016" spans="2:11" x14ac:dyDescent="0.3">
      <c r="B1016" s="529">
        <f t="shared" si="35"/>
        <v>1011001</v>
      </c>
      <c r="C1016" s="529">
        <f t="shared" si="36"/>
        <v>1012</v>
      </c>
      <c r="E1016" s="534">
        <v>0</v>
      </c>
      <c r="F1016" s="534">
        <v>0</v>
      </c>
      <c r="G1016" s="534">
        <v>45</v>
      </c>
      <c r="I1016" s="534">
        <v>0</v>
      </c>
      <c r="J1016" s="534">
        <v>0</v>
      </c>
      <c r="K1016" s="534">
        <v>2</v>
      </c>
    </row>
    <row r="1017" spans="2:11" x14ac:dyDescent="0.3">
      <c r="B1017" s="529">
        <f t="shared" si="35"/>
        <v>1012001</v>
      </c>
      <c r="C1017" s="529">
        <f t="shared" si="36"/>
        <v>1013</v>
      </c>
      <c r="E1017" s="534">
        <v>0</v>
      </c>
      <c r="F1017" s="534">
        <v>0</v>
      </c>
      <c r="G1017" s="534">
        <v>45</v>
      </c>
      <c r="I1017" s="534">
        <v>0</v>
      </c>
      <c r="J1017" s="534">
        <v>0</v>
      </c>
      <c r="K1017" s="534">
        <v>2</v>
      </c>
    </row>
    <row r="1018" spans="2:11" x14ac:dyDescent="0.3">
      <c r="B1018" s="529">
        <f t="shared" si="35"/>
        <v>1013001</v>
      </c>
      <c r="C1018" s="529">
        <f t="shared" si="36"/>
        <v>1014</v>
      </c>
      <c r="E1018" s="534">
        <v>0</v>
      </c>
      <c r="F1018" s="534">
        <v>0</v>
      </c>
      <c r="G1018" s="534">
        <v>45</v>
      </c>
      <c r="I1018" s="534">
        <v>0</v>
      </c>
      <c r="J1018" s="534">
        <v>0</v>
      </c>
      <c r="K1018" s="534">
        <v>2</v>
      </c>
    </row>
    <row r="1019" spans="2:11" x14ac:dyDescent="0.3">
      <c r="B1019" s="529">
        <f t="shared" si="35"/>
        <v>1014001</v>
      </c>
      <c r="C1019" s="529">
        <f t="shared" si="36"/>
        <v>1015</v>
      </c>
      <c r="E1019" s="534">
        <v>0</v>
      </c>
      <c r="F1019" s="534">
        <v>0</v>
      </c>
      <c r="G1019" s="534">
        <v>45</v>
      </c>
      <c r="I1019" s="534">
        <v>0</v>
      </c>
      <c r="J1019" s="534">
        <v>0</v>
      </c>
      <c r="K1019" s="534">
        <v>2</v>
      </c>
    </row>
    <row r="1020" spans="2:11" x14ac:dyDescent="0.3">
      <c r="B1020" s="529">
        <f t="shared" si="35"/>
        <v>1015001</v>
      </c>
      <c r="C1020" s="529">
        <f t="shared" si="36"/>
        <v>1016</v>
      </c>
      <c r="E1020" s="534">
        <v>0</v>
      </c>
      <c r="F1020" s="534">
        <v>0</v>
      </c>
      <c r="G1020" s="534">
        <v>45</v>
      </c>
      <c r="I1020" s="534">
        <v>0</v>
      </c>
      <c r="J1020" s="534">
        <v>0</v>
      </c>
      <c r="K1020" s="534">
        <v>2</v>
      </c>
    </row>
    <row r="1021" spans="2:11" x14ac:dyDescent="0.3">
      <c r="B1021" s="529">
        <f t="shared" si="35"/>
        <v>1016001</v>
      </c>
      <c r="C1021" s="529">
        <f t="shared" si="36"/>
        <v>1017</v>
      </c>
      <c r="E1021" s="534">
        <v>0</v>
      </c>
      <c r="F1021" s="534">
        <v>0</v>
      </c>
      <c r="G1021" s="534">
        <v>45</v>
      </c>
      <c r="I1021" s="534">
        <v>0</v>
      </c>
      <c r="J1021" s="534">
        <v>0</v>
      </c>
      <c r="K1021" s="534">
        <v>2</v>
      </c>
    </row>
    <row r="1022" spans="2:11" x14ac:dyDescent="0.3">
      <c r="B1022" s="529">
        <f t="shared" si="35"/>
        <v>1017001</v>
      </c>
      <c r="C1022" s="529">
        <f t="shared" si="36"/>
        <v>1018</v>
      </c>
      <c r="E1022" s="534">
        <v>0</v>
      </c>
      <c r="F1022" s="534">
        <v>0</v>
      </c>
      <c r="G1022" s="534">
        <v>45</v>
      </c>
      <c r="I1022" s="534">
        <v>0</v>
      </c>
      <c r="J1022" s="534">
        <v>0</v>
      </c>
      <c r="K1022" s="534">
        <v>2</v>
      </c>
    </row>
    <row r="1023" spans="2:11" x14ac:dyDescent="0.3">
      <c r="B1023" s="529">
        <f t="shared" si="35"/>
        <v>1018001</v>
      </c>
      <c r="C1023" s="529">
        <f t="shared" si="36"/>
        <v>1019</v>
      </c>
      <c r="E1023" s="534">
        <v>0</v>
      </c>
      <c r="F1023" s="534">
        <v>0</v>
      </c>
      <c r="G1023" s="534">
        <v>45</v>
      </c>
      <c r="I1023" s="534">
        <v>0</v>
      </c>
      <c r="J1023" s="534">
        <v>0</v>
      </c>
      <c r="K1023" s="534">
        <v>2</v>
      </c>
    </row>
    <row r="1024" spans="2:11" x14ac:dyDescent="0.3">
      <c r="B1024" s="529">
        <f t="shared" si="35"/>
        <v>1019001</v>
      </c>
      <c r="C1024" s="529">
        <f t="shared" si="36"/>
        <v>1020</v>
      </c>
      <c r="E1024" s="534">
        <v>0</v>
      </c>
      <c r="F1024" s="534">
        <v>0</v>
      </c>
      <c r="G1024" s="534">
        <v>45</v>
      </c>
      <c r="I1024" s="534">
        <v>0</v>
      </c>
      <c r="J1024" s="534">
        <v>0</v>
      </c>
      <c r="K1024" s="534">
        <v>2</v>
      </c>
    </row>
    <row r="1025" spans="2:11" x14ac:dyDescent="0.3">
      <c r="B1025" s="529">
        <f t="shared" si="35"/>
        <v>1020001</v>
      </c>
      <c r="C1025" s="529">
        <f t="shared" si="36"/>
        <v>1021</v>
      </c>
      <c r="E1025" s="534">
        <v>0</v>
      </c>
      <c r="F1025" s="534">
        <v>0</v>
      </c>
      <c r="G1025" s="534">
        <v>45</v>
      </c>
      <c r="I1025" s="534">
        <v>0</v>
      </c>
      <c r="J1025" s="534">
        <v>0</v>
      </c>
      <c r="K1025" s="534">
        <v>2</v>
      </c>
    </row>
    <row r="1026" spans="2:11" x14ac:dyDescent="0.3">
      <c r="B1026" s="529">
        <f t="shared" si="35"/>
        <v>1021001</v>
      </c>
      <c r="C1026" s="529">
        <f t="shared" si="36"/>
        <v>1022</v>
      </c>
      <c r="E1026" s="534">
        <v>0</v>
      </c>
      <c r="F1026" s="534">
        <v>0</v>
      </c>
      <c r="G1026" s="534">
        <v>45</v>
      </c>
      <c r="I1026" s="534">
        <v>0</v>
      </c>
      <c r="J1026" s="534">
        <v>0</v>
      </c>
      <c r="K1026" s="534">
        <v>2</v>
      </c>
    </row>
    <row r="1027" spans="2:11" x14ac:dyDescent="0.3">
      <c r="B1027" s="529">
        <f t="shared" si="35"/>
        <v>1022001</v>
      </c>
      <c r="C1027" s="529">
        <f t="shared" si="36"/>
        <v>1023</v>
      </c>
      <c r="E1027" s="534">
        <v>0</v>
      </c>
      <c r="F1027" s="534">
        <v>0</v>
      </c>
      <c r="G1027" s="534">
        <v>45</v>
      </c>
      <c r="I1027" s="534">
        <v>0</v>
      </c>
      <c r="J1027" s="534">
        <v>0</v>
      </c>
      <c r="K1027" s="534">
        <v>2</v>
      </c>
    </row>
    <row r="1028" spans="2:11" x14ac:dyDescent="0.3">
      <c r="B1028" s="529">
        <f t="shared" si="35"/>
        <v>1023001</v>
      </c>
      <c r="C1028" s="529">
        <f t="shared" si="36"/>
        <v>1024</v>
      </c>
      <c r="E1028" s="534">
        <v>0</v>
      </c>
      <c r="F1028" s="534">
        <v>0</v>
      </c>
      <c r="G1028" s="534">
        <v>45</v>
      </c>
      <c r="I1028" s="534">
        <v>0</v>
      </c>
      <c r="J1028" s="534">
        <v>0</v>
      </c>
      <c r="K1028" s="534">
        <v>2</v>
      </c>
    </row>
    <row r="1029" spans="2:11" x14ac:dyDescent="0.3">
      <c r="B1029" s="529">
        <f t="shared" si="35"/>
        <v>1024001</v>
      </c>
      <c r="C1029" s="529">
        <f t="shared" si="36"/>
        <v>1025</v>
      </c>
      <c r="E1029" s="534">
        <v>1</v>
      </c>
      <c r="F1029" s="534">
        <v>1025</v>
      </c>
      <c r="G1029" s="534">
        <v>45</v>
      </c>
      <c r="I1029" s="534">
        <v>0</v>
      </c>
      <c r="J1029" s="534">
        <v>0</v>
      </c>
      <c r="K1029" s="534">
        <v>2</v>
      </c>
    </row>
    <row r="1030" spans="2:11" x14ac:dyDescent="0.3">
      <c r="B1030" s="529">
        <f t="shared" si="35"/>
        <v>1025001</v>
      </c>
      <c r="C1030" s="529">
        <f t="shared" si="36"/>
        <v>1026</v>
      </c>
      <c r="E1030" s="534">
        <v>1</v>
      </c>
      <c r="F1030" s="534">
        <v>1026</v>
      </c>
      <c r="G1030" s="534">
        <v>44</v>
      </c>
      <c r="I1030" s="534">
        <v>0</v>
      </c>
      <c r="J1030" s="534">
        <v>0</v>
      </c>
      <c r="K1030" s="534">
        <v>2</v>
      </c>
    </row>
    <row r="1031" spans="2:11" x14ac:dyDescent="0.3">
      <c r="B1031" s="529">
        <f t="shared" ref="B1031:B1094" si="37">C1030*1000+1</f>
        <v>1026001</v>
      </c>
      <c r="C1031" s="529">
        <f t="shared" si="36"/>
        <v>1027</v>
      </c>
      <c r="E1031" s="534">
        <v>0</v>
      </c>
      <c r="F1031" s="534">
        <v>0</v>
      </c>
      <c r="G1031" s="534">
        <v>43</v>
      </c>
      <c r="I1031" s="534">
        <v>0</v>
      </c>
      <c r="J1031" s="534">
        <v>0</v>
      </c>
      <c r="K1031" s="534">
        <v>2</v>
      </c>
    </row>
    <row r="1032" spans="2:11" x14ac:dyDescent="0.3">
      <c r="B1032" s="529">
        <f t="shared" si="37"/>
        <v>1027001</v>
      </c>
      <c r="C1032" s="529">
        <f t="shared" si="36"/>
        <v>1028</v>
      </c>
      <c r="E1032" s="534">
        <v>2</v>
      </c>
      <c r="F1032" s="534">
        <v>2056</v>
      </c>
      <c r="G1032" s="534">
        <v>43</v>
      </c>
      <c r="I1032" s="534">
        <v>0</v>
      </c>
      <c r="J1032" s="534">
        <v>0</v>
      </c>
      <c r="K1032" s="534">
        <v>2</v>
      </c>
    </row>
    <row r="1033" spans="2:11" x14ac:dyDescent="0.3">
      <c r="B1033" s="529">
        <f t="shared" si="37"/>
        <v>1028001</v>
      </c>
      <c r="C1033" s="529">
        <f t="shared" si="36"/>
        <v>1029</v>
      </c>
      <c r="E1033" s="534">
        <v>0</v>
      </c>
      <c r="F1033" s="534">
        <v>0</v>
      </c>
      <c r="G1033" s="534">
        <v>41</v>
      </c>
      <c r="I1033" s="534">
        <v>0</v>
      </c>
      <c r="J1033" s="534">
        <v>0</v>
      </c>
      <c r="K1033" s="534">
        <v>2</v>
      </c>
    </row>
    <row r="1034" spans="2:11" x14ac:dyDescent="0.3">
      <c r="B1034" s="529">
        <f t="shared" si="37"/>
        <v>1029001</v>
      </c>
      <c r="C1034" s="529">
        <f t="shared" si="36"/>
        <v>1030</v>
      </c>
      <c r="E1034" s="534">
        <v>1</v>
      </c>
      <c r="F1034" s="534">
        <v>1030</v>
      </c>
      <c r="G1034" s="534">
        <v>41</v>
      </c>
      <c r="I1034" s="534">
        <v>0</v>
      </c>
      <c r="J1034" s="534">
        <v>0</v>
      </c>
      <c r="K1034" s="534">
        <v>2</v>
      </c>
    </row>
    <row r="1035" spans="2:11" x14ac:dyDescent="0.3">
      <c r="B1035" s="529">
        <f t="shared" si="37"/>
        <v>1030001</v>
      </c>
      <c r="C1035" s="529">
        <f t="shared" si="36"/>
        <v>1031</v>
      </c>
      <c r="E1035" s="534">
        <v>0</v>
      </c>
      <c r="F1035" s="534">
        <v>0</v>
      </c>
      <c r="G1035" s="534">
        <v>40</v>
      </c>
      <c r="I1035" s="534">
        <v>0</v>
      </c>
      <c r="J1035" s="534">
        <v>0</v>
      </c>
      <c r="K1035" s="534">
        <v>2</v>
      </c>
    </row>
    <row r="1036" spans="2:11" x14ac:dyDescent="0.3">
      <c r="B1036" s="529">
        <f t="shared" si="37"/>
        <v>1031001</v>
      </c>
      <c r="C1036" s="529">
        <f t="shared" si="36"/>
        <v>1032</v>
      </c>
      <c r="E1036" s="534">
        <v>0</v>
      </c>
      <c r="F1036" s="534">
        <v>0</v>
      </c>
      <c r="G1036" s="534">
        <v>40</v>
      </c>
      <c r="I1036" s="534">
        <v>0</v>
      </c>
      <c r="J1036" s="534">
        <v>0</v>
      </c>
      <c r="K1036" s="534">
        <v>2</v>
      </c>
    </row>
    <row r="1037" spans="2:11" x14ac:dyDescent="0.3">
      <c r="B1037" s="529">
        <f t="shared" si="37"/>
        <v>1032001</v>
      </c>
      <c r="C1037" s="529">
        <f t="shared" si="36"/>
        <v>1033</v>
      </c>
      <c r="E1037" s="534">
        <v>0</v>
      </c>
      <c r="F1037" s="534">
        <v>0</v>
      </c>
      <c r="G1037" s="534">
        <v>40</v>
      </c>
      <c r="I1037" s="534">
        <v>0</v>
      </c>
      <c r="J1037" s="534">
        <v>0</v>
      </c>
      <c r="K1037" s="534">
        <v>2</v>
      </c>
    </row>
    <row r="1038" spans="2:11" x14ac:dyDescent="0.3">
      <c r="B1038" s="529">
        <f t="shared" si="37"/>
        <v>1033001</v>
      </c>
      <c r="C1038" s="529">
        <f t="shared" si="36"/>
        <v>1034</v>
      </c>
      <c r="E1038" s="534">
        <v>0</v>
      </c>
      <c r="F1038" s="534">
        <v>0</v>
      </c>
      <c r="G1038" s="534">
        <v>40</v>
      </c>
      <c r="I1038" s="534">
        <v>0</v>
      </c>
      <c r="J1038" s="534">
        <v>0</v>
      </c>
      <c r="K1038" s="534">
        <v>2</v>
      </c>
    </row>
    <row r="1039" spans="2:11" x14ac:dyDescent="0.3">
      <c r="B1039" s="529">
        <f t="shared" si="37"/>
        <v>1034001</v>
      </c>
      <c r="C1039" s="529">
        <f t="shared" si="36"/>
        <v>1035</v>
      </c>
      <c r="E1039" s="534">
        <v>0</v>
      </c>
      <c r="F1039" s="534">
        <v>0</v>
      </c>
      <c r="G1039" s="534">
        <v>40</v>
      </c>
      <c r="I1039" s="534">
        <v>0</v>
      </c>
      <c r="J1039" s="534">
        <v>0</v>
      </c>
      <c r="K1039" s="534">
        <v>2</v>
      </c>
    </row>
    <row r="1040" spans="2:11" x14ac:dyDescent="0.3">
      <c r="B1040" s="529">
        <f t="shared" si="37"/>
        <v>1035001</v>
      </c>
      <c r="C1040" s="529">
        <f t="shared" si="36"/>
        <v>1036</v>
      </c>
      <c r="E1040" s="534">
        <v>0</v>
      </c>
      <c r="F1040" s="534">
        <v>0</v>
      </c>
      <c r="G1040" s="534">
        <v>40</v>
      </c>
      <c r="I1040" s="534">
        <v>0</v>
      </c>
      <c r="J1040" s="534">
        <v>0</v>
      </c>
      <c r="K1040" s="534">
        <v>2</v>
      </c>
    </row>
    <row r="1041" spans="2:11" x14ac:dyDescent="0.3">
      <c r="B1041" s="529">
        <f t="shared" si="37"/>
        <v>1036001</v>
      </c>
      <c r="C1041" s="529">
        <f t="shared" si="36"/>
        <v>1037</v>
      </c>
      <c r="E1041" s="534">
        <v>0</v>
      </c>
      <c r="F1041" s="534">
        <v>0</v>
      </c>
      <c r="G1041" s="534">
        <v>40</v>
      </c>
      <c r="I1041" s="534">
        <v>0</v>
      </c>
      <c r="J1041" s="534">
        <v>0</v>
      </c>
      <c r="K1041" s="534">
        <v>2</v>
      </c>
    </row>
    <row r="1042" spans="2:11" x14ac:dyDescent="0.3">
      <c r="B1042" s="529">
        <f t="shared" si="37"/>
        <v>1037001</v>
      </c>
      <c r="C1042" s="529">
        <f t="shared" si="36"/>
        <v>1038</v>
      </c>
      <c r="E1042" s="534">
        <v>1</v>
      </c>
      <c r="F1042" s="534">
        <v>1038</v>
      </c>
      <c r="G1042" s="534">
        <v>40</v>
      </c>
      <c r="I1042" s="534">
        <v>0</v>
      </c>
      <c r="J1042" s="534">
        <v>0</v>
      </c>
      <c r="K1042" s="534">
        <v>2</v>
      </c>
    </row>
    <row r="1043" spans="2:11" x14ac:dyDescent="0.3">
      <c r="B1043" s="529">
        <f t="shared" si="37"/>
        <v>1038001</v>
      </c>
      <c r="C1043" s="529">
        <f t="shared" si="36"/>
        <v>1039</v>
      </c>
      <c r="E1043" s="534">
        <v>0</v>
      </c>
      <c r="F1043" s="534">
        <v>0</v>
      </c>
      <c r="G1043" s="534">
        <v>39</v>
      </c>
      <c r="I1043" s="534">
        <v>0</v>
      </c>
      <c r="J1043" s="534">
        <v>0</v>
      </c>
      <c r="K1043" s="534">
        <v>2</v>
      </c>
    </row>
    <row r="1044" spans="2:11" x14ac:dyDescent="0.3">
      <c r="B1044" s="529">
        <f t="shared" si="37"/>
        <v>1039001</v>
      </c>
      <c r="C1044" s="529">
        <f t="shared" si="36"/>
        <v>1040</v>
      </c>
      <c r="E1044" s="534">
        <v>0</v>
      </c>
      <c r="F1044" s="534">
        <v>0</v>
      </c>
      <c r="G1044" s="534">
        <v>39</v>
      </c>
      <c r="I1044" s="534">
        <v>0</v>
      </c>
      <c r="J1044" s="534">
        <v>0</v>
      </c>
      <c r="K1044" s="534">
        <v>2</v>
      </c>
    </row>
    <row r="1045" spans="2:11" x14ac:dyDescent="0.3">
      <c r="B1045" s="529">
        <f t="shared" si="37"/>
        <v>1040001</v>
      </c>
      <c r="C1045" s="529">
        <f t="shared" si="36"/>
        <v>1041</v>
      </c>
      <c r="E1045" s="534">
        <v>0</v>
      </c>
      <c r="F1045" s="534">
        <v>0</v>
      </c>
      <c r="G1045" s="534">
        <v>39</v>
      </c>
      <c r="I1045" s="534">
        <v>0</v>
      </c>
      <c r="J1045" s="534">
        <v>0</v>
      </c>
      <c r="K1045" s="534">
        <v>2</v>
      </c>
    </row>
    <row r="1046" spans="2:11" x14ac:dyDescent="0.3">
      <c r="B1046" s="529">
        <f t="shared" si="37"/>
        <v>1041001</v>
      </c>
      <c r="C1046" s="529">
        <f t="shared" si="36"/>
        <v>1042</v>
      </c>
      <c r="E1046" s="534">
        <v>0</v>
      </c>
      <c r="F1046" s="534">
        <v>0</v>
      </c>
      <c r="G1046" s="534">
        <v>39</v>
      </c>
      <c r="I1046" s="534">
        <v>0</v>
      </c>
      <c r="J1046" s="534">
        <v>0</v>
      </c>
      <c r="K1046" s="534">
        <v>2</v>
      </c>
    </row>
    <row r="1047" spans="2:11" x14ac:dyDescent="0.3">
      <c r="B1047" s="529">
        <f t="shared" si="37"/>
        <v>1042001</v>
      </c>
      <c r="C1047" s="529">
        <f t="shared" si="36"/>
        <v>1043</v>
      </c>
      <c r="E1047" s="534">
        <v>0</v>
      </c>
      <c r="F1047" s="534">
        <v>0</v>
      </c>
      <c r="G1047" s="534">
        <v>39</v>
      </c>
      <c r="I1047" s="534">
        <v>0</v>
      </c>
      <c r="J1047" s="534">
        <v>0</v>
      </c>
      <c r="K1047" s="534">
        <v>2</v>
      </c>
    </row>
    <row r="1048" spans="2:11" x14ac:dyDescent="0.3">
      <c r="B1048" s="529">
        <f t="shared" si="37"/>
        <v>1043001</v>
      </c>
      <c r="C1048" s="529">
        <f t="shared" si="36"/>
        <v>1044</v>
      </c>
      <c r="E1048" s="534">
        <v>0</v>
      </c>
      <c r="F1048" s="534">
        <v>0</v>
      </c>
      <c r="G1048" s="534">
        <v>39</v>
      </c>
      <c r="I1048" s="534">
        <v>0</v>
      </c>
      <c r="J1048" s="534">
        <v>0</v>
      </c>
      <c r="K1048" s="534">
        <v>2</v>
      </c>
    </row>
    <row r="1049" spans="2:11" x14ac:dyDescent="0.3">
      <c r="B1049" s="529">
        <f t="shared" si="37"/>
        <v>1044001</v>
      </c>
      <c r="C1049" s="529">
        <f t="shared" si="36"/>
        <v>1045</v>
      </c>
      <c r="E1049" s="534">
        <v>0</v>
      </c>
      <c r="F1049" s="534">
        <v>0</v>
      </c>
      <c r="G1049" s="534">
        <v>39</v>
      </c>
      <c r="I1049" s="534">
        <v>0</v>
      </c>
      <c r="J1049" s="534">
        <v>0</v>
      </c>
      <c r="K1049" s="534">
        <v>2</v>
      </c>
    </row>
    <row r="1050" spans="2:11" x14ac:dyDescent="0.3">
      <c r="B1050" s="529">
        <f t="shared" si="37"/>
        <v>1045001</v>
      </c>
      <c r="C1050" s="529">
        <f t="shared" si="36"/>
        <v>1046</v>
      </c>
      <c r="E1050" s="534">
        <v>0</v>
      </c>
      <c r="F1050" s="534">
        <v>0</v>
      </c>
      <c r="G1050" s="534">
        <v>39</v>
      </c>
      <c r="I1050" s="534">
        <v>0</v>
      </c>
      <c r="J1050" s="534">
        <v>0</v>
      </c>
      <c r="K1050" s="534">
        <v>2</v>
      </c>
    </row>
    <row r="1051" spans="2:11" x14ac:dyDescent="0.3">
      <c r="B1051" s="529">
        <f t="shared" si="37"/>
        <v>1046001</v>
      </c>
      <c r="C1051" s="529">
        <f t="shared" si="36"/>
        <v>1047</v>
      </c>
      <c r="E1051" s="534">
        <v>0</v>
      </c>
      <c r="F1051" s="534">
        <v>0</v>
      </c>
      <c r="G1051" s="534">
        <v>39</v>
      </c>
      <c r="I1051" s="534">
        <v>0</v>
      </c>
      <c r="J1051" s="534">
        <v>0</v>
      </c>
      <c r="K1051" s="534">
        <v>2</v>
      </c>
    </row>
    <row r="1052" spans="2:11" x14ac:dyDescent="0.3">
      <c r="B1052" s="529">
        <f t="shared" si="37"/>
        <v>1047001</v>
      </c>
      <c r="C1052" s="529">
        <f t="shared" si="36"/>
        <v>1048</v>
      </c>
      <c r="E1052" s="534">
        <v>0</v>
      </c>
      <c r="F1052" s="534">
        <v>0</v>
      </c>
      <c r="G1052" s="534">
        <v>39</v>
      </c>
      <c r="I1052" s="534">
        <v>0</v>
      </c>
      <c r="J1052" s="534">
        <v>0</v>
      </c>
      <c r="K1052" s="534">
        <v>2</v>
      </c>
    </row>
    <row r="1053" spans="2:11" x14ac:dyDescent="0.3">
      <c r="B1053" s="529">
        <f t="shared" si="37"/>
        <v>1048001</v>
      </c>
      <c r="C1053" s="529">
        <f t="shared" si="36"/>
        <v>1049</v>
      </c>
      <c r="E1053" s="534">
        <v>0</v>
      </c>
      <c r="F1053" s="534">
        <v>0</v>
      </c>
      <c r="G1053" s="534">
        <v>39</v>
      </c>
      <c r="I1053" s="534">
        <v>0</v>
      </c>
      <c r="J1053" s="534">
        <v>0</v>
      </c>
      <c r="K1053" s="534">
        <v>2</v>
      </c>
    </row>
    <row r="1054" spans="2:11" x14ac:dyDescent="0.3">
      <c r="B1054" s="529">
        <f t="shared" si="37"/>
        <v>1049001</v>
      </c>
      <c r="C1054" s="529">
        <f t="shared" si="36"/>
        <v>1050</v>
      </c>
      <c r="E1054" s="534">
        <v>0</v>
      </c>
      <c r="F1054" s="534">
        <v>0</v>
      </c>
      <c r="G1054" s="534">
        <v>39</v>
      </c>
      <c r="I1054" s="534">
        <v>0</v>
      </c>
      <c r="J1054" s="534">
        <v>0</v>
      </c>
      <c r="K1054" s="534">
        <v>2</v>
      </c>
    </row>
    <row r="1055" spans="2:11" x14ac:dyDescent="0.3">
      <c r="B1055" s="529">
        <f t="shared" si="37"/>
        <v>1050001</v>
      </c>
      <c r="C1055" s="529">
        <f t="shared" si="36"/>
        <v>1051</v>
      </c>
      <c r="E1055" s="534">
        <v>0</v>
      </c>
      <c r="F1055" s="534">
        <v>0</v>
      </c>
      <c r="G1055" s="534">
        <v>39</v>
      </c>
      <c r="I1055" s="534">
        <v>0</v>
      </c>
      <c r="J1055" s="534">
        <v>0</v>
      </c>
      <c r="K1055" s="534">
        <v>2</v>
      </c>
    </row>
    <row r="1056" spans="2:11" x14ac:dyDescent="0.3">
      <c r="B1056" s="529">
        <f t="shared" si="37"/>
        <v>1051001</v>
      </c>
      <c r="C1056" s="529">
        <f t="shared" ref="C1056:C1105" si="38">C1055+1</f>
        <v>1052</v>
      </c>
      <c r="E1056" s="534">
        <v>0</v>
      </c>
      <c r="F1056" s="534">
        <v>0</v>
      </c>
      <c r="G1056" s="534">
        <v>39</v>
      </c>
      <c r="I1056" s="534">
        <v>0</v>
      </c>
      <c r="J1056" s="534">
        <v>0</v>
      </c>
      <c r="K1056" s="534">
        <v>2</v>
      </c>
    </row>
    <row r="1057" spans="2:11" x14ac:dyDescent="0.3">
      <c r="B1057" s="529">
        <f t="shared" si="37"/>
        <v>1052001</v>
      </c>
      <c r="C1057" s="529">
        <f t="shared" si="38"/>
        <v>1053</v>
      </c>
      <c r="E1057" s="534">
        <v>0</v>
      </c>
      <c r="F1057" s="534">
        <v>0</v>
      </c>
      <c r="G1057" s="534">
        <v>39</v>
      </c>
      <c r="I1057" s="534">
        <v>0</v>
      </c>
      <c r="J1057" s="534">
        <v>0</v>
      </c>
      <c r="K1057" s="534">
        <v>2</v>
      </c>
    </row>
    <row r="1058" spans="2:11" x14ac:dyDescent="0.3">
      <c r="B1058" s="529">
        <f t="shared" si="37"/>
        <v>1053001</v>
      </c>
      <c r="C1058" s="529">
        <f t="shared" si="38"/>
        <v>1054</v>
      </c>
      <c r="E1058" s="534">
        <v>0</v>
      </c>
      <c r="F1058" s="534">
        <v>0</v>
      </c>
      <c r="G1058" s="534">
        <v>39</v>
      </c>
      <c r="I1058" s="534">
        <v>0</v>
      </c>
      <c r="J1058" s="534">
        <v>0</v>
      </c>
      <c r="K1058" s="534">
        <v>2</v>
      </c>
    </row>
    <row r="1059" spans="2:11" x14ac:dyDescent="0.3">
      <c r="B1059" s="529">
        <f t="shared" si="37"/>
        <v>1054001</v>
      </c>
      <c r="C1059" s="529">
        <f t="shared" si="38"/>
        <v>1055</v>
      </c>
      <c r="E1059" s="534">
        <v>0</v>
      </c>
      <c r="F1059" s="534">
        <v>0</v>
      </c>
      <c r="G1059" s="534">
        <v>39</v>
      </c>
      <c r="I1059" s="534">
        <v>0</v>
      </c>
      <c r="J1059" s="534">
        <v>0</v>
      </c>
      <c r="K1059" s="534">
        <v>2</v>
      </c>
    </row>
    <row r="1060" spans="2:11" x14ac:dyDescent="0.3">
      <c r="B1060" s="529">
        <f t="shared" si="37"/>
        <v>1055001</v>
      </c>
      <c r="C1060" s="529">
        <f t="shared" si="38"/>
        <v>1056</v>
      </c>
      <c r="E1060" s="534">
        <v>0</v>
      </c>
      <c r="F1060" s="534">
        <v>0</v>
      </c>
      <c r="G1060" s="534">
        <v>39</v>
      </c>
      <c r="I1060" s="534">
        <v>0</v>
      </c>
      <c r="J1060" s="534">
        <v>0</v>
      </c>
      <c r="K1060" s="534">
        <v>2</v>
      </c>
    </row>
    <row r="1061" spans="2:11" x14ac:dyDescent="0.3">
      <c r="B1061" s="529">
        <f t="shared" si="37"/>
        <v>1056001</v>
      </c>
      <c r="C1061" s="529">
        <f t="shared" si="38"/>
        <v>1057</v>
      </c>
      <c r="E1061" s="534">
        <v>0</v>
      </c>
      <c r="F1061" s="534">
        <v>0</v>
      </c>
      <c r="G1061" s="534">
        <v>39</v>
      </c>
      <c r="I1061" s="534">
        <v>0</v>
      </c>
      <c r="J1061" s="534">
        <v>0</v>
      </c>
      <c r="K1061" s="534">
        <v>2</v>
      </c>
    </row>
    <row r="1062" spans="2:11" x14ac:dyDescent="0.3">
      <c r="B1062" s="529">
        <f t="shared" si="37"/>
        <v>1057001</v>
      </c>
      <c r="C1062" s="529">
        <f t="shared" si="38"/>
        <v>1058</v>
      </c>
      <c r="E1062" s="534">
        <v>0</v>
      </c>
      <c r="F1062" s="534">
        <v>0</v>
      </c>
      <c r="G1062" s="534">
        <v>39</v>
      </c>
      <c r="I1062" s="534">
        <v>0</v>
      </c>
      <c r="J1062" s="534">
        <v>0</v>
      </c>
      <c r="K1062" s="534">
        <v>2</v>
      </c>
    </row>
    <row r="1063" spans="2:11" x14ac:dyDescent="0.3">
      <c r="B1063" s="529">
        <f t="shared" si="37"/>
        <v>1058001</v>
      </c>
      <c r="C1063" s="529">
        <f t="shared" si="38"/>
        <v>1059</v>
      </c>
      <c r="E1063" s="534">
        <v>0</v>
      </c>
      <c r="F1063" s="534">
        <v>0</v>
      </c>
      <c r="G1063" s="534">
        <v>39</v>
      </c>
      <c r="I1063" s="534">
        <v>0</v>
      </c>
      <c r="J1063" s="534">
        <v>0</v>
      </c>
      <c r="K1063" s="534">
        <v>2</v>
      </c>
    </row>
    <row r="1064" spans="2:11" x14ac:dyDescent="0.3">
      <c r="B1064" s="529">
        <f t="shared" si="37"/>
        <v>1059001</v>
      </c>
      <c r="C1064" s="529">
        <f t="shared" si="38"/>
        <v>1060</v>
      </c>
      <c r="E1064" s="534">
        <v>0</v>
      </c>
      <c r="F1064" s="534">
        <v>0</v>
      </c>
      <c r="G1064" s="534">
        <v>39</v>
      </c>
      <c r="I1064" s="534">
        <v>0</v>
      </c>
      <c r="J1064" s="534">
        <v>0</v>
      </c>
      <c r="K1064" s="534">
        <v>2</v>
      </c>
    </row>
    <row r="1065" spans="2:11" x14ac:dyDescent="0.3">
      <c r="B1065" s="529">
        <f t="shared" si="37"/>
        <v>1060001</v>
      </c>
      <c r="C1065" s="529">
        <f t="shared" si="38"/>
        <v>1061</v>
      </c>
      <c r="E1065" s="534">
        <v>0</v>
      </c>
      <c r="F1065" s="534">
        <v>0</v>
      </c>
      <c r="G1065" s="534">
        <v>39</v>
      </c>
      <c r="I1065" s="534">
        <v>0</v>
      </c>
      <c r="J1065" s="534">
        <v>0</v>
      </c>
      <c r="K1065" s="534">
        <v>2</v>
      </c>
    </row>
    <row r="1066" spans="2:11" x14ac:dyDescent="0.3">
      <c r="B1066" s="529">
        <f t="shared" si="37"/>
        <v>1061001</v>
      </c>
      <c r="C1066" s="529">
        <f t="shared" si="38"/>
        <v>1062</v>
      </c>
      <c r="E1066" s="534">
        <v>1</v>
      </c>
      <c r="F1066" s="534">
        <v>1062</v>
      </c>
      <c r="G1066" s="534">
        <v>39</v>
      </c>
      <c r="I1066" s="534">
        <v>0</v>
      </c>
      <c r="J1066" s="534">
        <v>0</v>
      </c>
      <c r="K1066" s="534">
        <v>2</v>
      </c>
    </row>
    <row r="1067" spans="2:11" x14ac:dyDescent="0.3">
      <c r="B1067" s="529">
        <f t="shared" si="37"/>
        <v>1062001</v>
      </c>
      <c r="C1067" s="529">
        <f t="shared" si="38"/>
        <v>1063</v>
      </c>
      <c r="E1067" s="534">
        <v>0</v>
      </c>
      <c r="F1067" s="534">
        <v>0</v>
      </c>
      <c r="G1067" s="534">
        <v>38</v>
      </c>
      <c r="I1067" s="534">
        <v>0</v>
      </c>
      <c r="J1067" s="534">
        <v>0</v>
      </c>
      <c r="K1067" s="534">
        <v>2</v>
      </c>
    </row>
    <row r="1068" spans="2:11" x14ac:dyDescent="0.3">
      <c r="B1068" s="529">
        <f t="shared" si="37"/>
        <v>1063001</v>
      </c>
      <c r="C1068" s="529">
        <f t="shared" si="38"/>
        <v>1064</v>
      </c>
      <c r="E1068" s="534">
        <v>0</v>
      </c>
      <c r="F1068" s="534">
        <v>0</v>
      </c>
      <c r="G1068" s="534">
        <v>38</v>
      </c>
      <c r="I1068" s="534">
        <v>0</v>
      </c>
      <c r="J1068" s="534">
        <v>0</v>
      </c>
      <c r="K1068" s="534">
        <v>2</v>
      </c>
    </row>
    <row r="1069" spans="2:11" x14ac:dyDescent="0.3">
      <c r="B1069" s="529">
        <f t="shared" si="37"/>
        <v>1064001</v>
      </c>
      <c r="C1069" s="529">
        <f t="shared" si="38"/>
        <v>1065</v>
      </c>
      <c r="E1069" s="534">
        <v>0</v>
      </c>
      <c r="F1069" s="534">
        <v>0</v>
      </c>
      <c r="G1069" s="534">
        <v>38</v>
      </c>
      <c r="I1069" s="534">
        <v>0</v>
      </c>
      <c r="J1069" s="534">
        <v>0</v>
      </c>
      <c r="K1069" s="534">
        <v>2</v>
      </c>
    </row>
    <row r="1070" spans="2:11" x14ac:dyDescent="0.3">
      <c r="B1070" s="529">
        <f t="shared" si="37"/>
        <v>1065001</v>
      </c>
      <c r="C1070" s="529">
        <f t="shared" si="38"/>
        <v>1066</v>
      </c>
      <c r="E1070" s="534">
        <v>1</v>
      </c>
      <c r="F1070" s="534">
        <v>1066</v>
      </c>
      <c r="G1070" s="534">
        <v>38</v>
      </c>
      <c r="I1070" s="534">
        <v>0</v>
      </c>
      <c r="J1070" s="534">
        <v>0</v>
      </c>
      <c r="K1070" s="534">
        <v>2</v>
      </c>
    </row>
    <row r="1071" spans="2:11" x14ac:dyDescent="0.3">
      <c r="B1071" s="529">
        <f t="shared" si="37"/>
        <v>1066001</v>
      </c>
      <c r="C1071" s="529">
        <f t="shared" si="38"/>
        <v>1067</v>
      </c>
      <c r="E1071" s="534">
        <v>0</v>
      </c>
      <c r="F1071" s="534">
        <v>0</v>
      </c>
      <c r="G1071" s="534">
        <v>37</v>
      </c>
      <c r="I1071" s="534">
        <v>0</v>
      </c>
      <c r="J1071" s="534">
        <v>0</v>
      </c>
      <c r="K1071" s="534">
        <v>2</v>
      </c>
    </row>
    <row r="1072" spans="2:11" x14ac:dyDescent="0.3">
      <c r="B1072" s="529">
        <f t="shared" si="37"/>
        <v>1067001</v>
      </c>
      <c r="C1072" s="529">
        <f t="shared" si="38"/>
        <v>1068</v>
      </c>
      <c r="E1072" s="534">
        <v>0</v>
      </c>
      <c r="F1072" s="534">
        <v>0</v>
      </c>
      <c r="G1072" s="534">
        <v>37</v>
      </c>
      <c r="I1072" s="534">
        <v>0</v>
      </c>
      <c r="J1072" s="534">
        <v>0</v>
      </c>
      <c r="K1072" s="534">
        <v>2</v>
      </c>
    </row>
    <row r="1073" spans="2:11" x14ac:dyDescent="0.3">
      <c r="B1073" s="529">
        <f t="shared" si="37"/>
        <v>1068001</v>
      </c>
      <c r="C1073" s="529">
        <f t="shared" si="38"/>
        <v>1069</v>
      </c>
      <c r="E1073" s="534">
        <v>0</v>
      </c>
      <c r="F1073" s="534">
        <v>0</v>
      </c>
      <c r="G1073" s="534">
        <v>37</v>
      </c>
      <c r="I1073" s="534">
        <v>0</v>
      </c>
      <c r="J1073" s="534">
        <v>0</v>
      </c>
      <c r="K1073" s="534">
        <v>2</v>
      </c>
    </row>
    <row r="1074" spans="2:11" x14ac:dyDescent="0.3">
      <c r="B1074" s="529">
        <f t="shared" si="37"/>
        <v>1069001</v>
      </c>
      <c r="C1074" s="529">
        <f t="shared" si="38"/>
        <v>1070</v>
      </c>
      <c r="E1074" s="534">
        <v>0</v>
      </c>
      <c r="F1074" s="534">
        <v>0</v>
      </c>
      <c r="G1074" s="534">
        <v>37</v>
      </c>
      <c r="I1074" s="534">
        <v>0</v>
      </c>
      <c r="J1074" s="534">
        <v>0</v>
      </c>
      <c r="K1074" s="534">
        <v>2</v>
      </c>
    </row>
    <row r="1075" spans="2:11" x14ac:dyDescent="0.3">
      <c r="B1075" s="529">
        <f t="shared" si="37"/>
        <v>1070001</v>
      </c>
      <c r="C1075" s="529">
        <f t="shared" si="38"/>
        <v>1071</v>
      </c>
      <c r="E1075" s="534">
        <v>0</v>
      </c>
      <c r="F1075" s="534">
        <v>0</v>
      </c>
      <c r="G1075" s="534">
        <v>37</v>
      </c>
      <c r="I1075" s="534">
        <v>0</v>
      </c>
      <c r="J1075" s="534">
        <v>0</v>
      </c>
      <c r="K1075" s="534">
        <v>2</v>
      </c>
    </row>
    <row r="1076" spans="2:11" x14ac:dyDescent="0.3">
      <c r="B1076" s="529">
        <f t="shared" si="37"/>
        <v>1071001</v>
      </c>
      <c r="C1076" s="529">
        <f t="shared" si="38"/>
        <v>1072</v>
      </c>
      <c r="E1076" s="534">
        <v>0</v>
      </c>
      <c r="F1076" s="534">
        <v>0</v>
      </c>
      <c r="G1076" s="534">
        <v>37</v>
      </c>
      <c r="I1076" s="534">
        <v>0</v>
      </c>
      <c r="J1076" s="534">
        <v>0</v>
      </c>
      <c r="K1076" s="534">
        <v>2</v>
      </c>
    </row>
    <row r="1077" spans="2:11" x14ac:dyDescent="0.3">
      <c r="B1077" s="529">
        <f t="shared" si="37"/>
        <v>1072001</v>
      </c>
      <c r="C1077" s="529">
        <f t="shared" si="38"/>
        <v>1073</v>
      </c>
      <c r="E1077" s="534">
        <v>0</v>
      </c>
      <c r="F1077" s="534">
        <v>0</v>
      </c>
      <c r="G1077" s="534">
        <v>37</v>
      </c>
      <c r="I1077" s="534">
        <v>0</v>
      </c>
      <c r="J1077" s="534">
        <v>0</v>
      </c>
      <c r="K1077" s="534">
        <v>2</v>
      </c>
    </row>
    <row r="1078" spans="2:11" x14ac:dyDescent="0.3">
      <c r="B1078" s="529">
        <f t="shared" si="37"/>
        <v>1073001</v>
      </c>
      <c r="C1078" s="529">
        <f t="shared" si="38"/>
        <v>1074</v>
      </c>
      <c r="E1078" s="534">
        <v>1</v>
      </c>
      <c r="F1078" s="534">
        <v>1074</v>
      </c>
      <c r="G1078" s="534">
        <v>37</v>
      </c>
      <c r="I1078" s="534">
        <v>0</v>
      </c>
      <c r="J1078" s="534">
        <v>0</v>
      </c>
      <c r="K1078" s="534">
        <v>2</v>
      </c>
    </row>
    <row r="1079" spans="2:11" x14ac:dyDescent="0.3">
      <c r="B1079" s="529">
        <f t="shared" si="37"/>
        <v>1074001</v>
      </c>
      <c r="C1079" s="529">
        <f t="shared" si="38"/>
        <v>1075</v>
      </c>
      <c r="E1079" s="534">
        <v>0</v>
      </c>
      <c r="F1079" s="534">
        <v>0</v>
      </c>
      <c r="G1079" s="534">
        <v>36</v>
      </c>
      <c r="I1079" s="534">
        <v>0</v>
      </c>
      <c r="J1079" s="534">
        <v>0</v>
      </c>
      <c r="K1079" s="534">
        <v>2</v>
      </c>
    </row>
    <row r="1080" spans="2:11" x14ac:dyDescent="0.3">
      <c r="B1080" s="529">
        <f t="shared" si="37"/>
        <v>1075001</v>
      </c>
      <c r="C1080" s="529">
        <f t="shared" si="38"/>
        <v>1076</v>
      </c>
      <c r="E1080" s="534">
        <v>1</v>
      </c>
      <c r="F1080" s="534">
        <v>1076</v>
      </c>
      <c r="G1080" s="534">
        <v>36</v>
      </c>
      <c r="I1080" s="534">
        <v>0</v>
      </c>
      <c r="J1080" s="534">
        <v>0</v>
      </c>
      <c r="K1080" s="534">
        <v>2</v>
      </c>
    </row>
    <row r="1081" spans="2:11" x14ac:dyDescent="0.3">
      <c r="B1081" s="529">
        <f t="shared" si="37"/>
        <v>1076001</v>
      </c>
      <c r="C1081" s="529">
        <f t="shared" si="38"/>
        <v>1077</v>
      </c>
      <c r="E1081" s="534">
        <v>0</v>
      </c>
      <c r="F1081" s="534">
        <v>0</v>
      </c>
      <c r="G1081" s="534">
        <v>35</v>
      </c>
      <c r="I1081" s="534">
        <v>0</v>
      </c>
      <c r="J1081" s="534">
        <v>0</v>
      </c>
      <c r="K1081" s="534">
        <v>2</v>
      </c>
    </row>
    <row r="1082" spans="2:11" x14ac:dyDescent="0.3">
      <c r="B1082" s="529">
        <f t="shared" si="37"/>
        <v>1077001</v>
      </c>
      <c r="C1082" s="529">
        <f t="shared" si="38"/>
        <v>1078</v>
      </c>
      <c r="E1082" s="534">
        <v>1</v>
      </c>
      <c r="F1082" s="534">
        <v>1078</v>
      </c>
      <c r="G1082" s="534">
        <v>35</v>
      </c>
      <c r="I1082" s="534">
        <v>0</v>
      </c>
      <c r="J1082" s="534">
        <v>0</v>
      </c>
      <c r="K1082" s="534">
        <v>2</v>
      </c>
    </row>
    <row r="1083" spans="2:11" x14ac:dyDescent="0.3">
      <c r="B1083" s="529">
        <f t="shared" si="37"/>
        <v>1078001</v>
      </c>
      <c r="C1083" s="529">
        <f t="shared" si="38"/>
        <v>1079</v>
      </c>
      <c r="E1083" s="534">
        <v>0</v>
      </c>
      <c r="F1083" s="534">
        <v>0</v>
      </c>
      <c r="G1083" s="534">
        <v>34</v>
      </c>
      <c r="I1083" s="534">
        <v>0</v>
      </c>
      <c r="J1083" s="534">
        <v>0</v>
      </c>
      <c r="K1083" s="534">
        <v>2</v>
      </c>
    </row>
    <row r="1084" spans="2:11" x14ac:dyDescent="0.3">
      <c r="B1084" s="529">
        <f t="shared" si="37"/>
        <v>1079001</v>
      </c>
      <c r="C1084" s="529">
        <f t="shared" si="38"/>
        <v>1080</v>
      </c>
      <c r="E1084" s="534">
        <v>0</v>
      </c>
      <c r="F1084" s="534">
        <v>0</v>
      </c>
      <c r="G1084" s="534">
        <v>34</v>
      </c>
      <c r="I1084" s="534">
        <v>0</v>
      </c>
      <c r="J1084" s="534">
        <v>0</v>
      </c>
      <c r="K1084" s="534">
        <v>2</v>
      </c>
    </row>
    <row r="1085" spans="2:11" x14ac:dyDescent="0.3">
      <c r="B1085" s="529">
        <f t="shared" si="37"/>
        <v>1080001</v>
      </c>
      <c r="C1085" s="529">
        <f t="shared" si="38"/>
        <v>1081</v>
      </c>
      <c r="E1085" s="534">
        <v>0</v>
      </c>
      <c r="F1085" s="534">
        <v>0</v>
      </c>
      <c r="G1085" s="534">
        <v>34</v>
      </c>
      <c r="I1085" s="534">
        <v>0</v>
      </c>
      <c r="J1085" s="534">
        <v>0</v>
      </c>
      <c r="K1085" s="534">
        <v>2</v>
      </c>
    </row>
    <row r="1086" spans="2:11" x14ac:dyDescent="0.3">
      <c r="B1086" s="529">
        <f t="shared" si="37"/>
        <v>1081001</v>
      </c>
      <c r="C1086" s="529">
        <f t="shared" si="38"/>
        <v>1082</v>
      </c>
      <c r="E1086" s="534">
        <v>0</v>
      </c>
      <c r="F1086" s="534">
        <v>0</v>
      </c>
      <c r="G1086" s="534">
        <v>34</v>
      </c>
      <c r="I1086" s="534">
        <v>0</v>
      </c>
      <c r="J1086" s="534">
        <v>0</v>
      </c>
      <c r="K1086" s="534">
        <v>2</v>
      </c>
    </row>
    <row r="1087" spans="2:11" x14ac:dyDescent="0.3">
      <c r="B1087" s="529">
        <f t="shared" si="37"/>
        <v>1082001</v>
      </c>
      <c r="C1087" s="529">
        <f t="shared" si="38"/>
        <v>1083</v>
      </c>
      <c r="E1087" s="534">
        <v>0</v>
      </c>
      <c r="F1087" s="534">
        <v>0</v>
      </c>
      <c r="G1087" s="534">
        <v>34</v>
      </c>
      <c r="I1087" s="534">
        <v>0</v>
      </c>
      <c r="J1087" s="534">
        <v>0</v>
      </c>
      <c r="K1087" s="534">
        <v>2</v>
      </c>
    </row>
    <row r="1088" spans="2:11" x14ac:dyDescent="0.3">
      <c r="B1088" s="529">
        <f t="shared" si="37"/>
        <v>1083001</v>
      </c>
      <c r="C1088" s="529">
        <f t="shared" si="38"/>
        <v>1084</v>
      </c>
      <c r="E1088" s="534">
        <v>0</v>
      </c>
      <c r="F1088" s="534">
        <v>0</v>
      </c>
      <c r="G1088" s="534">
        <v>34</v>
      </c>
      <c r="I1088" s="534">
        <v>0</v>
      </c>
      <c r="J1088" s="534">
        <v>0</v>
      </c>
      <c r="K1088" s="534">
        <v>2</v>
      </c>
    </row>
    <row r="1089" spans="2:11" x14ac:dyDescent="0.3">
      <c r="B1089" s="529">
        <f t="shared" si="37"/>
        <v>1084001</v>
      </c>
      <c r="C1089" s="529">
        <f t="shared" si="38"/>
        <v>1085</v>
      </c>
      <c r="E1089" s="534">
        <v>1</v>
      </c>
      <c r="F1089" s="534">
        <v>1085</v>
      </c>
      <c r="G1089" s="534">
        <v>34</v>
      </c>
      <c r="I1089" s="534">
        <v>0</v>
      </c>
      <c r="J1089" s="534">
        <v>0</v>
      </c>
      <c r="K1089" s="534">
        <v>2</v>
      </c>
    </row>
    <row r="1090" spans="2:11" x14ac:dyDescent="0.3">
      <c r="B1090" s="529">
        <f t="shared" si="37"/>
        <v>1085001</v>
      </c>
      <c r="C1090" s="529">
        <f t="shared" si="38"/>
        <v>1086</v>
      </c>
      <c r="E1090" s="534">
        <v>0</v>
      </c>
      <c r="F1090" s="534">
        <v>0</v>
      </c>
      <c r="G1090" s="534">
        <v>33</v>
      </c>
      <c r="I1090" s="534">
        <v>0</v>
      </c>
      <c r="J1090" s="534">
        <v>0</v>
      </c>
      <c r="K1090" s="534">
        <v>2</v>
      </c>
    </row>
    <row r="1091" spans="2:11" x14ac:dyDescent="0.3">
      <c r="B1091" s="529">
        <f t="shared" si="37"/>
        <v>1086001</v>
      </c>
      <c r="C1091" s="529">
        <f t="shared" si="38"/>
        <v>1087</v>
      </c>
      <c r="E1091" s="534">
        <v>0</v>
      </c>
      <c r="F1091" s="534">
        <v>0</v>
      </c>
      <c r="G1091" s="534">
        <v>33</v>
      </c>
      <c r="I1091" s="534">
        <v>0</v>
      </c>
      <c r="J1091" s="534">
        <v>0</v>
      </c>
      <c r="K1091" s="534">
        <v>2</v>
      </c>
    </row>
    <row r="1092" spans="2:11" x14ac:dyDescent="0.3">
      <c r="B1092" s="529">
        <f t="shared" si="37"/>
        <v>1087001</v>
      </c>
      <c r="C1092" s="529">
        <f t="shared" si="38"/>
        <v>1088</v>
      </c>
      <c r="E1092" s="534">
        <v>0</v>
      </c>
      <c r="F1092" s="534">
        <v>0</v>
      </c>
      <c r="G1092" s="534">
        <v>33</v>
      </c>
      <c r="I1092" s="534">
        <v>0</v>
      </c>
      <c r="J1092" s="534">
        <v>0</v>
      </c>
      <c r="K1092" s="534">
        <v>2</v>
      </c>
    </row>
    <row r="1093" spans="2:11" x14ac:dyDescent="0.3">
      <c r="B1093" s="529">
        <f t="shared" si="37"/>
        <v>1088001</v>
      </c>
      <c r="C1093" s="529">
        <f t="shared" si="38"/>
        <v>1089</v>
      </c>
      <c r="E1093" s="534">
        <v>0</v>
      </c>
      <c r="F1093" s="534">
        <v>0</v>
      </c>
      <c r="G1093" s="534">
        <v>33</v>
      </c>
      <c r="I1093" s="534">
        <v>0</v>
      </c>
      <c r="J1093" s="534">
        <v>0</v>
      </c>
      <c r="K1093" s="534">
        <v>2</v>
      </c>
    </row>
    <row r="1094" spans="2:11" x14ac:dyDescent="0.3">
      <c r="B1094" s="529">
        <f t="shared" si="37"/>
        <v>1089001</v>
      </c>
      <c r="C1094" s="529">
        <f t="shared" si="38"/>
        <v>1090</v>
      </c>
      <c r="E1094" s="534">
        <v>0</v>
      </c>
      <c r="F1094" s="534">
        <v>0</v>
      </c>
      <c r="G1094" s="534">
        <v>33</v>
      </c>
      <c r="I1094" s="534">
        <v>0</v>
      </c>
      <c r="J1094" s="534">
        <v>0</v>
      </c>
      <c r="K1094" s="534">
        <v>2</v>
      </c>
    </row>
    <row r="1095" spans="2:11" x14ac:dyDescent="0.3">
      <c r="B1095" s="529">
        <f t="shared" ref="B1095:B1158" si="39">C1094*1000+1</f>
        <v>1090001</v>
      </c>
      <c r="C1095" s="529">
        <f t="shared" si="38"/>
        <v>1091</v>
      </c>
      <c r="E1095" s="534">
        <v>0</v>
      </c>
      <c r="F1095" s="534">
        <v>0</v>
      </c>
      <c r="G1095" s="534">
        <v>33</v>
      </c>
      <c r="I1095" s="534">
        <v>0</v>
      </c>
      <c r="J1095" s="534">
        <v>0</v>
      </c>
      <c r="K1095" s="534">
        <v>2</v>
      </c>
    </row>
    <row r="1096" spans="2:11" x14ac:dyDescent="0.3">
      <c r="B1096" s="529">
        <f t="shared" si="39"/>
        <v>1091001</v>
      </c>
      <c r="C1096" s="529">
        <f t="shared" si="38"/>
        <v>1092</v>
      </c>
      <c r="E1096" s="534">
        <v>0</v>
      </c>
      <c r="F1096" s="534">
        <v>0</v>
      </c>
      <c r="G1096" s="534">
        <v>33</v>
      </c>
      <c r="I1096" s="534">
        <v>0</v>
      </c>
      <c r="J1096" s="534">
        <v>0</v>
      </c>
      <c r="K1096" s="534">
        <v>2</v>
      </c>
    </row>
    <row r="1097" spans="2:11" x14ac:dyDescent="0.3">
      <c r="B1097" s="529">
        <f t="shared" si="39"/>
        <v>1092001</v>
      </c>
      <c r="C1097" s="529">
        <f t="shared" si="38"/>
        <v>1093</v>
      </c>
      <c r="E1097" s="534">
        <v>0</v>
      </c>
      <c r="F1097" s="534">
        <v>0</v>
      </c>
      <c r="G1097" s="534">
        <v>33</v>
      </c>
      <c r="I1097" s="534">
        <v>0</v>
      </c>
      <c r="J1097" s="534">
        <v>0</v>
      </c>
      <c r="K1097" s="534">
        <v>2</v>
      </c>
    </row>
    <row r="1098" spans="2:11" x14ac:dyDescent="0.3">
      <c r="B1098" s="529">
        <f t="shared" si="39"/>
        <v>1093001</v>
      </c>
      <c r="C1098" s="529">
        <f t="shared" si="38"/>
        <v>1094</v>
      </c>
      <c r="E1098" s="534">
        <v>0</v>
      </c>
      <c r="F1098" s="534">
        <v>0</v>
      </c>
      <c r="G1098" s="534">
        <v>33</v>
      </c>
      <c r="I1098" s="534">
        <v>0</v>
      </c>
      <c r="J1098" s="534">
        <v>0</v>
      </c>
      <c r="K1098" s="534">
        <v>2</v>
      </c>
    </row>
    <row r="1099" spans="2:11" x14ac:dyDescent="0.3">
      <c r="B1099" s="529">
        <f t="shared" si="39"/>
        <v>1094001</v>
      </c>
      <c r="C1099" s="529">
        <f t="shared" si="38"/>
        <v>1095</v>
      </c>
      <c r="E1099" s="534">
        <v>1</v>
      </c>
      <c r="F1099" s="534">
        <v>1095</v>
      </c>
      <c r="G1099" s="534">
        <v>33</v>
      </c>
      <c r="I1099" s="534">
        <v>0</v>
      </c>
      <c r="J1099" s="534">
        <v>0</v>
      </c>
      <c r="K1099" s="534">
        <v>2</v>
      </c>
    </row>
    <row r="1100" spans="2:11" x14ac:dyDescent="0.3">
      <c r="B1100" s="529">
        <f t="shared" si="39"/>
        <v>1095001</v>
      </c>
      <c r="C1100" s="529">
        <f t="shared" si="38"/>
        <v>1096</v>
      </c>
      <c r="E1100" s="534">
        <v>0</v>
      </c>
      <c r="F1100" s="534">
        <v>0</v>
      </c>
      <c r="G1100" s="534">
        <v>32</v>
      </c>
      <c r="I1100" s="534">
        <v>0</v>
      </c>
      <c r="J1100" s="534">
        <v>0</v>
      </c>
      <c r="K1100" s="534">
        <v>2</v>
      </c>
    </row>
    <row r="1101" spans="2:11" x14ac:dyDescent="0.3">
      <c r="B1101" s="529">
        <f t="shared" si="39"/>
        <v>1096001</v>
      </c>
      <c r="C1101" s="529">
        <f t="shared" si="38"/>
        <v>1097</v>
      </c>
      <c r="E1101" s="534">
        <v>0</v>
      </c>
      <c r="F1101" s="534">
        <v>0</v>
      </c>
      <c r="G1101" s="534">
        <v>32</v>
      </c>
      <c r="I1101" s="534">
        <v>0</v>
      </c>
      <c r="J1101" s="534">
        <v>0</v>
      </c>
      <c r="K1101" s="534">
        <v>2</v>
      </c>
    </row>
    <row r="1102" spans="2:11" x14ac:dyDescent="0.3">
      <c r="B1102" s="529">
        <f t="shared" si="39"/>
        <v>1097001</v>
      </c>
      <c r="C1102" s="529">
        <f t="shared" si="38"/>
        <v>1098</v>
      </c>
      <c r="E1102" s="534">
        <v>0</v>
      </c>
      <c r="F1102" s="534">
        <v>0</v>
      </c>
      <c r="G1102" s="534">
        <v>32</v>
      </c>
      <c r="I1102" s="534">
        <v>0</v>
      </c>
      <c r="J1102" s="534">
        <v>0</v>
      </c>
      <c r="K1102" s="534">
        <v>2</v>
      </c>
    </row>
    <row r="1103" spans="2:11" x14ac:dyDescent="0.3">
      <c r="B1103" s="529">
        <f t="shared" si="39"/>
        <v>1098001</v>
      </c>
      <c r="C1103" s="529">
        <f t="shared" si="38"/>
        <v>1099</v>
      </c>
      <c r="E1103" s="534">
        <v>0</v>
      </c>
      <c r="F1103" s="534">
        <v>0</v>
      </c>
      <c r="G1103" s="534">
        <v>32</v>
      </c>
      <c r="I1103" s="534">
        <v>0</v>
      </c>
      <c r="J1103" s="534">
        <v>0</v>
      </c>
      <c r="K1103" s="534">
        <v>2</v>
      </c>
    </row>
    <row r="1104" spans="2:11" x14ac:dyDescent="0.3">
      <c r="B1104" s="529">
        <f t="shared" si="39"/>
        <v>1099001</v>
      </c>
      <c r="C1104" s="529">
        <f t="shared" si="38"/>
        <v>1100</v>
      </c>
      <c r="E1104" s="534">
        <v>0</v>
      </c>
      <c r="F1104" s="534">
        <v>0</v>
      </c>
      <c r="G1104" s="534">
        <v>32</v>
      </c>
      <c r="I1104" s="534">
        <v>0</v>
      </c>
      <c r="J1104" s="534">
        <v>0</v>
      </c>
      <c r="K1104" s="534">
        <v>2</v>
      </c>
    </row>
    <row r="1105" spans="2:11" x14ac:dyDescent="0.3">
      <c r="B1105" s="529">
        <f t="shared" si="39"/>
        <v>1100001</v>
      </c>
      <c r="C1105" s="529">
        <f t="shared" si="38"/>
        <v>1101</v>
      </c>
      <c r="E1105" s="534">
        <v>0</v>
      </c>
      <c r="F1105" s="534">
        <v>0</v>
      </c>
      <c r="G1105" s="534">
        <v>32</v>
      </c>
      <c r="I1105" s="534">
        <v>0</v>
      </c>
      <c r="J1105" s="534">
        <v>0</v>
      </c>
      <c r="K1105" s="534">
        <v>2</v>
      </c>
    </row>
    <row r="1106" spans="2:11" x14ac:dyDescent="0.3">
      <c r="B1106" s="529">
        <f t="shared" si="39"/>
        <v>1101001</v>
      </c>
      <c r="C1106" s="529">
        <f>C1105+1</f>
        <v>1102</v>
      </c>
      <c r="E1106" s="534">
        <v>0</v>
      </c>
      <c r="F1106" s="534">
        <v>0</v>
      </c>
      <c r="G1106" s="534">
        <v>32</v>
      </c>
      <c r="I1106" s="534">
        <v>0</v>
      </c>
      <c r="J1106" s="534">
        <v>0</v>
      </c>
      <c r="K1106" s="534">
        <v>2</v>
      </c>
    </row>
    <row r="1107" spans="2:11" x14ac:dyDescent="0.3">
      <c r="B1107" s="529">
        <f t="shared" si="39"/>
        <v>1102001</v>
      </c>
      <c r="C1107" s="529">
        <f t="shared" ref="C1107:C1170" si="40">C1106+1</f>
        <v>1103</v>
      </c>
      <c r="E1107" s="534">
        <v>0</v>
      </c>
      <c r="F1107" s="534">
        <v>0</v>
      </c>
      <c r="G1107" s="534">
        <v>32</v>
      </c>
      <c r="I1107" s="534">
        <v>0</v>
      </c>
      <c r="J1107" s="534">
        <v>0</v>
      </c>
      <c r="K1107" s="534">
        <v>2</v>
      </c>
    </row>
    <row r="1108" spans="2:11" x14ac:dyDescent="0.3">
      <c r="B1108" s="529">
        <f t="shared" si="39"/>
        <v>1103001</v>
      </c>
      <c r="C1108" s="529">
        <f t="shared" si="40"/>
        <v>1104</v>
      </c>
      <c r="E1108" s="534">
        <v>0</v>
      </c>
      <c r="F1108" s="534">
        <v>0</v>
      </c>
      <c r="G1108" s="534">
        <v>32</v>
      </c>
      <c r="I1108" s="534">
        <v>0</v>
      </c>
      <c r="J1108" s="534">
        <v>0</v>
      </c>
      <c r="K1108" s="534">
        <v>2</v>
      </c>
    </row>
    <row r="1109" spans="2:11" x14ac:dyDescent="0.3">
      <c r="B1109" s="529">
        <f t="shared" si="39"/>
        <v>1104001</v>
      </c>
      <c r="C1109" s="529">
        <f t="shared" si="40"/>
        <v>1105</v>
      </c>
      <c r="E1109" s="534">
        <v>0</v>
      </c>
      <c r="F1109" s="534">
        <v>0</v>
      </c>
      <c r="G1109" s="534">
        <v>32</v>
      </c>
      <c r="I1109" s="534">
        <v>0</v>
      </c>
      <c r="J1109" s="534">
        <v>0</v>
      </c>
      <c r="K1109" s="534">
        <v>2</v>
      </c>
    </row>
    <row r="1110" spans="2:11" x14ac:dyDescent="0.3">
      <c r="B1110" s="529">
        <f t="shared" si="39"/>
        <v>1105001</v>
      </c>
      <c r="C1110" s="529">
        <f t="shared" si="40"/>
        <v>1106</v>
      </c>
      <c r="E1110" s="534">
        <v>0</v>
      </c>
      <c r="F1110" s="534">
        <v>0</v>
      </c>
      <c r="G1110" s="534">
        <v>32</v>
      </c>
      <c r="I1110" s="534">
        <v>0</v>
      </c>
      <c r="J1110" s="534">
        <v>0</v>
      </c>
      <c r="K1110" s="534">
        <v>2</v>
      </c>
    </row>
    <row r="1111" spans="2:11" x14ac:dyDescent="0.3">
      <c r="B1111" s="529">
        <f t="shared" si="39"/>
        <v>1106001</v>
      </c>
      <c r="C1111" s="529">
        <f t="shared" si="40"/>
        <v>1107</v>
      </c>
      <c r="E1111" s="534">
        <v>0</v>
      </c>
      <c r="F1111" s="534">
        <v>0</v>
      </c>
      <c r="G1111" s="534">
        <v>32</v>
      </c>
      <c r="I1111" s="534">
        <v>0</v>
      </c>
      <c r="J1111" s="534">
        <v>0</v>
      </c>
      <c r="K1111" s="534">
        <v>2</v>
      </c>
    </row>
    <row r="1112" spans="2:11" x14ac:dyDescent="0.3">
      <c r="B1112" s="529">
        <f t="shared" si="39"/>
        <v>1107001</v>
      </c>
      <c r="C1112" s="529">
        <f t="shared" si="40"/>
        <v>1108</v>
      </c>
      <c r="E1112" s="534">
        <v>0</v>
      </c>
      <c r="F1112" s="534">
        <v>0</v>
      </c>
      <c r="G1112" s="534">
        <v>32</v>
      </c>
      <c r="I1112" s="534">
        <v>0</v>
      </c>
      <c r="J1112" s="534">
        <v>0</v>
      </c>
      <c r="K1112" s="534">
        <v>2</v>
      </c>
    </row>
    <row r="1113" spans="2:11" x14ac:dyDescent="0.3">
      <c r="B1113" s="529">
        <f t="shared" si="39"/>
        <v>1108001</v>
      </c>
      <c r="C1113" s="529">
        <f t="shared" si="40"/>
        <v>1109</v>
      </c>
      <c r="E1113" s="534">
        <v>0</v>
      </c>
      <c r="F1113" s="534">
        <v>0</v>
      </c>
      <c r="G1113" s="534">
        <v>32</v>
      </c>
      <c r="I1113" s="534">
        <v>0</v>
      </c>
      <c r="J1113" s="534">
        <v>0</v>
      </c>
      <c r="K1113" s="534">
        <v>2</v>
      </c>
    </row>
    <row r="1114" spans="2:11" x14ac:dyDescent="0.3">
      <c r="B1114" s="529">
        <f t="shared" si="39"/>
        <v>1109001</v>
      </c>
      <c r="C1114" s="529">
        <f t="shared" si="40"/>
        <v>1110</v>
      </c>
      <c r="E1114" s="534">
        <v>0</v>
      </c>
      <c r="F1114" s="534">
        <v>0</v>
      </c>
      <c r="G1114" s="534">
        <v>32</v>
      </c>
      <c r="I1114" s="534">
        <v>0</v>
      </c>
      <c r="J1114" s="534">
        <v>0</v>
      </c>
      <c r="K1114" s="534">
        <v>2</v>
      </c>
    </row>
    <row r="1115" spans="2:11" x14ac:dyDescent="0.3">
      <c r="B1115" s="529">
        <f t="shared" si="39"/>
        <v>1110001</v>
      </c>
      <c r="C1115" s="529">
        <f t="shared" si="40"/>
        <v>1111</v>
      </c>
      <c r="E1115" s="534">
        <v>0</v>
      </c>
      <c r="F1115" s="534">
        <v>0</v>
      </c>
      <c r="G1115" s="534">
        <v>32</v>
      </c>
      <c r="I1115" s="534">
        <v>0</v>
      </c>
      <c r="J1115" s="534">
        <v>0</v>
      </c>
      <c r="K1115" s="534">
        <v>2</v>
      </c>
    </row>
    <row r="1116" spans="2:11" x14ac:dyDescent="0.3">
      <c r="B1116" s="529">
        <f t="shared" si="39"/>
        <v>1111001</v>
      </c>
      <c r="C1116" s="529">
        <f t="shared" si="40"/>
        <v>1112</v>
      </c>
      <c r="E1116" s="534">
        <v>0</v>
      </c>
      <c r="F1116" s="534">
        <v>0</v>
      </c>
      <c r="G1116" s="534">
        <v>32</v>
      </c>
      <c r="I1116" s="534">
        <v>0</v>
      </c>
      <c r="J1116" s="534">
        <v>0</v>
      </c>
      <c r="K1116" s="534">
        <v>2</v>
      </c>
    </row>
    <row r="1117" spans="2:11" x14ac:dyDescent="0.3">
      <c r="B1117" s="529">
        <f t="shared" si="39"/>
        <v>1112001</v>
      </c>
      <c r="C1117" s="529">
        <f t="shared" si="40"/>
        <v>1113</v>
      </c>
      <c r="E1117" s="534">
        <v>0</v>
      </c>
      <c r="F1117" s="534">
        <v>0</v>
      </c>
      <c r="G1117" s="534">
        <v>32</v>
      </c>
      <c r="I1117" s="534">
        <v>0</v>
      </c>
      <c r="J1117" s="534">
        <v>0</v>
      </c>
      <c r="K1117" s="534">
        <v>2</v>
      </c>
    </row>
    <row r="1118" spans="2:11" x14ac:dyDescent="0.3">
      <c r="B1118" s="529">
        <f t="shared" si="39"/>
        <v>1113001</v>
      </c>
      <c r="C1118" s="529">
        <f t="shared" si="40"/>
        <v>1114</v>
      </c>
      <c r="E1118" s="534">
        <v>1</v>
      </c>
      <c r="F1118" s="534">
        <v>1114</v>
      </c>
      <c r="G1118" s="534">
        <v>32</v>
      </c>
      <c r="I1118" s="534">
        <v>0</v>
      </c>
      <c r="J1118" s="534">
        <v>0</v>
      </c>
      <c r="K1118" s="534">
        <v>2</v>
      </c>
    </row>
    <row r="1119" spans="2:11" x14ac:dyDescent="0.3">
      <c r="B1119" s="529">
        <f t="shared" si="39"/>
        <v>1114001</v>
      </c>
      <c r="C1119" s="529">
        <f t="shared" si="40"/>
        <v>1115</v>
      </c>
      <c r="E1119" s="534">
        <v>0</v>
      </c>
      <c r="F1119" s="534">
        <v>0</v>
      </c>
      <c r="G1119" s="534">
        <v>31</v>
      </c>
      <c r="I1119" s="534">
        <v>0</v>
      </c>
      <c r="J1119" s="534">
        <v>0</v>
      </c>
      <c r="K1119" s="534">
        <v>2</v>
      </c>
    </row>
    <row r="1120" spans="2:11" x14ac:dyDescent="0.3">
      <c r="B1120" s="529">
        <f t="shared" si="39"/>
        <v>1115001</v>
      </c>
      <c r="C1120" s="529">
        <f t="shared" si="40"/>
        <v>1116</v>
      </c>
      <c r="E1120" s="534">
        <v>0</v>
      </c>
      <c r="F1120" s="534">
        <v>0</v>
      </c>
      <c r="G1120" s="534">
        <v>31</v>
      </c>
      <c r="I1120" s="534">
        <v>0</v>
      </c>
      <c r="J1120" s="534">
        <v>0</v>
      </c>
      <c r="K1120" s="534">
        <v>2</v>
      </c>
    </row>
    <row r="1121" spans="2:11" x14ac:dyDescent="0.3">
      <c r="B1121" s="529">
        <f t="shared" si="39"/>
        <v>1116001</v>
      </c>
      <c r="C1121" s="529">
        <f t="shared" si="40"/>
        <v>1117</v>
      </c>
      <c r="E1121" s="534">
        <v>0</v>
      </c>
      <c r="F1121" s="534">
        <v>0</v>
      </c>
      <c r="G1121" s="534">
        <v>31</v>
      </c>
      <c r="I1121" s="534">
        <v>0</v>
      </c>
      <c r="J1121" s="534">
        <v>0</v>
      </c>
      <c r="K1121" s="534">
        <v>2</v>
      </c>
    </row>
    <row r="1122" spans="2:11" x14ac:dyDescent="0.3">
      <c r="B1122" s="529">
        <f t="shared" si="39"/>
        <v>1117001</v>
      </c>
      <c r="C1122" s="529">
        <f t="shared" si="40"/>
        <v>1118</v>
      </c>
      <c r="E1122" s="534">
        <v>0</v>
      </c>
      <c r="F1122" s="534">
        <v>0</v>
      </c>
      <c r="G1122" s="534">
        <v>31</v>
      </c>
      <c r="I1122" s="534">
        <v>0</v>
      </c>
      <c r="J1122" s="534">
        <v>0</v>
      </c>
      <c r="K1122" s="534">
        <v>2</v>
      </c>
    </row>
    <row r="1123" spans="2:11" x14ac:dyDescent="0.3">
      <c r="B1123" s="529">
        <f t="shared" si="39"/>
        <v>1118001</v>
      </c>
      <c r="C1123" s="529">
        <f t="shared" si="40"/>
        <v>1119</v>
      </c>
      <c r="E1123" s="534">
        <v>0</v>
      </c>
      <c r="F1123" s="534">
        <v>0</v>
      </c>
      <c r="G1123" s="534">
        <v>31</v>
      </c>
      <c r="I1123" s="534">
        <v>0</v>
      </c>
      <c r="J1123" s="534">
        <v>0</v>
      </c>
      <c r="K1123" s="534">
        <v>2</v>
      </c>
    </row>
    <row r="1124" spans="2:11" x14ac:dyDescent="0.3">
      <c r="B1124" s="529">
        <f t="shared" si="39"/>
        <v>1119001</v>
      </c>
      <c r="C1124" s="529">
        <f t="shared" si="40"/>
        <v>1120</v>
      </c>
      <c r="E1124" s="534">
        <v>0</v>
      </c>
      <c r="F1124" s="534">
        <v>0</v>
      </c>
      <c r="G1124" s="534">
        <v>31</v>
      </c>
      <c r="I1124" s="534">
        <v>0</v>
      </c>
      <c r="J1124" s="534">
        <v>0</v>
      </c>
      <c r="K1124" s="534">
        <v>2</v>
      </c>
    </row>
    <row r="1125" spans="2:11" x14ac:dyDescent="0.3">
      <c r="B1125" s="529">
        <f t="shared" si="39"/>
        <v>1120001</v>
      </c>
      <c r="C1125" s="529">
        <f t="shared" si="40"/>
        <v>1121</v>
      </c>
      <c r="E1125" s="534">
        <v>0</v>
      </c>
      <c r="F1125" s="534">
        <v>0</v>
      </c>
      <c r="G1125" s="534">
        <v>31</v>
      </c>
      <c r="I1125" s="534">
        <v>0</v>
      </c>
      <c r="J1125" s="534">
        <v>0</v>
      </c>
      <c r="K1125" s="534">
        <v>2</v>
      </c>
    </row>
    <row r="1126" spans="2:11" x14ac:dyDescent="0.3">
      <c r="B1126" s="529">
        <f t="shared" si="39"/>
        <v>1121001</v>
      </c>
      <c r="C1126" s="529">
        <f t="shared" si="40"/>
        <v>1122</v>
      </c>
      <c r="E1126" s="534">
        <v>0</v>
      </c>
      <c r="F1126" s="534">
        <v>0</v>
      </c>
      <c r="G1126" s="534">
        <v>31</v>
      </c>
      <c r="I1126" s="534">
        <v>0</v>
      </c>
      <c r="J1126" s="534">
        <v>0</v>
      </c>
      <c r="K1126" s="534">
        <v>2</v>
      </c>
    </row>
    <row r="1127" spans="2:11" x14ac:dyDescent="0.3">
      <c r="B1127" s="529">
        <f t="shared" si="39"/>
        <v>1122001</v>
      </c>
      <c r="C1127" s="529">
        <f t="shared" si="40"/>
        <v>1123</v>
      </c>
      <c r="E1127" s="534">
        <v>0</v>
      </c>
      <c r="F1127" s="534">
        <v>0</v>
      </c>
      <c r="G1127" s="534">
        <v>31</v>
      </c>
      <c r="I1127" s="534">
        <v>0</v>
      </c>
      <c r="J1127" s="534">
        <v>0</v>
      </c>
      <c r="K1127" s="534">
        <v>2</v>
      </c>
    </row>
    <row r="1128" spans="2:11" x14ac:dyDescent="0.3">
      <c r="B1128" s="529">
        <f t="shared" si="39"/>
        <v>1123001</v>
      </c>
      <c r="C1128" s="529">
        <f t="shared" si="40"/>
        <v>1124</v>
      </c>
      <c r="E1128" s="534">
        <v>0</v>
      </c>
      <c r="F1128" s="534">
        <v>0</v>
      </c>
      <c r="G1128" s="534">
        <v>31</v>
      </c>
      <c r="I1128" s="534">
        <v>0</v>
      </c>
      <c r="J1128" s="534">
        <v>0</v>
      </c>
      <c r="K1128" s="534">
        <v>2</v>
      </c>
    </row>
    <row r="1129" spans="2:11" x14ac:dyDescent="0.3">
      <c r="B1129" s="529">
        <f t="shared" si="39"/>
        <v>1124001</v>
      </c>
      <c r="C1129" s="529">
        <f t="shared" si="40"/>
        <v>1125</v>
      </c>
      <c r="E1129" s="534">
        <v>0</v>
      </c>
      <c r="F1129" s="534">
        <v>0</v>
      </c>
      <c r="G1129" s="534">
        <v>31</v>
      </c>
      <c r="I1129" s="534">
        <v>0</v>
      </c>
      <c r="J1129" s="534">
        <v>0</v>
      </c>
      <c r="K1129" s="534">
        <v>2</v>
      </c>
    </row>
    <row r="1130" spans="2:11" x14ac:dyDescent="0.3">
      <c r="B1130" s="529">
        <f t="shared" si="39"/>
        <v>1125001</v>
      </c>
      <c r="C1130" s="529">
        <f t="shared" si="40"/>
        <v>1126</v>
      </c>
      <c r="E1130" s="534">
        <v>0</v>
      </c>
      <c r="F1130" s="534">
        <v>0</v>
      </c>
      <c r="G1130" s="534">
        <v>31</v>
      </c>
      <c r="I1130" s="534">
        <v>0</v>
      </c>
      <c r="J1130" s="534">
        <v>0</v>
      </c>
      <c r="K1130" s="534">
        <v>2</v>
      </c>
    </row>
    <row r="1131" spans="2:11" x14ac:dyDescent="0.3">
      <c r="B1131" s="529">
        <f t="shared" si="39"/>
        <v>1126001</v>
      </c>
      <c r="C1131" s="529">
        <f t="shared" si="40"/>
        <v>1127</v>
      </c>
      <c r="E1131" s="534">
        <v>0</v>
      </c>
      <c r="F1131" s="534">
        <v>0</v>
      </c>
      <c r="G1131" s="534">
        <v>31</v>
      </c>
      <c r="I1131" s="534">
        <v>0</v>
      </c>
      <c r="J1131" s="534">
        <v>0</v>
      </c>
      <c r="K1131" s="534">
        <v>2</v>
      </c>
    </row>
    <row r="1132" spans="2:11" x14ac:dyDescent="0.3">
      <c r="B1132" s="529">
        <f t="shared" si="39"/>
        <v>1127001</v>
      </c>
      <c r="C1132" s="529">
        <f t="shared" si="40"/>
        <v>1128</v>
      </c>
      <c r="E1132" s="534">
        <v>0</v>
      </c>
      <c r="F1132" s="534">
        <v>0</v>
      </c>
      <c r="G1132" s="534">
        <v>31</v>
      </c>
      <c r="I1132" s="534">
        <v>0</v>
      </c>
      <c r="J1132" s="534">
        <v>0</v>
      </c>
      <c r="K1132" s="534">
        <v>2</v>
      </c>
    </row>
    <row r="1133" spans="2:11" x14ac:dyDescent="0.3">
      <c r="B1133" s="529">
        <f t="shared" si="39"/>
        <v>1128001</v>
      </c>
      <c r="C1133" s="529">
        <f t="shared" si="40"/>
        <v>1129</v>
      </c>
      <c r="E1133" s="534">
        <v>0</v>
      </c>
      <c r="F1133" s="534">
        <v>0</v>
      </c>
      <c r="G1133" s="534">
        <v>31</v>
      </c>
      <c r="I1133" s="534">
        <v>0</v>
      </c>
      <c r="J1133" s="534">
        <v>0</v>
      </c>
      <c r="K1133" s="534">
        <v>2</v>
      </c>
    </row>
    <row r="1134" spans="2:11" x14ac:dyDescent="0.3">
      <c r="B1134" s="529">
        <f t="shared" si="39"/>
        <v>1129001</v>
      </c>
      <c r="C1134" s="529">
        <f t="shared" si="40"/>
        <v>1130</v>
      </c>
      <c r="E1134" s="534">
        <v>0</v>
      </c>
      <c r="F1134" s="534">
        <v>0</v>
      </c>
      <c r="G1134" s="534">
        <v>31</v>
      </c>
      <c r="I1134" s="534">
        <v>0</v>
      </c>
      <c r="J1134" s="534">
        <v>0</v>
      </c>
      <c r="K1134" s="534">
        <v>2</v>
      </c>
    </row>
    <row r="1135" spans="2:11" x14ac:dyDescent="0.3">
      <c r="B1135" s="529">
        <f t="shared" si="39"/>
        <v>1130001</v>
      </c>
      <c r="C1135" s="529">
        <f t="shared" si="40"/>
        <v>1131</v>
      </c>
      <c r="E1135" s="534">
        <v>0</v>
      </c>
      <c r="F1135" s="534">
        <v>0</v>
      </c>
      <c r="G1135" s="534">
        <v>31</v>
      </c>
      <c r="I1135" s="534">
        <v>0</v>
      </c>
      <c r="J1135" s="534">
        <v>0</v>
      </c>
      <c r="K1135" s="534">
        <v>2</v>
      </c>
    </row>
    <row r="1136" spans="2:11" x14ac:dyDescent="0.3">
      <c r="B1136" s="529">
        <f t="shared" si="39"/>
        <v>1131001</v>
      </c>
      <c r="C1136" s="529">
        <f t="shared" si="40"/>
        <v>1132</v>
      </c>
      <c r="E1136" s="534">
        <v>0</v>
      </c>
      <c r="F1136" s="534">
        <v>0</v>
      </c>
      <c r="G1136" s="534">
        <v>31</v>
      </c>
      <c r="I1136" s="534">
        <v>0</v>
      </c>
      <c r="J1136" s="534">
        <v>0</v>
      </c>
      <c r="K1136" s="534">
        <v>2</v>
      </c>
    </row>
    <row r="1137" spans="2:11" x14ac:dyDescent="0.3">
      <c r="B1137" s="529">
        <f t="shared" si="39"/>
        <v>1132001</v>
      </c>
      <c r="C1137" s="529">
        <f t="shared" si="40"/>
        <v>1133</v>
      </c>
      <c r="E1137" s="534">
        <v>1</v>
      </c>
      <c r="F1137" s="534">
        <v>1133</v>
      </c>
      <c r="G1137" s="534">
        <v>31</v>
      </c>
      <c r="I1137" s="534">
        <v>0</v>
      </c>
      <c r="J1137" s="534">
        <v>0</v>
      </c>
      <c r="K1137" s="534">
        <v>2</v>
      </c>
    </row>
    <row r="1138" spans="2:11" x14ac:dyDescent="0.3">
      <c r="B1138" s="529">
        <f t="shared" si="39"/>
        <v>1133001</v>
      </c>
      <c r="C1138" s="529">
        <f t="shared" si="40"/>
        <v>1134</v>
      </c>
      <c r="E1138" s="534">
        <v>0</v>
      </c>
      <c r="F1138" s="534">
        <v>0</v>
      </c>
      <c r="G1138" s="534">
        <v>30</v>
      </c>
      <c r="I1138" s="534">
        <v>0</v>
      </c>
      <c r="J1138" s="534">
        <v>0</v>
      </c>
      <c r="K1138" s="534">
        <v>2</v>
      </c>
    </row>
    <row r="1139" spans="2:11" x14ac:dyDescent="0.3">
      <c r="B1139" s="529">
        <f t="shared" si="39"/>
        <v>1134001</v>
      </c>
      <c r="C1139" s="529">
        <f t="shared" si="40"/>
        <v>1135</v>
      </c>
      <c r="E1139" s="534">
        <v>0</v>
      </c>
      <c r="F1139" s="534">
        <v>0</v>
      </c>
      <c r="G1139" s="534">
        <v>30</v>
      </c>
      <c r="I1139" s="534">
        <v>0</v>
      </c>
      <c r="J1139" s="534">
        <v>0</v>
      </c>
      <c r="K1139" s="534">
        <v>2</v>
      </c>
    </row>
    <row r="1140" spans="2:11" x14ac:dyDescent="0.3">
      <c r="B1140" s="529">
        <f t="shared" si="39"/>
        <v>1135001</v>
      </c>
      <c r="C1140" s="529">
        <f t="shared" si="40"/>
        <v>1136</v>
      </c>
      <c r="E1140" s="534">
        <v>0</v>
      </c>
      <c r="F1140" s="534">
        <v>0</v>
      </c>
      <c r="G1140" s="534">
        <v>30</v>
      </c>
      <c r="I1140" s="534">
        <v>0</v>
      </c>
      <c r="J1140" s="534">
        <v>0</v>
      </c>
      <c r="K1140" s="534">
        <v>2</v>
      </c>
    </row>
    <row r="1141" spans="2:11" x14ac:dyDescent="0.3">
      <c r="B1141" s="529">
        <f t="shared" si="39"/>
        <v>1136001</v>
      </c>
      <c r="C1141" s="529">
        <f t="shared" si="40"/>
        <v>1137</v>
      </c>
      <c r="E1141" s="534">
        <v>0</v>
      </c>
      <c r="F1141" s="534">
        <v>0</v>
      </c>
      <c r="G1141" s="534">
        <v>30</v>
      </c>
      <c r="I1141" s="534">
        <v>0</v>
      </c>
      <c r="J1141" s="534">
        <v>0</v>
      </c>
      <c r="K1141" s="534">
        <v>2</v>
      </c>
    </row>
    <row r="1142" spans="2:11" x14ac:dyDescent="0.3">
      <c r="B1142" s="529">
        <f t="shared" si="39"/>
        <v>1137001</v>
      </c>
      <c r="C1142" s="529">
        <f t="shared" si="40"/>
        <v>1138</v>
      </c>
      <c r="E1142" s="534">
        <v>0</v>
      </c>
      <c r="F1142" s="534">
        <v>0</v>
      </c>
      <c r="G1142" s="534">
        <v>30</v>
      </c>
      <c r="I1142" s="534">
        <v>0</v>
      </c>
      <c r="J1142" s="534">
        <v>0</v>
      </c>
      <c r="K1142" s="534">
        <v>2</v>
      </c>
    </row>
    <row r="1143" spans="2:11" x14ac:dyDescent="0.3">
      <c r="B1143" s="529">
        <f t="shared" si="39"/>
        <v>1138001</v>
      </c>
      <c r="C1143" s="529">
        <f t="shared" si="40"/>
        <v>1139</v>
      </c>
      <c r="E1143" s="534">
        <v>0</v>
      </c>
      <c r="F1143" s="534">
        <v>0</v>
      </c>
      <c r="G1143" s="534">
        <v>30</v>
      </c>
      <c r="I1143" s="534">
        <v>0</v>
      </c>
      <c r="J1143" s="534">
        <v>0</v>
      </c>
      <c r="K1143" s="534">
        <v>2</v>
      </c>
    </row>
    <row r="1144" spans="2:11" x14ac:dyDescent="0.3">
      <c r="B1144" s="529">
        <f t="shared" si="39"/>
        <v>1139001</v>
      </c>
      <c r="C1144" s="529">
        <f t="shared" si="40"/>
        <v>1140</v>
      </c>
      <c r="E1144" s="534">
        <v>0</v>
      </c>
      <c r="F1144" s="534">
        <v>0</v>
      </c>
      <c r="G1144" s="534">
        <v>30</v>
      </c>
      <c r="I1144" s="534">
        <v>0</v>
      </c>
      <c r="J1144" s="534">
        <v>0</v>
      </c>
      <c r="K1144" s="534">
        <v>2</v>
      </c>
    </row>
    <row r="1145" spans="2:11" x14ac:dyDescent="0.3">
      <c r="B1145" s="529">
        <f t="shared" si="39"/>
        <v>1140001</v>
      </c>
      <c r="C1145" s="529">
        <f t="shared" si="40"/>
        <v>1141</v>
      </c>
      <c r="E1145" s="534">
        <v>0</v>
      </c>
      <c r="F1145" s="534">
        <v>0</v>
      </c>
      <c r="G1145" s="534">
        <v>30</v>
      </c>
      <c r="I1145" s="534">
        <v>0</v>
      </c>
      <c r="J1145" s="534">
        <v>0</v>
      </c>
      <c r="K1145" s="534">
        <v>2</v>
      </c>
    </row>
    <row r="1146" spans="2:11" x14ac:dyDescent="0.3">
      <c r="B1146" s="529">
        <f t="shared" si="39"/>
        <v>1141001</v>
      </c>
      <c r="C1146" s="529">
        <f t="shared" si="40"/>
        <v>1142</v>
      </c>
      <c r="E1146" s="534">
        <v>0</v>
      </c>
      <c r="F1146" s="534">
        <v>0</v>
      </c>
      <c r="G1146" s="534">
        <v>30</v>
      </c>
      <c r="I1146" s="534">
        <v>0</v>
      </c>
      <c r="J1146" s="534">
        <v>0</v>
      </c>
      <c r="K1146" s="534">
        <v>2</v>
      </c>
    </row>
    <row r="1147" spans="2:11" x14ac:dyDescent="0.3">
      <c r="B1147" s="529">
        <f t="shared" si="39"/>
        <v>1142001</v>
      </c>
      <c r="C1147" s="529">
        <f t="shared" si="40"/>
        <v>1143</v>
      </c>
      <c r="E1147" s="534">
        <v>0</v>
      </c>
      <c r="F1147" s="534">
        <v>0</v>
      </c>
      <c r="G1147" s="534">
        <v>30</v>
      </c>
      <c r="I1147" s="534">
        <v>0</v>
      </c>
      <c r="J1147" s="534">
        <v>0</v>
      </c>
      <c r="K1147" s="534">
        <v>2</v>
      </c>
    </row>
    <row r="1148" spans="2:11" x14ac:dyDescent="0.3">
      <c r="B1148" s="529">
        <f t="shared" si="39"/>
        <v>1143001</v>
      </c>
      <c r="C1148" s="529">
        <f t="shared" si="40"/>
        <v>1144</v>
      </c>
      <c r="E1148" s="534">
        <v>0</v>
      </c>
      <c r="F1148" s="534">
        <v>0</v>
      </c>
      <c r="G1148" s="534">
        <v>30</v>
      </c>
      <c r="I1148" s="534">
        <v>0</v>
      </c>
      <c r="J1148" s="534">
        <v>0</v>
      </c>
      <c r="K1148" s="534">
        <v>2</v>
      </c>
    </row>
    <row r="1149" spans="2:11" x14ac:dyDescent="0.3">
      <c r="B1149" s="529">
        <f t="shared" si="39"/>
        <v>1144001</v>
      </c>
      <c r="C1149" s="529">
        <f t="shared" si="40"/>
        <v>1145</v>
      </c>
      <c r="E1149" s="534">
        <v>0</v>
      </c>
      <c r="F1149" s="534">
        <v>0</v>
      </c>
      <c r="G1149" s="534">
        <v>30</v>
      </c>
      <c r="I1149" s="534">
        <v>0</v>
      </c>
      <c r="J1149" s="534">
        <v>0</v>
      </c>
      <c r="K1149" s="534">
        <v>2</v>
      </c>
    </row>
    <row r="1150" spans="2:11" x14ac:dyDescent="0.3">
      <c r="B1150" s="529">
        <f t="shared" si="39"/>
        <v>1145001</v>
      </c>
      <c r="C1150" s="529">
        <f t="shared" si="40"/>
        <v>1146</v>
      </c>
      <c r="E1150" s="534">
        <v>0</v>
      </c>
      <c r="F1150" s="534">
        <v>0</v>
      </c>
      <c r="G1150" s="534">
        <v>30</v>
      </c>
      <c r="I1150" s="534">
        <v>0</v>
      </c>
      <c r="J1150" s="534">
        <v>0</v>
      </c>
      <c r="K1150" s="534">
        <v>2</v>
      </c>
    </row>
    <row r="1151" spans="2:11" x14ac:dyDescent="0.3">
      <c r="B1151" s="529">
        <f t="shared" si="39"/>
        <v>1146001</v>
      </c>
      <c r="C1151" s="529">
        <f t="shared" si="40"/>
        <v>1147</v>
      </c>
      <c r="E1151" s="534">
        <v>0</v>
      </c>
      <c r="F1151" s="534">
        <v>0</v>
      </c>
      <c r="G1151" s="534">
        <v>30</v>
      </c>
      <c r="I1151" s="534">
        <v>0</v>
      </c>
      <c r="J1151" s="534">
        <v>0</v>
      </c>
      <c r="K1151" s="534">
        <v>2</v>
      </c>
    </row>
    <row r="1152" spans="2:11" x14ac:dyDescent="0.3">
      <c r="B1152" s="529">
        <f t="shared" si="39"/>
        <v>1147001</v>
      </c>
      <c r="C1152" s="529">
        <f t="shared" si="40"/>
        <v>1148</v>
      </c>
      <c r="E1152" s="534">
        <v>0</v>
      </c>
      <c r="F1152" s="534">
        <v>0</v>
      </c>
      <c r="G1152" s="534">
        <v>30</v>
      </c>
      <c r="I1152" s="534">
        <v>0</v>
      </c>
      <c r="J1152" s="534">
        <v>0</v>
      </c>
      <c r="K1152" s="534">
        <v>2</v>
      </c>
    </row>
    <row r="1153" spans="2:11" x14ac:dyDescent="0.3">
      <c r="B1153" s="529">
        <f t="shared" si="39"/>
        <v>1148001</v>
      </c>
      <c r="C1153" s="529">
        <f t="shared" si="40"/>
        <v>1149</v>
      </c>
      <c r="E1153" s="534">
        <v>0</v>
      </c>
      <c r="F1153" s="534">
        <v>0</v>
      </c>
      <c r="G1153" s="534">
        <v>30</v>
      </c>
      <c r="I1153" s="534">
        <v>0</v>
      </c>
      <c r="J1153" s="534">
        <v>0</v>
      </c>
      <c r="K1153" s="534">
        <v>2</v>
      </c>
    </row>
    <row r="1154" spans="2:11" x14ac:dyDescent="0.3">
      <c r="B1154" s="529">
        <f t="shared" si="39"/>
        <v>1149001</v>
      </c>
      <c r="C1154" s="529">
        <f t="shared" si="40"/>
        <v>1150</v>
      </c>
      <c r="E1154" s="534">
        <v>0</v>
      </c>
      <c r="F1154" s="534">
        <v>0</v>
      </c>
      <c r="G1154" s="534">
        <v>30</v>
      </c>
      <c r="I1154" s="534">
        <v>1</v>
      </c>
      <c r="J1154" s="534">
        <v>1150</v>
      </c>
      <c r="K1154" s="534">
        <v>2</v>
      </c>
    </row>
    <row r="1155" spans="2:11" x14ac:dyDescent="0.3">
      <c r="B1155" s="529">
        <f t="shared" si="39"/>
        <v>1150001</v>
      </c>
      <c r="C1155" s="529">
        <f t="shared" si="40"/>
        <v>1151</v>
      </c>
      <c r="E1155" s="534">
        <v>0</v>
      </c>
      <c r="F1155" s="534">
        <v>0</v>
      </c>
      <c r="G1155" s="534">
        <v>30</v>
      </c>
      <c r="I1155" s="534">
        <v>0</v>
      </c>
      <c r="J1155" s="534">
        <v>0</v>
      </c>
      <c r="K1155" s="534">
        <v>1</v>
      </c>
    </row>
    <row r="1156" spans="2:11" x14ac:dyDescent="0.3">
      <c r="B1156" s="529">
        <f t="shared" si="39"/>
        <v>1151001</v>
      </c>
      <c r="C1156" s="529">
        <f t="shared" si="40"/>
        <v>1152</v>
      </c>
      <c r="E1156" s="534">
        <v>0</v>
      </c>
      <c r="F1156" s="534">
        <v>0</v>
      </c>
      <c r="G1156" s="534">
        <v>30</v>
      </c>
      <c r="I1156" s="534">
        <v>0</v>
      </c>
      <c r="J1156" s="534">
        <v>0</v>
      </c>
      <c r="K1156" s="534">
        <v>1</v>
      </c>
    </row>
    <row r="1157" spans="2:11" x14ac:dyDescent="0.3">
      <c r="B1157" s="529">
        <f t="shared" si="39"/>
        <v>1152001</v>
      </c>
      <c r="C1157" s="529">
        <f t="shared" si="40"/>
        <v>1153</v>
      </c>
      <c r="E1157" s="534">
        <v>0</v>
      </c>
      <c r="F1157" s="534">
        <v>0</v>
      </c>
      <c r="G1157" s="534">
        <v>30</v>
      </c>
      <c r="I1157" s="534">
        <v>0</v>
      </c>
      <c r="J1157" s="534">
        <v>0</v>
      </c>
      <c r="K1157" s="534">
        <v>1</v>
      </c>
    </row>
    <row r="1158" spans="2:11" x14ac:dyDescent="0.3">
      <c r="B1158" s="529">
        <f t="shared" si="39"/>
        <v>1153001</v>
      </c>
      <c r="C1158" s="529">
        <f t="shared" si="40"/>
        <v>1154</v>
      </c>
      <c r="E1158" s="534">
        <v>0</v>
      </c>
      <c r="F1158" s="534">
        <v>0</v>
      </c>
      <c r="G1158" s="534">
        <v>30</v>
      </c>
      <c r="I1158" s="534">
        <v>0</v>
      </c>
      <c r="J1158" s="534">
        <v>0</v>
      </c>
      <c r="K1158" s="534">
        <v>1</v>
      </c>
    </row>
    <row r="1159" spans="2:11" x14ac:dyDescent="0.3">
      <c r="B1159" s="529">
        <f t="shared" ref="B1159:B1222" si="41">C1158*1000+1</f>
        <v>1154001</v>
      </c>
      <c r="C1159" s="529">
        <f t="shared" si="40"/>
        <v>1155</v>
      </c>
      <c r="E1159" s="534">
        <v>0</v>
      </c>
      <c r="F1159" s="534">
        <v>0</v>
      </c>
      <c r="G1159" s="534">
        <v>30</v>
      </c>
      <c r="I1159" s="534">
        <v>0</v>
      </c>
      <c r="J1159" s="534">
        <v>0</v>
      </c>
      <c r="K1159" s="534">
        <v>1</v>
      </c>
    </row>
    <row r="1160" spans="2:11" x14ac:dyDescent="0.3">
      <c r="B1160" s="529">
        <f t="shared" si="41"/>
        <v>1155001</v>
      </c>
      <c r="C1160" s="529">
        <f t="shared" si="40"/>
        <v>1156</v>
      </c>
      <c r="E1160" s="534">
        <v>0</v>
      </c>
      <c r="F1160" s="534">
        <v>0</v>
      </c>
      <c r="G1160" s="534">
        <v>30</v>
      </c>
      <c r="I1160" s="534">
        <v>0</v>
      </c>
      <c r="J1160" s="534">
        <v>0</v>
      </c>
      <c r="K1160" s="534">
        <v>1</v>
      </c>
    </row>
    <row r="1161" spans="2:11" x14ac:dyDescent="0.3">
      <c r="B1161" s="529">
        <f t="shared" si="41"/>
        <v>1156001</v>
      </c>
      <c r="C1161" s="529">
        <f t="shared" si="40"/>
        <v>1157</v>
      </c>
      <c r="E1161" s="534">
        <v>0</v>
      </c>
      <c r="F1161" s="534">
        <v>0</v>
      </c>
      <c r="G1161" s="534">
        <v>30</v>
      </c>
      <c r="I1161" s="534">
        <v>0</v>
      </c>
      <c r="J1161" s="534">
        <v>0</v>
      </c>
      <c r="K1161" s="534">
        <v>1</v>
      </c>
    </row>
    <row r="1162" spans="2:11" x14ac:dyDescent="0.3">
      <c r="B1162" s="529">
        <f t="shared" si="41"/>
        <v>1157001</v>
      </c>
      <c r="C1162" s="529">
        <f t="shared" si="40"/>
        <v>1158</v>
      </c>
      <c r="E1162" s="534">
        <v>0</v>
      </c>
      <c r="F1162" s="534">
        <v>0</v>
      </c>
      <c r="G1162" s="534">
        <v>30</v>
      </c>
      <c r="I1162" s="534">
        <v>0</v>
      </c>
      <c r="J1162" s="534">
        <v>0</v>
      </c>
      <c r="K1162" s="534">
        <v>1</v>
      </c>
    </row>
    <row r="1163" spans="2:11" x14ac:dyDescent="0.3">
      <c r="B1163" s="529">
        <f t="shared" si="41"/>
        <v>1158001</v>
      </c>
      <c r="C1163" s="529">
        <f t="shared" si="40"/>
        <v>1159</v>
      </c>
      <c r="E1163" s="534">
        <v>0</v>
      </c>
      <c r="F1163" s="534">
        <v>0</v>
      </c>
      <c r="G1163" s="534">
        <v>30</v>
      </c>
      <c r="I1163" s="534">
        <v>0</v>
      </c>
      <c r="J1163" s="534">
        <v>0</v>
      </c>
      <c r="K1163" s="534">
        <v>1</v>
      </c>
    </row>
    <row r="1164" spans="2:11" x14ac:dyDescent="0.3">
      <c r="B1164" s="529">
        <f t="shared" si="41"/>
        <v>1159001</v>
      </c>
      <c r="C1164" s="529">
        <f t="shared" si="40"/>
        <v>1160</v>
      </c>
      <c r="E1164" s="534">
        <v>0</v>
      </c>
      <c r="F1164" s="534">
        <v>0</v>
      </c>
      <c r="G1164" s="534">
        <v>30</v>
      </c>
      <c r="I1164" s="534">
        <v>0</v>
      </c>
      <c r="J1164" s="534">
        <v>0</v>
      </c>
      <c r="K1164" s="534">
        <v>1</v>
      </c>
    </row>
    <row r="1165" spans="2:11" x14ac:dyDescent="0.3">
      <c r="B1165" s="529">
        <f t="shared" si="41"/>
        <v>1160001</v>
      </c>
      <c r="C1165" s="529">
        <f t="shared" si="40"/>
        <v>1161</v>
      </c>
      <c r="E1165" s="534">
        <v>0</v>
      </c>
      <c r="F1165" s="534">
        <v>0</v>
      </c>
      <c r="G1165" s="534">
        <v>30</v>
      </c>
      <c r="I1165" s="534">
        <v>0</v>
      </c>
      <c r="J1165" s="534">
        <v>0</v>
      </c>
      <c r="K1165" s="534">
        <v>1</v>
      </c>
    </row>
    <row r="1166" spans="2:11" x14ac:dyDescent="0.3">
      <c r="B1166" s="529">
        <f t="shared" si="41"/>
        <v>1161001</v>
      </c>
      <c r="C1166" s="529">
        <f t="shared" si="40"/>
        <v>1162</v>
      </c>
      <c r="E1166" s="534">
        <v>0</v>
      </c>
      <c r="F1166" s="534">
        <v>0</v>
      </c>
      <c r="G1166" s="534">
        <v>30</v>
      </c>
      <c r="I1166" s="534">
        <v>0</v>
      </c>
      <c r="J1166" s="534">
        <v>0</v>
      </c>
      <c r="K1166" s="534">
        <v>1</v>
      </c>
    </row>
    <row r="1167" spans="2:11" x14ac:dyDescent="0.3">
      <c r="B1167" s="529">
        <f t="shared" si="41"/>
        <v>1162001</v>
      </c>
      <c r="C1167" s="529">
        <f t="shared" si="40"/>
        <v>1163</v>
      </c>
      <c r="E1167" s="534">
        <v>0</v>
      </c>
      <c r="F1167" s="534">
        <v>0</v>
      </c>
      <c r="G1167" s="534">
        <v>30</v>
      </c>
      <c r="I1167" s="534">
        <v>0</v>
      </c>
      <c r="J1167" s="534">
        <v>0</v>
      </c>
      <c r="K1167" s="534">
        <v>1</v>
      </c>
    </row>
    <row r="1168" spans="2:11" x14ac:dyDescent="0.3">
      <c r="B1168" s="529">
        <f t="shared" si="41"/>
        <v>1163001</v>
      </c>
      <c r="C1168" s="529">
        <f t="shared" si="40"/>
        <v>1164</v>
      </c>
      <c r="E1168" s="534">
        <v>0</v>
      </c>
      <c r="F1168" s="534">
        <v>0</v>
      </c>
      <c r="G1168" s="534">
        <v>30</v>
      </c>
      <c r="I1168" s="534">
        <v>0</v>
      </c>
      <c r="J1168" s="534">
        <v>0</v>
      </c>
      <c r="K1168" s="534">
        <v>1</v>
      </c>
    </row>
    <row r="1169" spans="2:11" x14ac:dyDescent="0.3">
      <c r="B1169" s="529">
        <f t="shared" si="41"/>
        <v>1164001</v>
      </c>
      <c r="C1169" s="529">
        <f t="shared" si="40"/>
        <v>1165</v>
      </c>
      <c r="E1169" s="534">
        <v>0</v>
      </c>
      <c r="F1169" s="534">
        <v>0</v>
      </c>
      <c r="G1169" s="534">
        <v>30</v>
      </c>
      <c r="I1169" s="534">
        <v>0</v>
      </c>
      <c r="J1169" s="534">
        <v>0</v>
      </c>
      <c r="K1169" s="534">
        <v>1</v>
      </c>
    </row>
    <row r="1170" spans="2:11" x14ac:dyDescent="0.3">
      <c r="B1170" s="529">
        <f t="shared" si="41"/>
        <v>1165001</v>
      </c>
      <c r="C1170" s="529">
        <f t="shared" si="40"/>
        <v>1166</v>
      </c>
      <c r="E1170" s="534">
        <v>0</v>
      </c>
      <c r="F1170" s="534">
        <v>0</v>
      </c>
      <c r="G1170" s="534">
        <v>30</v>
      </c>
      <c r="I1170" s="534">
        <v>0</v>
      </c>
      <c r="J1170" s="534">
        <v>0</v>
      </c>
      <c r="K1170" s="534">
        <v>1</v>
      </c>
    </row>
    <row r="1171" spans="2:11" x14ac:dyDescent="0.3">
      <c r="B1171" s="529">
        <f t="shared" si="41"/>
        <v>1166001</v>
      </c>
      <c r="C1171" s="529">
        <f t="shared" ref="C1171:C1234" si="42">C1170+1</f>
        <v>1167</v>
      </c>
      <c r="E1171" s="534">
        <v>0</v>
      </c>
      <c r="F1171" s="534">
        <v>0</v>
      </c>
      <c r="G1171" s="534">
        <v>30</v>
      </c>
      <c r="I1171" s="534">
        <v>0</v>
      </c>
      <c r="J1171" s="534">
        <v>0</v>
      </c>
      <c r="K1171" s="534">
        <v>1</v>
      </c>
    </row>
    <row r="1172" spans="2:11" x14ac:dyDescent="0.3">
      <c r="B1172" s="529">
        <f t="shared" si="41"/>
        <v>1167001</v>
      </c>
      <c r="C1172" s="529">
        <f t="shared" si="42"/>
        <v>1168</v>
      </c>
      <c r="E1172" s="534">
        <v>0</v>
      </c>
      <c r="F1172" s="534">
        <v>0</v>
      </c>
      <c r="G1172" s="534">
        <v>30</v>
      </c>
      <c r="I1172" s="534">
        <v>0</v>
      </c>
      <c r="J1172" s="534">
        <v>0</v>
      </c>
      <c r="K1172" s="534">
        <v>1</v>
      </c>
    </row>
    <row r="1173" spans="2:11" x14ac:dyDescent="0.3">
      <c r="B1173" s="529">
        <f t="shared" si="41"/>
        <v>1168001</v>
      </c>
      <c r="C1173" s="529">
        <f t="shared" si="42"/>
        <v>1169</v>
      </c>
      <c r="E1173" s="534">
        <v>0</v>
      </c>
      <c r="F1173" s="534">
        <v>0</v>
      </c>
      <c r="G1173" s="534">
        <v>30</v>
      </c>
      <c r="I1173" s="534">
        <v>0</v>
      </c>
      <c r="J1173" s="534">
        <v>0</v>
      </c>
      <c r="K1173" s="534">
        <v>1</v>
      </c>
    </row>
    <row r="1174" spans="2:11" x14ac:dyDescent="0.3">
      <c r="B1174" s="529">
        <f t="shared" si="41"/>
        <v>1169001</v>
      </c>
      <c r="C1174" s="529">
        <f t="shared" si="42"/>
        <v>1170</v>
      </c>
      <c r="E1174" s="534">
        <v>1</v>
      </c>
      <c r="F1174" s="534">
        <v>1170</v>
      </c>
      <c r="G1174" s="534">
        <v>30</v>
      </c>
      <c r="I1174" s="534">
        <v>0</v>
      </c>
      <c r="J1174" s="534">
        <v>0</v>
      </c>
      <c r="K1174" s="534">
        <v>1</v>
      </c>
    </row>
    <row r="1175" spans="2:11" x14ac:dyDescent="0.3">
      <c r="B1175" s="529">
        <f t="shared" si="41"/>
        <v>1170001</v>
      </c>
      <c r="C1175" s="529">
        <f t="shared" si="42"/>
        <v>1171</v>
      </c>
      <c r="E1175" s="534">
        <v>0</v>
      </c>
      <c r="F1175" s="534">
        <v>0</v>
      </c>
      <c r="G1175" s="534">
        <v>29</v>
      </c>
      <c r="I1175" s="534">
        <v>0</v>
      </c>
      <c r="J1175" s="534">
        <v>0</v>
      </c>
      <c r="K1175" s="534">
        <v>1</v>
      </c>
    </row>
    <row r="1176" spans="2:11" x14ac:dyDescent="0.3">
      <c r="B1176" s="529">
        <f t="shared" si="41"/>
        <v>1171001</v>
      </c>
      <c r="C1176" s="529">
        <f t="shared" si="42"/>
        <v>1172</v>
      </c>
      <c r="E1176" s="534">
        <v>0</v>
      </c>
      <c r="F1176" s="534">
        <v>0</v>
      </c>
      <c r="G1176" s="534">
        <v>29</v>
      </c>
      <c r="I1176" s="534">
        <v>0</v>
      </c>
      <c r="J1176" s="534">
        <v>0</v>
      </c>
      <c r="K1176" s="534">
        <v>1</v>
      </c>
    </row>
    <row r="1177" spans="2:11" x14ac:dyDescent="0.3">
      <c r="B1177" s="529">
        <f t="shared" si="41"/>
        <v>1172001</v>
      </c>
      <c r="C1177" s="529">
        <f t="shared" si="42"/>
        <v>1173</v>
      </c>
      <c r="E1177" s="534">
        <v>0</v>
      </c>
      <c r="F1177" s="534">
        <v>0</v>
      </c>
      <c r="G1177" s="534">
        <v>29</v>
      </c>
      <c r="I1177" s="534">
        <v>0</v>
      </c>
      <c r="J1177" s="534">
        <v>0</v>
      </c>
      <c r="K1177" s="534">
        <v>1</v>
      </c>
    </row>
    <row r="1178" spans="2:11" x14ac:dyDescent="0.3">
      <c r="B1178" s="529">
        <f t="shared" si="41"/>
        <v>1173001</v>
      </c>
      <c r="C1178" s="529">
        <f t="shared" si="42"/>
        <v>1174</v>
      </c>
      <c r="E1178" s="534">
        <v>0</v>
      </c>
      <c r="F1178" s="534">
        <v>0</v>
      </c>
      <c r="G1178" s="534">
        <v>29</v>
      </c>
      <c r="I1178" s="534">
        <v>0</v>
      </c>
      <c r="J1178" s="534">
        <v>0</v>
      </c>
      <c r="K1178" s="534">
        <v>1</v>
      </c>
    </row>
    <row r="1179" spans="2:11" x14ac:dyDescent="0.3">
      <c r="B1179" s="529">
        <f t="shared" si="41"/>
        <v>1174001</v>
      </c>
      <c r="C1179" s="529">
        <f t="shared" si="42"/>
        <v>1175</v>
      </c>
      <c r="E1179" s="534">
        <v>0</v>
      </c>
      <c r="F1179" s="534">
        <v>0</v>
      </c>
      <c r="G1179" s="534">
        <v>29</v>
      </c>
      <c r="I1179" s="534">
        <v>0</v>
      </c>
      <c r="J1179" s="534">
        <v>0</v>
      </c>
      <c r="K1179" s="534">
        <v>1</v>
      </c>
    </row>
    <row r="1180" spans="2:11" x14ac:dyDescent="0.3">
      <c r="B1180" s="529">
        <f t="shared" si="41"/>
        <v>1175001</v>
      </c>
      <c r="C1180" s="529">
        <f t="shared" si="42"/>
        <v>1176</v>
      </c>
      <c r="E1180" s="534">
        <v>0</v>
      </c>
      <c r="F1180" s="534">
        <v>0</v>
      </c>
      <c r="G1180" s="534">
        <v>29</v>
      </c>
      <c r="I1180" s="534">
        <v>0</v>
      </c>
      <c r="J1180" s="534">
        <v>0</v>
      </c>
      <c r="K1180" s="534">
        <v>1</v>
      </c>
    </row>
    <row r="1181" spans="2:11" x14ac:dyDescent="0.3">
      <c r="B1181" s="529">
        <f t="shared" si="41"/>
        <v>1176001</v>
      </c>
      <c r="C1181" s="529">
        <f t="shared" si="42"/>
        <v>1177</v>
      </c>
      <c r="E1181" s="534">
        <v>0</v>
      </c>
      <c r="F1181" s="534">
        <v>0</v>
      </c>
      <c r="G1181" s="534">
        <v>29</v>
      </c>
      <c r="I1181" s="534">
        <v>0</v>
      </c>
      <c r="J1181" s="534">
        <v>0</v>
      </c>
      <c r="K1181" s="534">
        <v>1</v>
      </c>
    </row>
    <row r="1182" spans="2:11" x14ac:dyDescent="0.3">
      <c r="B1182" s="529">
        <f t="shared" si="41"/>
        <v>1177001</v>
      </c>
      <c r="C1182" s="529">
        <f t="shared" si="42"/>
        <v>1178</v>
      </c>
      <c r="E1182" s="534">
        <v>0</v>
      </c>
      <c r="F1182" s="534">
        <v>0</v>
      </c>
      <c r="G1182" s="534">
        <v>29</v>
      </c>
      <c r="I1182" s="534">
        <v>0</v>
      </c>
      <c r="J1182" s="534">
        <v>0</v>
      </c>
      <c r="K1182" s="534">
        <v>1</v>
      </c>
    </row>
    <row r="1183" spans="2:11" x14ac:dyDescent="0.3">
      <c r="B1183" s="529">
        <f t="shared" si="41"/>
        <v>1178001</v>
      </c>
      <c r="C1183" s="529">
        <f t="shared" si="42"/>
        <v>1179</v>
      </c>
      <c r="E1183" s="534">
        <v>0</v>
      </c>
      <c r="F1183" s="534">
        <v>0</v>
      </c>
      <c r="G1183" s="534">
        <v>29</v>
      </c>
      <c r="I1183" s="534">
        <v>0</v>
      </c>
      <c r="J1183" s="534">
        <v>0</v>
      </c>
      <c r="K1183" s="534">
        <v>1</v>
      </c>
    </row>
    <row r="1184" spans="2:11" x14ac:dyDescent="0.3">
      <c r="B1184" s="529">
        <f t="shared" si="41"/>
        <v>1179001</v>
      </c>
      <c r="C1184" s="529">
        <f t="shared" si="42"/>
        <v>1180</v>
      </c>
      <c r="E1184" s="534">
        <v>1</v>
      </c>
      <c r="F1184" s="534">
        <v>1180</v>
      </c>
      <c r="G1184" s="534">
        <v>29</v>
      </c>
      <c r="I1184" s="534">
        <v>0</v>
      </c>
      <c r="J1184" s="534">
        <v>0</v>
      </c>
      <c r="K1184" s="534">
        <v>1</v>
      </c>
    </row>
    <row r="1185" spans="2:11" x14ac:dyDescent="0.3">
      <c r="B1185" s="529">
        <f t="shared" si="41"/>
        <v>1180001</v>
      </c>
      <c r="C1185" s="529">
        <f t="shared" si="42"/>
        <v>1181</v>
      </c>
      <c r="E1185" s="534">
        <v>0</v>
      </c>
      <c r="F1185" s="534">
        <v>0</v>
      </c>
      <c r="G1185" s="534">
        <v>28</v>
      </c>
      <c r="I1185" s="534">
        <v>0</v>
      </c>
      <c r="J1185" s="534">
        <v>0</v>
      </c>
      <c r="K1185" s="534">
        <v>1</v>
      </c>
    </row>
    <row r="1186" spans="2:11" x14ac:dyDescent="0.3">
      <c r="B1186" s="529">
        <f t="shared" si="41"/>
        <v>1181001</v>
      </c>
      <c r="C1186" s="529">
        <f t="shared" si="42"/>
        <v>1182</v>
      </c>
      <c r="E1186" s="534">
        <v>0</v>
      </c>
      <c r="F1186" s="534">
        <v>0</v>
      </c>
      <c r="G1186" s="534">
        <v>28</v>
      </c>
      <c r="I1186" s="534">
        <v>0</v>
      </c>
      <c r="J1186" s="534">
        <v>0</v>
      </c>
      <c r="K1186" s="534">
        <v>1</v>
      </c>
    </row>
    <row r="1187" spans="2:11" x14ac:dyDescent="0.3">
      <c r="B1187" s="529">
        <f t="shared" si="41"/>
        <v>1182001</v>
      </c>
      <c r="C1187" s="529">
        <f t="shared" si="42"/>
        <v>1183</v>
      </c>
      <c r="E1187" s="534">
        <v>0</v>
      </c>
      <c r="F1187" s="534">
        <v>0</v>
      </c>
      <c r="G1187" s="534">
        <v>28</v>
      </c>
      <c r="I1187" s="534">
        <v>0</v>
      </c>
      <c r="J1187" s="534">
        <v>0</v>
      </c>
      <c r="K1187" s="534">
        <v>1</v>
      </c>
    </row>
    <row r="1188" spans="2:11" x14ac:dyDescent="0.3">
      <c r="B1188" s="529">
        <f t="shared" si="41"/>
        <v>1183001</v>
      </c>
      <c r="C1188" s="529">
        <f t="shared" si="42"/>
        <v>1184</v>
      </c>
      <c r="E1188" s="534">
        <v>0</v>
      </c>
      <c r="F1188" s="534">
        <v>0</v>
      </c>
      <c r="G1188" s="534">
        <v>28</v>
      </c>
      <c r="I1188" s="534">
        <v>0</v>
      </c>
      <c r="J1188" s="534">
        <v>0</v>
      </c>
      <c r="K1188" s="534">
        <v>1</v>
      </c>
    </row>
    <row r="1189" spans="2:11" x14ac:dyDescent="0.3">
      <c r="B1189" s="529">
        <f t="shared" si="41"/>
        <v>1184001</v>
      </c>
      <c r="C1189" s="529">
        <f t="shared" si="42"/>
        <v>1185</v>
      </c>
      <c r="E1189" s="534">
        <v>0</v>
      </c>
      <c r="F1189" s="534">
        <v>0</v>
      </c>
      <c r="G1189" s="534">
        <v>28</v>
      </c>
      <c r="I1189" s="534">
        <v>0</v>
      </c>
      <c r="J1189" s="534">
        <v>0</v>
      </c>
      <c r="K1189" s="534">
        <v>1</v>
      </c>
    </row>
    <row r="1190" spans="2:11" x14ac:dyDescent="0.3">
      <c r="B1190" s="529">
        <f t="shared" si="41"/>
        <v>1185001</v>
      </c>
      <c r="C1190" s="529">
        <f t="shared" si="42"/>
        <v>1186</v>
      </c>
      <c r="E1190" s="534">
        <v>0</v>
      </c>
      <c r="F1190" s="534">
        <v>0</v>
      </c>
      <c r="G1190" s="534">
        <v>28</v>
      </c>
      <c r="I1190" s="534">
        <v>0</v>
      </c>
      <c r="J1190" s="534">
        <v>0</v>
      </c>
      <c r="K1190" s="534">
        <v>1</v>
      </c>
    </row>
    <row r="1191" spans="2:11" x14ac:dyDescent="0.3">
      <c r="B1191" s="529">
        <f t="shared" si="41"/>
        <v>1186001</v>
      </c>
      <c r="C1191" s="529">
        <f t="shared" si="42"/>
        <v>1187</v>
      </c>
      <c r="E1191" s="534">
        <v>0</v>
      </c>
      <c r="F1191" s="534">
        <v>0</v>
      </c>
      <c r="G1191" s="534">
        <v>28</v>
      </c>
      <c r="I1191" s="534">
        <v>0</v>
      </c>
      <c r="J1191" s="534">
        <v>0</v>
      </c>
      <c r="K1191" s="534">
        <v>1</v>
      </c>
    </row>
    <row r="1192" spans="2:11" x14ac:dyDescent="0.3">
      <c r="B1192" s="529">
        <f t="shared" si="41"/>
        <v>1187001</v>
      </c>
      <c r="C1192" s="529">
        <f t="shared" si="42"/>
        <v>1188</v>
      </c>
      <c r="E1192" s="534">
        <v>0</v>
      </c>
      <c r="F1192" s="534">
        <v>0</v>
      </c>
      <c r="G1192" s="534">
        <v>28</v>
      </c>
      <c r="I1192" s="534">
        <v>0</v>
      </c>
      <c r="J1192" s="534">
        <v>0</v>
      </c>
      <c r="K1192" s="534">
        <v>1</v>
      </c>
    </row>
    <row r="1193" spans="2:11" x14ac:dyDescent="0.3">
      <c r="B1193" s="529">
        <f t="shared" si="41"/>
        <v>1188001</v>
      </c>
      <c r="C1193" s="529">
        <f t="shared" si="42"/>
        <v>1189</v>
      </c>
      <c r="E1193" s="534">
        <v>0</v>
      </c>
      <c r="F1193" s="534">
        <v>0</v>
      </c>
      <c r="G1193" s="534">
        <v>28</v>
      </c>
      <c r="I1193" s="534">
        <v>0</v>
      </c>
      <c r="J1193" s="534">
        <v>0</v>
      </c>
      <c r="K1193" s="534">
        <v>1</v>
      </c>
    </row>
    <row r="1194" spans="2:11" x14ac:dyDescent="0.3">
      <c r="B1194" s="529">
        <f t="shared" si="41"/>
        <v>1189001</v>
      </c>
      <c r="C1194" s="529">
        <f t="shared" si="42"/>
        <v>1190</v>
      </c>
      <c r="E1194" s="534">
        <v>0</v>
      </c>
      <c r="F1194" s="534">
        <v>0</v>
      </c>
      <c r="G1194" s="534">
        <v>28</v>
      </c>
      <c r="I1194" s="534">
        <v>0</v>
      </c>
      <c r="J1194" s="534">
        <v>0</v>
      </c>
      <c r="K1194" s="534">
        <v>1</v>
      </c>
    </row>
    <row r="1195" spans="2:11" x14ac:dyDescent="0.3">
      <c r="B1195" s="529">
        <f t="shared" si="41"/>
        <v>1190001</v>
      </c>
      <c r="C1195" s="529">
        <f t="shared" si="42"/>
        <v>1191</v>
      </c>
      <c r="E1195" s="534">
        <v>0</v>
      </c>
      <c r="F1195" s="534">
        <v>0</v>
      </c>
      <c r="G1195" s="534">
        <v>28</v>
      </c>
      <c r="I1195" s="534">
        <v>0</v>
      </c>
      <c r="J1195" s="534">
        <v>0</v>
      </c>
      <c r="K1195" s="534">
        <v>1</v>
      </c>
    </row>
    <row r="1196" spans="2:11" x14ac:dyDescent="0.3">
      <c r="B1196" s="529">
        <f t="shared" si="41"/>
        <v>1191001</v>
      </c>
      <c r="C1196" s="529">
        <f t="shared" si="42"/>
        <v>1192</v>
      </c>
      <c r="E1196" s="534">
        <v>0</v>
      </c>
      <c r="F1196" s="534">
        <v>0</v>
      </c>
      <c r="G1196" s="534">
        <v>28</v>
      </c>
      <c r="I1196" s="534">
        <v>0</v>
      </c>
      <c r="J1196" s="534">
        <v>0</v>
      </c>
      <c r="K1196" s="534">
        <v>1</v>
      </c>
    </row>
    <row r="1197" spans="2:11" x14ac:dyDescent="0.3">
      <c r="B1197" s="529">
        <f t="shared" si="41"/>
        <v>1192001</v>
      </c>
      <c r="C1197" s="529">
        <f t="shared" si="42"/>
        <v>1193</v>
      </c>
      <c r="E1197" s="534">
        <v>0</v>
      </c>
      <c r="F1197" s="534">
        <v>0</v>
      </c>
      <c r="G1197" s="534">
        <v>28</v>
      </c>
      <c r="I1197" s="534">
        <v>0</v>
      </c>
      <c r="J1197" s="534">
        <v>0</v>
      </c>
      <c r="K1197" s="534">
        <v>1</v>
      </c>
    </row>
    <row r="1198" spans="2:11" x14ac:dyDescent="0.3">
      <c r="B1198" s="529">
        <f t="shared" si="41"/>
        <v>1193001</v>
      </c>
      <c r="C1198" s="529">
        <f t="shared" si="42"/>
        <v>1194</v>
      </c>
      <c r="E1198" s="534">
        <v>0</v>
      </c>
      <c r="F1198" s="534">
        <v>0</v>
      </c>
      <c r="G1198" s="534">
        <v>28</v>
      </c>
      <c r="I1198" s="534">
        <v>0</v>
      </c>
      <c r="J1198" s="534">
        <v>0</v>
      </c>
      <c r="K1198" s="534">
        <v>1</v>
      </c>
    </row>
    <row r="1199" spans="2:11" x14ac:dyDescent="0.3">
      <c r="B1199" s="529">
        <f t="shared" si="41"/>
        <v>1194001</v>
      </c>
      <c r="C1199" s="529">
        <f t="shared" si="42"/>
        <v>1195</v>
      </c>
      <c r="E1199" s="534">
        <v>0</v>
      </c>
      <c r="F1199" s="534">
        <v>0</v>
      </c>
      <c r="G1199" s="534">
        <v>28</v>
      </c>
      <c r="I1199" s="534">
        <v>0</v>
      </c>
      <c r="J1199" s="534">
        <v>0</v>
      </c>
      <c r="K1199" s="534">
        <v>1</v>
      </c>
    </row>
    <row r="1200" spans="2:11" x14ac:dyDescent="0.3">
      <c r="B1200" s="529">
        <f t="shared" si="41"/>
        <v>1195001</v>
      </c>
      <c r="C1200" s="529">
        <f t="shared" si="42"/>
        <v>1196</v>
      </c>
      <c r="E1200" s="534">
        <v>0</v>
      </c>
      <c r="F1200" s="534">
        <v>0</v>
      </c>
      <c r="G1200" s="534">
        <v>28</v>
      </c>
      <c r="I1200" s="534">
        <v>0</v>
      </c>
      <c r="J1200" s="534">
        <v>0</v>
      </c>
      <c r="K1200" s="534">
        <v>1</v>
      </c>
    </row>
    <row r="1201" spans="2:11" x14ac:dyDescent="0.3">
      <c r="B1201" s="529">
        <f t="shared" si="41"/>
        <v>1196001</v>
      </c>
      <c r="C1201" s="529">
        <f t="shared" si="42"/>
        <v>1197</v>
      </c>
      <c r="E1201" s="534">
        <v>0</v>
      </c>
      <c r="F1201" s="534">
        <v>0</v>
      </c>
      <c r="G1201" s="534">
        <v>28</v>
      </c>
      <c r="I1201" s="534">
        <v>0</v>
      </c>
      <c r="J1201" s="534">
        <v>0</v>
      </c>
      <c r="K1201" s="534">
        <v>1</v>
      </c>
    </row>
    <row r="1202" spans="2:11" x14ac:dyDescent="0.3">
      <c r="B1202" s="529">
        <f t="shared" si="41"/>
        <v>1197001</v>
      </c>
      <c r="C1202" s="529">
        <f t="shared" si="42"/>
        <v>1198</v>
      </c>
      <c r="E1202" s="534">
        <v>0</v>
      </c>
      <c r="F1202" s="534">
        <v>0</v>
      </c>
      <c r="G1202" s="534">
        <v>28</v>
      </c>
      <c r="I1202" s="534">
        <v>0</v>
      </c>
      <c r="J1202" s="534">
        <v>0</v>
      </c>
      <c r="K1202" s="534">
        <v>1</v>
      </c>
    </row>
    <row r="1203" spans="2:11" x14ac:dyDescent="0.3">
      <c r="B1203" s="529">
        <f t="shared" si="41"/>
        <v>1198001</v>
      </c>
      <c r="C1203" s="529">
        <f t="shared" si="42"/>
        <v>1199</v>
      </c>
      <c r="E1203" s="534">
        <v>0</v>
      </c>
      <c r="F1203" s="534">
        <v>0</v>
      </c>
      <c r="G1203" s="534">
        <v>28</v>
      </c>
      <c r="I1203" s="534">
        <v>0</v>
      </c>
      <c r="J1203" s="534">
        <v>0</v>
      </c>
      <c r="K1203" s="534">
        <v>1</v>
      </c>
    </row>
    <row r="1204" spans="2:11" x14ac:dyDescent="0.3">
      <c r="B1204" s="529">
        <f t="shared" si="41"/>
        <v>1199001</v>
      </c>
      <c r="C1204" s="529">
        <f t="shared" si="42"/>
        <v>1200</v>
      </c>
      <c r="E1204" s="534">
        <v>0</v>
      </c>
      <c r="F1204" s="534">
        <v>0</v>
      </c>
      <c r="G1204" s="534">
        <v>28</v>
      </c>
      <c r="I1204" s="534">
        <v>0</v>
      </c>
      <c r="J1204" s="534">
        <v>0</v>
      </c>
      <c r="K1204" s="534">
        <v>1</v>
      </c>
    </row>
    <row r="1205" spans="2:11" x14ac:dyDescent="0.3">
      <c r="B1205" s="529">
        <f t="shared" si="41"/>
        <v>1200001</v>
      </c>
      <c r="C1205" s="529">
        <f t="shared" si="42"/>
        <v>1201</v>
      </c>
      <c r="E1205" s="534">
        <v>0</v>
      </c>
      <c r="F1205" s="534">
        <v>0</v>
      </c>
      <c r="G1205" s="534">
        <v>28</v>
      </c>
      <c r="I1205" s="534">
        <v>0</v>
      </c>
      <c r="J1205" s="534">
        <v>0</v>
      </c>
      <c r="K1205" s="534">
        <v>1</v>
      </c>
    </row>
    <row r="1206" spans="2:11" x14ac:dyDescent="0.3">
      <c r="B1206" s="529">
        <f t="shared" si="41"/>
        <v>1201001</v>
      </c>
      <c r="C1206" s="529">
        <f t="shared" si="42"/>
        <v>1202</v>
      </c>
      <c r="E1206" s="534">
        <v>0</v>
      </c>
      <c r="F1206" s="534">
        <v>0</v>
      </c>
      <c r="G1206" s="534">
        <v>28</v>
      </c>
      <c r="I1206" s="534">
        <v>0</v>
      </c>
      <c r="J1206" s="534">
        <v>0</v>
      </c>
      <c r="K1206" s="534">
        <v>1</v>
      </c>
    </row>
    <row r="1207" spans="2:11" x14ac:dyDescent="0.3">
      <c r="B1207" s="529">
        <f t="shared" si="41"/>
        <v>1202001</v>
      </c>
      <c r="C1207" s="529">
        <f t="shared" si="42"/>
        <v>1203</v>
      </c>
      <c r="E1207" s="534">
        <v>0</v>
      </c>
      <c r="F1207" s="534">
        <v>0</v>
      </c>
      <c r="G1207" s="534">
        <v>28</v>
      </c>
      <c r="I1207" s="534">
        <v>0</v>
      </c>
      <c r="J1207" s="534">
        <v>0</v>
      </c>
      <c r="K1207" s="534">
        <v>1</v>
      </c>
    </row>
    <row r="1208" spans="2:11" x14ac:dyDescent="0.3">
      <c r="B1208" s="529">
        <f t="shared" si="41"/>
        <v>1203001</v>
      </c>
      <c r="C1208" s="529">
        <f t="shared" si="42"/>
        <v>1204</v>
      </c>
      <c r="E1208" s="534">
        <v>0</v>
      </c>
      <c r="F1208" s="534">
        <v>0</v>
      </c>
      <c r="G1208" s="534">
        <v>28</v>
      </c>
      <c r="I1208" s="534">
        <v>0</v>
      </c>
      <c r="J1208" s="534">
        <v>0</v>
      </c>
      <c r="K1208" s="534">
        <v>1</v>
      </c>
    </row>
    <row r="1209" spans="2:11" x14ac:dyDescent="0.3">
      <c r="B1209" s="529">
        <f t="shared" si="41"/>
        <v>1204001</v>
      </c>
      <c r="C1209" s="529">
        <f t="shared" si="42"/>
        <v>1205</v>
      </c>
      <c r="E1209" s="534">
        <v>0</v>
      </c>
      <c r="F1209" s="534">
        <v>0</v>
      </c>
      <c r="G1209" s="534">
        <v>28</v>
      </c>
      <c r="I1209" s="534">
        <v>0</v>
      </c>
      <c r="J1209" s="534">
        <v>0</v>
      </c>
      <c r="K1209" s="534">
        <v>1</v>
      </c>
    </row>
    <row r="1210" spans="2:11" x14ac:dyDescent="0.3">
      <c r="B1210" s="529">
        <f t="shared" si="41"/>
        <v>1205001</v>
      </c>
      <c r="C1210" s="529">
        <f t="shared" si="42"/>
        <v>1206</v>
      </c>
      <c r="E1210" s="534">
        <v>0</v>
      </c>
      <c r="F1210" s="534">
        <v>0</v>
      </c>
      <c r="G1210" s="534">
        <v>28</v>
      </c>
      <c r="I1210" s="534">
        <v>0</v>
      </c>
      <c r="J1210" s="534">
        <v>0</v>
      </c>
      <c r="K1210" s="534">
        <v>1</v>
      </c>
    </row>
    <row r="1211" spans="2:11" x14ac:dyDescent="0.3">
      <c r="B1211" s="529">
        <f t="shared" si="41"/>
        <v>1206001</v>
      </c>
      <c r="C1211" s="529">
        <f t="shared" si="42"/>
        <v>1207</v>
      </c>
      <c r="E1211" s="534">
        <v>0</v>
      </c>
      <c r="F1211" s="534">
        <v>0</v>
      </c>
      <c r="G1211" s="534">
        <v>28</v>
      </c>
      <c r="I1211" s="534">
        <v>0</v>
      </c>
      <c r="J1211" s="534">
        <v>0</v>
      </c>
      <c r="K1211" s="534">
        <v>1</v>
      </c>
    </row>
    <row r="1212" spans="2:11" x14ac:dyDescent="0.3">
      <c r="B1212" s="529">
        <f t="shared" si="41"/>
        <v>1207001</v>
      </c>
      <c r="C1212" s="529">
        <f t="shared" si="42"/>
        <v>1208</v>
      </c>
      <c r="E1212" s="534">
        <v>0</v>
      </c>
      <c r="F1212" s="534">
        <v>0</v>
      </c>
      <c r="G1212" s="534">
        <v>28</v>
      </c>
      <c r="I1212" s="534">
        <v>0</v>
      </c>
      <c r="J1212" s="534">
        <v>0</v>
      </c>
      <c r="K1212" s="534">
        <v>1</v>
      </c>
    </row>
    <row r="1213" spans="2:11" x14ac:dyDescent="0.3">
      <c r="B1213" s="529">
        <f t="shared" si="41"/>
        <v>1208001</v>
      </c>
      <c r="C1213" s="529">
        <f t="shared" si="42"/>
        <v>1209</v>
      </c>
      <c r="E1213" s="534">
        <v>0</v>
      </c>
      <c r="F1213" s="534">
        <v>0</v>
      </c>
      <c r="G1213" s="534">
        <v>28</v>
      </c>
      <c r="I1213" s="534">
        <v>0</v>
      </c>
      <c r="J1213" s="534">
        <v>0</v>
      </c>
      <c r="K1213" s="534">
        <v>1</v>
      </c>
    </row>
    <row r="1214" spans="2:11" x14ac:dyDescent="0.3">
      <c r="B1214" s="529">
        <f t="shared" si="41"/>
        <v>1209001</v>
      </c>
      <c r="C1214" s="529">
        <f t="shared" si="42"/>
        <v>1210</v>
      </c>
      <c r="E1214" s="534">
        <v>0</v>
      </c>
      <c r="F1214" s="534">
        <v>0</v>
      </c>
      <c r="G1214" s="534">
        <v>28</v>
      </c>
      <c r="I1214" s="534">
        <v>0</v>
      </c>
      <c r="J1214" s="534">
        <v>0</v>
      </c>
      <c r="K1214" s="534">
        <v>1</v>
      </c>
    </row>
    <row r="1215" spans="2:11" x14ac:dyDescent="0.3">
      <c r="B1215" s="529">
        <f t="shared" si="41"/>
        <v>1210001</v>
      </c>
      <c r="C1215" s="529">
        <f t="shared" si="42"/>
        <v>1211</v>
      </c>
      <c r="E1215" s="534">
        <v>0</v>
      </c>
      <c r="F1215" s="534">
        <v>0</v>
      </c>
      <c r="G1215" s="534">
        <v>28</v>
      </c>
      <c r="I1215" s="534">
        <v>0</v>
      </c>
      <c r="J1215" s="534">
        <v>0</v>
      </c>
      <c r="K1215" s="534">
        <v>1</v>
      </c>
    </row>
    <row r="1216" spans="2:11" x14ac:dyDescent="0.3">
      <c r="B1216" s="529">
        <f t="shared" si="41"/>
        <v>1211001</v>
      </c>
      <c r="C1216" s="529">
        <f t="shared" si="42"/>
        <v>1212</v>
      </c>
      <c r="E1216" s="534">
        <v>0</v>
      </c>
      <c r="F1216" s="534">
        <v>0</v>
      </c>
      <c r="G1216" s="534">
        <v>28</v>
      </c>
      <c r="I1216" s="534">
        <v>0</v>
      </c>
      <c r="J1216" s="534">
        <v>0</v>
      </c>
      <c r="K1216" s="534">
        <v>1</v>
      </c>
    </row>
    <row r="1217" spans="2:11" x14ac:dyDescent="0.3">
      <c r="B1217" s="529">
        <f t="shared" si="41"/>
        <v>1212001</v>
      </c>
      <c r="C1217" s="529">
        <f t="shared" si="42"/>
        <v>1213</v>
      </c>
      <c r="E1217" s="534">
        <v>1</v>
      </c>
      <c r="F1217" s="534">
        <v>1213</v>
      </c>
      <c r="G1217" s="534">
        <v>28</v>
      </c>
      <c r="I1217" s="534">
        <v>0</v>
      </c>
      <c r="J1217" s="534">
        <v>0</v>
      </c>
      <c r="K1217" s="534">
        <v>1</v>
      </c>
    </row>
    <row r="1218" spans="2:11" x14ac:dyDescent="0.3">
      <c r="B1218" s="529">
        <f t="shared" si="41"/>
        <v>1213001</v>
      </c>
      <c r="C1218" s="529">
        <f t="shared" si="42"/>
        <v>1214</v>
      </c>
      <c r="E1218" s="534">
        <v>0</v>
      </c>
      <c r="F1218" s="534">
        <v>0</v>
      </c>
      <c r="G1218" s="534">
        <v>27</v>
      </c>
      <c r="I1218" s="534">
        <v>0</v>
      </c>
      <c r="J1218" s="534">
        <v>0</v>
      </c>
      <c r="K1218" s="534">
        <v>1</v>
      </c>
    </row>
    <row r="1219" spans="2:11" x14ac:dyDescent="0.3">
      <c r="B1219" s="529">
        <f t="shared" si="41"/>
        <v>1214001</v>
      </c>
      <c r="C1219" s="529">
        <f t="shared" si="42"/>
        <v>1215</v>
      </c>
      <c r="E1219" s="534">
        <v>0</v>
      </c>
      <c r="F1219" s="534">
        <v>0</v>
      </c>
      <c r="G1219" s="534">
        <v>27</v>
      </c>
      <c r="I1219" s="534">
        <v>0</v>
      </c>
      <c r="J1219" s="534">
        <v>0</v>
      </c>
      <c r="K1219" s="534">
        <v>1</v>
      </c>
    </row>
    <row r="1220" spans="2:11" x14ac:dyDescent="0.3">
      <c r="B1220" s="529">
        <f t="shared" si="41"/>
        <v>1215001</v>
      </c>
      <c r="C1220" s="529">
        <f t="shared" si="42"/>
        <v>1216</v>
      </c>
      <c r="E1220" s="534">
        <v>0</v>
      </c>
      <c r="F1220" s="534">
        <v>0</v>
      </c>
      <c r="G1220" s="534">
        <v>27</v>
      </c>
      <c r="I1220" s="534">
        <v>0</v>
      </c>
      <c r="J1220" s="534">
        <v>0</v>
      </c>
      <c r="K1220" s="534">
        <v>1</v>
      </c>
    </row>
    <row r="1221" spans="2:11" x14ac:dyDescent="0.3">
      <c r="B1221" s="529">
        <f t="shared" si="41"/>
        <v>1216001</v>
      </c>
      <c r="C1221" s="529">
        <f t="shared" si="42"/>
        <v>1217</v>
      </c>
      <c r="E1221" s="534">
        <v>0</v>
      </c>
      <c r="F1221" s="534">
        <v>0</v>
      </c>
      <c r="G1221" s="534">
        <v>27</v>
      </c>
      <c r="I1221" s="534">
        <v>0</v>
      </c>
      <c r="J1221" s="534">
        <v>0</v>
      </c>
      <c r="K1221" s="534">
        <v>1</v>
      </c>
    </row>
    <row r="1222" spans="2:11" x14ac:dyDescent="0.3">
      <c r="B1222" s="529">
        <f t="shared" si="41"/>
        <v>1217001</v>
      </c>
      <c r="C1222" s="529">
        <f t="shared" si="42"/>
        <v>1218</v>
      </c>
      <c r="E1222" s="534">
        <v>0</v>
      </c>
      <c r="F1222" s="534">
        <v>0</v>
      </c>
      <c r="G1222" s="534">
        <v>27</v>
      </c>
      <c r="I1222" s="534">
        <v>0</v>
      </c>
      <c r="J1222" s="534">
        <v>0</v>
      </c>
      <c r="K1222" s="534">
        <v>1</v>
      </c>
    </row>
    <row r="1223" spans="2:11" x14ac:dyDescent="0.3">
      <c r="B1223" s="529">
        <f t="shared" ref="B1223:B1286" si="43">C1222*1000+1</f>
        <v>1218001</v>
      </c>
      <c r="C1223" s="529">
        <f t="shared" si="42"/>
        <v>1219</v>
      </c>
      <c r="E1223" s="534">
        <v>0</v>
      </c>
      <c r="F1223" s="534">
        <v>0</v>
      </c>
      <c r="G1223" s="534">
        <v>27</v>
      </c>
      <c r="I1223" s="534">
        <v>0</v>
      </c>
      <c r="J1223" s="534">
        <v>0</v>
      </c>
      <c r="K1223" s="534">
        <v>1</v>
      </c>
    </row>
    <row r="1224" spans="2:11" x14ac:dyDescent="0.3">
      <c r="B1224" s="529">
        <f t="shared" si="43"/>
        <v>1219001</v>
      </c>
      <c r="C1224" s="529">
        <f t="shared" si="42"/>
        <v>1220</v>
      </c>
      <c r="E1224" s="534">
        <v>0</v>
      </c>
      <c r="F1224" s="534">
        <v>0</v>
      </c>
      <c r="G1224" s="534">
        <v>27</v>
      </c>
      <c r="I1224" s="534">
        <v>0</v>
      </c>
      <c r="J1224" s="534">
        <v>0</v>
      </c>
      <c r="K1224" s="534">
        <v>1</v>
      </c>
    </row>
    <row r="1225" spans="2:11" x14ac:dyDescent="0.3">
      <c r="B1225" s="529">
        <f t="shared" si="43"/>
        <v>1220001</v>
      </c>
      <c r="C1225" s="529">
        <f t="shared" si="42"/>
        <v>1221</v>
      </c>
      <c r="E1225" s="534">
        <v>0</v>
      </c>
      <c r="F1225" s="534">
        <v>0</v>
      </c>
      <c r="G1225" s="534">
        <v>27</v>
      </c>
      <c r="I1225" s="534">
        <v>0</v>
      </c>
      <c r="J1225" s="534">
        <v>0</v>
      </c>
      <c r="K1225" s="534">
        <v>1</v>
      </c>
    </row>
    <row r="1226" spans="2:11" x14ac:dyDescent="0.3">
      <c r="B1226" s="529">
        <f t="shared" si="43"/>
        <v>1221001</v>
      </c>
      <c r="C1226" s="529">
        <f t="shared" si="42"/>
        <v>1222</v>
      </c>
      <c r="E1226" s="534">
        <v>0</v>
      </c>
      <c r="F1226" s="534">
        <v>0</v>
      </c>
      <c r="G1226" s="534">
        <v>27</v>
      </c>
      <c r="I1226" s="534">
        <v>0</v>
      </c>
      <c r="J1226" s="534">
        <v>0</v>
      </c>
      <c r="K1226" s="534">
        <v>1</v>
      </c>
    </row>
    <row r="1227" spans="2:11" x14ac:dyDescent="0.3">
      <c r="B1227" s="529">
        <f t="shared" si="43"/>
        <v>1222001</v>
      </c>
      <c r="C1227" s="529">
        <f t="shared" si="42"/>
        <v>1223</v>
      </c>
      <c r="E1227" s="534">
        <v>1</v>
      </c>
      <c r="F1227" s="534">
        <v>1223</v>
      </c>
      <c r="G1227" s="534">
        <v>27</v>
      </c>
      <c r="I1227" s="534">
        <v>0</v>
      </c>
      <c r="J1227" s="534">
        <v>0</v>
      </c>
      <c r="K1227" s="534">
        <v>1</v>
      </c>
    </row>
    <row r="1228" spans="2:11" x14ac:dyDescent="0.3">
      <c r="B1228" s="529">
        <f t="shared" si="43"/>
        <v>1223001</v>
      </c>
      <c r="C1228" s="529">
        <f t="shared" si="42"/>
        <v>1224</v>
      </c>
      <c r="E1228" s="534">
        <v>0</v>
      </c>
      <c r="F1228" s="534">
        <v>0</v>
      </c>
      <c r="G1228" s="534">
        <v>26</v>
      </c>
      <c r="I1228" s="534">
        <v>0</v>
      </c>
      <c r="J1228" s="534">
        <v>0</v>
      </c>
      <c r="K1228" s="534">
        <v>1</v>
      </c>
    </row>
    <row r="1229" spans="2:11" x14ac:dyDescent="0.3">
      <c r="B1229" s="529">
        <f t="shared" si="43"/>
        <v>1224001</v>
      </c>
      <c r="C1229" s="529">
        <f t="shared" si="42"/>
        <v>1225</v>
      </c>
      <c r="E1229" s="534">
        <v>0</v>
      </c>
      <c r="F1229" s="534">
        <v>0</v>
      </c>
      <c r="G1229" s="534">
        <v>26</v>
      </c>
      <c r="I1229" s="534">
        <v>0</v>
      </c>
      <c r="J1229" s="534">
        <v>0</v>
      </c>
      <c r="K1229" s="534">
        <v>1</v>
      </c>
    </row>
    <row r="1230" spans="2:11" x14ac:dyDescent="0.3">
      <c r="B1230" s="529">
        <f t="shared" si="43"/>
        <v>1225001</v>
      </c>
      <c r="C1230" s="529">
        <f t="shared" si="42"/>
        <v>1226</v>
      </c>
      <c r="E1230" s="534">
        <v>0</v>
      </c>
      <c r="F1230" s="534">
        <v>0</v>
      </c>
      <c r="G1230" s="534">
        <v>26</v>
      </c>
      <c r="I1230" s="534">
        <v>0</v>
      </c>
      <c r="J1230" s="534">
        <v>0</v>
      </c>
      <c r="K1230" s="534">
        <v>1</v>
      </c>
    </row>
    <row r="1231" spans="2:11" x14ac:dyDescent="0.3">
      <c r="B1231" s="529">
        <f t="shared" si="43"/>
        <v>1226001</v>
      </c>
      <c r="C1231" s="529">
        <f t="shared" si="42"/>
        <v>1227</v>
      </c>
      <c r="E1231" s="534">
        <v>0</v>
      </c>
      <c r="F1231" s="534">
        <v>0</v>
      </c>
      <c r="G1231" s="534">
        <v>26</v>
      </c>
      <c r="I1231" s="534">
        <v>0</v>
      </c>
      <c r="J1231" s="534">
        <v>0</v>
      </c>
      <c r="K1231" s="534">
        <v>1</v>
      </c>
    </row>
    <row r="1232" spans="2:11" x14ac:dyDescent="0.3">
      <c r="B1232" s="529">
        <f t="shared" si="43"/>
        <v>1227001</v>
      </c>
      <c r="C1232" s="529">
        <f t="shared" si="42"/>
        <v>1228</v>
      </c>
      <c r="E1232" s="534">
        <v>0</v>
      </c>
      <c r="F1232" s="534">
        <v>0</v>
      </c>
      <c r="G1232" s="534">
        <v>26</v>
      </c>
      <c r="I1232" s="534">
        <v>0</v>
      </c>
      <c r="J1232" s="534">
        <v>0</v>
      </c>
      <c r="K1232" s="534">
        <v>1</v>
      </c>
    </row>
    <row r="1233" spans="2:11" x14ac:dyDescent="0.3">
      <c r="B1233" s="529">
        <f t="shared" si="43"/>
        <v>1228001</v>
      </c>
      <c r="C1233" s="529">
        <f t="shared" si="42"/>
        <v>1229</v>
      </c>
      <c r="E1233" s="534">
        <v>0</v>
      </c>
      <c r="F1233" s="534">
        <v>0</v>
      </c>
      <c r="G1233" s="534">
        <v>26</v>
      </c>
      <c r="I1233" s="534">
        <v>0</v>
      </c>
      <c r="J1233" s="534">
        <v>0</v>
      </c>
      <c r="K1233" s="534">
        <v>1</v>
      </c>
    </row>
    <row r="1234" spans="2:11" x14ac:dyDescent="0.3">
      <c r="B1234" s="529">
        <f t="shared" si="43"/>
        <v>1229001</v>
      </c>
      <c r="C1234" s="529">
        <f t="shared" si="42"/>
        <v>1230</v>
      </c>
      <c r="E1234" s="534">
        <v>0</v>
      </c>
      <c r="F1234" s="534">
        <v>0</v>
      </c>
      <c r="G1234" s="534">
        <v>26</v>
      </c>
      <c r="I1234" s="534">
        <v>0</v>
      </c>
      <c r="J1234" s="534">
        <v>0</v>
      </c>
      <c r="K1234" s="534">
        <v>1</v>
      </c>
    </row>
    <row r="1235" spans="2:11" x14ac:dyDescent="0.3">
      <c r="B1235" s="529">
        <f t="shared" si="43"/>
        <v>1230001</v>
      </c>
      <c r="C1235" s="529">
        <f t="shared" ref="C1235:C1298" si="44">C1234+1</f>
        <v>1231</v>
      </c>
      <c r="E1235" s="534">
        <v>0</v>
      </c>
      <c r="F1235" s="534">
        <v>0</v>
      </c>
      <c r="G1235" s="534">
        <v>26</v>
      </c>
      <c r="I1235" s="534">
        <v>0</v>
      </c>
      <c r="J1235" s="534">
        <v>0</v>
      </c>
      <c r="K1235" s="534">
        <v>1</v>
      </c>
    </row>
    <row r="1236" spans="2:11" x14ac:dyDescent="0.3">
      <c r="B1236" s="529">
        <f t="shared" si="43"/>
        <v>1231001</v>
      </c>
      <c r="C1236" s="529">
        <f t="shared" si="44"/>
        <v>1232</v>
      </c>
      <c r="E1236" s="534">
        <v>0</v>
      </c>
      <c r="F1236" s="534">
        <v>0</v>
      </c>
      <c r="G1236" s="534">
        <v>26</v>
      </c>
      <c r="I1236" s="534">
        <v>0</v>
      </c>
      <c r="J1236" s="534">
        <v>0</v>
      </c>
      <c r="K1236" s="534">
        <v>1</v>
      </c>
    </row>
    <row r="1237" spans="2:11" x14ac:dyDescent="0.3">
      <c r="B1237" s="529">
        <f t="shared" si="43"/>
        <v>1232001</v>
      </c>
      <c r="C1237" s="529">
        <f t="shared" si="44"/>
        <v>1233</v>
      </c>
      <c r="E1237" s="534">
        <v>0</v>
      </c>
      <c r="F1237" s="534">
        <v>0</v>
      </c>
      <c r="G1237" s="534">
        <v>26</v>
      </c>
      <c r="I1237" s="534">
        <v>0</v>
      </c>
      <c r="J1237" s="534">
        <v>0</v>
      </c>
      <c r="K1237" s="534">
        <v>1</v>
      </c>
    </row>
    <row r="1238" spans="2:11" x14ac:dyDescent="0.3">
      <c r="B1238" s="529">
        <f t="shared" si="43"/>
        <v>1233001</v>
      </c>
      <c r="C1238" s="529">
        <f t="shared" si="44"/>
        <v>1234</v>
      </c>
      <c r="E1238" s="534">
        <v>0</v>
      </c>
      <c r="F1238" s="534">
        <v>0</v>
      </c>
      <c r="G1238" s="534">
        <v>26</v>
      </c>
      <c r="I1238" s="534">
        <v>0</v>
      </c>
      <c r="J1238" s="534">
        <v>0</v>
      </c>
      <c r="K1238" s="534">
        <v>1</v>
      </c>
    </row>
    <row r="1239" spans="2:11" x14ac:dyDescent="0.3">
      <c r="B1239" s="529">
        <f t="shared" si="43"/>
        <v>1234001</v>
      </c>
      <c r="C1239" s="529">
        <f t="shared" si="44"/>
        <v>1235</v>
      </c>
      <c r="E1239" s="534">
        <v>1</v>
      </c>
      <c r="F1239" s="534">
        <v>1235</v>
      </c>
      <c r="G1239" s="534">
        <v>26</v>
      </c>
      <c r="I1239" s="534">
        <v>0</v>
      </c>
      <c r="J1239" s="534">
        <v>0</v>
      </c>
      <c r="K1239" s="534">
        <v>1</v>
      </c>
    </row>
    <row r="1240" spans="2:11" x14ac:dyDescent="0.3">
      <c r="B1240" s="529">
        <f t="shared" si="43"/>
        <v>1235001</v>
      </c>
      <c r="C1240" s="529">
        <f t="shared" si="44"/>
        <v>1236</v>
      </c>
      <c r="E1240" s="534">
        <v>0</v>
      </c>
      <c r="F1240" s="534">
        <v>0</v>
      </c>
      <c r="G1240" s="534">
        <v>25</v>
      </c>
      <c r="I1240" s="534">
        <v>0</v>
      </c>
      <c r="J1240" s="534">
        <v>0</v>
      </c>
      <c r="K1240" s="534">
        <v>1</v>
      </c>
    </row>
    <row r="1241" spans="2:11" x14ac:dyDescent="0.3">
      <c r="B1241" s="529">
        <f t="shared" si="43"/>
        <v>1236001</v>
      </c>
      <c r="C1241" s="529">
        <f t="shared" si="44"/>
        <v>1237</v>
      </c>
      <c r="E1241" s="534">
        <v>0</v>
      </c>
      <c r="F1241" s="534">
        <v>0</v>
      </c>
      <c r="G1241" s="534">
        <v>25</v>
      </c>
      <c r="I1241" s="534">
        <v>0</v>
      </c>
      <c r="J1241" s="534">
        <v>0</v>
      </c>
      <c r="K1241" s="534">
        <v>1</v>
      </c>
    </row>
    <row r="1242" spans="2:11" x14ac:dyDescent="0.3">
      <c r="B1242" s="529">
        <f t="shared" si="43"/>
        <v>1237001</v>
      </c>
      <c r="C1242" s="529">
        <f t="shared" si="44"/>
        <v>1238</v>
      </c>
      <c r="E1242" s="534">
        <v>0</v>
      </c>
      <c r="F1242" s="534">
        <v>0</v>
      </c>
      <c r="G1242" s="534">
        <v>25</v>
      </c>
      <c r="I1242" s="534">
        <v>0</v>
      </c>
      <c r="J1242" s="534">
        <v>0</v>
      </c>
      <c r="K1242" s="534">
        <v>1</v>
      </c>
    </row>
    <row r="1243" spans="2:11" x14ac:dyDescent="0.3">
      <c r="B1243" s="529">
        <f t="shared" si="43"/>
        <v>1238001</v>
      </c>
      <c r="C1243" s="529">
        <f t="shared" si="44"/>
        <v>1239</v>
      </c>
      <c r="E1243" s="534">
        <v>0</v>
      </c>
      <c r="F1243" s="534">
        <v>0</v>
      </c>
      <c r="G1243" s="534">
        <v>25</v>
      </c>
      <c r="I1243" s="534">
        <v>0</v>
      </c>
      <c r="J1243" s="534">
        <v>0</v>
      </c>
      <c r="K1243" s="534">
        <v>1</v>
      </c>
    </row>
    <row r="1244" spans="2:11" x14ac:dyDescent="0.3">
      <c r="B1244" s="529">
        <f t="shared" si="43"/>
        <v>1239001</v>
      </c>
      <c r="C1244" s="529">
        <f t="shared" si="44"/>
        <v>1240</v>
      </c>
      <c r="E1244" s="534">
        <v>1</v>
      </c>
      <c r="F1244" s="534">
        <v>1240</v>
      </c>
      <c r="G1244" s="534">
        <v>25</v>
      </c>
      <c r="I1244" s="534">
        <v>0</v>
      </c>
      <c r="J1244" s="534">
        <v>0</v>
      </c>
      <c r="K1244" s="534">
        <v>1</v>
      </c>
    </row>
    <row r="1245" spans="2:11" x14ac:dyDescent="0.3">
      <c r="B1245" s="529">
        <f t="shared" si="43"/>
        <v>1240001</v>
      </c>
      <c r="C1245" s="529">
        <f t="shared" si="44"/>
        <v>1241</v>
      </c>
      <c r="E1245" s="534">
        <v>0</v>
      </c>
      <c r="F1245" s="534">
        <v>0</v>
      </c>
      <c r="G1245" s="534">
        <v>24</v>
      </c>
      <c r="I1245" s="534">
        <v>0</v>
      </c>
      <c r="J1245" s="534">
        <v>0</v>
      </c>
      <c r="K1245" s="534">
        <v>1</v>
      </c>
    </row>
    <row r="1246" spans="2:11" x14ac:dyDescent="0.3">
      <c r="B1246" s="529">
        <f t="shared" si="43"/>
        <v>1241001</v>
      </c>
      <c r="C1246" s="529">
        <f t="shared" si="44"/>
        <v>1242</v>
      </c>
      <c r="E1246" s="534">
        <v>0</v>
      </c>
      <c r="F1246" s="534">
        <v>0</v>
      </c>
      <c r="G1246" s="534">
        <v>24</v>
      </c>
      <c r="I1246" s="534">
        <v>0</v>
      </c>
      <c r="J1246" s="534">
        <v>0</v>
      </c>
      <c r="K1246" s="534">
        <v>1</v>
      </c>
    </row>
    <row r="1247" spans="2:11" x14ac:dyDescent="0.3">
      <c r="B1247" s="529">
        <f t="shared" si="43"/>
        <v>1242001</v>
      </c>
      <c r="C1247" s="529">
        <f t="shared" si="44"/>
        <v>1243</v>
      </c>
      <c r="E1247" s="534">
        <v>0</v>
      </c>
      <c r="F1247" s="534">
        <v>0</v>
      </c>
      <c r="G1247" s="534">
        <v>24</v>
      </c>
      <c r="I1247" s="534">
        <v>0</v>
      </c>
      <c r="J1247" s="534">
        <v>0</v>
      </c>
      <c r="K1247" s="534">
        <v>1</v>
      </c>
    </row>
    <row r="1248" spans="2:11" x14ac:dyDescent="0.3">
      <c r="B1248" s="529">
        <f t="shared" si="43"/>
        <v>1243001</v>
      </c>
      <c r="C1248" s="529">
        <f t="shared" si="44"/>
        <v>1244</v>
      </c>
      <c r="E1248" s="534">
        <v>0</v>
      </c>
      <c r="F1248" s="534">
        <v>0</v>
      </c>
      <c r="G1248" s="534">
        <v>24</v>
      </c>
      <c r="I1248" s="534">
        <v>0</v>
      </c>
      <c r="J1248" s="534">
        <v>0</v>
      </c>
      <c r="K1248" s="534">
        <v>1</v>
      </c>
    </row>
    <row r="1249" spans="2:11" x14ac:dyDescent="0.3">
      <c r="B1249" s="529">
        <f t="shared" si="43"/>
        <v>1244001</v>
      </c>
      <c r="C1249" s="529">
        <f t="shared" si="44"/>
        <v>1245</v>
      </c>
      <c r="E1249" s="534">
        <v>0</v>
      </c>
      <c r="F1249" s="534">
        <v>0</v>
      </c>
      <c r="G1249" s="534">
        <v>24</v>
      </c>
      <c r="I1249" s="534">
        <v>0</v>
      </c>
      <c r="J1249" s="534">
        <v>0</v>
      </c>
      <c r="K1249" s="534">
        <v>1</v>
      </c>
    </row>
    <row r="1250" spans="2:11" x14ac:dyDescent="0.3">
      <c r="B1250" s="529">
        <f t="shared" si="43"/>
        <v>1245001</v>
      </c>
      <c r="C1250" s="529">
        <f t="shared" si="44"/>
        <v>1246</v>
      </c>
      <c r="E1250" s="534">
        <v>0</v>
      </c>
      <c r="F1250" s="534">
        <v>0</v>
      </c>
      <c r="G1250" s="534">
        <v>24</v>
      </c>
      <c r="I1250" s="534">
        <v>0</v>
      </c>
      <c r="J1250" s="534">
        <v>0</v>
      </c>
      <c r="K1250" s="534">
        <v>1</v>
      </c>
    </row>
    <row r="1251" spans="2:11" x14ac:dyDescent="0.3">
      <c r="B1251" s="529">
        <f t="shared" si="43"/>
        <v>1246001</v>
      </c>
      <c r="C1251" s="529">
        <f t="shared" si="44"/>
        <v>1247</v>
      </c>
      <c r="E1251" s="534">
        <v>0</v>
      </c>
      <c r="F1251" s="534">
        <v>0</v>
      </c>
      <c r="G1251" s="534">
        <v>24</v>
      </c>
      <c r="I1251" s="534">
        <v>0</v>
      </c>
      <c r="J1251" s="534">
        <v>0</v>
      </c>
      <c r="K1251" s="534">
        <v>1</v>
      </c>
    </row>
    <row r="1252" spans="2:11" x14ac:dyDescent="0.3">
      <c r="B1252" s="529">
        <f t="shared" si="43"/>
        <v>1247001</v>
      </c>
      <c r="C1252" s="529">
        <f t="shared" si="44"/>
        <v>1248</v>
      </c>
      <c r="E1252" s="534">
        <v>0</v>
      </c>
      <c r="F1252" s="534">
        <v>0</v>
      </c>
      <c r="G1252" s="534">
        <v>24</v>
      </c>
      <c r="I1252" s="534">
        <v>0</v>
      </c>
      <c r="J1252" s="534">
        <v>0</v>
      </c>
      <c r="K1252" s="534">
        <v>1</v>
      </c>
    </row>
    <row r="1253" spans="2:11" x14ac:dyDescent="0.3">
      <c r="B1253" s="529">
        <f t="shared" si="43"/>
        <v>1248001</v>
      </c>
      <c r="C1253" s="529">
        <f t="shared" si="44"/>
        <v>1249</v>
      </c>
      <c r="E1253" s="534">
        <v>0</v>
      </c>
      <c r="F1253" s="534">
        <v>0</v>
      </c>
      <c r="G1253" s="534">
        <v>24</v>
      </c>
      <c r="I1253" s="534">
        <v>0</v>
      </c>
      <c r="J1253" s="534">
        <v>0</v>
      </c>
      <c r="K1253" s="534">
        <v>1</v>
      </c>
    </row>
    <row r="1254" spans="2:11" x14ac:dyDescent="0.3">
      <c r="B1254" s="529">
        <f t="shared" si="43"/>
        <v>1249001</v>
      </c>
      <c r="C1254" s="529">
        <f t="shared" si="44"/>
        <v>1250</v>
      </c>
      <c r="E1254" s="534">
        <v>1</v>
      </c>
      <c r="F1254" s="534">
        <v>1250</v>
      </c>
      <c r="G1254" s="534">
        <v>24</v>
      </c>
      <c r="I1254" s="534">
        <v>0</v>
      </c>
      <c r="J1254" s="534">
        <v>0</v>
      </c>
      <c r="K1254" s="534">
        <v>1</v>
      </c>
    </row>
    <row r="1255" spans="2:11" x14ac:dyDescent="0.3">
      <c r="B1255" s="529">
        <f t="shared" si="43"/>
        <v>1250001</v>
      </c>
      <c r="C1255" s="529">
        <f t="shared" si="44"/>
        <v>1251</v>
      </c>
      <c r="E1255" s="534">
        <v>0</v>
      </c>
      <c r="F1255" s="534">
        <v>0</v>
      </c>
      <c r="G1255" s="534">
        <v>23</v>
      </c>
      <c r="I1255" s="534">
        <v>0</v>
      </c>
      <c r="J1255" s="534">
        <v>0</v>
      </c>
      <c r="K1255" s="534">
        <v>1</v>
      </c>
    </row>
    <row r="1256" spans="2:11" x14ac:dyDescent="0.3">
      <c r="B1256" s="529">
        <f t="shared" si="43"/>
        <v>1251001</v>
      </c>
      <c r="C1256" s="529">
        <f t="shared" si="44"/>
        <v>1252</v>
      </c>
      <c r="E1256" s="534">
        <v>0</v>
      </c>
      <c r="F1256" s="534">
        <v>0</v>
      </c>
      <c r="G1256" s="534">
        <v>23</v>
      </c>
      <c r="I1256" s="534">
        <v>0</v>
      </c>
      <c r="J1256" s="534">
        <v>0</v>
      </c>
      <c r="K1256" s="534">
        <v>1</v>
      </c>
    </row>
    <row r="1257" spans="2:11" x14ac:dyDescent="0.3">
      <c r="B1257" s="529">
        <f t="shared" si="43"/>
        <v>1252001</v>
      </c>
      <c r="C1257" s="529">
        <f t="shared" si="44"/>
        <v>1253</v>
      </c>
      <c r="E1257" s="534">
        <v>0</v>
      </c>
      <c r="F1257" s="534">
        <v>0</v>
      </c>
      <c r="G1257" s="534">
        <v>23</v>
      </c>
      <c r="I1257" s="534">
        <v>0</v>
      </c>
      <c r="J1257" s="534">
        <v>0</v>
      </c>
      <c r="K1257" s="534">
        <v>1</v>
      </c>
    </row>
    <row r="1258" spans="2:11" x14ac:dyDescent="0.3">
      <c r="B1258" s="529">
        <f t="shared" si="43"/>
        <v>1253001</v>
      </c>
      <c r="C1258" s="529">
        <f t="shared" si="44"/>
        <v>1254</v>
      </c>
      <c r="E1258" s="534">
        <v>1</v>
      </c>
      <c r="F1258" s="534">
        <v>1254</v>
      </c>
      <c r="G1258" s="534">
        <v>23</v>
      </c>
      <c r="I1258" s="534">
        <v>0</v>
      </c>
      <c r="J1258" s="534">
        <v>0</v>
      </c>
      <c r="K1258" s="534">
        <v>1</v>
      </c>
    </row>
    <row r="1259" spans="2:11" x14ac:dyDescent="0.3">
      <c r="B1259" s="529">
        <f t="shared" si="43"/>
        <v>1254001</v>
      </c>
      <c r="C1259" s="529">
        <f t="shared" si="44"/>
        <v>1255</v>
      </c>
      <c r="E1259" s="534">
        <v>0</v>
      </c>
      <c r="F1259" s="534">
        <v>0</v>
      </c>
      <c r="G1259" s="534">
        <v>22</v>
      </c>
      <c r="I1259" s="534">
        <v>0</v>
      </c>
      <c r="J1259" s="534">
        <v>0</v>
      </c>
      <c r="K1259" s="534">
        <v>1</v>
      </c>
    </row>
    <row r="1260" spans="2:11" x14ac:dyDescent="0.3">
      <c r="B1260" s="529">
        <f t="shared" si="43"/>
        <v>1255001</v>
      </c>
      <c r="C1260" s="529">
        <f t="shared" si="44"/>
        <v>1256</v>
      </c>
      <c r="E1260" s="534">
        <v>0</v>
      </c>
      <c r="F1260" s="534">
        <v>0</v>
      </c>
      <c r="G1260" s="534">
        <v>22</v>
      </c>
      <c r="I1260" s="534">
        <v>0</v>
      </c>
      <c r="J1260" s="534">
        <v>0</v>
      </c>
      <c r="K1260" s="534">
        <v>1</v>
      </c>
    </row>
    <row r="1261" spans="2:11" x14ac:dyDescent="0.3">
      <c r="B1261" s="529">
        <f t="shared" si="43"/>
        <v>1256001</v>
      </c>
      <c r="C1261" s="529">
        <f t="shared" si="44"/>
        <v>1257</v>
      </c>
      <c r="E1261" s="534">
        <v>0</v>
      </c>
      <c r="F1261" s="534">
        <v>0</v>
      </c>
      <c r="G1261" s="534">
        <v>22</v>
      </c>
      <c r="I1261" s="534">
        <v>0</v>
      </c>
      <c r="J1261" s="534">
        <v>0</v>
      </c>
      <c r="K1261" s="534">
        <v>1</v>
      </c>
    </row>
    <row r="1262" spans="2:11" x14ac:dyDescent="0.3">
      <c r="B1262" s="529">
        <f t="shared" si="43"/>
        <v>1257001</v>
      </c>
      <c r="C1262" s="529">
        <f t="shared" si="44"/>
        <v>1258</v>
      </c>
      <c r="E1262" s="534">
        <v>0</v>
      </c>
      <c r="F1262" s="534">
        <v>0</v>
      </c>
      <c r="G1262" s="534">
        <v>22</v>
      </c>
      <c r="I1262" s="534">
        <v>0</v>
      </c>
      <c r="J1262" s="534">
        <v>0</v>
      </c>
      <c r="K1262" s="534">
        <v>1</v>
      </c>
    </row>
    <row r="1263" spans="2:11" x14ac:dyDescent="0.3">
      <c r="B1263" s="529">
        <f t="shared" si="43"/>
        <v>1258001</v>
      </c>
      <c r="C1263" s="529">
        <f t="shared" si="44"/>
        <v>1259</v>
      </c>
      <c r="E1263" s="534">
        <v>0</v>
      </c>
      <c r="F1263" s="534">
        <v>0</v>
      </c>
      <c r="G1263" s="534">
        <v>22</v>
      </c>
      <c r="I1263" s="534">
        <v>0</v>
      </c>
      <c r="J1263" s="534">
        <v>0</v>
      </c>
      <c r="K1263" s="534">
        <v>1</v>
      </c>
    </row>
    <row r="1264" spans="2:11" x14ac:dyDescent="0.3">
      <c r="B1264" s="529">
        <f t="shared" si="43"/>
        <v>1259001</v>
      </c>
      <c r="C1264" s="529">
        <f t="shared" si="44"/>
        <v>1260</v>
      </c>
      <c r="E1264" s="534">
        <v>0</v>
      </c>
      <c r="F1264" s="534">
        <v>0</v>
      </c>
      <c r="G1264" s="534">
        <v>22</v>
      </c>
      <c r="I1264" s="534">
        <v>0</v>
      </c>
      <c r="J1264" s="534">
        <v>0</v>
      </c>
      <c r="K1264" s="534">
        <v>1</v>
      </c>
    </row>
    <row r="1265" spans="2:11" x14ac:dyDescent="0.3">
      <c r="B1265" s="529">
        <f t="shared" si="43"/>
        <v>1260001</v>
      </c>
      <c r="C1265" s="529">
        <f t="shared" si="44"/>
        <v>1261</v>
      </c>
      <c r="E1265" s="534">
        <v>0</v>
      </c>
      <c r="F1265" s="534">
        <v>0</v>
      </c>
      <c r="G1265" s="534">
        <v>22</v>
      </c>
      <c r="I1265" s="534">
        <v>0</v>
      </c>
      <c r="J1265" s="534">
        <v>0</v>
      </c>
      <c r="K1265" s="534">
        <v>1</v>
      </c>
    </row>
    <row r="1266" spans="2:11" x14ac:dyDescent="0.3">
      <c r="B1266" s="529">
        <f t="shared" si="43"/>
        <v>1261001</v>
      </c>
      <c r="C1266" s="529">
        <f t="shared" si="44"/>
        <v>1262</v>
      </c>
      <c r="E1266" s="534">
        <v>0</v>
      </c>
      <c r="F1266" s="534">
        <v>0</v>
      </c>
      <c r="G1266" s="534">
        <v>22</v>
      </c>
      <c r="I1266" s="534">
        <v>0</v>
      </c>
      <c r="J1266" s="534">
        <v>0</v>
      </c>
      <c r="K1266" s="534">
        <v>1</v>
      </c>
    </row>
    <row r="1267" spans="2:11" x14ac:dyDescent="0.3">
      <c r="B1267" s="529">
        <f t="shared" si="43"/>
        <v>1262001</v>
      </c>
      <c r="C1267" s="529">
        <f t="shared" si="44"/>
        <v>1263</v>
      </c>
      <c r="E1267" s="534">
        <v>0</v>
      </c>
      <c r="F1267" s="534">
        <v>0</v>
      </c>
      <c r="G1267" s="534">
        <v>22</v>
      </c>
      <c r="I1267" s="534">
        <v>0</v>
      </c>
      <c r="J1267" s="534">
        <v>0</v>
      </c>
      <c r="K1267" s="534">
        <v>1</v>
      </c>
    </row>
    <row r="1268" spans="2:11" x14ac:dyDescent="0.3">
      <c r="B1268" s="529">
        <f t="shared" si="43"/>
        <v>1263001</v>
      </c>
      <c r="C1268" s="529">
        <f t="shared" si="44"/>
        <v>1264</v>
      </c>
      <c r="E1268" s="534">
        <v>0</v>
      </c>
      <c r="F1268" s="534">
        <v>0</v>
      </c>
      <c r="G1268" s="534">
        <v>22</v>
      </c>
      <c r="I1268" s="534">
        <v>0</v>
      </c>
      <c r="J1268" s="534">
        <v>0</v>
      </c>
      <c r="K1268" s="534">
        <v>1</v>
      </c>
    </row>
    <row r="1269" spans="2:11" x14ac:dyDescent="0.3">
      <c r="B1269" s="529">
        <f t="shared" si="43"/>
        <v>1264001</v>
      </c>
      <c r="C1269" s="529">
        <f t="shared" si="44"/>
        <v>1265</v>
      </c>
      <c r="E1269" s="534">
        <v>0</v>
      </c>
      <c r="F1269" s="534">
        <v>0</v>
      </c>
      <c r="G1269" s="534">
        <v>22</v>
      </c>
      <c r="I1269" s="534">
        <v>0</v>
      </c>
      <c r="J1269" s="534">
        <v>0</v>
      </c>
      <c r="K1269" s="534">
        <v>1</v>
      </c>
    </row>
    <row r="1270" spans="2:11" x14ac:dyDescent="0.3">
      <c r="B1270" s="529">
        <f t="shared" si="43"/>
        <v>1265001</v>
      </c>
      <c r="C1270" s="529">
        <f t="shared" si="44"/>
        <v>1266</v>
      </c>
      <c r="E1270" s="534">
        <v>0</v>
      </c>
      <c r="F1270" s="534">
        <v>0</v>
      </c>
      <c r="G1270" s="534">
        <v>22</v>
      </c>
      <c r="I1270" s="534">
        <v>0</v>
      </c>
      <c r="J1270" s="534">
        <v>0</v>
      </c>
      <c r="K1270" s="534">
        <v>1</v>
      </c>
    </row>
    <row r="1271" spans="2:11" x14ac:dyDescent="0.3">
      <c r="B1271" s="529">
        <f t="shared" si="43"/>
        <v>1266001</v>
      </c>
      <c r="C1271" s="529">
        <f t="shared" si="44"/>
        <v>1267</v>
      </c>
      <c r="E1271" s="534">
        <v>0</v>
      </c>
      <c r="F1271" s="534">
        <v>0</v>
      </c>
      <c r="G1271" s="534">
        <v>22</v>
      </c>
      <c r="I1271" s="534">
        <v>0</v>
      </c>
      <c r="J1271" s="534">
        <v>0</v>
      </c>
      <c r="K1271" s="534">
        <v>1</v>
      </c>
    </row>
    <row r="1272" spans="2:11" x14ac:dyDescent="0.3">
      <c r="B1272" s="529">
        <f t="shared" si="43"/>
        <v>1267001</v>
      </c>
      <c r="C1272" s="529">
        <f t="shared" si="44"/>
        <v>1268</v>
      </c>
      <c r="E1272" s="534">
        <v>0</v>
      </c>
      <c r="F1272" s="534">
        <v>0</v>
      </c>
      <c r="G1272" s="534">
        <v>22</v>
      </c>
      <c r="I1272" s="534">
        <v>0</v>
      </c>
      <c r="J1272" s="534">
        <v>0</v>
      </c>
      <c r="K1272" s="534">
        <v>1</v>
      </c>
    </row>
    <row r="1273" spans="2:11" x14ac:dyDescent="0.3">
      <c r="B1273" s="529">
        <f t="shared" si="43"/>
        <v>1268001</v>
      </c>
      <c r="C1273" s="529">
        <f t="shared" si="44"/>
        <v>1269</v>
      </c>
      <c r="E1273" s="534">
        <v>0</v>
      </c>
      <c r="F1273" s="534">
        <v>0</v>
      </c>
      <c r="G1273" s="534">
        <v>22</v>
      </c>
      <c r="I1273" s="534">
        <v>0</v>
      </c>
      <c r="J1273" s="534">
        <v>0</v>
      </c>
      <c r="K1273" s="534">
        <v>1</v>
      </c>
    </row>
    <row r="1274" spans="2:11" x14ac:dyDescent="0.3">
      <c r="B1274" s="529">
        <f t="shared" si="43"/>
        <v>1269001</v>
      </c>
      <c r="C1274" s="529">
        <f t="shared" si="44"/>
        <v>1270</v>
      </c>
      <c r="E1274" s="534">
        <v>1</v>
      </c>
      <c r="F1274" s="534">
        <v>1270</v>
      </c>
      <c r="G1274" s="534">
        <v>22</v>
      </c>
      <c r="I1274" s="534">
        <v>0</v>
      </c>
      <c r="J1274" s="534">
        <v>0</v>
      </c>
      <c r="K1274" s="534">
        <v>1</v>
      </c>
    </row>
    <row r="1275" spans="2:11" x14ac:dyDescent="0.3">
      <c r="B1275" s="529">
        <f t="shared" si="43"/>
        <v>1270001</v>
      </c>
      <c r="C1275" s="529">
        <f t="shared" si="44"/>
        <v>1271</v>
      </c>
      <c r="E1275" s="534">
        <v>0</v>
      </c>
      <c r="F1275" s="534">
        <v>0</v>
      </c>
      <c r="G1275" s="534">
        <v>21</v>
      </c>
      <c r="I1275" s="534">
        <v>0</v>
      </c>
      <c r="J1275" s="534">
        <v>0</v>
      </c>
      <c r="K1275" s="534">
        <v>1</v>
      </c>
    </row>
    <row r="1276" spans="2:11" x14ac:dyDescent="0.3">
      <c r="B1276" s="529">
        <f t="shared" si="43"/>
        <v>1271001</v>
      </c>
      <c r="C1276" s="529">
        <f t="shared" si="44"/>
        <v>1272</v>
      </c>
      <c r="E1276" s="534">
        <v>0</v>
      </c>
      <c r="F1276" s="534">
        <v>0</v>
      </c>
      <c r="G1276" s="534">
        <v>21</v>
      </c>
      <c r="I1276" s="534">
        <v>0</v>
      </c>
      <c r="J1276" s="534">
        <v>0</v>
      </c>
      <c r="K1276" s="534">
        <v>1</v>
      </c>
    </row>
    <row r="1277" spans="2:11" x14ac:dyDescent="0.3">
      <c r="B1277" s="529">
        <f t="shared" si="43"/>
        <v>1272001</v>
      </c>
      <c r="C1277" s="529">
        <f t="shared" si="44"/>
        <v>1273</v>
      </c>
      <c r="E1277" s="534">
        <v>0</v>
      </c>
      <c r="F1277" s="534">
        <v>0</v>
      </c>
      <c r="G1277" s="534">
        <v>21</v>
      </c>
      <c r="I1277" s="534">
        <v>0</v>
      </c>
      <c r="J1277" s="534">
        <v>0</v>
      </c>
      <c r="K1277" s="534">
        <v>1</v>
      </c>
    </row>
    <row r="1278" spans="2:11" x14ac:dyDescent="0.3">
      <c r="B1278" s="529">
        <f t="shared" si="43"/>
        <v>1273001</v>
      </c>
      <c r="C1278" s="529">
        <f t="shared" si="44"/>
        <v>1274</v>
      </c>
      <c r="E1278" s="534">
        <v>0</v>
      </c>
      <c r="F1278" s="534">
        <v>0</v>
      </c>
      <c r="G1278" s="534">
        <v>21</v>
      </c>
      <c r="I1278" s="534">
        <v>0</v>
      </c>
      <c r="J1278" s="534">
        <v>0</v>
      </c>
      <c r="K1278" s="534">
        <v>1</v>
      </c>
    </row>
    <row r="1279" spans="2:11" x14ac:dyDescent="0.3">
      <c r="B1279" s="529">
        <f t="shared" si="43"/>
        <v>1274001</v>
      </c>
      <c r="C1279" s="529">
        <f t="shared" si="44"/>
        <v>1275</v>
      </c>
      <c r="E1279" s="534">
        <v>0</v>
      </c>
      <c r="F1279" s="534">
        <v>0</v>
      </c>
      <c r="G1279" s="534">
        <v>21</v>
      </c>
      <c r="I1279" s="534">
        <v>0</v>
      </c>
      <c r="J1279" s="534">
        <v>0</v>
      </c>
      <c r="K1279" s="534">
        <v>1</v>
      </c>
    </row>
    <row r="1280" spans="2:11" x14ac:dyDescent="0.3">
      <c r="B1280" s="529">
        <f t="shared" si="43"/>
        <v>1275001</v>
      </c>
      <c r="C1280" s="529">
        <f t="shared" si="44"/>
        <v>1276</v>
      </c>
      <c r="E1280" s="534">
        <v>0</v>
      </c>
      <c r="F1280" s="534">
        <v>0</v>
      </c>
      <c r="G1280" s="534">
        <v>21</v>
      </c>
      <c r="I1280" s="534">
        <v>0</v>
      </c>
      <c r="J1280" s="534">
        <v>0</v>
      </c>
      <c r="K1280" s="534">
        <v>1</v>
      </c>
    </row>
    <row r="1281" spans="2:11" x14ac:dyDescent="0.3">
      <c r="B1281" s="529">
        <f t="shared" si="43"/>
        <v>1276001</v>
      </c>
      <c r="C1281" s="529">
        <f t="shared" si="44"/>
        <v>1277</v>
      </c>
      <c r="E1281" s="534">
        <v>0</v>
      </c>
      <c r="F1281" s="534">
        <v>0</v>
      </c>
      <c r="G1281" s="534">
        <v>21</v>
      </c>
      <c r="I1281" s="534">
        <v>0</v>
      </c>
      <c r="J1281" s="534">
        <v>0</v>
      </c>
      <c r="K1281" s="534">
        <v>1</v>
      </c>
    </row>
    <row r="1282" spans="2:11" x14ac:dyDescent="0.3">
      <c r="B1282" s="529">
        <f t="shared" si="43"/>
        <v>1277001</v>
      </c>
      <c r="C1282" s="529">
        <f t="shared" si="44"/>
        <v>1278</v>
      </c>
      <c r="E1282" s="534">
        <v>0</v>
      </c>
      <c r="F1282" s="534">
        <v>0</v>
      </c>
      <c r="G1282" s="534">
        <v>21</v>
      </c>
      <c r="I1282" s="534">
        <v>0</v>
      </c>
      <c r="J1282" s="534">
        <v>0</v>
      </c>
      <c r="K1282" s="534">
        <v>1</v>
      </c>
    </row>
    <row r="1283" spans="2:11" x14ac:dyDescent="0.3">
      <c r="B1283" s="529">
        <f t="shared" si="43"/>
        <v>1278001</v>
      </c>
      <c r="C1283" s="529">
        <f t="shared" si="44"/>
        <v>1279</v>
      </c>
      <c r="E1283" s="534">
        <v>0</v>
      </c>
      <c r="F1283" s="534">
        <v>0</v>
      </c>
      <c r="G1283" s="534">
        <v>21</v>
      </c>
      <c r="I1283" s="534">
        <v>0</v>
      </c>
      <c r="J1283" s="534">
        <v>0</v>
      </c>
      <c r="K1283" s="534">
        <v>1</v>
      </c>
    </row>
    <row r="1284" spans="2:11" x14ac:dyDescent="0.3">
      <c r="B1284" s="529">
        <f t="shared" si="43"/>
        <v>1279001</v>
      </c>
      <c r="C1284" s="529">
        <f t="shared" si="44"/>
        <v>1280</v>
      </c>
      <c r="E1284" s="534">
        <v>0</v>
      </c>
      <c r="F1284" s="534">
        <v>0</v>
      </c>
      <c r="G1284" s="534">
        <v>21</v>
      </c>
      <c r="I1284" s="534">
        <v>0</v>
      </c>
      <c r="J1284" s="534">
        <v>0</v>
      </c>
      <c r="K1284" s="534">
        <v>1</v>
      </c>
    </row>
    <row r="1285" spans="2:11" x14ac:dyDescent="0.3">
      <c r="B1285" s="529">
        <f t="shared" si="43"/>
        <v>1280001</v>
      </c>
      <c r="C1285" s="529">
        <f t="shared" si="44"/>
        <v>1281</v>
      </c>
      <c r="E1285" s="534">
        <v>0</v>
      </c>
      <c r="F1285" s="534">
        <v>0</v>
      </c>
      <c r="G1285" s="534">
        <v>21</v>
      </c>
      <c r="I1285" s="534">
        <v>0</v>
      </c>
      <c r="J1285" s="534">
        <v>0</v>
      </c>
      <c r="K1285" s="534">
        <v>1</v>
      </c>
    </row>
    <row r="1286" spans="2:11" x14ac:dyDescent="0.3">
      <c r="B1286" s="529">
        <f t="shared" si="43"/>
        <v>1281001</v>
      </c>
      <c r="C1286" s="529">
        <f t="shared" si="44"/>
        <v>1282</v>
      </c>
      <c r="E1286" s="534">
        <v>0</v>
      </c>
      <c r="F1286" s="534">
        <v>0</v>
      </c>
      <c r="G1286" s="534">
        <v>21</v>
      </c>
      <c r="I1286" s="534">
        <v>0</v>
      </c>
      <c r="J1286" s="534">
        <v>0</v>
      </c>
      <c r="K1286" s="534">
        <v>1</v>
      </c>
    </row>
    <row r="1287" spans="2:11" x14ac:dyDescent="0.3">
      <c r="B1287" s="529">
        <f t="shared" ref="B1287:B1350" si="45">C1286*1000+1</f>
        <v>1282001</v>
      </c>
      <c r="C1287" s="529">
        <f t="shared" si="44"/>
        <v>1283</v>
      </c>
      <c r="E1287" s="534">
        <v>0</v>
      </c>
      <c r="F1287" s="534">
        <v>0</v>
      </c>
      <c r="G1287" s="534">
        <v>21</v>
      </c>
      <c r="I1287" s="534">
        <v>0</v>
      </c>
      <c r="J1287" s="534">
        <v>0</v>
      </c>
      <c r="K1287" s="534">
        <v>1</v>
      </c>
    </row>
    <row r="1288" spans="2:11" x14ac:dyDescent="0.3">
      <c r="B1288" s="529">
        <f t="shared" si="45"/>
        <v>1283001</v>
      </c>
      <c r="C1288" s="529">
        <f t="shared" si="44"/>
        <v>1284</v>
      </c>
      <c r="E1288" s="534">
        <v>1</v>
      </c>
      <c r="F1288" s="534">
        <v>1284</v>
      </c>
      <c r="G1288" s="534">
        <v>21</v>
      </c>
      <c r="I1288" s="534">
        <v>0</v>
      </c>
      <c r="J1288" s="534">
        <v>0</v>
      </c>
      <c r="K1288" s="534">
        <v>1</v>
      </c>
    </row>
    <row r="1289" spans="2:11" x14ac:dyDescent="0.3">
      <c r="B1289" s="529">
        <f t="shared" si="45"/>
        <v>1284001</v>
      </c>
      <c r="C1289" s="529">
        <f t="shared" si="44"/>
        <v>1285</v>
      </c>
      <c r="E1289" s="534">
        <v>0</v>
      </c>
      <c r="F1289" s="534">
        <v>0</v>
      </c>
      <c r="G1289" s="534">
        <v>20</v>
      </c>
      <c r="I1289" s="534">
        <v>0</v>
      </c>
      <c r="J1289" s="534">
        <v>0</v>
      </c>
      <c r="K1289" s="534">
        <v>1</v>
      </c>
    </row>
    <row r="1290" spans="2:11" x14ac:dyDescent="0.3">
      <c r="B1290" s="529">
        <f t="shared" si="45"/>
        <v>1285001</v>
      </c>
      <c r="C1290" s="529">
        <f t="shared" si="44"/>
        <v>1286</v>
      </c>
      <c r="E1290" s="534">
        <v>0</v>
      </c>
      <c r="F1290" s="534">
        <v>0</v>
      </c>
      <c r="G1290" s="534">
        <v>20</v>
      </c>
      <c r="I1290" s="534">
        <v>0</v>
      </c>
      <c r="J1290" s="534">
        <v>0</v>
      </c>
      <c r="K1290" s="534">
        <v>1</v>
      </c>
    </row>
    <row r="1291" spans="2:11" x14ac:dyDescent="0.3">
      <c r="B1291" s="529">
        <f t="shared" si="45"/>
        <v>1286001</v>
      </c>
      <c r="C1291" s="529">
        <f t="shared" si="44"/>
        <v>1287</v>
      </c>
      <c r="E1291" s="534">
        <v>0</v>
      </c>
      <c r="F1291" s="534">
        <v>0</v>
      </c>
      <c r="G1291" s="534">
        <v>20</v>
      </c>
      <c r="I1291" s="534">
        <v>0</v>
      </c>
      <c r="J1291" s="534">
        <v>0</v>
      </c>
      <c r="K1291" s="534">
        <v>1</v>
      </c>
    </row>
    <row r="1292" spans="2:11" x14ac:dyDescent="0.3">
      <c r="B1292" s="529">
        <f t="shared" si="45"/>
        <v>1287001</v>
      </c>
      <c r="C1292" s="529">
        <f t="shared" si="44"/>
        <v>1288</v>
      </c>
      <c r="E1292" s="534">
        <v>0</v>
      </c>
      <c r="F1292" s="534">
        <v>0</v>
      </c>
      <c r="G1292" s="534">
        <v>20</v>
      </c>
      <c r="I1292" s="534">
        <v>0</v>
      </c>
      <c r="J1292" s="534">
        <v>0</v>
      </c>
      <c r="K1292" s="534">
        <v>1</v>
      </c>
    </row>
    <row r="1293" spans="2:11" x14ac:dyDescent="0.3">
      <c r="B1293" s="529">
        <f t="shared" si="45"/>
        <v>1288001</v>
      </c>
      <c r="C1293" s="529">
        <f t="shared" si="44"/>
        <v>1289</v>
      </c>
      <c r="E1293" s="534">
        <v>0</v>
      </c>
      <c r="F1293" s="534">
        <v>0</v>
      </c>
      <c r="G1293" s="534">
        <v>20</v>
      </c>
      <c r="I1293" s="534">
        <v>0</v>
      </c>
      <c r="J1293" s="534">
        <v>0</v>
      </c>
      <c r="K1293" s="534">
        <v>1</v>
      </c>
    </row>
    <row r="1294" spans="2:11" x14ac:dyDescent="0.3">
      <c r="B1294" s="529">
        <f t="shared" si="45"/>
        <v>1289001</v>
      </c>
      <c r="C1294" s="529">
        <f t="shared" si="44"/>
        <v>1290</v>
      </c>
      <c r="E1294" s="534">
        <v>0</v>
      </c>
      <c r="F1294" s="534">
        <v>0</v>
      </c>
      <c r="G1294" s="534">
        <v>20</v>
      </c>
      <c r="I1294" s="534">
        <v>0</v>
      </c>
      <c r="J1294" s="534">
        <v>0</v>
      </c>
      <c r="K1294" s="534">
        <v>1</v>
      </c>
    </row>
    <row r="1295" spans="2:11" x14ac:dyDescent="0.3">
      <c r="B1295" s="529">
        <f t="shared" si="45"/>
        <v>1290001</v>
      </c>
      <c r="C1295" s="529">
        <f t="shared" si="44"/>
        <v>1291</v>
      </c>
      <c r="E1295" s="534">
        <v>0</v>
      </c>
      <c r="F1295" s="534">
        <v>0</v>
      </c>
      <c r="G1295" s="534">
        <v>20</v>
      </c>
      <c r="I1295" s="534">
        <v>0</v>
      </c>
      <c r="J1295" s="534">
        <v>0</v>
      </c>
      <c r="K1295" s="534">
        <v>1</v>
      </c>
    </row>
    <row r="1296" spans="2:11" x14ac:dyDescent="0.3">
      <c r="B1296" s="529">
        <f t="shared" si="45"/>
        <v>1291001</v>
      </c>
      <c r="C1296" s="529">
        <f t="shared" si="44"/>
        <v>1292</v>
      </c>
      <c r="E1296" s="534">
        <v>0</v>
      </c>
      <c r="F1296" s="534">
        <v>0</v>
      </c>
      <c r="G1296" s="534">
        <v>20</v>
      </c>
      <c r="I1296" s="534">
        <v>0</v>
      </c>
      <c r="J1296" s="534">
        <v>0</v>
      </c>
      <c r="K1296" s="534">
        <v>1</v>
      </c>
    </row>
    <row r="1297" spans="2:11" x14ac:dyDescent="0.3">
      <c r="B1297" s="529">
        <f t="shared" si="45"/>
        <v>1292001</v>
      </c>
      <c r="C1297" s="529">
        <f t="shared" si="44"/>
        <v>1293</v>
      </c>
      <c r="E1297" s="534">
        <v>0</v>
      </c>
      <c r="F1297" s="534">
        <v>0</v>
      </c>
      <c r="G1297" s="534">
        <v>20</v>
      </c>
      <c r="I1297" s="534">
        <v>0</v>
      </c>
      <c r="J1297" s="534">
        <v>0</v>
      </c>
      <c r="K1297" s="534">
        <v>1</v>
      </c>
    </row>
    <row r="1298" spans="2:11" x14ac:dyDescent="0.3">
      <c r="B1298" s="529">
        <f t="shared" si="45"/>
        <v>1293001</v>
      </c>
      <c r="C1298" s="529">
        <f t="shared" si="44"/>
        <v>1294</v>
      </c>
      <c r="E1298" s="534">
        <v>0</v>
      </c>
      <c r="F1298" s="534">
        <v>0</v>
      </c>
      <c r="G1298" s="534">
        <v>20</v>
      </c>
      <c r="I1298" s="534">
        <v>0</v>
      </c>
      <c r="J1298" s="534">
        <v>0</v>
      </c>
      <c r="K1298" s="534">
        <v>1</v>
      </c>
    </row>
    <row r="1299" spans="2:11" x14ac:dyDescent="0.3">
      <c r="B1299" s="529">
        <f t="shared" si="45"/>
        <v>1294001</v>
      </c>
      <c r="C1299" s="529">
        <f t="shared" ref="C1299:C1362" si="46">C1298+1</f>
        <v>1295</v>
      </c>
      <c r="E1299" s="534">
        <v>0</v>
      </c>
      <c r="F1299" s="534">
        <v>0</v>
      </c>
      <c r="G1299" s="534">
        <v>20</v>
      </c>
      <c r="I1299" s="534">
        <v>0</v>
      </c>
      <c r="J1299" s="534">
        <v>0</v>
      </c>
      <c r="K1299" s="534">
        <v>1</v>
      </c>
    </row>
    <row r="1300" spans="2:11" x14ac:dyDescent="0.3">
      <c r="B1300" s="529">
        <f t="shared" si="45"/>
        <v>1295001</v>
      </c>
      <c r="C1300" s="529">
        <f t="shared" si="46"/>
        <v>1296</v>
      </c>
      <c r="E1300" s="534">
        <v>0</v>
      </c>
      <c r="F1300" s="534">
        <v>0</v>
      </c>
      <c r="G1300" s="534">
        <v>20</v>
      </c>
      <c r="I1300" s="534">
        <v>0</v>
      </c>
      <c r="J1300" s="534">
        <v>0</v>
      </c>
      <c r="K1300" s="534">
        <v>1</v>
      </c>
    </row>
    <row r="1301" spans="2:11" x14ac:dyDescent="0.3">
      <c r="B1301" s="529">
        <f t="shared" si="45"/>
        <v>1296001</v>
      </c>
      <c r="C1301" s="529">
        <f t="shared" si="46"/>
        <v>1297</v>
      </c>
      <c r="E1301" s="534">
        <v>0</v>
      </c>
      <c r="F1301" s="534">
        <v>0</v>
      </c>
      <c r="G1301" s="534">
        <v>20</v>
      </c>
      <c r="I1301" s="534">
        <v>0</v>
      </c>
      <c r="J1301" s="534">
        <v>0</v>
      </c>
      <c r="K1301" s="534">
        <v>1</v>
      </c>
    </row>
    <row r="1302" spans="2:11" x14ac:dyDescent="0.3">
      <c r="B1302" s="529">
        <f t="shared" si="45"/>
        <v>1297001</v>
      </c>
      <c r="C1302" s="529">
        <f t="shared" si="46"/>
        <v>1298</v>
      </c>
      <c r="E1302" s="534">
        <v>0</v>
      </c>
      <c r="F1302" s="534">
        <v>0</v>
      </c>
      <c r="G1302" s="534">
        <v>20</v>
      </c>
      <c r="I1302" s="534">
        <v>0</v>
      </c>
      <c r="J1302" s="534">
        <v>0</v>
      </c>
      <c r="K1302" s="534">
        <v>1</v>
      </c>
    </row>
    <row r="1303" spans="2:11" x14ac:dyDescent="0.3">
      <c r="B1303" s="529">
        <f t="shared" si="45"/>
        <v>1298001</v>
      </c>
      <c r="C1303" s="529">
        <f t="shared" si="46"/>
        <v>1299</v>
      </c>
      <c r="E1303" s="534">
        <v>0</v>
      </c>
      <c r="F1303" s="534">
        <v>0</v>
      </c>
      <c r="G1303" s="534">
        <v>20</v>
      </c>
      <c r="I1303" s="534">
        <v>0</v>
      </c>
      <c r="J1303" s="534">
        <v>0</v>
      </c>
      <c r="K1303" s="534">
        <v>1</v>
      </c>
    </row>
    <row r="1304" spans="2:11" x14ac:dyDescent="0.3">
      <c r="B1304" s="529">
        <f t="shared" si="45"/>
        <v>1299001</v>
      </c>
      <c r="C1304" s="529">
        <f t="shared" si="46"/>
        <v>1300</v>
      </c>
      <c r="E1304" s="534">
        <v>0</v>
      </c>
      <c r="F1304" s="534">
        <v>0</v>
      </c>
      <c r="G1304" s="534">
        <v>20</v>
      </c>
      <c r="I1304" s="534">
        <v>0</v>
      </c>
      <c r="J1304" s="534">
        <v>0</v>
      </c>
      <c r="K1304" s="534">
        <v>1</v>
      </c>
    </row>
    <row r="1305" spans="2:11" x14ac:dyDescent="0.3">
      <c r="B1305" s="529">
        <f t="shared" si="45"/>
        <v>1300001</v>
      </c>
      <c r="C1305" s="529">
        <f t="shared" si="46"/>
        <v>1301</v>
      </c>
      <c r="E1305" s="534">
        <v>0</v>
      </c>
      <c r="F1305" s="534">
        <v>0</v>
      </c>
      <c r="G1305" s="534">
        <v>20</v>
      </c>
      <c r="I1305" s="534">
        <v>0</v>
      </c>
      <c r="J1305" s="534">
        <v>0</v>
      </c>
      <c r="K1305" s="534">
        <v>1</v>
      </c>
    </row>
    <row r="1306" spans="2:11" x14ac:dyDescent="0.3">
      <c r="B1306" s="529">
        <f t="shared" si="45"/>
        <v>1301001</v>
      </c>
      <c r="C1306" s="529">
        <f t="shared" si="46"/>
        <v>1302</v>
      </c>
      <c r="E1306" s="534">
        <v>0</v>
      </c>
      <c r="F1306" s="534">
        <v>0</v>
      </c>
      <c r="G1306" s="534">
        <v>20</v>
      </c>
      <c r="I1306" s="534">
        <v>0</v>
      </c>
      <c r="J1306" s="534">
        <v>0</v>
      </c>
      <c r="K1306" s="534">
        <v>1</v>
      </c>
    </row>
    <row r="1307" spans="2:11" x14ac:dyDescent="0.3">
      <c r="B1307" s="529">
        <f t="shared" si="45"/>
        <v>1302001</v>
      </c>
      <c r="C1307" s="529">
        <f t="shared" si="46"/>
        <v>1303</v>
      </c>
      <c r="E1307" s="534">
        <v>0</v>
      </c>
      <c r="F1307" s="534">
        <v>0</v>
      </c>
      <c r="G1307" s="534">
        <v>20</v>
      </c>
      <c r="I1307" s="534">
        <v>0</v>
      </c>
      <c r="J1307" s="534">
        <v>0</v>
      </c>
      <c r="K1307" s="534">
        <v>1</v>
      </c>
    </row>
    <row r="1308" spans="2:11" x14ac:dyDescent="0.3">
      <c r="B1308" s="529">
        <f t="shared" si="45"/>
        <v>1303001</v>
      </c>
      <c r="C1308" s="529">
        <f t="shared" si="46"/>
        <v>1304</v>
      </c>
      <c r="E1308" s="534">
        <v>0</v>
      </c>
      <c r="F1308" s="534">
        <v>0</v>
      </c>
      <c r="G1308" s="534">
        <v>20</v>
      </c>
      <c r="I1308" s="534">
        <v>0</v>
      </c>
      <c r="J1308" s="534">
        <v>0</v>
      </c>
      <c r="K1308" s="534">
        <v>1</v>
      </c>
    </row>
    <row r="1309" spans="2:11" x14ac:dyDescent="0.3">
      <c r="B1309" s="529">
        <f t="shared" si="45"/>
        <v>1304001</v>
      </c>
      <c r="C1309" s="529">
        <f t="shared" si="46"/>
        <v>1305</v>
      </c>
      <c r="E1309" s="534">
        <v>0</v>
      </c>
      <c r="F1309" s="534">
        <v>0</v>
      </c>
      <c r="G1309" s="534">
        <v>20</v>
      </c>
      <c r="I1309" s="534">
        <v>0</v>
      </c>
      <c r="J1309" s="534">
        <v>0</v>
      </c>
      <c r="K1309" s="534">
        <v>1</v>
      </c>
    </row>
    <row r="1310" spans="2:11" x14ac:dyDescent="0.3">
      <c r="B1310" s="529">
        <f t="shared" si="45"/>
        <v>1305001</v>
      </c>
      <c r="C1310" s="529">
        <f t="shared" si="46"/>
        <v>1306</v>
      </c>
      <c r="E1310" s="534">
        <v>0</v>
      </c>
      <c r="F1310" s="534">
        <v>0</v>
      </c>
      <c r="G1310" s="534">
        <v>20</v>
      </c>
      <c r="I1310" s="534">
        <v>0</v>
      </c>
      <c r="J1310" s="534">
        <v>0</v>
      </c>
      <c r="K1310" s="534">
        <v>1</v>
      </c>
    </row>
    <row r="1311" spans="2:11" x14ac:dyDescent="0.3">
      <c r="B1311" s="529">
        <f t="shared" si="45"/>
        <v>1306001</v>
      </c>
      <c r="C1311" s="529">
        <f t="shared" si="46"/>
        <v>1307</v>
      </c>
      <c r="E1311" s="534">
        <v>1</v>
      </c>
      <c r="F1311" s="534">
        <v>1307</v>
      </c>
      <c r="G1311" s="534">
        <v>20</v>
      </c>
      <c r="I1311" s="534">
        <v>0</v>
      </c>
      <c r="J1311" s="534">
        <v>0</v>
      </c>
      <c r="K1311" s="534">
        <v>1</v>
      </c>
    </row>
    <row r="1312" spans="2:11" x14ac:dyDescent="0.3">
      <c r="B1312" s="529">
        <f t="shared" si="45"/>
        <v>1307001</v>
      </c>
      <c r="C1312" s="529">
        <f t="shared" si="46"/>
        <v>1308</v>
      </c>
      <c r="E1312" s="534">
        <v>0</v>
      </c>
      <c r="F1312" s="534">
        <v>0</v>
      </c>
      <c r="G1312" s="534">
        <v>19</v>
      </c>
      <c r="I1312" s="534">
        <v>0</v>
      </c>
      <c r="J1312" s="534">
        <v>0</v>
      </c>
      <c r="K1312" s="534">
        <v>1</v>
      </c>
    </row>
    <row r="1313" spans="2:11" x14ac:dyDescent="0.3">
      <c r="B1313" s="529">
        <f t="shared" si="45"/>
        <v>1308001</v>
      </c>
      <c r="C1313" s="529">
        <f t="shared" si="46"/>
        <v>1309</v>
      </c>
      <c r="E1313" s="534">
        <v>0</v>
      </c>
      <c r="F1313" s="534">
        <v>0</v>
      </c>
      <c r="G1313" s="534">
        <v>19</v>
      </c>
      <c r="I1313" s="534">
        <v>0</v>
      </c>
      <c r="J1313" s="534">
        <v>0</v>
      </c>
      <c r="K1313" s="534">
        <v>1</v>
      </c>
    </row>
    <row r="1314" spans="2:11" x14ac:dyDescent="0.3">
      <c r="B1314" s="529">
        <f t="shared" si="45"/>
        <v>1309001</v>
      </c>
      <c r="C1314" s="529">
        <f t="shared" si="46"/>
        <v>1310</v>
      </c>
      <c r="E1314" s="534">
        <v>0</v>
      </c>
      <c r="F1314" s="534">
        <v>0</v>
      </c>
      <c r="G1314" s="534">
        <v>19</v>
      </c>
      <c r="I1314" s="534">
        <v>0</v>
      </c>
      <c r="J1314" s="534">
        <v>0</v>
      </c>
      <c r="K1314" s="534">
        <v>1</v>
      </c>
    </row>
    <row r="1315" spans="2:11" x14ac:dyDescent="0.3">
      <c r="B1315" s="529">
        <f t="shared" si="45"/>
        <v>1310001</v>
      </c>
      <c r="C1315" s="529">
        <f t="shared" si="46"/>
        <v>1311</v>
      </c>
      <c r="E1315" s="534">
        <v>0</v>
      </c>
      <c r="F1315" s="534">
        <v>0</v>
      </c>
      <c r="G1315" s="534">
        <v>19</v>
      </c>
      <c r="I1315" s="534">
        <v>0</v>
      </c>
      <c r="J1315" s="534">
        <v>0</v>
      </c>
      <c r="K1315" s="534">
        <v>1</v>
      </c>
    </row>
    <row r="1316" spans="2:11" x14ac:dyDescent="0.3">
      <c r="B1316" s="529">
        <f t="shared" si="45"/>
        <v>1311001</v>
      </c>
      <c r="C1316" s="529">
        <f t="shared" si="46"/>
        <v>1312</v>
      </c>
      <c r="E1316" s="534">
        <v>0</v>
      </c>
      <c r="F1316" s="534">
        <v>0</v>
      </c>
      <c r="G1316" s="534">
        <v>19</v>
      </c>
      <c r="I1316" s="534">
        <v>0</v>
      </c>
      <c r="J1316" s="534">
        <v>0</v>
      </c>
      <c r="K1316" s="534">
        <v>1</v>
      </c>
    </row>
    <row r="1317" spans="2:11" x14ac:dyDescent="0.3">
      <c r="B1317" s="529">
        <f t="shared" si="45"/>
        <v>1312001</v>
      </c>
      <c r="C1317" s="529">
        <f t="shared" si="46"/>
        <v>1313</v>
      </c>
      <c r="E1317" s="534">
        <v>0</v>
      </c>
      <c r="F1317" s="534">
        <v>0</v>
      </c>
      <c r="G1317" s="534">
        <v>19</v>
      </c>
      <c r="I1317" s="534">
        <v>0</v>
      </c>
      <c r="J1317" s="534">
        <v>0</v>
      </c>
      <c r="K1317" s="534">
        <v>1</v>
      </c>
    </row>
    <row r="1318" spans="2:11" x14ac:dyDescent="0.3">
      <c r="B1318" s="529">
        <f t="shared" si="45"/>
        <v>1313001</v>
      </c>
      <c r="C1318" s="529">
        <f t="shared" si="46"/>
        <v>1314</v>
      </c>
      <c r="E1318" s="534">
        <v>0</v>
      </c>
      <c r="F1318" s="534">
        <v>0</v>
      </c>
      <c r="G1318" s="534">
        <v>19</v>
      </c>
      <c r="I1318" s="534">
        <v>0</v>
      </c>
      <c r="J1318" s="534">
        <v>0</v>
      </c>
      <c r="K1318" s="534">
        <v>1</v>
      </c>
    </row>
    <row r="1319" spans="2:11" x14ac:dyDescent="0.3">
      <c r="B1319" s="529">
        <f t="shared" si="45"/>
        <v>1314001</v>
      </c>
      <c r="C1319" s="529">
        <f t="shared" si="46"/>
        <v>1315</v>
      </c>
      <c r="E1319" s="534">
        <v>0</v>
      </c>
      <c r="F1319" s="534">
        <v>0</v>
      </c>
      <c r="G1319" s="534">
        <v>19</v>
      </c>
      <c r="I1319" s="534">
        <v>0</v>
      </c>
      <c r="J1319" s="534">
        <v>0</v>
      </c>
      <c r="K1319" s="534">
        <v>1</v>
      </c>
    </row>
    <row r="1320" spans="2:11" x14ac:dyDescent="0.3">
      <c r="B1320" s="529">
        <f t="shared" si="45"/>
        <v>1315001</v>
      </c>
      <c r="C1320" s="529">
        <f t="shared" si="46"/>
        <v>1316</v>
      </c>
      <c r="E1320" s="534">
        <v>0</v>
      </c>
      <c r="F1320" s="534">
        <v>0</v>
      </c>
      <c r="G1320" s="534">
        <v>19</v>
      </c>
      <c r="I1320" s="534">
        <v>0</v>
      </c>
      <c r="J1320" s="534">
        <v>0</v>
      </c>
      <c r="K1320" s="534">
        <v>1</v>
      </c>
    </row>
    <row r="1321" spans="2:11" x14ac:dyDescent="0.3">
      <c r="B1321" s="529">
        <f t="shared" si="45"/>
        <v>1316001</v>
      </c>
      <c r="C1321" s="529">
        <f t="shared" si="46"/>
        <v>1317</v>
      </c>
      <c r="E1321" s="534">
        <v>0</v>
      </c>
      <c r="F1321" s="534">
        <v>0</v>
      </c>
      <c r="G1321" s="534">
        <v>19</v>
      </c>
      <c r="I1321" s="534">
        <v>0</v>
      </c>
      <c r="J1321" s="534">
        <v>0</v>
      </c>
      <c r="K1321" s="534">
        <v>1</v>
      </c>
    </row>
    <row r="1322" spans="2:11" x14ac:dyDescent="0.3">
      <c r="B1322" s="529">
        <f t="shared" si="45"/>
        <v>1317001</v>
      </c>
      <c r="C1322" s="529">
        <f t="shared" si="46"/>
        <v>1318</v>
      </c>
      <c r="E1322" s="534">
        <v>0</v>
      </c>
      <c r="F1322" s="534">
        <v>0</v>
      </c>
      <c r="G1322" s="534">
        <v>19</v>
      </c>
      <c r="I1322" s="534">
        <v>0</v>
      </c>
      <c r="J1322" s="534">
        <v>0</v>
      </c>
      <c r="K1322" s="534">
        <v>1</v>
      </c>
    </row>
    <row r="1323" spans="2:11" x14ac:dyDescent="0.3">
      <c r="B1323" s="529">
        <f t="shared" si="45"/>
        <v>1318001</v>
      </c>
      <c r="C1323" s="529">
        <f t="shared" si="46"/>
        <v>1319</v>
      </c>
      <c r="E1323" s="534">
        <v>0</v>
      </c>
      <c r="F1323" s="534">
        <v>0</v>
      </c>
      <c r="G1323" s="534">
        <v>19</v>
      </c>
      <c r="I1323" s="534">
        <v>0</v>
      </c>
      <c r="J1323" s="534">
        <v>0</v>
      </c>
      <c r="K1323" s="534">
        <v>1</v>
      </c>
    </row>
    <row r="1324" spans="2:11" x14ac:dyDescent="0.3">
      <c r="B1324" s="529">
        <f t="shared" si="45"/>
        <v>1319001</v>
      </c>
      <c r="C1324" s="529">
        <f t="shared" si="46"/>
        <v>1320</v>
      </c>
      <c r="E1324" s="534">
        <v>0</v>
      </c>
      <c r="F1324" s="534">
        <v>0</v>
      </c>
      <c r="G1324" s="534">
        <v>19</v>
      </c>
      <c r="I1324" s="534">
        <v>0</v>
      </c>
      <c r="J1324" s="534">
        <v>0</v>
      </c>
      <c r="K1324" s="534">
        <v>1</v>
      </c>
    </row>
    <row r="1325" spans="2:11" x14ac:dyDescent="0.3">
      <c r="B1325" s="529">
        <f t="shared" si="45"/>
        <v>1320001</v>
      </c>
      <c r="C1325" s="529">
        <f t="shared" si="46"/>
        <v>1321</v>
      </c>
      <c r="E1325" s="534">
        <v>0</v>
      </c>
      <c r="F1325" s="534">
        <v>0</v>
      </c>
      <c r="G1325" s="534">
        <v>19</v>
      </c>
      <c r="I1325" s="534">
        <v>0</v>
      </c>
      <c r="J1325" s="534">
        <v>0</v>
      </c>
      <c r="K1325" s="534">
        <v>1</v>
      </c>
    </row>
    <row r="1326" spans="2:11" x14ac:dyDescent="0.3">
      <c r="B1326" s="529">
        <f t="shared" si="45"/>
        <v>1321001</v>
      </c>
      <c r="C1326" s="529">
        <f t="shared" si="46"/>
        <v>1322</v>
      </c>
      <c r="E1326" s="534">
        <v>0</v>
      </c>
      <c r="F1326" s="534">
        <v>0</v>
      </c>
      <c r="G1326" s="534">
        <v>19</v>
      </c>
      <c r="I1326" s="534">
        <v>0</v>
      </c>
      <c r="J1326" s="534">
        <v>0</v>
      </c>
      <c r="K1326" s="534">
        <v>1</v>
      </c>
    </row>
    <row r="1327" spans="2:11" x14ac:dyDescent="0.3">
      <c r="B1327" s="529">
        <f t="shared" si="45"/>
        <v>1322001</v>
      </c>
      <c r="C1327" s="529">
        <f t="shared" si="46"/>
        <v>1323</v>
      </c>
      <c r="E1327" s="534">
        <v>0</v>
      </c>
      <c r="F1327" s="534">
        <v>0</v>
      </c>
      <c r="G1327" s="534">
        <v>19</v>
      </c>
      <c r="I1327" s="534">
        <v>0</v>
      </c>
      <c r="J1327" s="534">
        <v>0</v>
      </c>
      <c r="K1327" s="534">
        <v>1</v>
      </c>
    </row>
    <row r="1328" spans="2:11" x14ac:dyDescent="0.3">
      <c r="B1328" s="529">
        <f t="shared" si="45"/>
        <v>1323001</v>
      </c>
      <c r="C1328" s="529">
        <f t="shared" si="46"/>
        <v>1324</v>
      </c>
      <c r="E1328" s="534">
        <v>0</v>
      </c>
      <c r="F1328" s="534">
        <v>0</v>
      </c>
      <c r="G1328" s="534">
        <v>19</v>
      </c>
      <c r="I1328" s="534">
        <v>0</v>
      </c>
      <c r="J1328" s="534">
        <v>0</v>
      </c>
      <c r="K1328" s="534">
        <v>1</v>
      </c>
    </row>
    <row r="1329" spans="2:11" x14ac:dyDescent="0.3">
      <c r="B1329" s="529">
        <f t="shared" si="45"/>
        <v>1324001</v>
      </c>
      <c r="C1329" s="529">
        <f t="shared" si="46"/>
        <v>1325</v>
      </c>
      <c r="E1329" s="534">
        <v>0</v>
      </c>
      <c r="F1329" s="534">
        <v>0</v>
      </c>
      <c r="G1329" s="534">
        <v>19</v>
      </c>
      <c r="I1329" s="534">
        <v>0</v>
      </c>
      <c r="J1329" s="534">
        <v>0</v>
      </c>
      <c r="K1329" s="534">
        <v>1</v>
      </c>
    </row>
    <row r="1330" spans="2:11" x14ac:dyDescent="0.3">
      <c r="B1330" s="529">
        <f t="shared" si="45"/>
        <v>1325001</v>
      </c>
      <c r="C1330" s="529">
        <f t="shared" si="46"/>
        <v>1326</v>
      </c>
      <c r="E1330" s="534">
        <v>0</v>
      </c>
      <c r="F1330" s="534">
        <v>0</v>
      </c>
      <c r="G1330" s="534">
        <v>19</v>
      </c>
      <c r="I1330" s="534">
        <v>0</v>
      </c>
      <c r="J1330" s="534">
        <v>0</v>
      </c>
      <c r="K1330" s="534">
        <v>1</v>
      </c>
    </row>
    <row r="1331" spans="2:11" x14ac:dyDescent="0.3">
      <c r="B1331" s="529">
        <f t="shared" si="45"/>
        <v>1326001</v>
      </c>
      <c r="C1331" s="529">
        <f t="shared" si="46"/>
        <v>1327</v>
      </c>
      <c r="E1331" s="534">
        <v>0</v>
      </c>
      <c r="F1331" s="534">
        <v>0</v>
      </c>
      <c r="G1331" s="534">
        <v>19</v>
      </c>
      <c r="I1331" s="534">
        <v>0</v>
      </c>
      <c r="J1331" s="534">
        <v>0</v>
      </c>
      <c r="K1331" s="534">
        <v>1</v>
      </c>
    </row>
    <row r="1332" spans="2:11" x14ac:dyDescent="0.3">
      <c r="B1332" s="529">
        <f t="shared" si="45"/>
        <v>1327001</v>
      </c>
      <c r="C1332" s="529">
        <f t="shared" si="46"/>
        <v>1328</v>
      </c>
      <c r="E1332" s="534">
        <v>0</v>
      </c>
      <c r="F1332" s="534">
        <v>0</v>
      </c>
      <c r="G1332" s="534">
        <v>19</v>
      </c>
      <c r="I1332" s="534">
        <v>0</v>
      </c>
      <c r="J1332" s="534">
        <v>0</v>
      </c>
      <c r="K1332" s="534">
        <v>1</v>
      </c>
    </row>
    <row r="1333" spans="2:11" x14ac:dyDescent="0.3">
      <c r="B1333" s="529">
        <f t="shared" si="45"/>
        <v>1328001</v>
      </c>
      <c r="C1333" s="529">
        <f t="shared" si="46"/>
        <v>1329</v>
      </c>
      <c r="E1333" s="534">
        <v>0</v>
      </c>
      <c r="F1333" s="534">
        <v>0</v>
      </c>
      <c r="G1333" s="534">
        <v>19</v>
      </c>
      <c r="I1333" s="534">
        <v>0</v>
      </c>
      <c r="J1333" s="534">
        <v>0</v>
      </c>
      <c r="K1333" s="534">
        <v>1</v>
      </c>
    </row>
    <row r="1334" spans="2:11" x14ac:dyDescent="0.3">
      <c r="B1334" s="529">
        <f t="shared" si="45"/>
        <v>1329001</v>
      </c>
      <c r="C1334" s="529">
        <f t="shared" si="46"/>
        <v>1330</v>
      </c>
      <c r="E1334" s="534">
        <v>1</v>
      </c>
      <c r="F1334" s="534">
        <v>1330</v>
      </c>
      <c r="G1334" s="534">
        <v>19</v>
      </c>
      <c r="I1334" s="534">
        <v>0</v>
      </c>
      <c r="J1334" s="534">
        <v>0</v>
      </c>
      <c r="K1334" s="534">
        <v>1</v>
      </c>
    </row>
    <row r="1335" spans="2:11" x14ac:dyDescent="0.3">
      <c r="B1335" s="529">
        <f t="shared" si="45"/>
        <v>1330001</v>
      </c>
      <c r="C1335" s="529">
        <f t="shared" si="46"/>
        <v>1331</v>
      </c>
      <c r="E1335" s="534">
        <v>0</v>
      </c>
      <c r="F1335" s="534">
        <v>0</v>
      </c>
      <c r="G1335" s="534">
        <v>18</v>
      </c>
      <c r="I1335" s="534">
        <v>0</v>
      </c>
      <c r="J1335" s="534">
        <v>0</v>
      </c>
      <c r="K1335" s="534">
        <v>1</v>
      </c>
    </row>
    <row r="1336" spans="2:11" x14ac:dyDescent="0.3">
      <c r="B1336" s="529">
        <f t="shared" si="45"/>
        <v>1331001</v>
      </c>
      <c r="C1336" s="529">
        <f t="shared" si="46"/>
        <v>1332</v>
      </c>
      <c r="E1336" s="534">
        <v>0</v>
      </c>
      <c r="F1336" s="534">
        <v>0</v>
      </c>
      <c r="G1336" s="534">
        <v>18</v>
      </c>
      <c r="I1336" s="534">
        <v>0</v>
      </c>
      <c r="J1336" s="534">
        <v>0</v>
      </c>
      <c r="K1336" s="534">
        <v>1</v>
      </c>
    </row>
    <row r="1337" spans="2:11" x14ac:dyDescent="0.3">
      <c r="B1337" s="529">
        <f t="shared" si="45"/>
        <v>1332001</v>
      </c>
      <c r="C1337" s="529">
        <f t="shared" si="46"/>
        <v>1333</v>
      </c>
      <c r="E1337" s="534">
        <v>0</v>
      </c>
      <c r="F1337" s="534">
        <v>0</v>
      </c>
      <c r="G1337" s="534">
        <v>18</v>
      </c>
      <c r="I1337" s="534">
        <v>0</v>
      </c>
      <c r="J1337" s="534">
        <v>0</v>
      </c>
      <c r="K1337" s="534">
        <v>1</v>
      </c>
    </row>
    <row r="1338" spans="2:11" x14ac:dyDescent="0.3">
      <c r="B1338" s="529">
        <f t="shared" si="45"/>
        <v>1333001</v>
      </c>
      <c r="C1338" s="529">
        <f t="shared" si="46"/>
        <v>1334</v>
      </c>
      <c r="E1338" s="534">
        <v>0</v>
      </c>
      <c r="F1338" s="534">
        <v>0</v>
      </c>
      <c r="G1338" s="534">
        <v>18</v>
      </c>
      <c r="I1338" s="534">
        <v>0</v>
      </c>
      <c r="J1338" s="534">
        <v>0</v>
      </c>
      <c r="K1338" s="534">
        <v>1</v>
      </c>
    </row>
    <row r="1339" spans="2:11" x14ac:dyDescent="0.3">
      <c r="B1339" s="529">
        <f t="shared" si="45"/>
        <v>1334001</v>
      </c>
      <c r="C1339" s="529">
        <f t="shared" si="46"/>
        <v>1335</v>
      </c>
      <c r="E1339" s="534">
        <v>0</v>
      </c>
      <c r="F1339" s="534">
        <v>0</v>
      </c>
      <c r="G1339" s="534">
        <v>18</v>
      </c>
      <c r="I1339" s="534">
        <v>0</v>
      </c>
      <c r="J1339" s="534">
        <v>0</v>
      </c>
      <c r="K1339" s="534">
        <v>1</v>
      </c>
    </row>
    <row r="1340" spans="2:11" x14ac:dyDescent="0.3">
      <c r="B1340" s="529">
        <f t="shared" si="45"/>
        <v>1335001</v>
      </c>
      <c r="C1340" s="529">
        <f t="shared" si="46"/>
        <v>1336</v>
      </c>
      <c r="E1340" s="534">
        <v>0</v>
      </c>
      <c r="F1340" s="534">
        <v>0</v>
      </c>
      <c r="G1340" s="534">
        <v>18</v>
      </c>
      <c r="I1340" s="534">
        <v>0</v>
      </c>
      <c r="J1340" s="534">
        <v>0</v>
      </c>
      <c r="K1340" s="534">
        <v>1</v>
      </c>
    </row>
    <row r="1341" spans="2:11" x14ac:dyDescent="0.3">
      <c r="B1341" s="529">
        <f t="shared" si="45"/>
        <v>1336001</v>
      </c>
      <c r="C1341" s="529">
        <f t="shared" si="46"/>
        <v>1337</v>
      </c>
      <c r="E1341" s="534">
        <v>0</v>
      </c>
      <c r="F1341" s="534">
        <v>0</v>
      </c>
      <c r="G1341" s="534">
        <v>18</v>
      </c>
      <c r="I1341" s="534">
        <v>0</v>
      </c>
      <c r="J1341" s="534">
        <v>0</v>
      </c>
      <c r="K1341" s="534">
        <v>1</v>
      </c>
    </row>
    <row r="1342" spans="2:11" x14ac:dyDescent="0.3">
      <c r="B1342" s="529">
        <f t="shared" si="45"/>
        <v>1337001</v>
      </c>
      <c r="C1342" s="529">
        <f t="shared" si="46"/>
        <v>1338</v>
      </c>
      <c r="E1342" s="534">
        <v>0</v>
      </c>
      <c r="F1342" s="534">
        <v>0</v>
      </c>
      <c r="G1342" s="534">
        <v>18</v>
      </c>
      <c r="I1342" s="534">
        <v>0</v>
      </c>
      <c r="J1342" s="534">
        <v>0</v>
      </c>
      <c r="K1342" s="534">
        <v>1</v>
      </c>
    </row>
    <row r="1343" spans="2:11" x14ac:dyDescent="0.3">
      <c r="B1343" s="529">
        <f t="shared" si="45"/>
        <v>1338001</v>
      </c>
      <c r="C1343" s="529">
        <f t="shared" si="46"/>
        <v>1339</v>
      </c>
      <c r="E1343" s="534">
        <v>0</v>
      </c>
      <c r="F1343" s="534">
        <v>0</v>
      </c>
      <c r="G1343" s="534">
        <v>18</v>
      </c>
      <c r="I1343" s="534">
        <v>0</v>
      </c>
      <c r="J1343" s="534">
        <v>0</v>
      </c>
      <c r="K1343" s="534">
        <v>1</v>
      </c>
    </row>
    <row r="1344" spans="2:11" x14ac:dyDescent="0.3">
      <c r="B1344" s="529">
        <f t="shared" si="45"/>
        <v>1339001</v>
      </c>
      <c r="C1344" s="529">
        <f t="shared" si="46"/>
        <v>1340</v>
      </c>
      <c r="E1344" s="534">
        <v>0</v>
      </c>
      <c r="F1344" s="534">
        <v>0</v>
      </c>
      <c r="G1344" s="534">
        <v>18</v>
      </c>
      <c r="I1344" s="534">
        <v>0</v>
      </c>
      <c r="J1344" s="534">
        <v>0</v>
      </c>
      <c r="K1344" s="534">
        <v>1</v>
      </c>
    </row>
    <row r="1345" spans="2:11" x14ac:dyDescent="0.3">
      <c r="B1345" s="529">
        <f t="shared" si="45"/>
        <v>1340001</v>
      </c>
      <c r="C1345" s="529">
        <f t="shared" si="46"/>
        <v>1341</v>
      </c>
      <c r="E1345" s="534">
        <v>0</v>
      </c>
      <c r="F1345" s="534">
        <v>0</v>
      </c>
      <c r="G1345" s="534">
        <v>18</v>
      </c>
      <c r="I1345" s="534">
        <v>0</v>
      </c>
      <c r="J1345" s="534">
        <v>0</v>
      </c>
      <c r="K1345" s="534">
        <v>1</v>
      </c>
    </row>
    <row r="1346" spans="2:11" x14ac:dyDescent="0.3">
      <c r="B1346" s="529">
        <f t="shared" si="45"/>
        <v>1341001</v>
      </c>
      <c r="C1346" s="529">
        <f t="shared" si="46"/>
        <v>1342</v>
      </c>
      <c r="E1346" s="534">
        <v>0</v>
      </c>
      <c r="F1346" s="534">
        <v>0</v>
      </c>
      <c r="G1346" s="534">
        <v>18</v>
      </c>
      <c r="I1346" s="534">
        <v>0</v>
      </c>
      <c r="J1346" s="534">
        <v>0</v>
      </c>
      <c r="K1346" s="534">
        <v>1</v>
      </c>
    </row>
    <row r="1347" spans="2:11" x14ac:dyDescent="0.3">
      <c r="B1347" s="529">
        <f t="shared" si="45"/>
        <v>1342001</v>
      </c>
      <c r="C1347" s="529">
        <f t="shared" si="46"/>
        <v>1343</v>
      </c>
      <c r="E1347" s="534">
        <v>0</v>
      </c>
      <c r="F1347" s="534">
        <v>0</v>
      </c>
      <c r="G1347" s="534">
        <v>18</v>
      </c>
      <c r="I1347" s="534">
        <v>0</v>
      </c>
      <c r="J1347" s="534">
        <v>0</v>
      </c>
      <c r="K1347" s="534">
        <v>1</v>
      </c>
    </row>
    <row r="1348" spans="2:11" x14ac:dyDescent="0.3">
      <c r="B1348" s="529">
        <f t="shared" si="45"/>
        <v>1343001</v>
      </c>
      <c r="C1348" s="529">
        <f t="shared" si="46"/>
        <v>1344</v>
      </c>
      <c r="E1348" s="534">
        <v>0</v>
      </c>
      <c r="F1348" s="534">
        <v>0</v>
      </c>
      <c r="G1348" s="534">
        <v>18</v>
      </c>
      <c r="I1348" s="534">
        <v>0</v>
      </c>
      <c r="J1348" s="534">
        <v>0</v>
      </c>
      <c r="K1348" s="534">
        <v>1</v>
      </c>
    </row>
    <row r="1349" spans="2:11" x14ac:dyDescent="0.3">
      <c r="B1349" s="529">
        <f t="shared" si="45"/>
        <v>1344001</v>
      </c>
      <c r="C1349" s="529">
        <f t="shared" si="46"/>
        <v>1345</v>
      </c>
      <c r="E1349" s="534">
        <v>0</v>
      </c>
      <c r="F1349" s="534">
        <v>0</v>
      </c>
      <c r="G1349" s="534">
        <v>18</v>
      </c>
      <c r="I1349" s="534">
        <v>0</v>
      </c>
      <c r="J1349" s="534">
        <v>0</v>
      </c>
      <c r="K1349" s="534">
        <v>1</v>
      </c>
    </row>
    <row r="1350" spans="2:11" x14ac:dyDescent="0.3">
      <c r="B1350" s="529">
        <f t="shared" si="45"/>
        <v>1345001</v>
      </c>
      <c r="C1350" s="529">
        <f t="shared" si="46"/>
        <v>1346</v>
      </c>
      <c r="E1350" s="534">
        <v>0</v>
      </c>
      <c r="F1350" s="534">
        <v>0</v>
      </c>
      <c r="G1350" s="534">
        <v>18</v>
      </c>
      <c r="I1350" s="534">
        <v>0</v>
      </c>
      <c r="J1350" s="534">
        <v>0</v>
      </c>
      <c r="K1350" s="534">
        <v>1</v>
      </c>
    </row>
    <row r="1351" spans="2:11" x14ac:dyDescent="0.3">
      <c r="B1351" s="529">
        <f t="shared" ref="B1351:B1414" si="47">C1350*1000+1</f>
        <v>1346001</v>
      </c>
      <c r="C1351" s="529">
        <f t="shared" si="46"/>
        <v>1347</v>
      </c>
      <c r="E1351" s="534">
        <v>0</v>
      </c>
      <c r="F1351" s="534">
        <v>0</v>
      </c>
      <c r="G1351" s="534">
        <v>18</v>
      </c>
      <c r="I1351" s="534">
        <v>0</v>
      </c>
      <c r="J1351" s="534">
        <v>0</v>
      </c>
      <c r="K1351" s="534">
        <v>1</v>
      </c>
    </row>
    <row r="1352" spans="2:11" x14ac:dyDescent="0.3">
      <c r="B1352" s="529">
        <f t="shared" si="47"/>
        <v>1347001</v>
      </c>
      <c r="C1352" s="529">
        <f t="shared" si="46"/>
        <v>1348</v>
      </c>
      <c r="E1352" s="534">
        <v>0</v>
      </c>
      <c r="F1352" s="534">
        <v>0</v>
      </c>
      <c r="G1352" s="534">
        <v>18</v>
      </c>
      <c r="I1352" s="534">
        <v>0</v>
      </c>
      <c r="J1352" s="534">
        <v>0</v>
      </c>
      <c r="K1352" s="534">
        <v>1</v>
      </c>
    </row>
    <row r="1353" spans="2:11" x14ac:dyDescent="0.3">
      <c r="B1353" s="529">
        <f t="shared" si="47"/>
        <v>1348001</v>
      </c>
      <c r="C1353" s="529">
        <f t="shared" si="46"/>
        <v>1349</v>
      </c>
      <c r="E1353" s="534">
        <v>0</v>
      </c>
      <c r="F1353" s="534">
        <v>0</v>
      </c>
      <c r="G1353" s="534">
        <v>18</v>
      </c>
      <c r="I1353" s="534">
        <v>0</v>
      </c>
      <c r="J1353" s="534">
        <v>0</v>
      </c>
      <c r="K1353" s="534">
        <v>1</v>
      </c>
    </row>
    <row r="1354" spans="2:11" x14ac:dyDescent="0.3">
      <c r="B1354" s="529">
        <f t="shared" si="47"/>
        <v>1349001</v>
      </c>
      <c r="C1354" s="529">
        <f t="shared" si="46"/>
        <v>1350</v>
      </c>
      <c r="E1354" s="534">
        <v>0</v>
      </c>
      <c r="F1354" s="534">
        <v>0</v>
      </c>
      <c r="G1354" s="534">
        <v>18</v>
      </c>
      <c r="I1354" s="534">
        <v>0</v>
      </c>
      <c r="J1354" s="534">
        <v>0</v>
      </c>
      <c r="K1354" s="534">
        <v>1</v>
      </c>
    </row>
    <row r="1355" spans="2:11" x14ac:dyDescent="0.3">
      <c r="B1355" s="529">
        <f t="shared" si="47"/>
        <v>1350001</v>
      </c>
      <c r="C1355" s="529">
        <f t="shared" si="46"/>
        <v>1351</v>
      </c>
      <c r="E1355" s="534">
        <v>0</v>
      </c>
      <c r="F1355" s="534">
        <v>0</v>
      </c>
      <c r="G1355" s="534">
        <v>18</v>
      </c>
      <c r="I1355" s="534">
        <v>0</v>
      </c>
      <c r="J1355" s="534">
        <v>0</v>
      </c>
      <c r="K1355" s="534">
        <v>1</v>
      </c>
    </row>
    <row r="1356" spans="2:11" x14ac:dyDescent="0.3">
      <c r="B1356" s="529">
        <f t="shared" si="47"/>
        <v>1351001</v>
      </c>
      <c r="C1356" s="529">
        <f t="shared" si="46"/>
        <v>1352</v>
      </c>
      <c r="E1356" s="534">
        <v>0</v>
      </c>
      <c r="F1356" s="534">
        <v>0</v>
      </c>
      <c r="G1356" s="534">
        <v>18</v>
      </c>
      <c r="I1356" s="534">
        <v>0</v>
      </c>
      <c r="J1356" s="534">
        <v>0</v>
      </c>
      <c r="K1356" s="534">
        <v>1</v>
      </c>
    </row>
    <row r="1357" spans="2:11" x14ac:dyDescent="0.3">
      <c r="B1357" s="529">
        <f t="shared" si="47"/>
        <v>1352001</v>
      </c>
      <c r="C1357" s="529">
        <f t="shared" si="46"/>
        <v>1353</v>
      </c>
      <c r="E1357" s="534">
        <v>0</v>
      </c>
      <c r="F1357" s="534">
        <v>0</v>
      </c>
      <c r="G1357" s="534">
        <v>18</v>
      </c>
      <c r="I1357" s="534">
        <v>0</v>
      </c>
      <c r="J1357" s="534">
        <v>0</v>
      </c>
      <c r="K1357" s="534">
        <v>1</v>
      </c>
    </row>
    <row r="1358" spans="2:11" x14ac:dyDescent="0.3">
      <c r="B1358" s="529">
        <f t="shared" si="47"/>
        <v>1353001</v>
      </c>
      <c r="C1358" s="529">
        <f t="shared" si="46"/>
        <v>1354</v>
      </c>
      <c r="E1358" s="534">
        <v>0</v>
      </c>
      <c r="F1358" s="534">
        <v>0</v>
      </c>
      <c r="G1358" s="534">
        <v>18</v>
      </c>
      <c r="I1358" s="534">
        <v>0</v>
      </c>
      <c r="J1358" s="534">
        <v>0</v>
      </c>
      <c r="K1358" s="534">
        <v>1</v>
      </c>
    </row>
    <row r="1359" spans="2:11" x14ac:dyDescent="0.3">
      <c r="B1359" s="529">
        <f t="shared" si="47"/>
        <v>1354001</v>
      </c>
      <c r="C1359" s="529">
        <f t="shared" si="46"/>
        <v>1355</v>
      </c>
      <c r="E1359" s="534">
        <v>0</v>
      </c>
      <c r="F1359" s="534">
        <v>0</v>
      </c>
      <c r="G1359" s="534">
        <v>18</v>
      </c>
      <c r="I1359" s="534">
        <v>0</v>
      </c>
      <c r="J1359" s="534">
        <v>0</v>
      </c>
      <c r="K1359" s="534">
        <v>1</v>
      </c>
    </row>
    <row r="1360" spans="2:11" x14ac:dyDescent="0.3">
      <c r="B1360" s="529">
        <f t="shared" si="47"/>
        <v>1355001</v>
      </c>
      <c r="C1360" s="529">
        <f t="shared" si="46"/>
        <v>1356</v>
      </c>
      <c r="E1360" s="534">
        <v>0</v>
      </c>
      <c r="F1360" s="534">
        <v>0</v>
      </c>
      <c r="G1360" s="534">
        <v>18</v>
      </c>
      <c r="I1360" s="534">
        <v>0</v>
      </c>
      <c r="J1360" s="534">
        <v>0</v>
      </c>
      <c r="K1360" s="534">
        <v>1</v>
      </c>
    </row>
    <row r="1361" spans="2:11" x14ac:dyDescent="0.3">
      <c r="B1361" s="529">
        <f t="shared" si="47"/>
        <v>1356001</v>
      </c>
      <c r="C1361" s="529">
        <f t="shared" si="46"/>
        <v>1357</v>
      </c>
      <c r="E1361" s="534">
        <v>0</v>
      </c>
      <c r="F1361" s="534">
        <v>0</v>
      </c>
      <c r="G1361" s="534">
        <v>18</v>
      </c>
      <c r="I1361" s="534">
        <v>0</v>
      </c>
      <c r="J1361" s="534">
        <v>0</v>
      </c>
      <c r="K1361" s="534">
        <v>1</v>
      </c>
    </row>
    <row r="1362" spans="2:11" x14ac:dyDescent="0.3">
      <c r="B1362" s="529">
        <f t="shared" si="47"/>
        <v>1357001</v>
      </c>
      <c r="C1362" s="529">
        <f t="shared" si="46"/>
        <v>1358</v>
      </c>
      <c r="E1362" s="534">
        <v>0</v>
      </c>
      <c r="F1362" s="534">
        <v>0</v>
      </c>
      <c r="G1362" s="534">
        <v>18</v>
      </c>
      <c r="I1362" s="534">
        <v>0</v>
      </c>
      <c r="J1362" s="534">
        <v>0</v>
      </c>
      <c r="K1362" s="534">
        <v>1</v>
      </c>
    </row>
    <row r="1363" spans="2:11" x14ac:dyDescent="0.3">
      <c r="B1363" s="529">
        <f t="shared" si="47"/>
        <v>1358001</v>
      </c>
      <c r="C1363" s="529">
        <f t="shared" ref="C1363:C1426" si="48">C1362+1</f>
        <v>1359</v>
      </c>
      <c r="E1363" s="534">
        <v>0</v>
      </c>
      <c r="F1363" s="534">
        <v>0</v>
      </c>
      <c r="G1363" s="534">
        <v>18</v>
      </c>
      <c r="I1363" s="534">
        <v>0</v>
      </c>
      <c r="J1363" s="534">
        <v>0</v>
      </c>
      <c r="K1363" s="534">
        <v>1</v>
      </c>
    </row>
    <row r="1364" spans="2:11" x14ac:dyDescent="0.3">
      <c r="B1364" s="529">
        <f t="shared" si="47"/>
        <v>1359001</v>
      </c>
      <c r="C1364" s="529">
        <f t="shared" si="48"/>
        <v>1360</v>
      </c>
      <c r="E1364" s="534">
        <v>0</v>
      </c>
      <c r="F1364" s="534">
        <v>0</v>
      </c>
      <c r="G1364" s="534">
        <v>18</v>
      </c>
      <c r="I1364" s="534">
        <v>0</v>
      </c>
      <c r="J1364" s="534">
        <v>0</v>
      </c>
      <c r="K1364" s="534">
        <v>1</v>
      </c>
    </row>
    <row r="1365" spans="2:11" x14ac:dyDescent="0.3">
      <c r="B1365" s="529">
        <f t="shared" si="47"/>
        <v>1360001</v>
      </c>
      <c r="C1365" s="529">
        <f t="shared" si="48"/>
        <v>1361</v>
      </c>
      <c r="E1365" s="534">
        <v>1</v>
      </c>
      <c r="F1365" s="534">
        <v>1361</v>
      </c>
      <c r="G1365" s="534">
        <v>18</v>
      </c>
      <c r="I1365" s="534">
        <v>0</v>
      </c>
      <c r="J1365" s="534">
        <v>0</v>
      </c>
      <c r="K1365" s="534">
        <v>1</v>
      </c>
    </row>
    <row r="1366" spans="2:11" x14ac:dyDescent="0.3">
      <c r="B1366" s="529">
        <f t="shared" si="47"/>
        <v>1361001</v>
      </c>
      <c r="C1366" s="529">
        <f t="shared" si="48"/>
        <v>1362</v>
      </c>
      <c r="E1366" s="534">
        <v>0</v>
      </c>
      <c r="F1366" s="534">
        <v>0</v>
      </c>
      <c r="G1366" s="534">
        <v>17</v>
      </c>
      <c r="I1366" s="534">
        <v>0</v>
      </c>
      <c r="J1366" s="534">
        <v>0</v>
      </c>
      <c r="K1366" s="534">
        <v>1</v>
      </c>
    </row>
    <row r="1367" spans="2:11" x14ac:dyDescent="0.3">
      <c r="B1367" s="529">
        <f t="shared" si="47"/>
        <v>1362001</v>
      </c>
      <c r="C1367" s="529">
        <f t="shared" si="48"/>
        <v>1363</v>
      </c>
      <c r="E1367" s="534">
        <v>0</v>
      </c>
      <c r="F1367" s="534">
        <v>0</v>
      </c>
      <c r="G1367" s="534">
        <v>17</v>
      </c>
      <c r="I1367" s="534">
        <v>0</v>
      </c>
      <c r="J1367" s="534">
        <v>0</v>
      </c>
      <c r="K1367" s="534">
        <v>1</v>
      </c>
    </row>
    <row r="1368" spans="2:11" x14ac:dyDescent="0.3">
      <c r="B1368" s="529">
        <f t="shared" si="47"/>
        <v>1363001</v>
      </c>
      <c r="C1368" s="529">
        <f t="shared" si="48"/>
        <v>1364</v>
      </c>
      <c r="E1368" s="534">
        <v>0</v>
      </c>
      <c r="F1368" s="534">
        <v>0</v>
      </c>
      <c r="G1368" s="534">
        <v>17</v>
      </c>
      <c r="I1368" s="534">
        <v>0</v>
      </c>
      <c r="J1368" s="534">
        <v>0</v>
      </c>
      <c r="K1368" s="534">
        <v>1</v>
      </c>
    </row>
    <row r="1369" spans="2:11" x14ac:dyDescent="0.3">
      <c r="B1369" s="529">
        <f t="shared" si="47"/>
        <v>1364001</v>
      </c>
      <c r="C1369" s="529">
        <f t="shared" si="48"/>
        <v>1365</v>
      </c>
      <c r="E1369" s="534">
        <v>0</v>
      </c>
      <c r="F1369" s="534">
        <v>0</v>
      </c>
      <c r="G1369" s="534">
        <v>17</v>
      </c>
      <c r="I1369" s="534">
        <v>0</v>
      </c>
      <c r="J1369" s="534">
        <v>0</v>
      </c>
      <c r="K1369" s="534">
        <v>1</v>
      </c>
    </row>
    <row r="1370" spans="2:11" x14ac:dyDescent="0.3">
      <c r="B1370" s="529">
        <f t="shared" si="47"/>
        <v>1365001</v>
      </c>
      <c r="C1370" s="529">
        <f t="shared" si="48"/>
        <v>1366</v>
      </c>
      <c r="E1370" s="534">
        <v>0</v>
      </c>
      <c r="F1370" s="534">
        <v>0</v>
      </c>
      <c r="G1370" s="534">
        <v>17</v>
      </c>
      <c r="I1370" s="534">
        <v>0</v>
      </c>
      <c r="J1370" s="534">
        <v>0</v>
      </c>
      <c r="K1370" s="534">
        <v>1</v>
      </c>
    </row>
    <row r="1371" spans="2:11" x14ac:dyDescent="0.3">
      <c r="B1371" s="529">
        <f t="shared" si="47"/>
        <v>1366001</v>
      </c>
      <c r="C1371" s="529">
        <f t="shared" si="48"/>
        <v>1367</v>
      </c>
      <c r="E1371" s="534">
        <v>0</v>
      </c>
      <c r="F1371" s="534">
        <v>0</v>
      </c>
      <c r="G1371" s="534">
        <v>17</v>
      </c>
      <c r="I1371" s="534">
        <v>0</v>
      </c>
      <c r="J1371" s="534">
        <v>0</v>
      </c>
      <c r="K1371" s="534">
        <v>1</v>
      </c>
    </row>
    <row r="1372" spans="2:11" x14ac:dyDescent="0.3">
      <c r="B1372" s="529">
        <f t="shared" si="47"/>
        <v>1367001</v>
      </c>
      <c r="C1372" s="529">
        <f t="shared" si="48"/>
        <v>1368</v>
      </c>
      <c r="E1372" s="534">
        <v>0</v>
      </c>
      <c r="F1372" s="534">
        <v>0</v>
      </c>
      <c r="G1372" s="534">
        <v>17</v>
      </c>
      <c r="I1372" s="534">
        <v>0</v>
      </c>
      <c r="J1372" s="534">
        <v>0</v>
      </c>
      <c r="K1372" s="534">
        <v>1</v>
      </c>
    </row>
    <row r="1373" spans="2:11" x14ac:dyDescent="0.3">
      <c r="B1373" s="529">
        <f t="shared" si="47"/>
        <v>1368001</v>
      </c>
      <c r="C1373" s="529">
        <f t="shared" si="48"/>
        <v>1369</v>
      </c>
      <c r="E1373" s="534">
        <v>0</v>
      </c>
      <c r="F1373" s="534">
        <v>0</v>
      </c>
      <c r="G1373" s="534">
        <v>17</v>
      </c>
      <c r="I1373" s="534">
        <v>0</v>
      </c>
      <c r="J1373" s="534">
        <v>0</v>
      </c>
      <c r="K1373" s="534">
        <v>1</v>
      </c>
    </row>
    <row r="1374" spans="2:11" x14ac:dyDescent="0.3">
      <c r="B1374" s="529">
        <f t="shared" si="47"/>
        <v>1369001</v>
      </c>
      <c r="C1374" s="529">
        <f t="shared" si="48"/>
        <v>1370</v>
      </c>
      <c r="E1374" s="534">
        <v>0</v>
      </c>
      <c r="F1374" s="534">
        <v>0</v>
      </c>
      <c r="G1374" s="534">
        <v>17</v>
      </c>
      <c r="I1374" s="534">
        <v>0</v>
      </c>
      <c r="J1374" s="534">
        <v>0</v>
      </c>
      <c r="K1374" s="534">
        <v>1</v>
      </c>
    </row>
    <row r="1375" spans="2:11" x14ac:dyDescent="0.3">
      <c r="B1375" s="529">
        <f t="shared" si="47"/>
        <v>1370001</v>
      </c>
      <c r="C1375" s="529">
        <f t="shared" si="48"/>
        <v>1371</v>
      </c>
      <c r="E1375" s="534">
        <v>0</v>
      </c>
      <c r="F1375" s="534">
        <v>0</v>
      </c>
      <c r="G1375" s="534">
        <v>17</v>
      </c>
      <c r="I1375" s="534">
        <v>0</v>
      </c>
      <c r="J1375" s="534">
        <v>0</v>
      </c>
      <c r="K1375" s="534">
        <v>1</v>
      </c>
    </row>
    <row r="1376" spans="2:11" x14ac:dyDescent="0.3">
      <c r="B1376" s="529">
        <f t="shared" si="47"/>
        <v>1371001</v>
      </c>
      <c r="C1376" s="529">
        <f t="shared" si="48"/>
        <v>1372</v>
      </c>
      <c r="E1376" s="534">
        <v>0</v>
      </c>
      <c r="F1376" s="534">
        <v>0</v>
      </c>
      <c r="G1376" s="534">
        <v>17</v>
      </c>
      <c r="I1376" s="534">
        <v>0</v>
      </c>
      <c r="J1376" s="534">
        <v>0</v>
      </c>
      <c r="K1376" s="534">
        <v>1</v>
      </c>
    </row>
    <row r="1377" spans="2:11" x14ac:dyDescent="0.3">
      <c r="B1377" s="529">
        <f t="shared" si="47"/>
        <v>1372001</v>
      </c>
      <c r="C1377" s="529">
        <f t="shared" si="48"/>
        <v>1373</v>
      </c>
      <c r="E1377" s="534">
        <v>0</v>
      </c>
      <c r="F1377" s="534">
        <v>0</v>
      </c>
      <c r="G1377" s="534">
        <v>17</v>
      </c>
      <c r="I1377" s="534">
        <v>0</v>
      </c>
      <c r="J1377" s="534">
        <v>0</v>
      </c>
      <c r="K1377" s="534">
        <v>1</v>
      </c>
    </row>
    <row r="1378" spans="2:11" x14ac:dyDescent="0.3">
      <c r="B1378" s="529">
        <f t="shared" si="47"/>
        <v>1373001</v>
      </c>
      <c r="C1378" s="529">
        <f t="shared" si="48"/>
        <v>1374</v>
      </c>
      <c r="E1378" s="534">
        <v>0</v>
      </c>
      <c r="F1378" s="534">
        <v>0</v>
      </c>
      <c r="G1378" s="534">
        <v>17</v>
      </c>
      <c r="I1378" s="534">
        <v>0</v>
      </c>
      <c r="J1378" s="534">
        <v>0</v>
      </c>
      <c r="K1378" s="534">
        <v>1</v>
      </c>
    </row>
    <row r="1379" spans="2:11" x14ac:dyDescent="0.3">
      <c r="B1379" s="529">
        <f t="shared" si="47"/>
        <v>1374001</v>
      </c>
      <c r="C1379" s="529">
        <f t="shared" si="48"/>
        <v>1375</v>
      </c>
      <c r="E1379" s="534">
        <v>0</v>
      </c>
      <c r="F1379" s="534">
        <v>0</v>
      </c>
      <c r="G1379" s="534">
        <v>17</v>
      </c>
      <c r="I1379" s="534">
        <v>0</v>
      </c>
      <c r="J1379" s="534">
        <v>0</v>
      </c>
      <c r="K1379" s="534">
        <v>1</v>
      </c>
    </row>
    <row r="1380" spans="2:11" x14ac:dyDescent="0.3">
      <c r="B1380" s="529">
        <f t="shared" si="47"/>
        <v>1375001</v>
      </c>
      <c r="C1380" s="529">
        <f t="shared" si="48"/>
        <v>1376</v>
      </c>
      <c r="E1380" s="534">
        <v>0</v>
      </c>
      <c r="F1380" s="534">
        <v>0</v>
      </c>
      <c r="G1380" s="534">
        <v>17</v>
      </c>
      <c r="I1380" s="534">
        <v>0</v>
      </c>
      <c r="J1380" s="534">
        <v>0</v>
      </c>
      <c r="K1380" s="534">
        <v>1</v>
      </c>
    </row>
    <row r="1381" spans="2:11" x14ac:dyDescent="0.3">
      <c r="B1381" s="529">
        <f t="shared" si="47"/>
        <v>1376001</v>
      </c>
      <c r="C1381" s="529">
        <f t="shared" si="48"/>
        <v>1377</v>
      </c>
      <c r="E1381" s="534">
        <v>0</v>
      </c>
      <c r="F1381" s="534">
        <v>0</v>
      </c>
      <c r="G1381" s="534">
        <v>17</v>
      </c>
      <c r="I1381" s="534">
        <v>0</v>
      </c>
      <c r="J1381" s="534">
        <v>0</v>
      </c>
      <c r="K1381" s="534">
        <v>1</v>
      </c>
    </row>
    <row r="1382" spans="2:11" x14ac:dyDescent="0.3">
      <c r="B1382" s="529">
        <f t="shared" si="47"/>
        <v>1377001</v>
      </c>
      <c r="C1382" s="529">
        <f t="shared" si="48"/>
        <v>1378</v>
      </c>
      <c r="E1382" s="534">
        <v>0</v>
      </c>
      <c r="F1382" s="534">
        <v>0</v>
      </c>
      <c r="G1382" s="534">
        <v>17</v>
      </c>
      <c r="I1382" s="534">
        <v>0</v>
      </c>
      <c r="J1382" s="534">
        <v>0</v>
      </c>
      <c r="K1382" s="534">
        <v>1</v>
      </c>
    </row>
    <row r="1383" spans="2:11" x14ac:dyDescent="0.3">
      <c r="B1383" s="529">
        <f t="shared" si="47"/>
        <v>1378001</v>
      </c>
      <c r="C1383" s="529">
        <f t="shared" si="48"/>
        <v>1379</v>
      </c>
      <c r="E1383" s="534">
        <v>0</v>
      </c>
      <c r="F1383" s="534">
        <v>0</v>
      </c>
      <c r="G1383" s="534">
        <v>17</v>
      </c>
      <c r="I1383" s="534">
        <v>0</v>
      </c>
      <c r="J1383" s="534">
        <v>0</v>
      </c>
      <c r="K1383" s="534">
        <v>1</v>
      </c>
    </row>
    <row r="1384" spans="2:11" x14ac:dyDescent="0.3">
      <c r="B1384" s="529">
        <f t="shared" si="47"/>
        <v>1379001</v>
      </c>
      <c r="C1384" s="529">
        <f t="shared" si="48"/>
        <v>1380</v>
      </c>
      <c r="E1384" s="534">
        <v>0</v>
      </c>
      <c r="F1384" s="534">
        <v>0</v>
      </c>
      <c r="G1384" s="534">
        <v>17</v>
      </c>
      <c r="I1384" s="534">
        <v>0</v>
      </c>
      <c r="J1384" s="534">
        <v>0</v>
      </c>
      <c r="K1384" s="534">
        <v>1</v>
      </c>
    </row>
    <row r="1385" spans="2:11" x14ac:dyDescent="0.3">
      <c r="B1385" s="529">
        <f t="shared" si="47"/>
        <v>1380001</v>
      </c>
      <c r="C1385" s="529">
        <f t="shared" si="48"/>
        <v>1381</v>
      </c>
      <c r="E1385" s="534">
        <v>0</v>
      </c>
      <c r="F1385" s="534">
        <v>0</v>
      </c>
      <c r="G1385" s="534">
        <v>17</v>
      </c>
      <c r="I1385" s="534">
        <v>0</v>
      </c>
      <c r="J1385" s="534">
        <v>0</v>
      </c>
      <c r="K1385" s="534">
        <v>1</v>
      </c>
    </row>
    <row r="1386" spans="2:11" x14ac:dyDescent="0.3">
      <c r="B1386" s="529">
        <f t="shared" si="47"/>
        <v>1381001</v>
      </c>
      <c r="C1386" s="529">
        <f t="shared" si="48"/>
        <v>1382</v>
      </c>
      <c r="E1386" s="534">
        <v>0</v>
      </c>
      <c r="F1386" s="534">
        <v>0</v>
      </c>
      <c r="G1386" s="534">
        <v>17</v>
      </c>
      <c r="I1386" s="534">
        <v>0</v>
      </c>
      <c r="J1386" s="534">
        <v>0</v>
      </c>
      <c r="K1386" s="534">
        <v>1</v>
      </c>
    </row>
    <row r="1387" spans="2:11" x14ac:dyDescent="0.3">
      <c r="B1387" s="529">
        <f t="shared" si="47"/>
        <v>1382001</v>
      </c>
      <c r="C1387" s="529">
        <f t="shared" si="48"/>
        <v>1383</v>
      </c>
      <c r="E1387" s="534">
        <v>0</v>
      </c>
      <c r="F1387" s="534">
        <v>0</v>
      </c>
      <c r="G1387" s="534">
        <v>17</v>
      </c>
      <c r="I1387" s="534">
        <v>0</v>
      </c>
      <c r="J1387" s="534">
        <v>0</v>
      </c>
      <c r="K1387" s="534">
        <v>1</v>
      </c>
    </row>
    <row r="1388" spans="2:11" x14ac:dyDescent="0.3">
      <c r="B1388" s="529">
        <f t="shared" si="47"/>
        <v>1383001</v>
      </c>
      <c r="C1388" s="529">
        <f t="shared" si="48"/>
        <v>1384</v>
      </c>
      <c r="E1388" s="534">
        <v>0</v>
      </c>
      <c r="F1388" s="534">
        <v>0</v>
      </c>
      <c r="G1388" s="534">
        <v>17</v>
      </c>
      <c r="I1388" s="534">
        <v>0</v>
      </c>
      <c r="J1388" s="534">
        <v>0</v>
      </c>
      <c r="K1388" s="534">
        <v>1</v>
      </c>
    </row>
    <row r="1389" spans="2:11" x14ac:dyDescent="0.3">
      <c r="B1389" s="529">
        <f t="shared" si="47"/>
        <v>1384001</v>
      </c>
      <c r="C1389" s="529">
        <f t="shared" si="48"/>
        <v>1385</v>
      </c>
      <c r="E1389" s="534">
        <v>0</v>
      </c>
      <c r="F1389" s="534">
        <v>0</v>
      </c>
      <c r="G1389" s="534">
        <v>17</v>
      </c>
      <c r="I1389" s="534">
        <v>0</v>
      </c>
      <c r="J1389" s="534">
        <v>0</v>
      </c>
      <c r="K1389" s="534">
        <v>1</v>
      </c>
    </row>
    <row r="1390" spans="2:11" x14ac:dyDescent="0.3">
      <c r="B1390" s="529">
        <f t="shared" si="47"/>
        <v>1385001</v>
      </c>
      <c r="C1390" s="529">
        <f t="shared" si="48"/>
        <v>1386</v>
      </c>
      <c r="E1390" s="534">
        <v>0</v>
      </c>
      <c r="F1390" s="534">
        <v>0</v>
      </c>
      <c r="G1390" s="534">
        <v>17</v>
      </c>
      <c r="I1390" s="534">
        <v>0</v>
      </c>
      <c r="J1390" s="534">
        <v>0</v>
      </c>
      <c r="K1390" s="534">
        <v>1</v>
      </c>
    </row>
    <row r="1391" spans="2:11" x14ac:dyDescent="0.3">
      <c r="B1391" s="529">
        <f t="shared" si="47"/>
        <v>1386001</v>
      </c>
      <c r="C1391" s="529">
        <f t="shared" si="48"/>
        <v>1387</v>
      </c>
      <c r="E1391" s="534">
        <v>0</v>
      </c>
      <c r="F1391" s="534">
        <v>0</v>
      </c>
      <c r="G1391" s="534">
        <v>17</v>
      </c>
      <c r="I1391" s="534">
        <v>0</v>
      </c>
      <c r="J1391" s="534">
        <v>0</v>
      </c>
      <c r="K1391" s="534">
        <v>1</v>
      </c>
    </row>
    <row r="1392" spans="2:11" x14ac:dyDescent="0.3">
      <c r="B1392" s="529">
        <f t="shared" si="47"/>
        <v>1387001</v>
      </c>
      <c r="C1392" s="529">
        <f t="shared" si="48"/>
        <v>1388</v>
      </c>
      <c r="E1392" s="534">
        <v>0</v>
      </c>
      <c r="F1392" s="534">
        <v>0</v>
      </c>
      <c r="G1392" s="534">
        <v>17</v>
      </c>
      <c r="I1392" s="534">
        <v>0</v>
      </c>
      <c r="J1392" s="534">
        <v>0</v>
      </c>
      <c r="K1392" s="534">
        <v>1</v>
      </c>
    </row>
    <row r="1393" spans="2:11" x14ac:dyDescent="0.3">
      <c r="B1393" s="529">
        <f t="shared" si="47"/>
        <v>1388001</v>
      </c>
      <c r="C1393" s="529">
        <f t="shared" si="48"/>
        <v>1389</v>
      </c>
      <c r="E1393" s="534">
        <v>0</v>
      </c>
      <c r="F1393" s="534">
        <v>0</v>
      </c>
      <c r="G1393" s="534">
        <v>17</v>
      </c>
      <c r="I1393" s="534">
        <v>0</v>
      </c>
      <c r="J1393" s="534">
        <v>0</v>
      </c>
      <c r="K1393" s="534">
        <v>1</v>
      </c>
    </row>
    <row r="1394" spans="2:11" x14ac:dyDescent="0.3">
      <c r="B1394" s="529">
        <f t="shared" si="47"/>
        <v>1389001</v>
      </c>
      <c r="C1394" s="529">
        <f t="shared" si="48"/>
        <v>1390</v>
      </c>
      <c r="E1394" s="534">
        <v>0</v>
      </c>
      <c r="F1394" s="534">
        <v>0</v>
      </c>
      <c r="G1394" s="534">
        <v>17</v>
      </c>
      <c r="I1394" s="534">
        <v>0</v>
      </c>
      <c r="J1394" s="534">
        <v>0</v>
      </c>
      <c r="K1394" s="534">
        <v>1</v>
      </c>
    </row>
    <row r="1395" spans="2:11" x14ac:dyDescent="0.3">
      <c r="B1395" s="529">
        <f t="shared" si="47"/>
        <v>1390001</v>
      </c>
      <c r="C1395" s="529">
        <f t="shared" si="48"/>
        <v>1391</v>
      </c>
      <c r="E1395" s="534">
        <v>0</v>
      </c>
      <c r="F1395" s="534">
        <v>0</v>
      </c>
      <c r="G1395" s="534">
        <v>17</v>
      </c>
      <c r="I1395" s="534">
        <v>0</v>
      </c>
      <c r="J1395" s="534">
        <v>0</v>
      </c>
      <c r="K1395" s="534">
        <v>1</v>
      </c>
    </row>
    <row r="1396" spans="2:11" x14ac:dyDescent="0.3">
      <c r="B1396" s="529">
        <f t="shared" si="47"/>
        <v>1391001</v>
      </c>
      <c r="C1396" s="529">
        <f t="shared" si="48"/>
        <v>1392</v>
      </c>
      <c r="E1396" s="534">
        <v>0</v>
      </c>
      <c r="F1396" s="534">
        <v>0</v>
      </c>
      <c r="G1396" s="534">
        <v>17</v>
      </c>
      <c r="I1396" s="534">
        <v>0</v>
      </c>
      <c r="J1396" s="534">
        <v>0</v>
      </c>
      <c r="K1396" s="534">
        <v>1</v>
      </c>
    </row>
    <row r="1397" spans="2:11" x14ac:dyDescent="0.3">
      <c r="B1397" s="529">
        <f t="shared" si="47"/>
        <v>1392001</v>
      </c>
      <c r="C1397" s="529">
        <f t="shared" si="48"/>
        <v>1393</v>
      </c>
      <c r="E1397" s="534">
        <v>0</v>
      </c>
      <c r="F1397" s="534">
        <v>0</v>
      </c>
      <c r="G1397" s="534">
        <v>17</v>
      </c>
      <c r="I1397" s="534">
        <v>0</v>
      </c>
      <c r="J1397" s="534">
        <v>0</v>
      </c>
      <c r="K1397" s="534">
        <v>1</v>
      </c>
    </row>
    <row r="1398" spans="2:11" x14ac:dyDescent="0.3">
      <c r="B1398" s="529">
        <f t="shared" si="47"/>
        <v>1393001</v>
      </c>
      <c r="C1398" s="529">
        <f t="shared" si="48"/>
        <v>1394</v>
      </c>
      <c r="E1398" s="534">
        <v>0</v>
      </c>
      <c r="F1398" s="534">
        <v>0</v>
      </c>
      <c r="G1398" s="534">
        <v>17</v>
      </c>
      <c r="I1398" s="534">
        <v>0</v>
      </c>
      <c r="J1398" s="534">
        <v>0</v>
      </c>
      <c r="K1398" s="534">
        <v>1</v>
      </c>
    </row>
    <row r="1399" spans="2:11" x14ac:dyDescent="0.3">
      <c r="B1399" s="529">
        <f t="shared" si="47"/>
        <v>1394001</v>
      </c>
      <c r="C1399" s="529">
        <f t="shared" si="48"/>
        <v>1395</v>
      </c>
      <c r="E1399" s="534">
        <v>0</v>
      </c>
      <c r="F1399" s="534">
        <v>0</v>
      </c>
      <c r="G1399" s="534">
        <v>17</v>
      </c>
      <c r="I1399" s="534">
        <v>0</v>
      </c>
      <c r="J1399" s="534">
        <v>0</v>
      </c>
      <c r="K1399" s="534">
        <v>1</v>
      </c>
    </row>
    <row r="1400" spans="2:11" x14ac:dyDescent="0.3">
      <c r="B1400" s="529">
        <f t="shared" si="47"/>
        <v>1395001</v>
      </c>
      <c r="C1400" s="529">
        <f t="shared" si="48"/>
        <v>1396</v>
      </c>
      <c r="E1400" s="534">
        <v>0</v>
      </c>
      <c r="F1400" s="534">
        <v>0</v>
      </c>
      <c r="G1400" s="534">
        <v>17</v>
      </c>
      <c r="I1400" s="534">
        <v>0</v>
      </c>
      <c r="J1400" s="534">
        <v>0</v>
      </c>
      <c r="K1400" s="534">
        <v>1</v>
      </c>
    </row>
    <row r="1401" spans="2:11" x14ac:dyDescent="0.3">
      <c r="B1401" s="529">
        <f t="shared" si="47"/>
        <v>1396001</v>
      </c>
      <c r="C1401" s="529">
        <f t="shared" si="48"/>
        <v>1397</v>
      </c>
      <c r="E1401" s="534">
        <v>0</v>
      </c>
      <c r="F1401" s="534">
        <v>0</v>
      </c>
      <c r="G1401" s="534">
        <v>17</v>
      </c>
      <c r="I1401" s="534">
        <v>0</v>
      </c>
      <c r="J1401" s="534">
        <v>0</v>
      </c>
      <c r="K1401" s="534">
        <v>1</v>
      </c>
    </row>
    <row r="1402" spans="2:11" x14ac:dyDescent="0.3">
      <c r="B1402" s="529">
        <f t="shared" si="47"/>
        <v>1397001</v>
      </c>
      <c r="C1402" s="529">
        <f t="shared" si="48"/>
        <v>1398</v>
      </c>
      <c r="E1402" s="534">
        <v>0</v>
      </c>
      <c r="F1402" s="534">
        <v>0</v>
      </c>
      <c r="G1402" s="534">
        <v>17</v>
      </c>
      <c r="I1402" s="534">
        <v>0</v>
      </c>
      <c r="J1402" s="534">
        <v>0</v>
      </c>
      <c r="K1402" s="534">
        <v>1</v>
      </c>
    </row>
    <row r="1403" spans="2:11" x14ac:dyDescent="0.3">
      <c r="B1403" s="529">
        <f t="shared" si="47"/>
        <v>1398001</v>
      </c>
      <c r="C1403" s="529">
        <f t="shared" si="48"/>
        <v>1399</v>
      </c>
      <c r="E1403" s="534">
        <v>0</v>
      </c>
      <c r="F1403" s="534">
        <v>0</v>
      </c>
      <c r="G1403" s="534">
        <v>17</v>
      </c>
      <c r="I1403" s="534">
        <v>0</v>
      </c>
      <c r="J1403" s="534">
        <v>0</v>
      </c>
      <c r="K1403" s="534">
        <v>1</v>
      </c>
    </row>
    <row r="1404" spans="2:11" x14ac:dyDescent="0.3">
      <c r="B1404" s="529">
        <f t="shared" si="47"/>
        <v>1399001</v>
      </c>
      <c r="C1404" s="529">
        <f t="shared" si="48"/>
        <v>1400</v>
      </c>
      <c r="E1404" s="534">
        <v>0</v>
      </c>
      <c r="F1404" s="534">
        <v>0</v>
      </c>
      <c r="G1404" s="534">
        <v>17</v>
      </c>
      <c r="I1404" s="534">
        <v>0</v>
      </c>
      <c r="J1404" s="534">
        <v>0</v>
      </c>
      <c r="K1404" s="534">
        <v>1</v>
      </c>
    </row>
    <row r="1405" spans="2:11" x14ac:dyDescent="0.3">
      <c r="B1405" s="529">
        <f t="shared" si="47"/>
        <v>1400001</v>
      </c>
      <c r="C1405" s="529">
        <f t="shared" si="48"/>
        <v>1401</v>
      </c>
      <c r="E1405" s="534">
        <v>0</v>
      </c>
      <c r="F1405" s="534">
        <v>0</v>
      </c>
      <c r="G1405" s="534">
        <v>17</v>
      </c>
      <c r="I1405" s="534">
        <v>0</v>
      </c>
      <c r="J1405" s="534">
        <v>0</v>
      </c>
      <c r="K1405" s="534">
        <v>1</v>
      </c>
    </row>
    <row r="1406" spans="2:11" x14ac:dyDescent="0.3">
      <c r="B1406" s="529">
        <f t="shared" si="47"/>
        <v>1401001</v>
      </c>
      <c r="C1406" s="529">
        <f t="shared" si="48"/>
        <v>1402</v>
      </c>
      <c r="E1406" s="534">
        <v>0</v>
      </c>
      <c r="F1406" s="534">
        <v>0</v>
      </c>
      <c r="G1406" s="534">
        <v>17</v>
      </c>
      <c r="I1406" s="534">
        <v>0</v>
      </c>
      <c r="J1406" s="534">
        <v>0</v>
      </c>
      <c r="K1406" s="534">
        <v>1</v>
      </c>
    </row>
    <row r="1407" spans="2:11" x14ac:dyDescent="0.3">
      <c r="B1407" s="529">
        <f t="shared" si="47"/>
        <v>1402001</v>
      </c>
      <c r="C1407" s="529">
        <f t="shared" si="48"/>
        <v>1403</v>
      </c>
      <c r="E1407" s="534">
        <v>0</v>
      </c>
      <c r="F1407" s="534">
        <v>0</v>
      </c>
      <c r="G1407" s="534">
        <v>17</v>
      </c>
      <c r="I1407" s="534">
        <v>0</v>
      </c>
      <c r="J1407" s="534">
        <v>0</v>
      </c>
      <c r="K1407" s="534">
        <v>1</v>
      </c>
    </row>
    <row r="1408" spans="2:11" x14ac:dyDescent="0.3">
      <c r="B1408" s="529">
        <f t="shared" si="47"/>
        <v>1403001</v>
      </c>
      <c r="C1408" s="529">
        <f t="shared" si="48"/>
        <v>1404</v>
      </c>
      <c r="E1408" s="534">
        <v>0</v>
      </c>
      <c r="F1408" s="534">
        <v>0</v>
      </c>
      <c r="G1408" s="534">
        <v>17</v>
      </c>
      <c r="I1408" s="534">
        <v>0</v>
      </c>
      <c r="J1408" s="534">
        <v>0</v>
      </c>
      <c r="K1408" s="534">
        <v>1</v>
      </c>
    </row>
    <row r="1409" spans="2:11" x14ac:dyDescent="0.3">
      <c r="B1409" s="529">
        <f t="shared" si="47"/>
        <v>1404001</v>
      </c>
      <c r="C1409" s="529">
        <f t="shared" si="48"/>
        <v>1405</v>
      </c>
      <c r="E1409" s="534">
        <v>0</v>
      </c>
      <c r="F1409" s="534">
        <v>0</v>
      </c>
      <c r="G1409" s="534">
        <v>17</v>
      </c>
      <c r="I1409" s="534">
        <v>0</v>
      </c>
      <c r="J1409" s="534">
        <v>0</v>
      </c>
      <c r="K1409" s="534">
        <v>1</v>
      </c>
    </row>
    <row r="1410" spans="2:11" x14ac:dyDescent="0.3">
      <c r="B1410" s="529">
        <f t="shared" si="47"/>
        <v>1405001</v>
      </c>
      <c r="C1410" s="529">
        <f t="shared" si="48"/>
        <v>1406</v>
      </c>
      <c r="E1410" s="534">
        <v>0</v>
      </c>
      <c r="F1410" s="534">
        <v>0</v>
      </c>
      <c r="G1410" s="534">
        <v>17</v>
      </c>
      <c r="I1410" s="534">
        <v>0</v>
      </c>
      <c r="J1410" s="534">
        <v>0</v>
      </c>
      <c r="K1410" s="534">
        <v>1</v>
      </c>
    </row>
    <row r="1411" spans="2:11" x14ac:dyDescent="0.3">
      <c r="B1411" s="529">
        <f t="shared" si="47"/>
        <v>1406001</v>
      </c>
      <c r="C1411" s="529">
        <f t="shared" si="48"/>
        <v>1407</v>
      </c>
      <c r="E1411" s="534">
        <v>0</v>
      </c>
      <c r="F1411" s="534">
        <v>0</v>
      </c>
      <c r="G1411" s="534">
        <v>17</v>
      </c>
      <c r="I1411" s="534">
        <v>0</v>
      </c>
      <c r="J1411" s="534">
        <v>0</v>
      </c>
      <c r="K1411" s="534">
        <v>1</v>
      </c>
    </row>
    <row r="1412" spans="2:11" x14ac:dyDescent="0.3">
      <c r="B1412" s="529">
        <f t="shared" si="47"/>
        <v>1407001</v>
      </c>
      <c r="C1412" s="529">
        <f t="shared" si="48"/>
        <v>1408</v>
      </c>
      <c r="E1412" s="534">
        <v>0</v>
      </c>
      <c r="F1412" s="534">
        <v>0</v>
      </c>
      <c r="G1412" s="534">
        <v>17</v>
      </c>
      <c r="I1412" s="534">
        <v>0</v>
      </c>
      <c r="J1412" s="534">
        <v>0</v>
      </c>
      <c r="K1412" s="534">
        <v>1</v>
      </c>
    </row>
    <row r="1413" spans="2:11" x14ac:dyDescent="0.3">
      <c r="B1413" s="529">
        <f t="shared" si="47"/>
        <v>1408001</v>
      </c>
      <c r="C1413" s="529">
        <f t="shared" si="48"/>
        <v>1409</v>
      </c>
      <c r="E1413" s="534">
        <v>0</v>
      </c>
      <c r="F1413" s="534">
        <v>0</v>
      </c>
      <c r="G1413" s="534">
        <v>17</v>
      </c>
      <c r="I1413" s="534">
        <v>0</v>
      </c>
      <c r="J1413" s="534">
        <v>0</v>
      </c>
      <c r="K1413" s="534">
        <v>1</v>
      </c>
    </row>
    <row r="1414" spans="2:11" x14ac:dyDescent="0.3">
      <c r="B1414" s="529">
        <f t="shared" si="47"/>
        <v>1409001</v>
      </c>
      <c r="C1414" s="529">
        <f t="shared" si="48"/>
        <v>1410</v>
      </c>
      <c r="E1414" s="534">
        <v>0</v>
      </c>
      <c r="F1414" s="534">
        <v>0</v>
      </c>
      <c r="G1414" s="534">
        <v>17</v>
      </c>
      <c r="I1414" s="534">
        <v>0</v>
      </c>
      <c r="J1414" s="534">
        <v>0</v>
      </c>
      <c r="K1414" s="534">
        <v>1</v>
      </c>
    </row>
    <row r="1415" spans="2:11" x14ac:dyDescent="0.3">
      <c r="B1415" s="529">
        <f t="shared" ref="B1415:B1478" si="49">C1414*1000+1</f>
        <v>1410001</v>
      </c>
      <c r="C1415" s="529">
        <f t="shared" si="48"/>
        <v>1411</v>
      </c>
      <c r="E1415" s="534">
        <v>0</v>
      </c>
      <c r="F1415" s="534">
        <v>0</v>
      </c>
      <c r="G1415" s="534">
        <v>17</v>
      </c>
      <c r="I1415" s="534">
        <v>0</v>
      </c>
      <c r="J1415" s="534">
        <v>0</v>
      </c>
      <c r="K1415" s="534">
        <v>1</v>
      </c>
    </row>
    <row r="1416" spans="2:11" x14ac:dyDescent="0.3">
      <c r="B1416" s="529">
        <f t="shared" si="49"/>
        <v>1411001</v>
      </c>
      <c r="C1416" s="529">
        <f t="shared" si="48"/>
        <v>1412</v>
      </c>
      <c r="E1416" s="534">
        <v>0</v>
      </c>
      <c r="F1416" s="534">
        <v>0</v>
      </c>
      <c r="G1416" s="534">
        <v>17</v>
      </c>
      <c r="I1416" s="534">
        <v>0</v>
      </c>
      <c r="J1416" s="534">
        <v>0</v>
      </c>
      <c r="K1416" s="534">
        <v>1</v>
      </c>
    </row>
    <row r="1417" spans="2:11" x14ac:dyDescent="0.3">
      <c r="B1417" s="529">
        <f t="shared" si="49"/>
        <v>1412001</v>
      </c>
      <c r="C1417" s="529">
        <f t="shared" si="48"/>
        <v>1413</v>
      </c>
      <c r="E1417" s="534">
        <v>0</v>
      </c>
      <c r="F1417" s="534">
        <v>0</v>
      </c>
      <c r="G1417" s="534">
        <v>17</v>
      </c>
      <c r="I1417" s="534">
        <v>0</v>
      </c>
      <c r="J1417" s="534">
        <v>0</v>
      </c>
      <c r="K1417" s="534">
        <v>1</v>
      </c>
    </row>
    <row r="1418" spans="2:11" x14ac:dyDescent="0.3">
      <c r="B1418" s="529">
        <f t="shared" si="49"/>
        <v>1413001</v>
      </c>
      <c r="C1418" s="529">
        <f t="shared" si="48"/>
        <v>1414</v>
      </c>
      <c r="E1418" s="534">
        <v>0</v>
      </c>
      <c r="F1418" s="534">
        <v>0</v>
      </c>
      <c r="G1418" s="534">
        <v>17</v>
      </c>
      <c r="I1418" s="534">
        <v>0</v>
      </c>
      <c r="J1418" s="534">
        <v>0</v>
      </c>
      <c r="K1418" s="534">
        <v>1</v>
      </c>
    </row>
    <row r="1419" spans="2:11" x14ac:dyDescent="0.3">
      <c r="B1419" s="529">
        <f t="shared" si="49"/>
        <v>1414001</v>
      </c>
      <c r="C1419" s="529">
        <f t="shared" si="48"/>
        <v>1415</v>
      </c>
      <c r="E1419" s="534">
        <v>0</v>
      </c>
      <c r="F1419" s="534">
        <v>0</v>
      </c>
      <c r="G1419" s="534">
        <v>17</v>
      </c>
      <c r="I1419" s="534">
        <v>0</v>
      </c>
      <c r="J1419" s="534">
        <v>0</v>
      </c>
      <c r="K1419" s="534">
        <v>1</v>
      </c>
    </row>
    <row r="1420" spans="2:11" x14ac:dyDescent="0.3">
      <c r="B1420" s="529">
        <f t="shared" si="49"/>
        <v>1415001</v>
      </c>
      <c r="C1420" s="529">
        <f t="shared" si="48"/>
        <v>1416</v>
      </c>
      <c r="E1420" s="534">
        <v>0</v>
      </c>
      <c r="F1420" s="534">
        <v>0</v>
      </c>
      <c r="G1420" s="534">
        <v>17</v>
      </c>
      <c r="I1420" s="534">
        <v>0</v>
      </c>
      <c r="J1420" s="534">
        <v>0</v>
      </c>
      <c r="K1420" s="534">
        <v>1</v>
      </c>
    </row>
    <row r="1421" spans="2:11" x14ac:dyDescent="0.3">
      <c r="B1421" s="529">
        <f t="shared" si="49"/>
        <v>1416001</v>
      </c>
      <c r="C1421" s="529">
        <f t="shared" si="48"/>
        <v>1417</v>
      </c>
      <c r="E1421" s="534">
        <v>0</v>
      </c>
      <c r="F1421" s="534">
        <v>0</v>
      </c>
      <c r="G1421" s="534">
        <v>17</v>
      </c>
      <c r="I1421" s="534">
        <v>0</v>
      </c>
      <c r="J1421" s="534">
        <v>0</v>
      </c>
      <c r="K1421" s="534">
        <v>1</v>
      </c>
    </row>
    <row r="1422" spans="2:11" x14ac:dyDescent="0.3">
      <c r="B1422" s="529">
        <f t="shared" si="49"/>
        <v>1417001</v>
      </c>
      <c r="C1422" s="529">
        <f t="shared" si="48"/>
        <v>1418</v>
      </c>
      <c r="E1422" s="534">
        <v>0</v>
      </c>
      <c r="F1422" s="534">
        <v>0</v>
      </c>
      <c r="G1422" s="534">
        <v>17</v>
      </c>
      <c r="I1422" s="534">
        <v>0</v>
      </c>
      <c r="J1422" s="534">
        <v>0</v>
      </c>
      <c r="K1422" s="534">
        <v>1</v>
      </c>
    </row>
    <row r="1423" spans="2:11" x14ac:dyDescent="0.3">
      <c r="B1423" s="529">
        <f t="shared" si="49"/>
        <v>1418001</v>
      </c>
      <c r="C1423" s="529">
        <f t="shared" si="48"/>
        <v>1419</v>
      </c>
      <c r="E1423" s="534">
        <v>0</v>
      </c>
      <c r="F1423" s="534">
        <v>0</v>
      </c>
      <c r="G1423" s="534">
        <v>17</v>
      </c>
      <c r="I1423" s="534">
        <v>0</v>
      </c>
      <c r="J1423" s="534">
        <v>0</v>
      </c>
      <c r="K1423" s="534">
        <v>1</v>
      </c>
    </row>
    <row r="1424" spans="2:11" x14ac:dyDescent="0.3">
      <c r="B1424" s="529">
        <f t="shared" si="49"/>
        <v>1419001</v>
      </c>
      <c r="C1424" s="529">
        <f t="shared" si="48"/>
        <v>1420</v>
      </c>
      <c r="E1424" s="534">
        <v>1</v>
      </c>
      <c r="F1424" s="534">
        <v>1420</v>
      </c>
      <c r="G1424" s="534">
        <v>17</v>
      </c>
      <c r="I1424" s="534">
        <v>0</v>
      </c>
      <c r="J1424" s="534">
        <v>0</v>
      </c>
      <c r="K1424" s="534">
        <v>1</v>
      </c>
    </row>
    <row r="1425" spans="2:11" x14ac:dyDescent="0.3">
      <c r="B1425" s="529">
        <f t="shared" si="49"/>
        <v>1420001</v>
      </c>
      <c r="C1425" s="529">
        <f t="shared" si="48"/>
        <v>1421</v>
      </c>
      <c r="E1425" s="534">
        <v>0</v>
      </c>
      <c r="F1425" s="534">
        <v>0</v>
      </c>
      <c r="G1425" s="534">
        <v>16</v>
      </c>
      <c r="I1425" s="534">
        <v>0</v>
      </c>
      <c r="J1425" s="534">
        <v>0</v>
      </c>
      <c r="K1425" s="534">
        <v>1</v>
      </c>
    </row>
    <row r="1426" spans="2:11" x14ac:dyDescent="0.3">
      <c r="B1426" s="529">
        <f t="shared" si="49"/>
        <v>1421001</v>
      </c>
      <c r="C1426" s="529">
        <f t="shared" si="48"/>
        <v>1422</v>
      </c>
      <c r="E1426" s="534">
        <v>0</v>
      </c>
      <c r="F1426" s="534">
        <v>0</v>
      </c>
      <c r="G1426" s="534">
        <v>16</v>
      </c>
      <c r="I1426" s="534">
        <v>0</v>
      </c>
      <c r="J1426" s="534">
        <v>0</v>
      </c>
      <c r="K1426" s="534">
        <v>1</v>
      </c>
    </row>
    <row r="1427" spans="2:11" x14ac:dyDescent="0.3">
      <c r="B1427" s="529">
        <f t="shared" si="49"/>
        <v>1422001</v>
      </c>
      <c r="C1427" s="529">
        <f t="shared" ref="C1427:C1490" si="50">C1426+1</f>
        <v>1423</v>
      </c>
      <c r="E1427" s="534">
        <v>0</v>
      </c>
      <c r="F1427" s="534">
        <v>0</v>
      </c>
      <c r="G1427" s="534">
        <v>16</v>
      </c>
      <c r="I1427" s="534">
        <v>0</v>
      </c>
      <c r="J1427" s="534">
        <v>0</v>
      </c>
      <c r="K1427" s="534">
        <v>1</v>
      </c>
    </row>
    <row r="1428" spans="2:11" x14ac:dyDescent="0.3">
      <c r="B1428" s="529">
        <f t="shared" si="49"/>
        <v>1423001</v>
      </c>
      <c r="C1428" s="529">
        <f t="shared" si="50"/>
        <v>1424</v>
      </c>
      <c r="E1428" s="534">
        <v>0</v>
      </c>
      <c r="F1428" s="534">
        <v>0</v>
      </c>
      <c r="G1428" s="534">
        <v>16</v>
      </c>
      <c r="I1428" s="534">
        <v>0</v>
      </c>
      <c r="J1428" s="534">
        <v>0</v>
      </c>
      <c r="K1428" s="534">
        <v>1</v>
      </c>
    </row>
    <row r="1429" spans="2:11" x14ac:dyDescent="0.3">
      <c r="B1429" s="529">
        <f t="shared" si="49"/>
        <v>1424001</v>
      </c>
      <c r="C1429" s="529">
        <f t="shared" si="50"/>
        <v>1425</v>
      </c>
      <c r="E1429" s="534">
        <v>0</v>
      </c>
      <c r="F1429" s="534">
        <v>0</v>
      </c>
      <c r="G1429" s="534">
        <v>16</v>
      </c>
      <c r="I1429" s="534">
        <v>0</v>
      </c>
      <c r="J1429" s="534">
        <v>0</v>
      </c>
      <c r="K1429" s="534">
        <v>1</v>
      </c>
    </row>
    <row r="1430" spans="2:11" x14ac:dyDescent="0.3">
      <c r="B1430" s="529">
        <f t="shared" si="49"/>
        <v>1425001</v>
      </c>
      <c r="C1430" s="529">
        <f t="shared" si="50"/>
        <v>1426</v>
      </c>
      <c r="E1430" s="534">
        <v>0</v>
      </c>
      <c r="F1430" s="534">
        <v>0</v>
      </c>
      <c r="G1430" s="534">
        <v>16</v>
      </c>
      <c r="I1430" s="534">
        <v>0</v>
      </c>
      <c r="J1430" s="534">
        <v>0</v>
      </c>
      <c r="K1430" s="534">
        <v>1</v>
      </c>
    </row>
    <row r="1431" spans="2:11" x14ac:dyDescent="0.3">
      <c r="B1431" s="529">
        <f t="shared" si="49"/>
        <v>1426001</v>
      </c>
      <c r="C1431" s="529">
        <f t="shared" si="50"/>
        <v>1427</v>
      </c>
      <c r="E1431" s="534">
        <v>1</v>
      </c>
      <c r="F1431" s="534">
        <v>1427</v>
      </c>
      <c r="G1431" s="534">
        <v>16</v>
      </c>
      <c r="I1431" s="534">
        <v>0</v>
      </c>
      <c r="J1431" s="534">
        <v>0</v>
      </c>
      <c r="K1431" s="534">
        <v>1</v>
      </c>
    </row>
    <row r="1432" spans="2:11" x14ac:dyDescent="0.3">
      <c r="B1432" s="529">
        <f t="shared" si="49"/>
        <v>1427001</v>
      </c>
      <c r="C1432" s="529">
        <f t="shared" si="50"/>
        <v>1428</v>
      </c>
      <c r="E1432" s="534">
        <v>0</v>
      </c>
      <c r="F1432" s="534">
        <v>0</v>
      </c>
      <c r="G1432" s="534">
        <v>15</v>
      </c>
      <c r="I1432" s="534">
        <v>0</v>
      </c>
      <c r="J1432" s="534">
        <v>0</v>
      </c>
      <c r="K1432" s="534">
        <v>1</v>
      </c>
    </row>
    <row r="1433" spans="2:11" x14ac:dyDescent="0.3">
      <c r="B1433" s="529">
        <f t="shared" si="49"/>
        <v>1428001</v>
      </c>
      <c r="C1433" s="529">
        <f t="shared" si="50"/>
        <v>1429</v>
      </c>
      <c r="E1433" s="534">
        <v>0</v>
      </c>
      <c r="F1433" s="534">
        <v>0</v>
      </c>
      <c r="G1433" s="534">
        <v>15</v>
      </c>
      <c r="I1433" s="534">
        <v>0</v>
      </c>
      <c r="J1433" s="534">
        <v>0</v>
      </c>
      <c r="K1433" s="534">
        <v>1</v>
      </c>
    </row>
    <row r="1434" spans="2:11" x14ac:dyDescent="0.3">
      <c r="B1434" s="529">
        <f t="shared" si="49"/>
        <v>1429001</v>
      </c>
      <c r="C1434" s="529">
        <f t="shared" si="50"/>
        <v>1430</v>
      </c>
      <c r="E1434" s="534">
        <v>1</v>
      </c>
      <c r="F1434" s="534">
        <v>1430</v>
      </c>
      <c r="G1434" s="534">
        <v>15</v>
      </c>
      <c r="I1434" s="534">
        <v>0</v>
      </c>
      <c r="J1434" s="534">
        <v>0</v>
      </c>
      <c r="K1434" s="534">
        <v>1</v>
      </c>
    </row>
    <row r="1435" spans="2:11" x14ac:dyDescent="0.3">
      <c r="B1435" s="529">
        <f t="shared" si="49"/>
        <v>1430001</v>
      </c>
      <c r="C1435" s="529">
        <f t="shared" si="50"/>
        <v>1431</v>
      </c>
      <c r="E1435" s="534">
        <v>1</v>
      </c>
      <c r="F1435" s="534">
        <v>1431</v>
      </c>
      <c r="G1435" s="534">
        <v>14</v>
      </c>
      <c r="I1435" s="534">
        <v>0</v>
      </c>
      <c r="J1435" s="534">
        <v>0</v>
      </c>
      <c r="K1435" s="534">
        <v>1</v>
      </c>
    </row>
    <row r="1436" spans="2:11" x14ac:dyDescent="0.3">
      <c r="B1436" s="529">
        <f t="shared" si="49"/>
        <v>1431001</v>
      </c>
      <c r="C1436" s="529">
        <f t="shared" si="50"/>
        <v>1432</v>
      </c>
      <c r="E1436" s="534">
        <v>0</v>
      </c>
      <c r="F1436" s="534">
        <v>0</v>
      </c>
      <c r="G1436" s="534">
        <v>13</v>
      </c>
      <c r="I1436" s="534">
        <v>0</v>
      </c>
      <c r="J1436" s="534">
        <v>0</v>
      </c>
      <c r="K1436" s="534">
        <v>1</v>
      </c>
    </row>
    <row r="1437" spans="2:11" x14ac:dyDescent="0.3">
      <c r="B1437" s="529">
        <f t="shared" si="49"/>
        <v>1432001</v>
      </c>
      <c r="C1437" s="529">
        <f t="shared" si="50"/>
        <v>1433</v>
      </c>
      <c r="E1437" s="534">
        <v>0</v>
      </c>
      <c r="F1437" s="534">
        <v>0</v>
      </c>
      <c r="G1437" s="534">
        <v>13</v>
      </c>
      <c r="I1437" s="534">
        <v>0</v>
      </c>
      <c r="J1437" s="534">
        <v>0</v>
      </c>
      <c r="K1437" s="534">
        <v>1</v>
      </c>
    </row>
    <row r="1438" spans="2:11" x14ac:dyDescent="0.3">
      <c r="B1438" s="529">
        <f t="shared" si="49"/>
        <v>1433001</v>
      </c>
      <c r="C1438" s="529">
        <f t="shared" si="50"/>
        <v>1434</v>
      </c>
      <c r="E1438" s="534">
        <v>0</v>
      </c>
      <c r="F1438" s="534">
        <v>0</v>
      </c>
      <c r="G1438" s="534">
        <v>13</v>
      </c>
      <c r="I1438" s="534">
        <v>0</v>
      </c>
      <c r="J1438" s="534">
        <v>0</v>
      </c>
      <c r="K1438" s="534">
        <v>1</v>
      </c>
    </row>
    <row r="1439" spans="2:11" x14ac:dyDescent="0.3">
      <c r="B1439" s="529">
        <f t="shared" si="49"/>
        <v>1434001</v>
      </c>
      <c r="C1439" s="529">
        <f t="shared" si="50"/>
        <v>1435</v>
      </c>
      <c r="E1439" s="534">
        <v>0</v>
      </c>
      <c r="F1439" s="534">
        <v>0</v>
      </c>
      <c r="G1439" s="534">
        <v>13</v>
      </c>
      <c r="I1439" s="534">
        <v>0</v>
      </c>
      <c r="J1439" s="534">
        <v>0</v>
      </c>
      <c r="K1439" s="534">
        <v>1</v>
      </c>
    </row>
    <row r="1440" spans="2:11" x14ac:dyDescent="0.3">
      <c r="B1440" s="529">
        <f t="shared" si="49"/>
        <v>1435001</v>
      </c>
      <c r="C1440" s="529">
        <f t="shared" si="50"/>
        <v>1436</v>
      </c>
      <c r="E1440" s="534">
        <v>0</v>
      </c>
      <c r="F1440" s="534">
        <v>0</v>
      </c>
      <c r="G1440" s="534">
        <v>13</v>
      </c>
      <c r="I1440" s="534">
        <v>0</v>
      </c>
      <c r="J1440" s="534">
        <v>0</v>
      </c>
      <c r="K1440" s="534">
        <v>1</v>
      </c>
    </row>
    <row r="1441" spans="2:11" x14ac:dyDescent="0.3">
      <c r="B1441" s="529">
        <f t="shared" si="49"/>
        <v>1436001</v>
      </c>
      <c r="C1441" s="529">
        <f t="shared" si="50"/>
        <v>1437</v>
      </c>
      <c r="E1441" s="534">
        <v>0</v>
      </c>
      <c r="F1441" s="534">
        <v>0</v>
      </c>
      <c r="G1441" s="534">
        <v>13</v>
      </c>
      <c r="I1441" s="534">
        <v>0</v>
      </c>
      <c r="J1441" s="534">
        <v>0</v>
      </c>
      <c r="K1441" s="534">
        <v>1</v>
      </c>
    </row>
    <row r="1442" spans="2:11" x14ac:dyDescent="0.3">
      <c r="B1442" s="529">
        <f t="shared" si="49"/>
        <v>1437001</v>
      </c>
      <c r="C1442" s="529">
        <f t="shared" si="50"/>
        <v>1438</v>
      </c>
      <c r="E1442" s="534">
        <v>0</v>
      </c>
      <c r="F1442" s="534">
        <v>0</v>
      </c>
      <c r="G1442" s="534">
        <v>13</v>
      </c>
      <c r="I1442" s="534">
        <v>0</v>
      </c>
      <c r="J1442" s="534">
        <v>0</v>
      </c>
      <c r="K1442" s="534">
        <v>1</v>
      </c>
    </row>
    <row r="1443" spans="2:11" x14ac:dyDescent="0.3">
      <c r="B1443" s="529">
        <f t="shared" si="49"/>
        <v>1438001</v>
      </c>
      <c r="C1443" s="529">
        <f t="shared" si="50"/>
        <v>1439</v>
      </c>
      <c r="E1443" s="534">
        <v>0</v>
      </c>
      <c r="F1443" s="534">
        <v>0</v>
      </c>
      <c r="G1443" s="534">
        <v>13</v>
      </c>
      <c r="I1443" s="534">
        <v>0</v>
      </c>
      <c r="J1443" s="534">
        <v>0</v>
      </c>
      <c r="K1443" s="534">
        <v>1</v>
      </c>
    </row>
    <row r="1444" spans="2:11" x14ac:dyDescent="0.3">
      <c r="B1444" s="529">
        <f t="shared" si="49"/>
        <v>1439001</v>
      </c>
      <c r="C1444" s="529">
        <f t="shared" si="50"/>
        <v>1440</v>
      </c>
      <c r="E1444" s="534">
        <v>0</v>
      </c>
      <c r="F1444" s="534">
        <v>0</v>
      </c>
      <c r="G1444" s="534">
        <v>13</v>
      </c>
      <c r="I1444" s="534">
        <v>0</v>
      </c>
      <c r="J1444" s="534">
        <v>0</v>
      </c>
      <c r="K1444" s="534">
        <v>1</v>
      </c>
    </row>
    <row r="1445" spans="2:11" x14ac:dyDescent="0.3">
      <c r="B1445" s="529">
        <f t="shared" si="49"/>
        <v>1440001</v>
      </c>
      <c r="C1445" s="529">
        <f t="shared" si="50"/>
        <v>1441</v>
      </c>
      <c r="E1445" s="534">
        <v>0</v>
      </c>
      <c r="F1445" s="534">
        <v>0</v>
      </c>
      <c r="G1445" s="534">
        <v>13</v>
      </c>
      <c r="I1445" s="534">
        <v>0</v>
      </c>
      <c r="J1445" s="534">
        <v>0</v>
      </c>
      <c r="K1445" s="534">
        <v>1</v>
      </c>
    </row>
    <row r="1446" spans="2:11" x14ac:dyDescent="0.3">
      <c r="B1446" s="529">
        <f t="shared" si="49"/>
        <v>1441001</v>
      </c>
      <c r="C1446" s="529">
        <f t="shared" si="50"/>
        <v>1442</v>
      </c>
      <c r="E1446" s="534">
        <v>0</v>
      </c>
      <c r="F1446" s="534">
        <v>0</v>
      </c>
      <c r="G1446" s="534">
        <v>13</v>
      </c>
      <c r="I1446" s="534">
        <v>0</v>
      </c>
      <c r="J1446" s="534">
        <v>0</v>
      </c>
      <c r="K1446" s="534">
        <v>1</v>
      </c>
    </row>
    <row r="1447" spans="2:11" x14ac:dyDescent="0.3">
      <c r="B1447" s="529">
        <f t="shared" si="49"/>
        <v>1442001</v>
      </c>
      <c r="C1447" s="529">
        <f t="shared" si="50"/>
        <v>1443</v>
      </c>
      <c r="E1447" s="534">
        <v>0</v>
      </c>
      <c r="F1447" s="534">
        <v>0</v>
      </c>
      <c r="G1447" s="534">
        <v>13</v>
      </c>
      <c r="I1447" s="534">
        <v>0</v>
      </c>
      <c r="J1447" s="534">
        <v>0</v>
      </c>
      <c r="K1447" s="534">
        <v>1</v>
      </c>
    </row>
    <row r="1448" spans="2:11" x14ac:dyDescent="0.3">
      <c r="B1448" s="529">
        <f t="shared" si="49"/>
        <v>1443001</v>
      </c>
      <c r="C1448" s="529">
        <f t="shared" si="50"/>
        <v>1444</v>
      </c>
      <c r="E1448" s="534">
        <v>0</v>
      </c>
      <c r="F1448" s="534">
        <v>0</v>
      </c>
      <c r="G1448" s="534">
        <v>13</v>
      </c>
      <c r="I1448" s="534">
        <v>0</v>
      </c>
      <c r="J1448" s="534">
        <v>0</v>
      </c>
      <c r="K1448" s="534">
        <v>1</v>
      </c>
    </row>
    <row r="1449" spans="2:11" x14ac:dyDescent="0.3">
      <c r="B1449" s="529">
        <f t="shared" si="49"/>
        <v>1444001</v>
      </c>
      <c r="C1449" s="529">
        <f t="shared" si="50"/>
        <v>1445</v>
      </c>
      <c r="E1449" s="534">
        <v>0</v>
      </c>
      <c r="F1449" s="534">
        <v>0</v>
      </c>
      <c r="G1449" s="534">
        <v>13</v>
      </c>
      <c r="I1449" s="534">
        <v>0</v>
      </c>
      <c r="J1449" s="534">
        <v>0</v>
      </c>
      <c r="K1449" s="534">
        <v>1</v>
      </c>
    </row>
    <row r="1450" spans="2:11" x14ac:dyDescent="0.3">
      <c r="B1450" s="529">
        <f t="shared" si="49"/>
        <v>1445001</v>
      </c>
      <c r="C1450" s="529">
        <f t="shared" si="50"/>
        <v>1446</v>
      </c>
      <c r="E1450" s="534">
        <v>0</v>
      </c>
      <c r="F1450" s="534">
        <v>0</v>
      </c>
      <c r="G1450" s="534">
        <v>13</v>
      </c>
      <c r="I1450" s="534">
        <v>0</v>
      </c>
      <c r="J1450" s="534">
        <v>0</v>
      </c>
      <c r="K1450" s="534">
        <v>1</v>
      </c>
    </row>
    <row r="1451" spans="2:11" x14ac:dyDescent="0.3">
      <c r="B1451" s="529">
        <f t="shared" si="49"/>
        <v>1446001</v>
      </c>
      <c r="C1451" s="529">
        <f t="shared" si="50"/>
        <v>1447</v>
      </c>
      <c r="E1451" s="534">
        <v>0</v>
      </c>
      <c r="F1451" s="534">
        <v>0</v>
      </c>
      <c r="G1451" s="534">
        <v>13</v>
      </c>
      <c r="I1451" s="534">
        <v>0</v>
      </c>
      <c r="J1451" s="534">
        <v>0</v>
      </c>
      <c r="K1451" s="534">
        <v>1</v>
      </c>
    </row>
    <row r="1452" spans="2:11" x14ac:dyDescent="0.3">
      <c r="B1452" s="529">
        <f t="shared" si="49"/>
        <v>1447001</v>
      </c>
      <c r="C1452" s="529">
        <f t="shared" si="50"/>
        <v>1448</v>
      </c>
      <c r="E1452" s="534">
        <v>0</v>
      </c>
      <c r="F1452" s="534">
        <v>0</v>
      </c>
      <c r="G1452" s="534">
        <v>13</v>
      </c>
      <c r="I1452" s="534">
        <v>0</v>
      </c>
      <c r="J1452" s="534">
        <v>0</v>
      </c>
      <c r="K1452" s="534">
        <v>1</v>
      </c>
    </row>
    <row r="1453" spans="2:11" x14ac:dyDescent="0.3">
      <c r="B1453" s="529">
        <f t="shared" si="49"/>
        <v>1448001</v>
      </c>
      <c r="C1453" s="529">
        <f t="shared" si="50"/>
        <v>1449</v>
      </c>
      <c r="E1453" s="534">
        <v>0</v>
      </c>
      <c r="F1453" s="534">
        <v>0</v>
      </c>
      <c r="G1453" s="534">
        <v>13</v>
      </c>
      <c r="I1453" s="534">
        <v>0</v>
      </c>
      <c r="J1453" s="534">
        <v>0</v>
      </c>
      <c r="K1453" s="534">
        <v>1</v>
      </c>
    </row>
    <row r="1454" spans="2:11" x14ac:dyDescent="0.3">
      <c r="B1454" s="529">
        <f t="shared" si="49"/>
        <v>1449001</v>
      </c>
      <c r="C1454" s="529">
        <f t="shared" si="50"/>
        <v>1450</v>
      </c>
      <c r="E1454" s="534">
        <v>0</v>
      </c>
      <c r="F1454" s="534">
        <v>0</v>
      </c>
      <c r="G1454" s="534">
        <v>13</v>
      </c>
      <c r="I1454" s="534">
        <v>0</v>
      </c>
      <c r="J1454" s="534">
        <v>0</v>
      </c>
      <c r="K1454" s="534">
        <v>1</v>
      </c>
    </row>
    <row r="1455" spans="2:11" x14ac:dyDescent="0.3">
      <c r="B1455" s="529">
        <f t="shared" si="49"/>
        <v>1450001</v>
      </c>
      <c r="C1455" s="529">
        <f t="shared" si="50"/>
        <v>1451</v>
      </c>
      <c r="E1455" s="534">
        <v>0</v>
      </c>
      <c r="F1455" s="534">
        <v>0</v>
      </c>
      <c r="G1455" s="534">
        <v>13</v>
      </c>
      <c r="I1455" s="534">
        <v>0</v>
      </c>
      <c r="J1455" s="534">
        <v>0</v>
      </c>
      <c r="K1455" s="534">
        <v>1</v>
      </c>
    </row>
    <row r="1456" spans="2:11" x14ac:dyDescent="0.3">
      <c r="B1456" s="529">
        <f t="shared" si="49"/>
        <v>1451001</v>
      </c>
      <c r="C1456" s="529">
        <f t="shared" si="50"/>
        <v>1452</v>
      </c>
      <c r="E1456" s="534">
        <v>0</v>
      </c>
      <c r="F1456" s="534">
        <v>0</v>
      </c>
      <c r="G1456" s="534">
        <v>13</v>
      </c>
      <c r="I1456" s="534">
        <v>0</v>
      </c>
      <c r="J1456" s="534">
        <v>0</v>
      </c>
      <c r="K1456" s="534">
        <v>1</v>
      </c>
    </row>
    <row r="1457" spans="2:11" x14ac:dyDescent="0.3">
      <c r="B1457" s="529">
        <f t="shared" si="49"/>
        <v>1452001</v>
      </c>
      <c r="C1457" s="529">
        <f t="shared" si="50"/>
        <v>1453</v>
      </c>
      <c r="E1457" s="534">
        <v>0</v>
      </c>
      <c r="F1457" s="534">
        <v>0</v>
      </c>
      <c r="G1457" s="534">
        <v>13</v>
      </c>
      <c r="I1457" s="534">
        <v>0</v>
      </c>
      <c r="J1457" s="534">
        <v>0</v>
      </c>
      <c r="K1457" s="534">
        <v>1</v>
      </c>
    </row>
    <row r="1458" spans="2:11" x14ac:dyDescent="0.3">
      <c r="B1458" s="529">
        <f t="shared" si="49"/>
        <v>1453001</v>
      </c>
      <c r="C1458" s="529">
        <f t="shared" si="50"/>
        <v>1454</v>
      </c>
      <c r="E1458" s="534">
        <v>0</v>
      </c>
      <c r="F1458" s="534">
        <v>0</v>
      </c>
      <c r="G1458" s="534">
        <v>13</v>
      </c>
      <c r="I1458" s="534">
        <v>0</v>
      </c>
      <c r="J1458" s="534">
        <v>0</v>
      </c>
      <c r="K1458" s="534">
        <v>1</v>
      </c>
    </row>
    <row r="1459" spans="2:11" x14ac:dyDescent="0.3">
      <c r="B1459" s="529">
        <f t="shared" si="49"/>
        <v>1454001</v>
      </c>
      <c r="C1459" s="529">
        <f t="shared" si="50"/>
        <v>1455</v>
      </c>
      <c r="E1459" s="534">
        <v>0</v>
      </c>
      <c r="F1459" s="534">
        <v>0</v>
      </c>
      <c r="G1459" s="534">
        <v>13</v>
      </c>
      <c r="I1459" s="534">
        <v>0</v>
      </c>
      <c r="J1459" s="534">
        <v>0</v>
      </c>
      <c r="K1459" s="534">
        <v>1</v>
      </c>
    </row>
    <row r="1460" spans="2:11" x14ac:dyDescent="0.3">
      <c r="B1460" s="529">
        <f t="shared" si="49"/>
        <v>1455001</v>
      </c>
      <c r="C1460" s="529">
        <f t="shared" si="50"/>
        <v>1456</v>
      </c>
      <c r="E1460" s="534">
        <v>0</v>
      </c>
      <c r="F1460" s="534">
        <v>0</v>
      </c>
      <c r="G1460" s="534">
        <v>13</v>
      </c>
      <c r="I1460" s="534">
        <v>0</v>
      </c>
      <c r="J1460" s="534">
        <v>0</v>
      </c>
      <c r="K1460" s="534">
        <v>1</v>
      </c>
    </row>
    <row r="1461" spans="2:11" x14ac:dyDescent="0.3">
      <c r="B1461" s="529">
        <f t="shared" si="49"/>
        <v>1456001</v>
      </c>
      <c r="C1461" s="529">
        <f t="shared" si="50"/>
        <v>1457</v>
      </c>
      <c r="E1461" s="534">
        <v>0</v>
      </c>
      <c r="F1461" s="534">
        <v>0</v>
      </c>
      <c r="G1461" s="534">
        <v>13</v>
      </c>
      <c r="I1461" s="534">
        <v>0</v>
      </c>
      <c r="J1461" s="534">
        <v>0</v>
      </c>
      <c r="K1461" s="534">
        <v>1</v>
      </c>
    </row>
    <row r="1462" spans="2:11" x14ac:dyDescent="0.3">
      <c r="B1462" s="529">
        <f t="shared" si="49"/>
        <v>1457001</v>
      </c>
      <c r="C1462" s="529">
        <f t="shared" si="50"/>
        <v>1458</v>
      </c>
      <c r="E1462" s="534">
        <v>0</v>
      </c>
      <c r="F1462" s="534">
        <v>0</v>
      </c>
      <c r="G1462" s="534">
        <v>13</v>
      </c>
      <c r="I1462" s="534">
        <v>0</v>
      </c>
      <c r="J1462" s="534">
        <v>0</v>
      </c>
      <c r="K1462" s="534">
        <v>1</v>
      </c>
    </row>
    <row r="1463" spans="2:11" x14ac:dyDescent="0.3">
      <c r="B1463" s="529">
        <f t="shared" si="49"/>
        <v>1458001</v>
      </c>
      <c r="C1463" s="529">
        <f t="shared" si="50"/>
        <v>1459</v>
      </c>
      <c r="E1463" s="534">
        <v>0</v>
      </c>
      <c r="F1463" s="534">
        <v>0</v>
      </c>
      <c r="G1463" s="534">
        <v>13</v>
      </c>
      <c r="I1463" s="534">
        <v>0</v>
      </c>
      <c r="J1463" s="534">
        <v>0</v>
      </c>
      <c r="K1463" s="534">
        <v>1</v>
      </c>
    </row>
    <row r="1464" spans="2:11" x14ac:dyDescent="0.3">
      <c r="B1464" s="529">
        <f t="shared" si="49"/>
        <v>1459001</v>
      </c>
      <c r="C1464" s="529">
        <f t="shared" si="50"/>
        <v>1460</v>
      </c>
      <c r="E1464" s="534">
        <v>0</v>
      </c>
      <c r="F1464" s="534">
        <v>0</v>
      </c>
      <c r="G1464" s="534">
        <v>13</v>
      </c>
      <c r="I1464" s="534">
        <v>0</v>
      </c>
      <c r="J1464" s="534">
        <v>0</v>
      </c>
      <c r="K1464" s="534">
        <v>1</v>
      </c>
    </row>
    <row r="1465" spans="2:11" x14ac:dyDescent="0.3">
      <c r="B1465" s="529">
        <f t="shared" si="49"/>
        <v>1460001</v>
      </c>
      <c r="C1465" s="529">
        <f t="shared" si="50"/>
        <v>1461</v>
      </c>
      <c r="E1465" s="534">
        <v>0</v>
      </c>
      <c r="F1465" s="534">
        <v>0</v>
      </c>
      <c r="G1465" s="534">
        <v>13</v>
      </c>
      <c r="I1465" s="534">
        <v>0</v>
      </c>
      <c r="J1465" s="534">
        <v>0</v>
      </c>
      <c r="K1465" s="534">
        <v>1</v>
      </c>
    </row>
    <row r="1466" spans="2:11" x14ac:dyDescent="0.3">
      <c r="B1466" s="529">
        <f t="shared" si="49"/>
        <v>1461001</v>
      </c>
      <c r="C1466" s="529">
        <f t="shared" si="50"/>
        <v>1462</v>
      </c>
      <c r="E1466" s="534">
        <v>0</v>
      </c>
      <c r="F1466" s="534">
        <v>0</v>
      </c>
      <c r="G1466" s="534">
        <v>13</v>
      </c>
      <c r="I1466" s="534">
        <v>0</v>
      </c>
      <c r="J1466" s="534">
        <v>0</v>
      </c>
      <c r="K1466" s="534">
        <v>1</v>
      </c>
    </row>
    <row r="1467" spans="2:11" x14ac:dyDescent="0.3">
      <c r="B1467" s="529">
        <f t="shared" si="49"/>
        <v>1462001</v>
      </c>
      <c r="C1467" s="529">
        <f t="shared" si="50"/>
        <v>1463</v>
      </c>
      <c r="E1467" s="534">
        <v>0</v>
      </c>
      <c r="F1467" s="534">
        <v>0</v>
      </c>
      <c r="G1467" s="534">
        <v>13</v>
      </c>
      <c r="I1467" s="534">
        <v>0</v>
      </c>
      <c r="J1467" s="534">
        <v>0</v>
      </c>
      <c r="K1467" s="534">
        <v>1</v>
      </c>
    </row>
    <row r="1468" spans="2:11" x14ac:dyDescent="0.3">
      <c r="B1468" s="529">
        <f t="shared" si="49"/>
        <v>1463001</v>
      </c>
      <c r="C1468" s="529">
        <f t="shared" si="50"/>
        <v>1464</v>
      </c>
      <c r="E1468" s="534">
        <v>0</v>
      </c>
      <c r="F1468" s="534">
        <v>0</v>
      </c>
      <c r="G1468" s="534">
        <v>13</v>
      </c>
      <c r="I1468" s="534">
        <v>0</v>
      </c>
      <c r="J1468" s="534">
        <v>0</v>
      </c>
      <c r="K1468" s="534">
        <v>1</v>
      </c>
    </row>
    <row r="1469" spans="2:11" x14ac:dyDescent="0.3">
      <c r="B1469" s="529">
        <f t="shared" si="49"/>
        <v>1464001</v>
      </c>
      <c r="C1469" s="529">
        <f t="shared" si="50"/>
        <v>1465</v>
      </c>
      <c r="E1469" s="534">
        <v>0</v>
      </c>
      <c r="F1469" s="534">
        <v>0</v>
      </c>
      <c r="G1469" s="534">
        <v>13</v>
      </c>
      <c r="I1469" s="534">
        <v>0</v>
      </c>
      <c r="J1469" s="534">
        <v>0</v>
      </c>
      <c r="K1469" s="534">
        <v>1</v>
      </c>
    </row>
    <row r="1470" spans="2:11" x14ac:dyDescent="0.3">
      <c r="B1470" s="529">
        <f t="shared" si="49"/>
        <v>1465001</v>
      </c>
      <c r="C1470" s="529">
        <f t="shared" si="50"/>
        <v>1466</v>
      </c>
      <c r="E1470" s="534">
        <v>0</v>
      </c>
      <c r="F1470" s="534">
        <v>0</v>
      </c>
      <c r="G1470" s="534">
        <v>13</v>
      </c>
      <c r="I1470" s="534">
        <v>0</v>
      </c>
      <c r="J1470" s="534">
        <v>0</v>
      </c>
      <c r="K1470" s="534">
        <v>1</v>
      </c>
    </row>
    <row r="1471" spans="2:11" x14ac:dyDescent="0.3">
      <c r="B1471" s="529">
        <f t="shared" si="49"/>
        <v>1466001</v>
      </c>
      <c r="C1471" s="529">
        <f t="shared" si="50"/>
        <v>1467</v>
      </c>
      <c r="E1471" s="534">
        <v>0</v>
      </c>
      <c r="F1471" s="534">
        <v>0</v>
      </c>
      <c r="G1471" s="534">
        <v>13</v>
      </c>
      <c r="I1471" s="534">
        <v>0</v>
      </c>
      <c r="J1471" s="534">
        <v>0</v>
      </c>
      <c r="K1471" s="534">
        <v>1</v>
      </c>
    </row>
    <row r="1472" spans="2:11" x14ac:dyDescent="0.3">
      <c r="B1472" s="529">
        <f t="shared" si="49"/>
        <v>1467001</v>
      </c>
      <c r="C1472" s="529">
        <f t="shared" si="50"/>
        <v>1468</v>
      </c>
      <c r="E1472" s="534">
        <v>0</v>
      </c>
      <c r="F1472" s="534">
        <v>0</v>
      </c>
      <c r="G1472" s="534">
        <v>13</v>
      </c>
      <c r="I1472" s="534">
        <v>0</v>
      </c>
      <c r="J1472" s="534">
        <v>0</v>
      </c>
      <c r="K1472" s="534">
        <v>1</v>
      </c>
    </row>
    <row r="1473" spans="2:11" x14ac:dyDescent="0.3">
      <c r="B1473" s="529">
        <f t="shared" si="49"/>
        <v>1468001</v>
      </c>
      <c r="C1473" s="529">
        <f t="shared" si="50"/>
        <v>1469</v>
      </c>
      <c r="E1473" s="534">
        <v>0</v>
      </c>
      <c r="F1473" s="534">
        <v>0</v>
      </c>
      <c r="G1473" s="534">
        <v>13</v>
      </c>
      <c r="I1473" s="534">
        <v>0</v>
      </c>
      <c r="J1473" s="534">
        <v>0</v>
      </c>
      <c r="K1473" s="534">
        <v>1</v>
      </c>
    </row>
    <row r="1474" spans="2:11" x14ac:dyDescent="0.3">
      <c r="B1474" s="529">
        <f t="shared" si="49"/>
        <v>1469001</v>
      </c>
      <c r="C1474" s="529">
        <f t="shared" si="50"/>
        <v>1470</v>
      </c>
      <c r="E1474" s="534">
        <v>0</v>
      </c>
      <c r="F1474" s="534">
        <v>0</v>
      </c>
      <c r="G1474" s="534">
        <v>13</v>
      </c>
      <c r="I1474" s="534">
        <v>0</v>
      </c>
      <c r="J1474" s="534">
        <v>0</v>
      </c>
      <c r="K1474" s="534">
        <v>1</v>
      </c>
    </row>
    <row r="1475" spans="2:11" x14ac:dyDescent="0.3">
      <c r="B1475" s="529">
        <f t="shared" si="49"/>
        <v>1470001</v>
      </c>
      <c r="C1475" s="529">
        <f t="shared" si="50"/>
        <v>1471</v>
      </c>
      <c r="E1475" s="534">
        <v>0</v>
      </c>
      <c r="F1475" s="534">
        <v>0</v>
      </c>
      <c r="G1475" s="534">
        <v>13</v>
      </c>
      <c r="I1475" s="534">
        <v>0</v>
      </c>
      <c r="J1475" s="534">
        <v>0</v>
      </c>
      <c r="K1475" s="534">
        <v>1</v>
      </c>
    </row>
    <row r="1476" spans="2:11" x14ac:dyDescent="0.3">
      <c r="B1476" s="529">
        <f t="shared" si="49"/>
        <v>1471001</v>
      </c>
      <c r="C1476" s="529">
        <f t="shared" si="50"/>
        <v>1472</v>
      </c>
      <c r="E1476" s="534">
        <v>0</v>
      </c>
      <c r="F1476" s="534">
        <v>0</v>
      </c>
      <c r="G1476" s="534">
        <v>13</v>
      </c>
      <c r="I1476" s="534">
        <v>0</v>
      </c>
      <c r="J1476" s="534">
        <v>0</v>
      </c>
      <c r="K1476" s="534">
        <v>1</v>
      </c>
    </row>
    <row r="1477" spans="2:11" x14ac:dyDescent="0.3">
      <c r="B1477" s="529">
        <f t="shared" si="49"/>
        <v>1472001</v>
      </c>
      <c r="C1477" s="529">
        <f t="shared" si="50"/>
        <v>1473</v>
      </c>
      <c r="E1477" s="534">
        <v>0</v>
      </c>
      <c r="F1477" s="534">
        <v>0</v>
      </c>
      <c r="G1477" s="534">
        <v>13</v>
      </c>
      <c r="I1477" s="534">
        <v>0</v>
      </c>
      <c r="J1477" s="534">
        <v>0</v>
      </c>
      <c r="K1477" s="534">
        <v>1</v>
      </c>
    </row>
    <row r="1478" spans="2:11" x14ac:dyDescent="0.3">
      <c r="B1478" s="529">
        <f t="shared" si="49"/>
        <v>1473001</v>
      </c>
      <c r="C1478" s="529">
        <f t="shared" si="50"/>
        <v>1474</v>
      </c>
      <c r="E1478" s="534">
        <v>0</v>
      </c>
      <c r="F1478" s="534">
        <v>0</v>
      </c>
      <c r="G1478" s="534">
        <v>13</v>
      </c>
      <c r="I1478" s="534">
        <v>0</v>
      </c>
      <c r="J1478" s="534">
        <v>0</v>
      </c>
      <c r="K1478" s="534">
        <v>1</v>
      </c>
    </row>
    <row r="1479" spans="2:11" x14ac:dyDescent="0.3">
      <c r="B1479" s="529">
        <f t="shared" ref="B1479:B1542" si="51">C1478*1000+1</f>
        <v>1474001</v>
      </c>
      <c r="C1479" s="529">
        <f t="shared" si="50"/>
        <v>1475</v>
      </c>
      <c r="E1479" s="534">
        <v>0</v>
      </c>
      <c r="F1479" s="534">
        <v>0</v>
      </c>
      <c r="G1479" s="534">
        <v>13</v>
      </c>
      <c r="I1479" s="534">
        <v>0</v>
      </c>
      <c r="J1479" s="534">
        <v>0</v>
      </c>
      <c r="K1479" s="534">
        <v>1</v>
      </c>
    </row>
    <row r="1480" spans="2:11" x14ac:dyDescent="0.3">
      <c r="B1480" s="529">
        <f t="shared" si="51"/>
        <v>1475001</v>
      </c>
      <c r="C1480" s="529">
        <f t="shared" si="50"/>
        <v>1476</v>
      </c>
      <c r="E1480" s="534">
        <v>0</v>
      </c>
      <c r="F1480" s="534">
        <v>0</v>
      </c>
      <c r="G1480" s="534">
        <v>13</v>
      </c>
      <c r="I1480" s="534">
        <v>0</v>
      </c>
      <c r="J1480" s="534">
        <v>0</v>
      </c>
      <c r="K1480" s="534">
        <v>1</v>
      </c>
    </row>
    <row r="1481" spans="2:11" x14ac:dyDescent="0.3">
      <c r="B1481" s="529">
        <f t="shared" si="51"/>
        <v>1476001</v>
      </c>
      <c r="C1481" s="529">
        <f t="shared" si="50"/>
        <v>1477</v>
      </c>
      <c r="E1481" s="534">
        <v>0</v>
      </c>
      <c r="F1481" s="534">
        <v>0</v>
      </c>
      <c r="G1481" s="534">
        <v>13</v>
      </c>
      <c r="I1481" s="534">
        <v>0</v>
      </c>
      <c r="J1481" s="534">
        <v>0</v>
      </c>
      <c r="K1481" s="534">
        <v>1</v>
      </c>
    </row>
    <row r="1482" spans="2:11" x14ac:dyDescent="0.3">
      <c r="B1482" s="529">
        <f t="shared" si="51"/>
        <v>1477001</v>
      </c>
      <c r="C1482" s="529">
        <f t="shared" si="50"/>
        <v>1478</v>
      </c>
      <c r="E1482" s="534">
        <v>0</v>
      </c>
      <c r="F1482" s="534">
        <v>0</v>
      </c>
      <c r="G1482" s="534">
        <v>13</v>
      </c>
      <c r="I1482" s="534">
        <v>0</v>
      </c>
      <c r="J1482" s="534">
        <v>0</v>
      </c>
      <c r="K1482" s="534">
        <v>1</v>
      </c>
    </row>
    <row r="1483" spans="2:11" x14ac:dyDescent="0.3">
      <c r="B1483" s="529">
        <f t="shared" si="51"/>
        <v>1478001</v>
      </c>
      <c r="C1483" s="529">
        <f t="shared" si="50"/>
        <v>1479</v>
      </c>
      <c r="E1483" s="534">
        <v>0</v>
      </c>
      <c r="F1483" s="534">
        <v>0</v>
      </c>
      <c r="G1483" s="534">
        <v>13</v>
      </c>
      <c r="I1483" s="534">
        <v>0</v>
      </c>
      <c r="J1483" s="534">
        <v>0</v>
      </c>
      <c r="K1483" s="534">
        <v>1</v>
      </c>
    </row>
    <row r="1484" spans="2:11" x14ac:dyDescent="0.3">
      <c r="B1484" s="529">
        <f t="shared" si="51"/>
        <v>1479001</v>
      </c>
      <c r="C1484" s="529">
        <f t="shared" si="50"/>
        <v>1480</v>
      </c>
      <c r="E1484" s="534">
        <v>0</v>
      </c>
      <c r="F1484" s="534">
        <v>0</v>
      </c>
      <c r="G1484" s="534">
        <v>13</v>
      </c>
      <c r="I1484" s="534">
        <v>0</v>
      </c>
      <c r="J1484" s="534">
        <v>0</v>
      </c>
      <c r="K1484" s="534">
        <v>1</v>
      </c>
    </row>
    <row r="1485" spans="2:11" x14ac:dyDescent="0.3">
      <c r="B1485" s="529">
        <f t="shared" si="51"/>
        <v>1480001</v>
      </c>
      <c r="C1485" s="529">
        <f t="shared" si="50"/>
        <v>1481</v>
      </c>
      <c r="E1485" s="534">
        <v>1</v>
      </c>
      <c r="F1485" s="534">
        <v>1481</v>
      </c>
      <c r="G1485" s="534">
        <v>13</v>
      </c>
      <c r="I1485" s="534">
        <v>0</v>
      </c>
      <c r="J1485" s="534">
        <v>0</v>
      </c>
      <c r="K1485" s="534">
        <v>1</v>
      </c>
    </row>
    <row r="1486" spans="2:11" x14ac:dyDescent="0.3">
      <c r="B1486" s="529">
        <f t="shared" si="51"/>
        <v>1481001</v>
      </c>
      <c r="C1486" s="529">
        <f t="shared" si="50"/>
        <v>1482</v>
      </c>
      <c r="E1486" s="534">
        <v>0</v>
      </c>
      <c r="F1486" s="534">
        <v>0</v>
      </c>
      <c r="G1486" s="534">
        <v>12</v>
      </c>
      <c r="I1486" s="534">
        <v>0</v>
      </c>
      <c r="J1486" s="534">
        <v>0</v>
      </c>
      <c r="K1486" s="534">
        <v>1</v>
      </c>
    </row>
    <row r="1487" spans="2:11" x14ac:dyDescent="0.3">
      <c r="B1487" s="529">
        <f t="shared" si="51"/>
        <v>1482001</v>
      </c>
      <c r="C1487" s="529">
        <f t="shared" si="50"/>
        <v>1483</v>
      </c>
      <c r="E1487" s="534">
        <v>0</v>
      </c>
      <c r="F1487" s="534">
        <v>0</v>
      </c>
      <c r="G1487" s="534">
        <v>12</v>
      </c>
      <c r="I1487" s="534">
        <v>0</v>
      </c>
      <c r="J1487" s="534">
        <v>0</v>
      </c>
      <c r="K1487" s="534">
        <v>1</v>
      </c>
    </row>
    <row r="1488" spans="2:11" x14ac:dyDescent="0.3">
      <c r="B1488" s="529">
        <f t="shared" si="51"/>
        <v>1483001</v>
      </c>
      <c r="C1488" s="529">
        <f t="shared" si="50"/>
        <v>1484</v>
      </c>
      <c r="E1488" s="534">
        <v>0</v>
      </c>
      <c r="F1488" s="534">
        <v>0</v>
      </c>
      <c r="G1488" s="534">
        <v>12</v>
      </c>
      <c r="I1488" s="534">
        <v>0</v>
      </c>
      <c r="J1488" s="534">
        <v>0</v>
      </c>
      <c r="K1488" s="534">
        <v>1</v>
      </c>
    </row>
    <row r="1489" spans="2:11" x14ac:dyDescent="0.3">
      <c r="B1489" s="529">
        <f t="shared" si="51"/>
        <v>1484001</v>
      </c>
      <c r="C1489" s="529">
        <f t="shared" si="50"/>
        <v>1485</v>
      </c>
      <c r="E1489" s="534">
        <v>0</v>
      </c>
      <c r="F1489" s="534">
        <v>0</v>
      </c>
      <c r="G1489" s="534">
        <v>12</v>
      </c>
      <c r="I1489" s="534">
        <v>0</v>
      </c>
      <c r="J1489" s="534">
        <v>0</v>
      </c>
      <c r="K1489" s="534">
        <v>1</v>
      </c>
    </row>
    <row r="1490" spans="2:11" x14ac:dyDescent="0.3">
      <c r="B1490" s="529">
        <f t="shared" si="51"/>
        <v>1485001</v>
      </c>
      <c r="C1490" s="529">
        <f t="shared" si="50"/>
        <v>1486</v>
      </c>
      <c r="E1490" s="534">
        <v>0</v>
      </c>
      <c r="F1490" s="534">
        <v>0</v>
      </c>
      <c r="G1490" s="534">
        <v>12</v>
      </c>
      <c r="I1490" s="534">
        <v>0</v>
      </c>
      <c r="J1490" s="534">
        <v>0</v>
      </c>
      <c r="K1490" s="534">
        <v>1</v>
      </c>
    </row>
    <row r="1491" spans="2:11" x14ac:dyDescent="0.3">
      <c r="B1491" s="529">
        <f t="shared" si="51"/>
        <v>1486001</v>
      </c>
      <c r="C1491" s="529">
        <f t="shared" ref="C1491:C1554" si="52">C1490+1</f>
        <v>1487</v>
      </c>
      <c r="E1491" s="534">
        <v>0</v>
      </c>
      <c r="F1491" s="534">
        <v>0</v>
      </c>
      <c r="G1491" s="534">
        <v>12</v>
      </c>
      <c r="I1491" s="534">
        <v>0</v>
      </c>
      <c r="J1491" s="534">
        <v>0</v>
      </c>
      <c r="K1491" s="534">
        <v>1</v>
      </c>
    </row>
    <row r="1492" spans="2:11" x14ac:dyDescent="0.3">
      <c r="B1492" s="529">
        <f t="shared" si="51"/>
        <v>1487001</v>
      </c>
      <c r="C1492" s="529">
        <f t="shared" si="52"/>
        <v>1488</v>
      </c>
      <c r="E1492" s="534">
        <v>0</v>
      </c>
      <c r="F1492" s="534">
        <v>0</v>
      </c>
      <c r="G1492" s="534">
        <v>12</v>
      </c>
      <c r="I1492" s="534">
        <v>0</v>
      </c>
      <c r="J1492" s="534">
        <v>0</v>
      </c>
      <c r="K1492" s="534">
        <v>1</v>
      </c>
    </row>
    <row r="1493" spans="2:11" x14ac:dyDescent="0.3">
      <c r="B1493" s="529">
        <f t="shared" si="51"/>
        <v>1488001</v>
      </c>
      <c r="C1493" s="529">
        <f t="shared" si="52"/>
        <v>1489</v>
      </c>
      <c r="E1493" s="534">
        <v>0</v>
      </c>
      <c r="F1493" s="534">
        <v>0</v>
      </c>
      <c r="G1493" s="534">
        <v>12</v>
      </c>
      <c r="I1493" s="534">
        <v>0</v>
      </c>
      <c r="J1493" s="534">
        <v>0</v>
      </c>
      <c r="K1493" s="534">
        <v>1</v>
      </c>
    </row>
    <row r="1494" spans="2:11" x14ac:dyDescent="0.3">
      <c r="B1494" s="529">
        <f t="shared" si="51"/>
        <v>1489001</v>
      </c>
      <c r="C1494" s="529">
        <f t="shared" si="52"/>
        <v>1490</v>
      </c>
      <c r="E1494" s="534">
        <v>0</v>
      </c>
      <c r="F1494" s="534">
        <v>0</v>
      </c>
      <c r="G1494" s="534">
        <v>12</v>
      </c>
      <c r="I1494" s="534">
        <v>0</v>
      </c>
      <c r="J1494" s="534">
        <v>0</v>
      </c>
      <c r="K1494" s="534">
        <v>1</v>
      </c>
    </row>
    <row r="1495" spans="2:11" x14ac:dyDescent="0.3">
      <c r="B1495" s="529">
        <f t="shared" si="51"/>
        <v>1490001</v>
      </c>
      <c r="C1495" s="529">
        <f t="shared" si="52"/>
        <v>1491</v>
      </c>
      <c r="E1495" s="534">
        <v>0</v>
      </c>
      <c r="F1495" s="534">
        <v>0</v>
      </c>
      <c r="G1495" s="534">
        <v>12</v>
      </c>
      <c r="I1495" s="534">
        <v>0</v>
      </c>
      <c r="J1495" s="534">
        <v>0</v>
      </c>
      <c r="K1495" s="534">
        <v>1</v>
      </c>
    </row>
    <row r="1496" spans="2:11" x14ac:dyDescent="0.3">
      <c r="B1496" s="529">
        <f t="shared" si="51"/>
        <v>1491001</v>
      </c>
      <c r="C1496" s="529">
        <f t="shared" si="52"/>
        <v>1492</v>
      </c>
      <c r="E1496" s="534">
        <v>0</v>
      </c>
      <c r="F1496" s="534">
        <v>0</v>
      </c>
      <c r="G1496" s="534">
        <v>12</v>
      </c>
      <c r="I1496" s="534">
        <v>0</v>
      </c>
      <c r="J1496" s="534">
        <v>0</v>
      </c>
      <c r="K1496" s="534">
        <v>1</v>
      </c>
    </row>
    <row r="1497" spans="2:11" x14ac:dyDescent="0.3">
      <c r="B1497" s="529">
        <f t="shared" si="51"/>
        <v>1492001</v>
      </c>
      <c r="C1497" s="529">
        <f t="shared" si="52"/>
        <v>1493</v>
      </c>
      <c r="E1497" s="534">
        <v>0</v>
      </c>
      <c r="F1497" s="534">
        <v>0</v>
      </c>
      <c r="G1497" s="534">
        <v>12</v>
      </c>
      <c r="I1497" s="534">
        <v>0</v>
      </c>
      <c r="J1497" s="534">
        <v>0</v>
      </c>
      <c r="K1497" s="534">
        <v>1</v>
      </c>
    </row>
    <row r="1498" spans="2:11" x14ac:dyDescent="0.3">
      <c r="B1498" s="529">
        <f t="shared" si="51"/>
        <v>1493001</v>
      </c>
      <c r="C1498" s="529">
        <f t="shared" si="52"/>
        <v>1494</v>
      </c>
      <c r="E1498" s="534">
        <v>0</v>
      </c>
      <c r="F1498" s="534">
        <v>0</v>
      </c>
      <c r="G1498" s="534">
        <v>12</v>
      </c>
      <c r="I1498" s="534">
        <v>0</v>
      </c>
      <c r="J1498" s="534">
        <v>0</v>
      </c>
      <c r="K1498" s="534">
        <v>1</v>
      </c>
    </row>
    <row r="1499" spans="2:11" x14ac:dyDescent="0.3">
      <c r="B1499" s="529">
        <f t="shared" si="51"/>
        <v>1494001</v>
      </c>
      <c r="C1499" s="529">
        <f t="shared" si="52"/>
        <v>1495</v>
      </c>
      <c r="E1499" s="534">
        <v>0</v>
      </c>
      <c r="F1499" s="534">
        <v>0</v>
      </c>
      <c r="G1499" s="534">
        <v>12</v>
      </c>
      <c r="I1499" s="534">
        <v>0</v>
      </c>
      <c r="J1499" s="534">
        <v>0</v>
      </c>
      <c r="K1499" s="534">
        <v>1</v>
      </c>
    </row>
    <row r="1500" spans="2:11" x14ac:dyDescent="0.3">
      <c r="B1500" s="529">
        <f t="shared" si="51"/>
        <v>1495001</v>
      </c>
      <c r="C1500" s="529">
        <f t="shared" si="52"/>
        <v>1496</v>
      </c>
      <c r="E1500" s="534">
        <v>0</v>
      </c>
      <c r="F1500" s="534">
        <v>0</v>
      </c>
      <c r="G1500" s="534">
        <v>12</v>
      </c>
      <c r="I1500" s="534">
        <v>0</v>
      </c>
      <c r="J1500" s="534">
        <v>0</v>
      </c>
      <c r="K1500" s="534">
        <v>1</v>
      </c>
    </row>
    <row r="1501" spans="2:11" x14ac:dyDescent="0.3">
      <c r="B1501" s="529">
        <f t="shared" si="51"/>
        <v>1496001</v>
      </c>
      <c r="C1501" s="529">
        <f t="shared" si="52"/>
        <v>1497</v>
      </c>
      <c r="E1501" s="534">
        <v>0</v>
      </c>
      <c r="F1501" s="534">
        <v>0</v>
      </c>
      <c r="G1501" s="534">
        <v>12</v>
      </c>
      <c r="I1501" s="534">
        <v>0</v>
      </c>
      <c r="J1501" s="534">
        <v>0</v>
      </c>
      <c r="K1501" s="534">
        <v>1</v>
      </c>
    </row>
    <row r="1502" spans="2:11" x14ac:dyDescent="0.3">
      <c r="B1502" s="529">
        <f t="shared" si="51"/>
        <v>1497001</v>
      </c>
      <c r="C1502" s="529">
        <f t="shared" si="52"/>
        <v>1498</v>
      </c>
      <c r="E1502" s="534">
        <v>0</v>
      </c>
      <c r="F1502" s="534">
        <v>0</v>
      </c>
      <c r="G1502" s="534">
        <v>12</v>
      </c>
      <c r="I1502" s="534">
        <v>0</v>
      </c>
      <c r="J1502" s="534">
        <v>0</v>
      </c>
      <c r="K1502" s="534">
        <v>1</v>
      </c>
    </row>
    <row r="1503" spans="2:11" x14ac:dyDescent="0.3">
      <c r="B1503" s="529">
        <f t="shared" si="51"/>
        <v>1498001</v>
      </c>
      <c r="C1503" s="529">
        <f t="shared" si="52"/>
        <v>1499</v>
      </c>
      <c r="E1503" s="534">
        <v>0</v>
      </c>
      <c r="F1503" s="534">
        <v>0</v>
      </c>
      <c r="G1503" s="534">
        <v>12</v>
      </c>
      <c r="I1503" s="534">
        <v>0</v>
      </c>
      <c r="J1503" s="534">
        <v>0</v>
      </c>
      <c r="K1503" s="534">
        <v>1</v>
      </c>
    </row>
    <row r="1504" spans="2:11" x14ac:dyDescent="0.3">
      <c r="B1504" s="529">
        <f t="shared" si="51"/>
        <v>1499001</v>
      </c>
      <c r="C1504" s="529">
        <f t="shared" si="52"/>
        <v>1500</v>
      </c>
      <c r="E1504" s="534">
        <v>1</v>
      </c>
      <c r="F1504" s="534">
        <v>1500</v>
      </c>
      <c r="G1504" s="534">
        <v>12</v>
      </c>
      <c r="I1504" s="534">
        <v>0</v>
      </c>
      <c r="J1504" s="534">
        <v>0</v>
      </c>
      <c r="K1504" s="534">
        <v>1</v>
      </c>
    </row>
    <row r="1505" spans="2:11" x14ac:dyDescent="0.3">
      <c r="B1505" s="529">
        <f t="shared" si="51"/>
        <v>1500001</v>
      </c>
      <c r="C1505" s="529">
        <f t="shared" si="52"/>
        <v>1501</v>
      </c>
      <c r="E1505" s="534">
        <v>0</v>
      </c>
      <c r="F1505" s="534">
        <v>0</v>
      </c>
      <c r="G1505" s="534">
        <v>11</v>
      </c>
      <c r="I1505" s="534">
        <v>0</v>
      </c>
      <c r="J1505" s="534">
        <v>0</v>
      </c>
      <c r="K1505" s="534">
        <v>1</v>
      </c>
    </row>
    <row r="1506" spans="2:11" x14ac:dyDescent="0.3">
      <c r="B1506" s="529">
        <f t="shared" si="51"/>
        <v>1501001</v>
      </c>
      <c r="C1506" s="529">
        <f t="shared" si="52"/>
        <v>1502</v>
      </c>
      <c r="E1506" s="534">
        <v>0</v>
      </c>
      <c r="F1506" s="534">
        <v>0</v>
      </c>
      <c r="G1506" s="534">
        <v>11</v>
      </c>
      <c r="I1506" s="534">
        <v>0</v>
      </c>
      <c r="J1506" s="534">
        <v>0</v>
      </c>
      <c r="K1506" s="534">
        <v>1</v>
      </c>
    </row>
    <row r="1507" spans="2:11" x14ac:dyDescent="0.3">
      <c r="B1507" s="529">
        <f t="shared" si="51"/>
        <v>1502001</v>
      </c>
      <c r="C1507" s="529">
        <f t="shared" si="52"/>
        <v>1503</v>
      </c>
      <c r="E1507" s="534">
        <v>0</v>
      </c>
      <c r="F1507" s="534">
        <v>0</v>
      </c>
      <c r="G1507" s="534">
        <v>11</v>
      </c>
      <c r="I1507" s="534">
        <v>0</v>
      </c>
      <c r="J1507" s="534">
        <v>0</v>
      </c>
      <c r="K1507" s="534">
        <v>1</v>
      </c>
    </row>
    <row r="1508" spans="2:11" x14ac:dyDescent="0.3">
      <c r="B1508" s="529">
        <f t="shared" si="51"/>
        <v>1503001</v>
      </c>
      <c r="C1508" s="529">
        <f t="shared" si="52"/>
        <v>1504</v>
      </c>
      <c r="E1508" s="534">
        <v>0</v>
      </c>
      <c r="F1508" s="534">
        <v>0</v>
      </c>
      <c r="G1508" s="534">
        <v>11</v>
      </c>
      <c r="I1508" s="534">
        <v>0</v>
      </c>
      <c r="J1508" s="534">
        <v>0</v>
      </c>
      <c r="K1508" s="534">
        <v>1</v>
      </c>
    </row>
    <row r="1509" spans="2:11" x14ac:dyDescent="0.3">
      <c r="B1509" s="529">
        <f t="shared" si="51"/>
        <v>1504001</v>
      </c>
      <c r="C1509" s="529">
        <f t="shared" si="52"/>
        <v>1505</v>
      </c>
      <c r="E1509" s="534">
        <v>0</v>
      </c>
      <c r="F1509" s="534">
        <v>0</v>
      </c>
      <c r="G1509" s="534">
        <v>11</v>
      </c>
      <c r="I1509" s="534">
        <v>0</v>
      </c>
      <c r="J1509" s="534">
        <v>0</v>
      </c>
      <c r="K1509" s="534">
        <v>1</v>
      </c>
    </row>
    <row r="1510" spans="2:11" x14ac:dyDescent="0.3">
      <c r="B1510" s="529">
        <f t="shared" si="51"/>
        <v>1505001</v>
      </c>
      <c r="C1510" s="529">
        <f t="shared" si="52"/>
        <v>1506</v>
      </c>
      <c r="E1510" s="534">
        <v>0</v>
      </c>
      <c r="F1510" s="534">
        <v>0</v>
      </c>
      <c r="G1510" s="534">
        <v>11</v>
      </c>
      <c r="I1510" s="534">
        <v>0</v>
      </c>
      <c r="J1510" s="534">
        <v>0</v>
      </c>
      <c r="K1510" s="534">
        <v>1</v>
      </c>
    </row>
    <row r="1511" spans="2:11" x14ac:dyDescent="0.3">
      <c r="B1511" s="529">
        <f t="shared" si="51"/>
        <v>1506001</v>
      </c>
      <c r="C1511" s="529">
        <f t="shared" si="52"/>
        <v>1507</v>
      </c>
      <c r="E1511" s="534">
        <v>0</v>
      </c>
      <c r="F1511" s="534">
        <v>0</v>
      </c>
      <c r="G1511" s="534">
        <v>11</v>
      </c>
      <c r="I1511" s="534">
        <v>0</v>
      </c>
      <c r="J1511" s="534">
        <v>0</v>
      </c>
      <c r="K1511" s="534">
        <v>1</v>
      </c>
    </row>
    <row r="1512" spans="2:11" x14ac:dyDescent="0.3">
      <c r="B1512" s="529">
        <f t="shared" si="51"/>
        <v>1507001</v>
      </c>
      <c r="C1512" s="529">
        <f t="shared" si="52"/>
        <v>1508</v>
      </c>
      <c r="E1512" s="534">
        <v>0</v>
      </c>
      <c r="F1512" s="534">
        <v>0</v>
      </c>
      <c r="G1512" s="534">
        <v>11</v>
      </c>
      <c r="I1512" s="534">
        <v>0</v>
      </c>
      <c r="J1512" s="534">
        <v>0</v>
      </c>
      <c r="K1512" s="534">
        <v>1</v>
      </c>
    </row>
    <row r="1513" spans="2:11" x14ac:dyDescent="0.3">
      <c r="B1513" s="529">
        <f t="shared" si="51"/>
        <v>1508001</v>
      </c>
      <c r="C1513" s="529">
        <f t="shared" si="52"/>
        <v>1509</v>
      </c>
      <c r="E1513" s="534">
        <v>0</v>
      </c>
      <c r="F1513" s="534">
        <v>0</v>
      </c>
      <c r="G1513" s="534">
        <v>11</v>
      </c>
      <c r="I1513" s="534">
        <v>0</v>
      </c>
      <c r="J1513" s="534">
        <v>0</v>
      </c>
      <c r="K1513" s="534">
        <v>1</v>
      </c>
    </row>
    <row r="1514" spans="2:11" x14ac:dyDescent="0.3">
      <c r="B1514" s="529">
        <f t="shared" si="51"/>
        <v>1509001</v>
      </c>
      <c r="C1514" s="529">
        <f t="shared" si="52"/>
        <v>1510</v>
      </c>
      <c r="E1514" s="534">
        <v>1</v>
      </c>
      <c r="F1514" s="534">
        <v>1510</v>
      </c>
      <c r="G1514" s="534">
        <v>11</v>
      </c>
      <c r="I1514" s="534">
        <v>0</v>
      </c>
      <c r="J1514" s="534">
        <v>0</v>
      </c>
      <c r="K1514" s="534">
        <v>1</v>
      </c>
    </row>
    <row r="1515" spans="2:11" x14ac:dyDescent="0.3">
      <c r="B1515" s="529">
        <f t="shared" si="51"/>
        <v>1510001</v>
      </c>
      <c r="C1515" s="529">
        <f t="shared" si="52"/>
        <v>1511</v>
      </c>
      <c r="E1515" s="534">
        <v>0</v>
      </c>
      <c r="F1515" s="534">
        <v>0</v>
      </c>
      <c r="G1515" s="534">
        <v>10</v>
      </c>
      <c r="I1515" s="534">
        <v>0</v>
      </c>
      <c r="J1515" s="534">
        <v>0</v>
      </c>
      <c r="K1515" s="534">
        <v>1</v>
      </c>
    </row>
    <row r="1516" spans="2:11" x14ac:dyDescent="0.3">
      <c r="B1516" s="529">
        <f t="shared" si="51"/>
        <v>1511001</v>
      </c>
      <c r="C1516" s="529">
        <f t="shared" si="52"/>
        <v>1512</v>
      </c>
      <c r="E1516" s="534">
        <v>0</v>
      </c>
      <c r="F1516" s="534">
        <v>0</v>
      </c>
      <c r="G1516" s="534">
        <v>10</v>
      </c>
      <c r="I1516" s="534">
        <v>0</v>
      </c>
      <c r="J1516" s="534">
        <v>0</v>
      </c>
      <c r="K1516" s="534">
        <v>1</v>
      </c>
    </row>
    <row r="1517" spans="2:11" x14ac:dyDescent="0.3">
      <c r="B1517" s="529">
        <f t="shared" si="51"/>
        <v>1512001</v>
      </c>
      <c r="C1517" s="529">
        <f t="shared" si="52"/>
        <v>1513</v>
      </c>
      <c r="E1517" s="534">
        <v>0</v>
      </c>
      <c r="F1517" s="534">
        <v>0</v>
      </c>
      <c r="G1517" s="534">
        <v>10</v>
      </c>
      <c r="I1517" s="534">
        <v>0</v>
      </c>
      <c r="J1517" s="534">
        <v>0</v>
      </c>
      <c r="K1517" s="534">
        <v>1</v>
      </c>
    </row>
    <row r="1518" spans="2:11" x14ac:dyDescent="0.3">
      <c r="B1518" s="529">
        <f t="shared" si="51"/>
        <v>1513001</v>
      </c>
      <c r="C1518" s="529">
        <f t="shared" si="52"/>
        <v>1514</v>
      </c>
      <c r="E1518" s="534">
        <v>0</v>
      </c>
      <c r="F1518" s="534">
        <v>0</v>
      </c>
      <c r="G1518" s="534">
        <v>10</v>
      </c>
      <c r="I1518" s="534">
        <v>0</v>
      </c>
      <c r="J1518" s="534">
        <v>0</v>
      </c>
      <c r="K1518" s="534">
        <v>1</v>
      </c>
    </row>
    <row r="1519" spans="2:11" x14ac:dyDescent="0.3">
      <c r="B1519" s="529">
        <f t="shared" si="51"/>
        <v>1514001</v>
      </c>
      <c r="C1519" s="529">
        <f t="shared" si="52"/>
        <v>1515</v>
      </c>
      <c r="E1519" s="534">
        <v>0</v>
      </c>
      <c r="F1519" s="534">
        <v>0</v>
      </c>
      <c r="G1519" s="534">
        <v>10</v>
      </c>
      <c r="I1519" s="534">
        <v>0</v>
      </c>
      <c r="J1519" s="534">
        <v>0</v>
      </c>
      <c r="K1519" s="534">
        <v>1</v>
      </c>
    </row>
    <row r="1520" spans="2:11" x14ac:dyDescent="0.3">
      <c r="B1520" s="529">
        <f t="shared" si="51"/>
        <v>1515001</v>
      </c>
      <c r="C1520" s="529">
        <f t="shared" si="52"/>
        <v>1516</v>
      </c>
      <c r="E1520" s="534">
        <v>0</v>
      </c>
      <c r="F1520" s="534">
        <v>0</v>
      </c>
      <c r="G1520" s="534">
        <v>10</v>
      </c>
      <c r="I1520" s="534">
        <v>0</v>
      </c>
      <c r="J1520" s="534">
        <v>0</v>
      </c>
      <c r="K1520" s="534">
        <v>1</v>
      </c>
    </row>
    <row r="1521" spans="2:11" x14ac:dyDescent="0.3">
      <c r="B1521" s="529">
        <f t="shared" si="51"/>
        <v>1516001</v>
      </c>
      <c r="C1521" s="529">
        <f t="shared" si="52"/>
        <v>1517</v>
      </c>
      <c r="E1521" s="534">
        <v>0</v>
      </c>
      <c r="F1521" s="534">
        <v>0</v>
      </c>
      <c r="G1521" s="534">
        <v>10</v>
      </c>
      <c r="I1521" s="534">
        <v>0</v>
      </c>
      <c r="J1521" s="534">
        <v>0</v>
      </c>
      <c r="K1521" s="534">
        <v>1</v>
      </c>
    </row>
    <row r="1522" spans="2:11" x14ac:dyDescent="0.3">
      <c r="B1522" s="529">
        <f t="shared" si="51"/>
        <v>1517001</v>
      </c>
      <c r="C1522" s="529">
        <f t="shared" si="52"/>
        <v>1518</v>
      </c>
      <c r="E1522" s="534">
        <v>0</v>
      </c>
      <c r="F1522" s="534">
        <v>0</v>
      </c>
      <c r="G1522" s="534">
        <v>10</v>
      </c>
      <c r="I1522" s="534">
        <v>0</v>
      </c>
      <c r="J1522" s="534">
        <v>0</v>
      </c>
      <c r="K1522" s="534">
        <v>1</v>
      </c>
    </row>
    <row r="1523" spans="2:11" x14ac:dyDescent="0.3">
      <c r="B1523" s="529">
        <f t="shared" si="51"/>
        <v>1518001</v>
      </c>
      <c r="C1523" s="529">
        <f t="shared" si="52"/>
        <v>1519</v>
      </c>
      <c r="E1523" s="534">
        <v>0</v>
      </c>
      <c r="F1523" s="534">
        <v>0</v>
      </c>
      <c r="G1523" s="534">
        <v>10</v>
      </c>
      <c r="I1523" s="534">
        <v>0</v>
      </c>
      <c r="J1523" s="534">
        <v>0</v>
      </c>
      <c r="K1523" s="534">
        <v>1</v>
      </c>
    </row>
    <row r="1524" spans="2:11" x14ac:dyDescent="0.3">
      <c r="B1524" s="529">
        <f t="shared" si="51"/>
        <v>1519001</v>
      </c>
      <c r="C1524" s="529">
        <f t="shared" si="52"/>
        <v>1520</v>
      </c>
      <c r="E1524" s="534">
        <v>0</v>
      </c>
      <c r="F1524" s="534">
        <v>0</v>
      </c>
      <c r="G1524" s="534">
        <v>10</v>
      </c>
      <c r="I1524" s="534">
        <v>0</v>
      </c>
      <c r="J1524" s="534">
        <v>0</v>
      </c>
      <c r="K1524" s="534">
        <v>1</v>
      </c>
    </row>
    <row r="1525" spans="2:11" x14ac:dyDescent="0.3">
      <c r="B1525" s="529">
        <f t="shared" si="51"/>
        <v>1520001</v>
      </c>
      <c r="C1525" s="529">
        <f t="shared" si="52"/>
        <v>1521</v>
      </c>
      <c r="E1525" s="534">
        <v>0</v>
      </c>
      <c r="F1525" s="534">
        <v>0</v>
      </c>
      <c r="G1525" s="534">
        <v>10</v>
      </c>
      <c r="I1525" s="534">
        <v>0</v>
      </c>
      <c r="J1525" s="534">
        <v>0</v>
      </c>
      <c r="K1525" s="534">
        <v>1</v>
      </c>
    </row>
    <row r="1526" spans="2:11" x14ac:dyDescent="0.3">
      <c r="B1526" s="529">
        <f t="shared" si="51"/>
        <v>1521001</v>
      </c>
      <c r="C1526" s="529">
        <f t="shared" si="52"/>
        <v>1522</v>
      </c>
      <c r="E1526" s="534">
        <v>0</v>
      </c>
      <c r="F1526" s="534">
        <v>0</v>
      </c>
      <c r="G1526" s="534">
        <v>10</v>
      </c>
      <c r="I1526" s="534">
        <v>0</v>
      </c>
      <c r="J1526" s="534">
        <v>0</v>
      </c>
      <c r="K1526" s="534">
        <v>1</v>
      </c>
    </row>
    <row r="1527" spans="2:11" x14ac:dyDescent="0.3">
      <c r="B1527" s="529">
        <f t="shared" si="51"/>
        <v>1522001</v>
      </c>
      <c r="C1527" s="529">
        <f t="shared" si="52"/>
        <v>1523</v>
      </c>
      <c r="E1527" s="534">
        <v>0</v>
      </c>
      <c r="F1527" s="534">
        <v>0</v>
      </c>
      <c r="G1527" s="534">
        <v>10</v>
      </c>
      <c r="I1527" s="534">
        <v>0</v>
      </c>
      <c r="J1527" s="534">
        <v>0</v>
      </c>
      <c r="K1527" s="534">
        <v>1</v>
      </c>
    </row>
    <row r="1528" spans="2:11" x14ac:dyDescent="0.3">
      <c r="B1528" s="529">
        <f t="shared" si="51"/>
        <v>1523001</v>
      </c>
      <c r="C1528" s="529">
        <f t="shared" si="52"/>
        <v>1524</v>
      </c>
      <c r="E1528" s="534">
        <v>0</v>
      </c>
      <c r="F1528" s="534">
        <v>0</v>
      </c>
      <c r="G1528" s="534">
        <v>10</v>
      </c>
      <c r="I1528" s="534">
        <v>0</v>
      </c>
      <c r="J1528" s="534">
        <v>0</v>
      </c>
      <c r="K1528" s="534">
        <v>1</v>
      </c>
    </row>
    <row r="1529" spans="2:11" x14ac:dyDescent="0.3">
      <c r="B1529" s="529">
        <f t="shared" si="51"/>
        <v>1524001</v>
      </c>
      <c r="C1529" s="529">
        <f t="shared" si="52"/>
        <v>1525</v>
      </c>
      <c r="E1529" s="534">
        <v>0</v>
      </c>
      <c r="F1529" s="534">
        <v>0</v>
      </c>
      <c r="G1529" s="534">
        <v>10</v>
      </c>
      <c r="I1529" s="534">
        <v>0</v>
      </c>
      <c r="J1529" s="534">
        <v>0</v>
      </c>
      <c r="K1529" s="534">
        <v>1</v>
      </c>
    </row>
    <row r="1530" spans="2:11" x14ac:dyDescent="0.3">
      <c r="B1530" s="529">
        <f t="shared" si="51"/>
        <v>1525001</v>
      </c>
      <c r="C1530" s="529">
        <f t="shared" si="52"/>
        <v>1526</v>
      </c>
      <c r="E1530" s="534">
        <v>1</v>
      </c>
      <c r="F1530" s="534">
        <v>1526</v>
      </c>
      <c r="G1530" s="534">
        <v>10</v>
      </c>
      <c r="I1530" s="534">
        <v>0</v>
      </c>
      <c r="J1530" s="534">
        <v>0</v>
      </c>
      <c r="K1530" s="534">
        <v>1</v>
      </c>
    </row>
    <row r="1531" spans="2:11" x14ac:dyDescent="0.3">
      <c r="B1531" s="529">
        <f t="shared" si="51"/>
        <v>1526001</v>
      </c>
      <c r="C1531" s="529">
        <f t="shared" si="52"/>
        <v>1527</v>
      </c>
      <c r="E1531" s="534">
        <v>0</v>
      </c>
      <c r="F1531" s="534">
        <v>0</v>
      </c>
      <c r="G1531" s="534">
        <v>9</v>
      </c>
      <c r="I1531" s="534">
        <v>0</v>
      </c>
      <c r="J1531" s="534">
        <v>0</v>
      </c>
      <c r="K1531" s="534">
        <v>1</v>
      </c>
    </row>
    <row r="1532" spans="2:11" x14ac:dyDescent="0.3">
      <c r="B1532" s="529">
        <f t="shared" si="51"/>
        <v>1527001</v>
      </c>
      <c r="C1532" s="529">
        <f t="shared" si="52"/>
        <v>1528</v>
      </c>
      <c r="E1532" s="534">
        <v>0</v>
      </c>
      <c r="F1532" s="534">
        <v>0</v>
      </c>
      <c r="G1532" s="534">
        <v>9</v>
      </c>
      <c r="I1532" s="534">
        <v>0</v>
      </c>
      <c r="J1532" s="534">
        <v>0</v>
      </c>
      <c r="K1532" s="534">
        <v>1</v>
      </c>
    </row>
    <row r="1533" spans="2:11" x14ac:dyDescent="0.3">
      <c r="B1533" s="529">
        <f t="shared" si="51"/>
        <v>1528001</v>
      </c>
      <c r="C1533" s="529">
        <f t="shared" si="52"/>
        <v>1529</v>
      </c>
      <c r="E1533" s="534">
        <v>0</v>
      </c>
      <c r="F1533" s="534">
        <v>0</v>
      </c>
      <c r="G1533" s="534">
        <v>9</v>
      </c>
      <c r="I1533" s="534">
        <v>0</v>
      </c>
      <c r="J1533" s="534">
        <v>0</v>
      </c>
      <c r="K1533" s="534">
        <v>1</v>
      </c>
    </row>
    <row r="1534" spans="2:11" x14ac:dyDescent="0.3">
      <c r="B1534" s="529">
        <f t="shared" si="51"/>
        <v>1529001</v>
      </c>
      <c r="C1534" s="529">
        <f t="shared" si="52"/>
        <v>1530</v>
      </c>
      <c r="E1534" s="534">
        <v>1</v>
      </c>
      <c r="F1534" s="534">
        <v>1530</v>
      </c>
      <c r="G1534" s="534">
        <v>9</v>
      </c>
      <c r="I1534" s="534">
        <v>0</v>
      </c>
      <c r="J1534" s="534">
        <v>0</v>
      </c>
      <c r="K1534" s="534">
        <v>1</v>
      </c>
    </row>
    <row r="1535" spans="2:11" x14ac:dyDescent="0.3">
      <c r="B1535" s="529">
        <f t="shared" si="51"/>
        <v>1530001</v>
      </c>
      <c r="C1535" s="529">
        <f t="shared" si="52"/>
        <v>1531</v>
      </c>
      <c r="E1535" s="534">
        <v>0</v>
      </c>
      <c r="F1535" s="534">
        <v>0</v>
      </c>
      <c r="G1535" s="534">
        <v>8</v>
      </c>
      <c r="I1535" s="534">
        <v>0</v>
      </c>
      <c r="J1535" s="534">
        <v>0</v>
      </c>
      <c r="K1535" s="534">
        <v>1</v>
      </c>
    </row>
    <row r="1536" spans="2:11" x14ac:dyDescent="0.3">
      <c r="B1536" s="529">
        <f t="shared" si="51"/>
        <v>1531001</v>
      </c>
      <c r="C1536" s="529">
        <f t="shared" si="52"/>
        <v>1532</v>
      </c>
      <c r="E1536" s="534">
        <v>0</v>
      </c>
      <c r="F1536" s="534">
        <v>0</v>
      </c>
      <c r="G1536" s="534">
        <v>8</v>
      </c>
      <c r="I1536" s="534">
        <v>0</v>
      </c>
      <c r="J1536" s="534">
        <v>0</v>
      </c>
      <c r="K1536" s="534">
        <v>1</v>
      </c>
    </row>
    <row r="1537" spans="2:11" x14ac:dyDescent="0.3">
      <c r="B1537" s="529">
        <f t="shared" si="51"/>
        <v>1532001</v>
      </c>
      <c r="C1537" s="529">
        <f t="shared" si="52"/>
        <v>1533</v>
      </c>
      <c r="E1537" s="534">
        <v>0</v>
      </c>
      <c r="F1537" s="534">
        <v>0</v>
      </c>
      <c r="G1537" s="534">
        <v>8</v>
      </c>
      <c r="I1537" s="534">
        <v>0</v>
      </c>
      <c r="J1537" s="534">
        <v>0</v>
      </c>
      <c r="K1537" s="534">
        <v>1</v>
      </c>
    </row>
    <row r="1538" spans="2:11" x14ac:dyDescent="0.3">
      <c r="B1538" s="529">
        <f t="shared" si="51"/>
        <v>1533001</v>
      </c>
      <c r="C1538" s="529">
        <f t="shared" si="52"/>
        <v>1534</v>
      </c>
      <c r="E1538" s="534">
        <v>0</v>
      </c>
      <c r="F1538" s="534">
        <v>0</v>
      </c>
      <c r="G1538" s="534">
        <v>8</v>
      </c>
      <c r="I1538" s="534">
        <v>0</v>
      </c>
      <c r="J1538" s="534">
        <v>0</v>
      </c>
      <c r="K1538" s="534">
        <v>1</v>
      </c>
    </row>
    <row r="1539" spans="2:11" x14ac:dyDescent="0.3">
      <c r="B1539" s="529">
        <f t="shared" si="51"/>
        <v>1534001</v>
      </c>
      <c r="C1539" s="529">
        <f t="shared" si="52"/>
        <v>1535</v>
      </c>
      <c r="E1539" s="534">
        <v>1</v>
      </c>
      <c r="F1539" s="534">
        <v>1535</v>
      </c>
      <c r="G1539" s="534">
        <v>8</v>
      </c>
      <c r="I1539" s="534">
        <v>0</v>
      </c>
      <c r="J1539" s="534">
        <v>0</v>
      </c>
      <c r="K1539" s="534">
        <v>1</v>
      </c>
    </row>
    <row r="1540" spans="2:11" x14ac:dyDescent="0.3">
      <c r="B1540" s="529">
        <f t="shared" si="51"/>
        <v>1535001</v>
      </c>
      <c r="C1540" s="529">
        <f t="shared" si="52"/>
        <v>1536</v>
      </c>
      <c r="E1540" s="534">
        <v>0</v>
      </c>
      <c r="F1540" s="534">
        <v>0</v>
      </c>
      <c r="G1540" s="534">
        <v>7</v>
      </c>
      <c r="I1540" s="534">
        <v>0</v>
      </c>
      <c r="J1540" s="534">
        <v>0</v>
      </c>
      <c r="K1540" s="534">
        <v>1</v>
      </c>
    </row>
    <row r="1541" spans="2:11" x14ac:dyDescent="0.3">
      <c r="B1541" s="529">
        <f t="shared" si="51"/>
        <v>1536001</v>
      </c>
      <c r="C1541" s="529">
        <f t="shared" si="52"/>
        <v>1537</v>
      </c>
      <c r="E1541" s="534">
        <v>0</v>
      </c>
      <c r="F1541" s="534">
        <v>0</v>
      </c>
      <c r="G1541" s="534">
        <v>7</v>
      </c>
      <c r="I1541" s="534">
        <v>0</v>
      </c>
      <c r="J1541" s="534">
        <v>0</v>
      </c>
      <c r="K1541" s="534">
        <v>1</v>
      </c>
    </row>
    <row r="1542" spans="2:11" x14ac:dyDescent="0.3">
      <c r="B1542" s="529">
        <f t="shared" si="51"/>
        <v>1537001</v>
      </c>
      <c r="C1542" s="529">
        <f t="shared" si="52"/>
        <v>1538</v>
      </c>
      <c r="E1542" s="534">
        <v>0</v>
      </c>
      <c r="F1542" s="534">
        <v>0</v>
      </c>
      <c r="G1542" s="534">
        <v>7</v>
      </c>
      <c r="I1542" s="534">
        <v>0</v>
      </c>
      <c r="J1542" s="534">
        <v>0</v>
      </c>
      <c r="K1542" s="534">
        <v>1</v>
      </c>
    </row>
    <row r="1543" spans="2:11" x14ac:dyDescent="0.3">
      <c r="B1543" s="529">
        <f t="shared" ref="B1543:B1606" si="53">C1542*1000+1</f>
        <v>1538001</v>
      </c>
      <c r="C1543" s="529">
        <f t="shared" si="52"/>
        <v>1539</v>
      </c>
      <c r="E1543" s="534">
        <v>0</v>
      </c>
      <c r="F1543" s="534">
        <v>0</v>
      </c>
      <c r="G1543" s="534">
        <v>7</v>
      </c>
      <c r="I1543" s="534">
        <v>0</v>
      </c>
      <c r="J1543" s="534">
        <v>0</v>
      </c>
      <c r="K1543" s="534">
        <v>1</v>
      </c>
    </row>
    <row r="1544" spans="2:11" x14ac:dyDescent="0.3">
      <c r="B1544" s="529">
        <f t="shared" si="53"/>
        <v>1539001</v>
      </c>
      <c r="C1544" s="529">
        <f t="shared" si="52"/>
        <v>1540</v>
      </c>
      <c r="E1544" s="534">
        <v>0</v>
      </c>
      <c r="F1544" s="534">
        <v>0</v>
      </c>
      <c r="G1544" s="534">
        <v>7</v>
      </c>
      <c r="I1544" s="534">
        <v>0</v>
      </c>
      <c r="J1544" s="534">
        <v>0</v>
      </c>
      <c r="K1544" s="534">
        <v>1</v>
      </c>
    </row>
    <row r="1545" spans="2:11" x14ac:dyDescent="0.3">
      <c r="B1545" s="529">
        <f t="shared" si="53"/>
        <v>1540001</v>
      </c>
      <c r="C1545" s="529">
        <f t="shared" si="52"/>
        <v>1541</v>
      </c>
      <c r="E1545" s="534">
        <v>0</v>
      </c>
      <c r="F1545" s="534">
        <v>0</v>
      </c>
      <c r="G1545" s="534">
        <v>7</v>
      </c>
      <c r="I1545" s="534">
        <v>0</v>
      </c>
      <c r="J1545" s="534">
        <v>0</v>
      </c>
      <c r="K1545" s="534">
        <v>1</v>
      </c>
    </row>
    <row r="1546" spans="2:11" x14ac:dyDescent="0.3">
      <c r="B1546" s="529">
        <f t="shared" si="53"/>
        <v>1541001</v>
      </c>
      <c r="C1546" s="529">
        <f t="shared" si="52"/>
        <v>1542</v>
      </c>
      <c r="E1546" s="534">
        <v>0</v>
      </c>
      <c r="F1546" s="534">
        <v>0</v>
      </c>
      <c r="G1546" s="534">
        <v>7</v>
      </c>
      <c r="I1546" s="534">
        <v>0</v>
      </c>
      <c r="J1546" s="534">
        <v>0</v>
      </c>
      <c r="K1546" s="534">
        <v>1</v>
      </c>
    </row>
    <row r="1547" spans="2:11" x14ac:dyDescent="0.3">
      <c r="B1547" s="529">
        <f t="shared" si="53"/>
        <v>1542001</v>
      </c>
      <c r="C1547" s="529">
        <f t="shared" si="52"/>
        <v>1543</v>
      </c>
      <c r="E1547" s="534">
        <v>0</v>
      </c>
      <c r="F1547" s="534">
        <v>0</v>
      </c>
      <c r="G1547" s="534">
        <v>7</v>
      </c>
      <c r="I1547" s="534">
        <v>0</v>
      </c>
      <c r="J1547" s="534">
        <v>0</v>
      </c>
      <c r="K1547" s="534">
        <v>1</v>
      </c>
    </row>
    <row r="1548" spans="2:11" x14ac:dyDescent="0.3">
      <c r="B1548" s="529">
        <f t="shared" si="53"/>
        <v>1543001</v>
      </c>
      <c r="C1548" s="529">
        <f t="shared" si="52"/>
        <v>1544</v>
      </c>
      <c r="E1548" s="534">
        <v>0</v>
      </c>
      <c r="F1548" s="534">
        <v>0</v>
      </c>
      <c r="G1548" s="534">
        <v>7</v>
      </c>
      <c r="I1548" s="534">
        <v>0</v>
      </c>
      <c r="J1548" s="534">
        <v>0</v>
      </c>
      <c r="K1548" s="534">
        <v>1</v>
      </c>
    </row>
    <row r="1549" spans="2:11" x14ac:dyDescent="0.3">
      <c r="B1549" s="529">
        <f t="shared" si="53"/>
        <v>1544001</v>
      </c>
      <c r="C1549" s="529">
        <f t="shared" si="52"/>
        <v>1545</v>
      </c>
      <c r="E1549" s="534">
        <v>0</v>
      </c>
      <c r="F1549" s="534">
        <v>0</v>
      </c>
      <c r="G1549" s="534">
        <v>7</v>
      </c>
      <c r="I1549" s="534">
        <v>0</v>
      </c>
      <c r="J1549" s="534">
        <v>0</v>
      </c>
      <c r="K1549" s="534">
        <v>1</v>
      </c>
    </row>
    <row r="1550" spans="2:11" x14ac:dyDescent="0.3">
      <c r="B1550" s="529">
        <f t="shared" si="53"/>
        <v>1545001</v>
      </c>
      <c r="C1550" s="529">
        <f t="shared" si="52"/>
        <v>1546</v>
      </c>
      <c r="E1550" s="534">
        <v>0</v>
      </c>
      <c r="F1550" s="534">
        <v>0</v>
      </c>
      <c r="G1550" s="534">
        <v>7</v>
      </c>
      <c r="I1550" s="534">
        <v>0</v>
      </c>
      <c r="J1550" s="534">
        <v>0</v>
      </c>
      <c r="K1550" s="534">
        <v>1</v>
      </c>
    </row>
    <row r="1551" spans="2:11" x14ac:dyDescent="0.3">
      <c r="B1551" s="529">
        <f t="shared" si="53"/>
        <v>1546001</v>
      </c>
      <c r="C1551" s="529">
        <f t="shared" si="52"/>
        <v>1547</v>
      </c>
      <c r="E1551" s="534">
        <v>0</v>
      </c>
      <c r="F1551" s="534">
        <v>0</v>
      </c>
      <c r="G1551" s="534">
        <v>7</v>
      </c>
      <c r="I1551" s="534">
        <v>0</v>
      </c>
      <c r="J1551" s="534">
        <v>0</v>
      </c>
      <c r="K1551" s="534">
        <v>1</v>
      </c>
    </row>
    <row r="1552" spans="2:11" x14ac:dyDescent="0.3">
      <c r="B1552" s="529">
        <f t="shared" si="53"/>
        <v>1547001</v>
      </c>
      <c r="C1552" s="529">
        <f t="shared" si="52"/>
        <v>1548</v>
      </c>
      <c r="E1552" s="534">
        <v>0</v>
      </c>
      <c r="F1552" s="534">
        <v>0</v>
      </c>
      <c r="G1552" s="534">
        <v>7</v>
      </c>
      <c r="I1552" s="534">
        <v>0</v>
      </c>
      <c r="J1552" s="534">
        <v>0</v>
      </c>
      <c r="K1552" s="534">
        <v>1</v>
      </c>
    </row>
    <row r="1553" spans="2:11" x14ac:dyDescent="0.3">
      <c r="B1553" s="529">
        <f t="shared" si="53"/>
        <v>1548001</v>
      </c>
      <c r="C1553" s="529">
        <f t="shared" si="52"/>
        <v>1549</v>
      </c>
      <c r="E1553" s="534">
        <v>0</v>
      </c>
      <c r="F1553" s="534">
        <v>0</v>
      </c>
      <c r="G1553" s="534">
        <v>7</v>
      </c>
      <c r="I1553" s="534">
        <v>0</v>
      </c>
      <c r="J1553" s="534">
        <v>0</v>
      </c>
      <c r="K1553" s="534">
        <v>1</v>
      </c>
    </row>
    <row r="1554" spans="2:11" x14ac:dyDescent="0.3">
      <c r="B1554" s="529">
        <f t="shared" si="53"/>
        <v>1549001</v>
      </c>
      <c r="C1554" s="529">
        <f t="shared" si="52"/>
        <v>1550</v>
      </c>
      <c r="E1554" s="534">
        <v>0</v>
      </c>
      <c r="F1554" s="534">
        <v>0</v>
      </c>
      <c r="G1554" s="534">
        <v>7</v>
      </c>
      <c r="I1554" s="534">
        <v>0</v>
      </c>
      <c r="J1554" s="534">
        <v>0</v>
      </c>
      <c r="K1554" s="534">
        <v>1</v>
      </c>
    </row>
    <row r="1555" spans="2:11" x14ac:dyDescent="0.3">
      <c r="B1555" s="529">
        <f t="shared" si="53"/>
        <v>1550001</v>
      </c>
      <c r="C1555" s="529">
        <f t="shared" ref="C1555:C1618" si="54">C1554+1</f>
        <v>1551</v>
      </c>
      <c r="E1555" s="534">
        <v>0</v>
      </c>
      <c r="F1555" s="534">
        <v>0</v>
      </c>
      <c r="G1555" s="534">
        <v>7</v>
      </c>
      <c r="I1555" s="534">
        <v>0</v>
      </c>
      <c r="J1555" s="534">
        <v>0</v>
      </c>
      <c r="K1555" s="534">
        <v>1</v>
      </c>
    </row>
    <row r="1556" spans="2:11" x14ac:dyDescent="0.3">
      <c r="B1556" s="529">
        <f t="shared" si="53"/>
        <v>1551001</v>
      </c>
      <c r="C1556" s="529">
        <f t="shared" si="54"/>
        <v>1552</v>
      </c>
      <c r="E1556" s="534">
        <v>0</v>
      </c>
      <c r="F1556" s="534">
        <v>0</v>
      </c>
      <c r="G1556" s="534">
        <v>7</v>
      </c>
      <c r="I1556" s="534">
        <v>0</v>
      </c>
      <c r="J1556" s="534">
        <v>0</v>
      </c>
      <c r="K1556" s="534">
        <v>1</v>
      </c>
    </row>
    <row r="1557" spans="2:11" x14ac:dyDescent="0.3">
      <c r="B1557" s="529">
        <f t="shared" si="53"/>
        <v>1552001</v>
      </c>
      <c r="C1557" s="529">
        <f t="shared" si="54"/>
        <v>1553</v>
      </c>
      <c r="E1557" s="534">
        <v>0</v>
      </c>
      <c r="F1557" s="534">
        <v>0</v>
      </c>
      <c r="G1557" s="534">
        <v>7</v>
      </c>
      <c r="I1557" s="534">
        <v>0</v>
      </c>
      <c r="J1557" s="534">
        <v>0</v>
      </c>
      <c r="K1557" s="534">
        <v>1</v>
      </c>
    </row>
    <row r="1558" spans="2:11" x14ac:dyDescent="0.3">
      <c r="B1558" s="529">
        <f t="shared" si="53"/>
        <v>1553001</v>
      </c>
      <c r="C1558" s="529">
        <f t="shared" si="54"/>
        <v>1554</v>
      </c>
      <c r="E1558" s="534">
        <v>0</v>
      </c>
      <c r="F1558" s="534">
        <v>0</v>
      </c>
      <c r="G1558" s="534">
        <v>7</v>
      </c>
      <c r="I1558" s="534">
        <v>0</v>
      </c>
      <c r="J1558" s="534">
        <v>0</v>
      </c>
      <c r="K1558" s="534">
        <v>1</v>
      </c>
    </row>
    <row r="1559" spans="2:11" x14ac:dyDescent="0.3">
      <c r="B1559" s="529">
        <f t="shared" si="53"/>
        <v>1554001</v>
      </c>
      <c r="C1559" s="529">
        <f t="shared" si="54"/>
        <v>1555</v>
      </c>
      <c r="E1559" s="534">
        <v>0</v>
      </c>
      <c r="F1559" s="534">
        <v>0</v>
      </c>
      <c r="G1559" s="534">
        <v>7</v>
      </c>
      <c r="I1559" s="534">
        <v>0</v>
      </c>
      <c r="J1559" s="534">
        <v>0</v>
      </c>
      <c r="K1559" s="534">
        <v>1</v>
      </c>
    </row>
    <row r="1560" spans="2:11" x14ac:dyDescent="0.3">
      <c r="B1560" s="529">
        <f t="shared" si="53"/>
        <v>1555001</v>
      </c>
      <c r="C1560" s="529">
        <f t="shared" si="54"/>
        <v>1556</v>
      </c>
      <c r="E1560" s="534">
        <v>0</v>
      </c>
      <c r="F1560" s="534">
        <v>0</v>
      </c>
      <c r="G1560" s="534">
        <v>7</v>
      </c>
      <c r="I1560" s="534">
        <v>0</v>
      </c>
      <c r="J1560" s="534">
        <v>0</v>
      </c>
      <c r="K1560" s="534">
        <v>1</v>
      </c>
    </row>
    <row r="1561" spans="2:11" x14ac:dyDescent="0.3">
      <c r="B1561" s="529">
        <f t="shared" si="53"/>
        <v>1556001</v>
      </c>
      <c r="C1561" s="529">
        <f t="shared" si="54"/>
        <v>1557</v>
      </c>
      <c r="E1561" s="534">
        <v>0</v>
      </c>
      <c r="F1561" s="534">
        <v>0</v>
      </c>
      <c r="G1561" s="534">
        <v>7</v>
      </c>
      <c r="I1561" s="534">
        <v>0</v>
      </c>
      <c r="J1561" s="534">
        <v>0</v>
      </c>
      <c r="K1561" s="534">
        <v>1</v>
      </c>
    </row>
    <row r="1562" spans="2:11" x14ac:dyDescent="0.3">
      <c r="B1562" s="529">
        <f t="shared" si="53"/>
        <v>1557001</v>
      </c>
      <c r="C1562" s="529">
        <f t="shared" si="54"/>
        <v>1558</v>
      </c>
      <c r="E1562" s="534">
        <v>0</v>
      </c>
      <c r="F1562" s="534">
        <v>0</v>
      </c>
      <c r="G1562" s="534">
        <v>7</v>
      </c>
      <c r="I1562" s="534">
        <v>0</v>
      </c>
      <c r="J1562" s="534">
        <v>0</v>
      </c>
      <c r="K1562" s="534">
        <v>1</v>
      </c>
    </row>
    <row r="1563" spans="2:11" x14ac:dyDescent="0.3">
      <c r="B1563" s="529">
        <f t="shared" si="53"/>
        <v>1558001</v>
      </c>
      <c r="C1563" s="529">
        <f t="shared" si="54"/>
        <v>1559</v>
      </c>
      <c r="E1563" s="534">
        <v>0</v>
      </c>
      <c r="F1563" s="534">
        <v>0</v>
      </c>
      <c r="G1563" s="534">
        <v>7</v>
      </c>
      <c r="I1563" s="534">
        <v>0</v>
      </c>
      <c r="J1563" s="534">
        <v>0</v>
      </c>
      <c r="K1563" s="534">
        <v>1</v>
      </c>
    </row>
    <row r="1564" spans="2:11" x14ac:dyDescent="0.3">
      <c r="B1564" s="529">
        <f t="shared" si="53"/>
        <v>1559001</v>
      </c>
      <c r="C1564" s="529">
        <f t="shared" si="54"/>
        <v>1560</v>
      </c>
      <c r="E1564" s="534">
        <v>0</v>
      </c>
      <c r="F1564" s="534">
        <v>0</v>
      </c>
      <c r="G1564" s="534">
        <v>7</v>
      </c>
      <c r="I1564" s="534">
        <v>0</v>
      </c>
      <c r="J1564" s="534">
        <v>0</v>
      </c>
      <c r="K1564" s="534">
        <v>1</v>
      </c>
    </row>
    <row r="1565" spans="2:11" x14ac:dyDescent="0.3">
      <c r="B1565" s="529">
        <f t="shared" si="53"/>
        <v>1560001</v>
      </c>
      <c r="C1565" s="529">
        <f t="shared" si="54"/>
        <v>1561</v>
      </c>
      <c r="E1565" s="534">
        <v>0</v>
      </c>
      <c r="F1565" s="534">
        <v>0</v>
      </c>
      <c r="G1565" s="534">
        <v>7</v>
      </c>
      <c r="I1565" s="534">
        <v>0</v>
      </c>
      <c r="J1565" s="534">
        <v>0</v>
      </c>
      <c r="K1565" s="534">
        <v>1</v>
      </c>
    </row>
    <row r="1566" spans="2:11" x14ac:dyDescent="0.3">
      <c r="B1566" s="529">
        <f t="shared" si="53"/>
        <v>1561001</v>
      </c>
      <c r="C1566" s="529">
        <f t="shared" si="54"/>
        <v>1562</v>
      </c>
      <c r="E1566" s="534">
        <v>0</v>
      </c>
      <c r="F1566" s="534">
        <v>0</v>
      </c>
      <c r="G1566" s="534">
        <v>7</v>
      </c>
      <c r="I1566" s="534">
        <v>0</v>
      </c>
      <c r="J1566" s="534">
        <v>0</v>
      </c>
      <c r="K1566" s="534">
        <v>1</v>
      </c>
    </row>
    <row r="1567" spans="2:11" x14ac:dyDescent="0.3">
      <c r="B1567" s="529">
        <f t="shared" si="53"/>
        <v>1562001</v>
      </c>
      <c r="C1567" s="529">
        <f t="shared" si="54"/>
        <v>1563</v>
      </c>
      <c r="E1567" s="534">
        <v>0</v>
      </c>
      <c r="F1567" s="534">
        <v>0</v>
      </c>
      <c r="G1567" s="534">
        <v>7</v>
      </c>
      <c r="I1567" s="534">
        <v>0</v>
      </c>
      <c r="J1567" s="534">
        <v>0</v>
      </c>
      <c r="K1567" s="534">
        <v>1</v>
      </c>
    </row>
    <row r="1568" spans="2:11" x14ac:dyDescent="0.3">
      <c r="B1568" s="529">
        <f t="shared" si="53"/>
        <v>1563001</v>
      </c>
      <c r="C1568" s="529">
        <f t="shared" si="54"/>
        <v>1564</v>
      </c>
      <c r="E1568" s="534">
        <v>0</v>
      </c>
      <c r="F1568" s="534">
        <v>0</v>
      </c>
      <c r="G1568" s="534">
        <v>7</v>
      </c>
      <c r="I1568" s="534">
        <v>0</v>
      </c>
      <c r="J1568" s="534">
        <v>0</v>
      </c>
      <c r="K1568" s="534">
        <v>1</v>
      </c>
    </row>
    <row r="1569" spans="2:11" x14ac:dyDescent="0.3">
      <c r="B1569" s="529">
        <f t="shared" si="53"/>
        <v>1564001</v>
      </c>
      <c r="C1569" s="529">
        <f t="shared" si="54"/>
        <v>1565</v>
      </c>
      <c r="E1569" s="534">
        <v>0</v>
      </c>
      <c r="F1569" s="534">
        <v>0</v>
      </c>
      <c r="G1569" s="534">
        <v>7</v>
      </c>
      <c r="I1569" s="534">
        <v>0</v>
      </c>
      <c r="J1569" s="534">
        <v>0</v>
      </c>
      <c r="K1569" s="534">
        <v>1</v>
      </c>
    </row>
    <row r="1570" spans="2:11" x14ac:dyDescent="0.3">
      <c r="B1570" s="529">
        <f t="shared" si="53"/>
        <v>1565001</v>
      </c>
      <c r="C1570" s="529">
        <f t="shared" si="54"/>
        <v>1566</v>
      </c>
      <c r="E1570" s="534">
        <v>0</v>
      </c>
      <c r="F1570" s="534">
        <v>0</v>
      </c>
      <c r="G1570" s="534">
        <v>7</v>
      </c>
      <c r="I1570" s="534">
        <v>0</v>
      </c>
      <c r="J1570" s="534">
        <v>0</v>
      </c>
      <c r="K1570" s="534">
        <v>1</v>
      </c>
    </row>
    <row r="1571" spans="2:11" x14ac:dyDescent="0.3">
      <c r="B1571" s="529">
        <f t="shared" si="53"/>
        <v>1566001</v>
      </c>
      <c r="C1571" s="529">
        <f t="shared" si="54"/>
        <v>1567</v>
      </c>
      <c r="E1571" s="534">
        <v>0</v>
      </c>
      <c r="F1571" s="534">
        <v>0</v>
      </c>
      <c r="G1571" s="534">
        <v>7</v>
      </c>
      <c r="I1571" s="534">
        <v>0</v>
      </c>
      <c r="J1571" s="534">
        <v>0</v>
      </c>
      <c r="K1571" s="534">
        <v>1</v>
      </c>
    </row>
    <row r="1572" spans="2:11" x14ac:dyDescent="0.3">
      <c r="B1572" s="529">
        <f t="shared" si="53"/>
        <v>1567001</v>
      </c>
      <c r="C1572" s="529">
        <f t="shared" si="54"/>
        <v>1568</v>
      </c>
      <c r="E1572" s="534">
        <v>0</v>
      </c>
      <c r="F1572" s="534">
        <v>0</v>
      </c>
      <c r="G1572" s="534">
        <v>7</v>
      </c>
      <c r="I1572" s="534">
        <v>0</v>
      </c>
      <c r="J1572" s="534">
        <v>0</v>
      </c>
      <c r="K1572" s="534">
        <v>1</v>
      </c>
    </row>
    <row r="1573" spans="2:11" x14ac:dyDescent="0.3">
      <c r="B1573" s="529">
        <f t="shared" si="53"/>
        <v>1568001</v>
      </c>
      <c r="C1573" s="529">
        <f t="shared" si="54"/>
        <v>1569</v>
      </c>
      <c r="E1573" s="534">
        <v>0</v>
      </c>
      <c r="F1573" s="534">
        <v>0</v>
      </c>
      <c r="G1573" s="534">
        <v>7</v>
      </c>
      <c r="I1573" s="534">
        <v>0</v>
      </c>
      <c r="J1573" s="534">
        <v>0</v>
      </c>
      <c r="K1573" s="534">
        <v>1</v>
      </c>
    </row>
    <row r="1574" spans="2:11" x14ac:dyDescent="0.3">
      <c r="B1574" s="529">
        <f t="shared" si="53"/>
        <v>1569001</v>
      </c>
      <c r="C1574" s="529">
        <f t="shared" si="54"/>
        <v>1570</v>
      </c>
      <c r="E1574" s="534">
        <v>0</v>
      </c>
      <c r="F1574" s="534">
        <v>0</v>
      </c>
      <c r="G1574" s="534">
        <v>7</v>
      </c>
      <c r="I1574" s="534">
        <v>0</v>
      </c>
      <c r="J1574" s="534">
        <v>0</v>
      </c>
      <c r="K1574" s="534">
        <v>1</v>
      </c>
    </row>
    <row r="1575" spans="2:11" x14ac:dyDescent="0.3">
      <c r="B1575" s="529">
        <f t="shared" si="53"/>
        <v>1570001</v>
      </c>
      <c r="C1575" s="529">
        <f t="shared" si="54"/>
        <v>1571</v>
      </c>
      <c r="E1575" s="534">
        <v>0</v>
      </c>
      <c r="F1575" s="534">
        <v>0</v>
      </c>
      <c r="G1575" s="534">
        <v>7</v>
      </c>
      <c r="I1575" s="534">
        <v>0</v>
      </c>
      <c r="J1575" s="534">
        <v>0</v>
      </c>
      <c r="K1575" s="534">
        <v>1</v>
      </c>
    </row>
    <row r="1576" spans="2:11" x14ac:dyDescent="0.3">
      <c r="B1576" s="529">
        <f t="shared" si="53"/>
        <v>1571001</v>
      </c>
      <c r="C1576" s="529">
        <f t="shared" si="54"/>
        <v>1572</v>
      </c>
      <c r="E1576" s="534">
        <v>0</v>
      </c>
      <c r="F1576" s="534">
        <v>0</v>
      </c>
      <c r="G1576" s="534">
        <v>7</v>
      </c>
      <c r="I1576" s="534">
        <v>0</v>
      </c>
      <c r="J1576" s="534">
        <v>0</v>
      </c>
      <c r="K1576" s="534">
        <v>1</v>
      </c>
    </row>
    <row r="1577" spans="2:11" x14ac:dyDescent="0.3">
      <c r="B1577" s="529">
        <f t="shared" si="53"/>
        <v>1572001</v>
      </c>
      <c r="C1577" s="529">
        <f t="shared" si="54"/>
        <v>1573</v>
      </c>
      <c r="E1577" s="534">
        <v>0</v>
      </c>
      <c r="F1577" s="534">
        <v>0</v>
      </c>
      <c r="G1577" s="534">
        <v>7</v>
      </c>
      <c r="I1577" s="534">
        <v>0</v>
      </c>
      <c r="J1577" s="534">
        <v>0</v>
      </c>
      <c r="K1577" s="534">
        <v>1</v>
      </c>
    </row>
    <row r="1578" spans="2:11" x14ac:dyDescent="0.3">
      <c r="B1578" s="529">
        <f t="shared" si="53"/>
        <v>1573001</v>
      </c>
      <c r="C1578" s="529">
        <f t="shared" si="54"/>
        <v>1574</v>
      </c>
      <c r="E1578" s="534">
        <v>0</v>
      </c>
      <c r="F1578" s="534">
        <v>0</v>
      </c>
      <c r="G1578" s="534">
        <v>7</v>
      </c>
      <c r="I1578" s="534">
        <v>0</v>
      </c>
      <c r="J1578" s="534">
        <v>0</v>
      </c>
      <c r="K1578" s="534">
        <v>1</v>
      </c>
    </row>
    <row r="1579" spans="2:11" x14ac:dyDescent="0.3">
      <c r="B1579" s="529">
        <f t="shared" si="53"/>
        <v>1574001</v>
      </c>
      <c r="C1579" s="529">
        <f t="shared" si="54"/>
        <v>1575</v>
      </c>
      <c r="E1579" s="534">
        <v>0</v>
      </c>
      <c r="F1579" s="534">
        <v>0</v>
      </c>
      <c r="G1579" s="534">
        <v>7</v>
      </c>
      <c r="I1579" s="534">
        <v>0</v>
      </c>
      <c r="J1579" s="534">
        <v>0</v>
      </c>
      <c r="K1579" s="534">
        <v>1</v>
      </c>
    </row>
    <row r="1580" spans="2:11" x14ac:dyDescent="0.3">
      <c r="B1580" s="529">
        <f t="shared" si="53"/>
        <v>1575001</v>
      </c>
      <c r="C1580" s="529">
        <f t="shared" si="54"/>
        <v>1576</v>
      </c>
      <c r="E1580" s="534">
        <v>0</v>
      </c>
      <c r="F1580" s="534">
        <v>0</v>
      </c>
      <c r="G1580" s="534">
        <v>7</v>
      </c>
      <c r="I1580" s="534">
        <v>0</v>
      </c>
      <c r="J1580" s="534">
        <v>0</v>
      </c>
      <c r="K1580" s="534">
        <v>1</v>
      </c>
    </row>
    <row r="1581" spans="2:11" x14ac:dyDescent="0.3">
      <c r="B1581" s="529">
        <f t="shared" si="53"/>
        <v>1576001</v>
      </c>
      <c r="C1581" s="529">
        <f t="shared" si="54"/>
        <v>1577</v>
      </c>
      <c r="E1581" s="534">
        <v>0</v>
      </c>
      <c r="F1581" s="534">
        <v>0</v>
      </c>
      <c r="G1581" s="534">
        <v>7</v>
      </c>
      <c r="I1581" s="534">
        <v>0</v>
      </c>
      <c r="J1581" s="534">
        <v>0</v>
      </c>
      <c r="K1581" s="534">
        <v>1</v>
      </c>
    </row>
    <row r="1582" spans="2:11" x14ac:dyDescent="0.3">
      <c r="B1582" s="529">
        <f t="shared" si="53"/>
        <v>1577001</v>
      </c>
      <c r="C1582" s="529">
        <f t="shared" si="54"/>
        <v>1578</v>
      </c>
      <c r="E1582" s="534">
        <v>0</v>
      </c>
      <c r="F1582" s="534">
        <v>0</v>
      </c>
      <c r="G1582" s="534">
        <v>7</v>
      </c>
      <c r="I1582" s="534">
        <v>0</v>
      </c>
      <c r="J1582" s="534">
        <v>0</v>
      </c>
      <c r="K1582" s="534">
        <v>1</v>
      </c>
    </row>
    <row r="1583" spans="2:11" x14ac:dyDescent="0.3">
      <c r="B1583" s="529">
        <f t="shared" si="53"/>
        <v>1578001</v>
      </c>
      <c r="C1583" s="529">
        <f t="shared" si="54"/>
        <v>1579</v>
      </c>
      <c r="E1583" s="534">
        <v>0</v>
      </c>
      <c r="F1583" s="534">
        <v>0</v>
      </c>
      <c r="G1583" s="534">
        <v>7</v>
      </c>
      <c r="I1583" s="534">
        <v>0</v>
      </c>
      <c r="J1583" s="534">
        <v>0</v>
      </c>
      <c r="K1583" s="534">
        <v>1</v>
      </c>
    </row>
    <row r="1584" spans="2:11" x14ac:dyDescent="0.3">
      <c r="B1584" s="529">
        <f t="shared" si="53"/>
        <v>1579001</v>
      </c>
      <c r="C1584" s="529">
        <f t="shared" si="54"/>
        <v>1580</v>
      </c>
      <c r="E1584" s="534">
        <v>0</v>
      </c>
      <c r="F1584" s="534">
        <v>0</v>
      </c>
      <c r="G1584" s="534">
        <v>7</v>
      </c>
      <c r="I1584" s="534">
        <v>0</v>
      </c>
      <c r="J1584" s="534">
        <v>0</v>
      </c>
      <c r="K1584" s="534">
        <v>1</v>
      </c>
    </row>
    <row r="1585" spans="2:11" x14ac:dyDescent="0.3">
      <c r="B1585" s="529">
        <f t="shared" si="53"/>
        <v>1580001</v>
      </c>
      <c r="C1585" s="529">
        <f t="shared" si="54"/>
        <v>1581</v>
      </c>
      <c r="E1585" s="534">
        <v>0</v>
      </c>
      <c r="F1585" s="534">
        <v>0</v>
      </c>
      <c r="G1585" s="534">
        <v>7</v>
      </c>
      <c r="I1585" s="534">
        <v>0</v>
      </c>
      <c r="J1585" s="534">
        <v>0</v>
      </c>
      <c r="K1585" s="534">
        <v>1</v>
      </c>
    </row>
    <row r="1586" spans="2:11" x14ac:dyDescent="0.3">
      <c r="B1586" s="529">
        <f t="shared" si="53"/>
        <v>1581001</v>
      </c>
      <c r="C1586" s="529">
        <f t="shared" si="54"/>
        <v>1582</v>
      </c>
      <c r="E1586" s="534">
        <v>0</v>
      </c>
      <c r="F1586" s="534">
        <v>0</v>
      </c>
      <c r="G1586" s="534">
        <v>7</v>
      </c>
      <c r="I1586" s="534">
        <v>0</v>
      </c>
      <c r="J1586" s="534">
        <v>0</v>
      </c>
      <c r="K1586" s="534">
        <v>1</v>
      </c>
    </row>
    <row r="1587" spans="2:11" x14ac:dyDescent="0.3">
      <c r="B1587" s="529">
        <f t="shared" si="53"/>
        <v>1582001</v>
      </c>
      <c r="C1587" s="529">
        <f t="shared" si="54"/>
        <v>1583</v>
      </c>
      <c r="E1587" s="534">
        <v>0</v>
      </c>
      <c r="F1587" s="534">
        <v>0</v>
      </c>
      <c r="G1587" s="534">
        <v>7</v>
      </c>
      <c r="I1587" s="534">
        <v>0</v>
      </c>
      <c r="J1587" s="534">
        <v>0</v>
      </c>
      <c r="K1587" s="534">
        <v>1</v>
      </c>
    </row>
    <row r="1588" spans="2:11" x14ac:dyDescent="0.3">
      <c r="B1588" s="529">
        <f t="shared" si="53"/>
        <v>1583001</v>
      </c>
      <c r="C1588" s="529">
        <f t="shared" si="54"/>
        <v>1584</v>
      </c>
      <c r="E1588" s="534">
        <v>0</v>
      </c>
      <c r="F1588" s="534">
        <v>0</v>
      </c>
      <c r="G1588" s="534">
        <v>7</v>
      </c>
      <c r="I1588" s="534">
        <v>0</v>
      </c>
      <c r="J1588" s="534">
        <v>0</v>
      </c>
      <c r="K1588" s="534">
        <v>1</v>
      </c>
    </row>
    <row r="1589" spans="2:11" x14ac:dyDescent="0.3">
      <c r="B1589" s="529">
        <f t="shared" si="53"/>
        <v>1584001</v>
      </c>
      <c r="C1589" s="529">
        <f t="shared" si="54"/>
        <v>1585</v>
      </c>
      <c r="E1589" s="534">
        <v>0</v>
      </c>
      <c r="F1589" s="534">
        <v>0</v>
      </c>
      <c r="G1589" s="534">
        <v>7</v>
      </c>
      <c r="I1589" s="534">
        <v>0</v>
      </c>
      <c r="J1589" s="534">
        <v>0</v>
      </c>
      <c r="K1589" s="534">
        <v>1</v>
      </c>
    </row>
    <row r="1590" spans="2:11" x14ac:dyDescent="0.3">
      <c r="B1590" s="529">
        <f t="shared" si="53"/>
        <v>1585001</v>
      </c>
      <c r="C1590" s="529">
        <f t="shared" si="54"/>
        <v>1586</v>
      </c>
      <c r="E1590" s="534">
        <v>0</v>
      </c>
      <c r="F1590" s="534">
        <v>0</v>
      </c>
      <c r="G1590" s="534">
        <v>7</v>
      </c>
      <c r="I1590" s="534">
        <v>0</v>
      </c>
      <c r="J1590" s="534">
        <v>0</v>
      </c>
      <c r="K1590" s="534">
        <v>1</v>
      </c>
    </row>
    <row r="1591" spans="2:11" x14ac:dyDescent="0.3">
      <c r="B1591" s="529">
        <f t="shared" si="53"/>
        <v>1586001</v>
      </c>
      <c r="C1591" s="529">
        <f t="shared" si="54"/>
        <v>1587</v>
      </c>
      <c r="E1591" s="534">
        <v>0</v>
      </c>
      <c r="F1591" s="534">
        <v>0</v>
      </c>
      <c r="G1591" s="534">
        <v>7</v>
      </c>
      <c r="I1591" s="534">
        <v>0</v>
      </c>
      <c r="J1591" s="534">
        <v>0</v>
      </c>
      <c r="K1591" s="534">
        <v>1</v>
      </c>
    </row>
    <row r="1592" spans="2:11" x14ac:dyDescent="0.3">
      <c r="B1592" s="529">
        <f t="shared" si="53"/>
        <v>1587001</v>
      </c>
      <c r="C1592" s="529">
        <f t="shared" si="54"/>
        <v>1588</v>
      </c>
      <c r="E1592" s="534">
        <v>0</v>
      </c>
      <c r="F1592" s="534">
        <v>0</v>
      </c>
      <c r="G1592" s="534">
        <v>7</v>
      </c>
      <c r="I1592" s="534">
        <v>0</v>
      </c>
      <c r="J1592" s="534">
        <v>0</v>
      </c>
      <c r="K1592" s="534">
        <v>1</v>
      </c>
    </row>
    <row r="1593" spans="2:11" x14ac:dyDescent="0.3">
      <c r="B1593" s="529">
        <f t="shared" si="53"/>
        <v>1588001</v>
      </c>
      <c r="C1593" s="529">
        <f t="shared" si="54"/>
        <v>1589</v>
      </c>
      <c r="E1593" s="534">
        <v>0</v>
      </c>
      <c r="F1593" s="534">
        <v>0</v>
      </c>
      <c r="G1593" s="534">
        <v>7</v>
      </c>
      <c r="I1593" s="534">
        <v>0</v>
      </c>
      <c r="J1593" s="534">
        <v>0</v>
      </c>
      <c r="K1593" s="534">
        <v>1</v>
      </c>
    </row>
    <row r="1594" spans="2:11" x14ac:dyDescent="0.3">
      <c r="B1594" s="529">
        <f t="shared" si="53"/>
        <v>1589001</v>
      </c>
      <c r="C1594" s="529">
        <f t="shared" si="54"/>
        <v>1590</v>
      </c>
      <c r="E1594" s="534">
        <v>0</v>
      </c>
      <c r="F1594" s="534">
        <v>0</v>
      </c>
      <c r="G1594" s="534">
        <v>7</v>
      </c>
      <c r="I1594" s="534">
        <v>0</v>
      </c>
      <c r="J1594" s="534">
        <v>0</v>
      </c>
      <c r="K1594" s="534">
        <v>1</v>
      </c>
    </row>
    <row r="1595" spans="2:11" x14ac:dyDescent="0.3">
      <c r="B1595" s="529">
        <f t="shared" si="53"/>
        <v>1590001</v>
      </c>
      <c r="C1595" s="529">
        <f t="shared" si="54"/>
        <v>1591</v>
      </c>
      <c r="E1595" s="534">
        <v>0</v>
      </c>
      <c r="F1595" s="534">
        <v>0</v>
      </c>
      <c r="G1595" s="534">
        <v>7</v>
      </c>
      <c r="I1595" s="534">
        <v>0</v>
      </c>
      <c r="J1595" s="534">
        <v>0</v>
      </c>
      <c r="K1595" s="534">
        <v>1</v>
      </c>
    </row>
    <row r="1596" spans="2:11" x14ac:dyDescent="0.3">
      <c r="B1596" s="529">
        <f t="shared" si="53"/>
        <v>1591001</v>
      </c>
      <c r="C1596" s="529">
        <f t="shared" si="54"/>
        <v>1592</v>
      </c>
      <c r="E1596" s="534">
        <v>0</v>
      </c>
      <c r="F1596" s="534">
        <v>0</v>
      </c>
      <c r="G1596" s="534">
        <v>7</v>
      </c>
      <c r="I1596" s="534">
        <v>0</v>
      </c>
      <c r="J1596" s="534">
        <v>0</v>
      </c>
      <c r="K1596" s="534">
        <v>1</v>
      </c>
    </row>
    <row r="1597" spans="2:11" x14ac:dyDescent="0.3">
      <c r="B1597" s="529">
        <f t="shared" si="53"/>
        <v>1592001</v>
      </c>
      <c r="C1597" s="529">
        <f t="shared" si="54"/>
        <v>1593</v>
      </c>
      <c r="E1597" s="534">
        <v>0</v>
      </c>
      <c r="F1597" s="534">
        <v>0</v>
      </c>
      <c r="G1597" s="534">
        <v>7</v>
      </c>
      <c r="I1597" s="534">
        <v>0</v>
      </c>
      <c r="J1597" s="534">
        <v>0</v>
      </c>
      <c r="K1597" s="534">
        <v>1</v>
      </c>
    </row>
    <row r="1598" spans="2:11" x14ac:dyDescent="0.3">
      <c r="B1598" s="529">
        <f t="shared" si="53"/>
        <v>1593001</v>
      </c>
      <c r="C1598" s="529">
        <f t="shared" si="54"/>
        <v>1594</v>
      </c>
      <c r="E1598" s="534">
        <v>0</v>
      </c>
      <c r="F1598" s="534">
        <v>0</v>
      </c>
      <c r="G1598" s="534">
        <v>7</v>
      </c>
      <c r="I1598" s="534">
        <v>0</v>
      </c>
      <c r="J1598" s="534">
        <v>0</v>
      </c>
      <c r="K1598" s="534">
        <v>1</v>
      </c>
    </row>
    <row r="1599" spans="2:11" x14ac:dyDescent="0.3">
      <c r="B1599" s="529">
        <f t="shared" si="53"/>
        <v>1594001</v>
      </c>
      <c r="C1599" s="529">
        <f t="shared" si="54"/>
        <v>1595</v>
      </c>
      <c r="E1599" s="534">
        <v>0</v>
      </c>
      <c r="F1599" s="534">
        <v>0</v>
      </c>
      <c r="G1599" s="534">
        <v>7</v>
      </c>
      <c r="I1599" s="534">
        <v>0</v>
      </c>
      <c r="J1599" s="534">
        <v>0</v>
      </c>
      <c r="K1599" s="534">
        <v>1</v>
      </c>
    </row>
    <row r="1600" spans="2:11" x14ac:dyDescent="0.3">
      <c r="B1600" s="529">
        <f t="shared" si="53"/>
        <v>1595001</v>
      </c>
      <c r="C1600" s="529">
        <f t="shared" si="54"/>
        <v>1596</v>
      </c>
      <c r="E1600" s="534">
        <v>0</v>
      </c>
      <c r="F1600" s="534">
        <v>0</v>
      </c>
      <c r="G1600" s="534">
        <v>7</v>
      </c>
      <c r="I1600" s="534">
        <v>0</v>
      </c>
      <c r="J1600" s="534">
        <v>0</v>
      </c>
      <c r="K1600" s="534">
        <v>1</v>
      </c>
    </row>
    <row r="1601" spans="2:11" x14ac:dyDescent="0.3">
      <c r="B1601" s="529">
        <f t="shared" si="53"/>
        <v>1596001</v>
      </c>
      <c r="C1601" s="529">
        <f t="shared" si="54"/>
        <v>1597</v>
      </c>
      <c r="E1601" s="534">
        <v>0</v>
      </c>
      <c r="F1601" s="534">
        <v>0</v>
      </c>
      <c r="G1601" s="534">
        <v>7</v>
      </c>
      <c r="I1601" s="534">
        <v>0</v>
      </c>
      <c r="J1601" s="534">
        <v>0</v>
      </c>
      <c r="K1601" s="534">
        <v>1</v>
      </c>
    </row>
    <row r="1602" spans="2:11" x14ac:dyDescent="0.3">
      <c r="B1602" s="529">
        <f t="shared" si="53"/>
        <v>1597001</v>
      </c>
      <c r="C1602" s="529">
        <f t="shared" si="54"/>
        <v>1598</v>
      </c>
      <c r="E1602" s="534">
        <v>0</v>
      </c>
      <c r="F1602" s="534">
        <v>0</v>
      </c>
      <c r="G1602" s="534">
        <v>7</v>
      </c>
      <c r="I1602" s="534">
        <v>0</v>
      </c>
      <c r="J1602" s="534">
        <v>0</v>
      </c>
      <c r="K1602" s="534">
        <v>1</v>
      </c>
    </row>
    <row r="1603" spans="2:11" x14ac:dyDescent="0.3">
      <c r="B1603" s="529">
        <f t="shared" si="53"/>
        <v>1598001</v>
      </c>
      <c r="C1603" s="529">
        <f t="shared" si="54"/>
        <v>1599</v>
      </c>
      <c r="E1603" s="534">
        <v>0</v>
      </c>
      <c r="F1603" s="534">
        <v>0</v>
      </c>
      <c r="G1603" s="534">
        <v>7</v>
      </c>
      <c r="I1603" s="534">
        <v>0</v>
      </c>
      <c r="J1603" s="534">
        <v>0</v>
      </c>
      <c r="K1603" s="534">
        <v>1</v>
      </c>
    </row>
    <row r="1604" spans="2:11" x14ac:dyDescent="0.3">
      <c r="B1604" s="529">
        <f t="shared" si="53"/>
        <v>1599001</v>
      </c>
      <c r="C1604" s="529">
        <f t="shared" si="54"/>
        <v>1600</v>
      </c>
      <c r="E1604" s="534">
        <v>0</v>
      </c>
      <c r="F1604" s="534">
        <v>0</v>
      </c>
      <c r="G1604" s="534">
        <v>7</v>
      </c>
      <c r="I1604" s="534">
        <v>0</v>
      </c>
      <c r="J1604" s="534">
        <v>0</v>
      </c>
      <c r="K1604" s="534">
        <v>1</v>
      </c>
    </row>
    <row r="1605" spans="2:11" x14ac:dyDescent="0.3">
      <c r="B1605" s="529">
        <f t="shared" si="53"/>
        <v>1600001</v>
      </c>
      <c r="C1605" s="529">
        <f t="shared" si="54"/>
        <v>1601</v>
      </c>
      <c r="E1605" s="534">
        <v>0</v>
      </c>
      <c r="F1605" s="534">
        <v>0</v>
      </c>
      <c r="G1605" s="534">
        <v>7</v>
      </c>
      <c r="I1605" s="534">
        <v>0</v>
      </c>
      <c r="J1605" s="534">
        <v>0</v>
      </c>
      <c r="K1605" s="534">
        <v>1</v>
      </c>
    </row>
    <row r="1606" spans="2:11" x14ac:dyDescent="0.3">
      <c r="B1606" s="529">
        <f t="shared" si="53"/>
        <v>1601001</v>
      </c>
      <c r="C1606" s="529">
        <f t="shared" si="54"/>
        <v>1602</v>
      </c>
      <c r="E1606" s="534">
        <v>0</v>
      </c>
      <c r="F1606" s="534">
        <v>0</v>
      </c>
      <c r="G1606" s="534">
        <v>7</v>
      </c>
      <c r="I1606" s="534">
        <v>0</v>
      </c>
      <c r="J1606" s="534">
        <v>0</v>
      </c>
      <c r="K1606" s="534">
        <v>1</v>
      </c>
    </row>
    <row r="1607" spans="2:11" x14ac:dyDescent="0.3">
      <c r="B1607" s="529">
        <f t="shared" ref="B1607:B1670" si="55">C1606*1000+1</f>
        <v>1602001</v>
      </c>
      <c r="C1607" s="529">
        <f t="shared" si="54"/>
        <v>1603</v>
      </c>
      <c r="E1607" s="534">
        <v>0</v>
      </c>
      <c r="F1607" s="534">
        <v>0</v>
      </c>
      <c r="G1607" s="534">
        <v>7</v>
      </c>
      <c r="I1607" s="534">
        <v>0</v>
      </c>
      <c r="J1607" s="534">
        <v>0</v>
      </c>
      <c r="K1607" s="534">
        <v>1</v>
      </c>
    </row>
    <row r="1608" spans="2:11" x14ac:dyDescent="0.3">
      <c r="B1608" s="529">
        <f t="shared" si="55"/>
        <v>1603001</v>
      </c>
      <c r="C1608" s="529">
        <f t="shared" si="54"/>
        <v>1604</v>
      </c>
      <c r="E1608" s="534">
        <v>0</v>
      </c>
      <c r="F1608" s="534">
        <v>0</v>
      </c>
      <c r="G1608" s="534">
        <v>7</v>
      </c>
      <c r="I1608" s="534">
        <v>0</v>
      </c>
      <c r="J1608" s="534">
        <v>0</v>
      </c>
      <c r="K1608" s="534">
        <v>1</v>
      </c>
    </row>
    <row r="1609" spans="2:11" x14ac:dyDescent="0.3">
      <c r="B1609" s="529">
        <f t="shared" si="55"/>
        <v>1604001</v>
      </c>
      <c r="C1609" s="529">
        <f t="shared" si="54"/>
        <v>1605</v>
      </c>
      <c r="E1609" s="534">
        <v>0</v>
      </c>
      <c r="F1609" s="534">
        <v>0</v>
      </c>
      <c r="G1609" s="534">
        <v>7</v>
      </c>
      <c r="I1609" s="534">
        <v>0</v>
      </c>
      <c r="J1609" s="534">
        <v>0</v>
      </c>
      <c r="K1609" s="534">
        <v>1</v>
      </c>
    </row>
    <row r="1610" spans="2:11" x14ac:dyDescent="0.3">
      <c r="B1610" s="529">
        <f t="shared" si="55"/>
        <v>1605001</v>
      </c>
      <c r="C1610" s="529">
        <f t="shared" si="54"/>
        <v>1606</v>
      </c>
      <c r="E1610" s="534">
        <v>0</v>
      </c>
      <c r="F1610" s="534">
        <v>0</v>
      </c>
      <c r="G1610" s="534">
        <v>7</v>
      </c>
      <c r="I1610" s="534">
        <v>0</v>
      </c>
      <c r="J1610" s="534">
        <v>0</v>
      </c>
      <c r="K1610" s="534">
        <v>1</v>
      </c>
    </row>
    <row r="1611" spans="2:11" x14ac:dyDescent="0.3">
      <c r="B1611" s="529">
        <f t="shared" si="55"/>
        <v>1606001</v>
      </c>
      <c r="C1611" s="529">
        <f t="shared" si="54"/>
        <v>1607</v>
      </c>
      <c r="E1611" s="534">
        <v>0</v>
      </c>
      <c r="F1611" s="534">
        <v>0</v>
      </c>
      <c r="G1611" s="534">
        <v>7</v>
      </c>
      <c r="I1611" s="534">
        <v>0</v>
      </c>
      <c r="J1611" s="534">
        <v>0</v>
      </c>
      <c r="K1611" s="534">
        <v>1</v>
      </c>
    </row>
    <row r="1612" spans="2:11" x14ac:dyDescent="0.3">
      <c r="B1612" s="529">
        <f t="shared" si="55"/>
        <v>1607001</v>
      </c>
      <c r="C1612" s="529">
        <f t="shared" si="54"/>
        <v>1608</v>
      </c>
      <c r="E1612" s="534">
        <v>0</v>
      </c>
      <c r="F1612" s="534">
        <v>0</v>
      </c>
      <c r="G1612" s="534">
        <v>7</v>
      </c>
      <c r="I1612" s="534">
        <v>0</v>
      </c>
      <c r="J1612" s="534">
        <v>0</v>
      </c>
      <c r="K1612" s="534">
        <v>1</v>
      </c>
    </row>
    <row r="1613" spans="2:11" x14ac:dyDescent="0.3">
      <c r="B1613" s="529">
        <f t="shared" si="55"/>
        <v>1608001</v>
      </c>
      <c r="C1613" s="529">
        <f t="shared" si="54"/>
        <v>1609</v>
      </c>
      <c r="E1613" s="534">
        <v>0</v>
      </c>
      <c r="F1613" s="534">
        <v>0</v>
      </c>
      <c r="G1613" s="534">
        <v>7</v>
      </c>
      <c r="I1613" s="534">
        <v>0</v>
      </c>
      <c r="J1613" s="534">
        <v>0</v>
      </c>
      <c r="K1613" s="534">
        <v>1</v>
      </c>
    </row>
    <row r="1614" spans="2:11" x14ac:dyDescent="0.3">
      <c r="B1614" s="529">
        <f t="shared" si="55"/>
        <v>1609001</v>
      </c>
      <c r="C1614" s="529">
        <f t="shared" si="54"/>
        <v>1610</v>
      </c>
      <c r="E1614" s="534">
        <v>0</v>
      </c>
      <c r="F1614" s="534">
        <v>0</v>
      </c>
      <c r="G1614" s="534">
        <v>7</v>
      </c>
      <c r="I1614" s="534">
        <v>0</v>
      </c>
      <c r="J1614" s="534">
        <v>0</v>
      </c>
      <c r="K1614" s="534">
        <v>1</v>
      </c>
    </row>
    <row r="1615" spans="2:11" x14ac:dyDescent="0.3">
      <c r="B1615" s="529">
        <f t="shared" si="55"/>
        <v>1610001</v>
      </c>
      <c r="C1615" s="529">
        <f t="shared" si="54"/>
        <v>1611</v>
      </c>
      <c r="E1615" s="534">
        <v>0</v>
      </c>
      <c r="F1615" s="534">
        <v>0</v>
      </c>
      <c r="G1615" s="534">
        <v>7</v>
      </c>
      <c r="I1615" s="534">
        <v>0</v>
      </c>
      <c r="J1615" s="534">
        <v>0</v>
      </c>
      <c r="K1615" s="534">
        <v>1</v>
      </c>
    </row>
    <row r="1616" spans="2:11" x14ac:dyDescent="0.3">
      <c r="B1616" s="529">
        <f t="shared" si="55"/>
        <v>1611001</v>
      </c>
      <c r="C1616" s="529">
        <f t="shared" si="54"/>
        <v>1612</v>
      </c>
      <c r="E1616" s="534">
        <v>0</v>
      </c>
      <c r="F1616" s="534">
        <v>0</v>
      </c>
      <c r="G1616" s="534">
        <v>7</v>
      </c>
      <c r="I1616" s="534">
        <v>0</v>
      </c>
      <c r="J1616" s="534">
        <v>0</v>
      </c>
      <c r="K1616" s="534">
        <v>1</v>
      </c>
    </row>
    <row r="1617" spans="2:11" x14ac:dyDescent="0.3">
      <c r="B1617" s="529">
        <f t="shared" si="55"/>
        <v>1612001</v>
      </c>
      <c r="C1617" s="529">
        <f t="shared" si="54"/>
        <v>1613</v>
      </c>
      <c r="E1617" s="534">
        <v>0</v>
      </c>
      <c r="F1617" s="534">
        <v>0</v>
      </c>
      <c r="G1617" s="534">
        <v>7</v>
      </c>
      <c r="I1617" s="534">
        <v>0</v>
      </c>
      <c r="J1617" s="534">
        <v>0</v>
      </c>
      <c r="K1617" s="534">
        <v>1</v>
      </c>
    </row>
    <row r="1618" spans="2:11" x14ac:dyDescent="0.3">
      <c r="B1618" s="529">
        <f t="shared" si="55"/>
        <v>1613001</v>
      </c>
      <c r="C1618" s="529">
        <f t="shared" si="54"/>
        <v>1614</v>
      </c>
      <c r="E1618" s="534">
        <v>0</v>
      </c>
      <c r="F1618" s="534">
        <v>0</v>
      </c>
      <c r="G1618" s="534">
        <v>7</v>
      </c>
      <c r="I1618" s="534">
        <v>0</v>
      </c>
      <c r="J1618" s="534">
        <v>0</v>
      </c>
      <c r="K1618" s="534">
        <v>1</v>
      </c>
    </row>
    <row r="1619" spans="2:11" x14ac:dyDescent="0.3">
      <c r="B1619" s="529">
        <f t="shared" si="55"/>
        <v>1614001</v>
      </c>
      <c r="C1619" s="529">
        <f t="shared" ref="C1619:C1682" si="56">C1618+1</f>
        <v>1615</v>
      </c>
      <c r="E1619" s="534">
        <v>0</v>
      </c>
      <c r="F1619" s="534">
        <v>0</v>
      </c>
      <c r="G1619" s="534">
        <v>7</v>
      </c>
      <c r="I1619" s="534">
        <v>0</v>
      </c>
      <c r="J1619" s="534">
        <v>0</v>
      </c>
      <c r="K1619" s="534">
        <v>1</v>
      </c>
    </row>
    <row r="1620" spans="2:11" x14ac:dyDescent="0.3">
      <c r="B1620" s="529">
        <f t="shared" si="55"/>
        <v>1615001</v>
      </c>
      <c r="C1620" s="529">
        <f t="shared" si="56"/>
        <v>1616</v>
      </c>
      <c r="E1620" s="534">
        <v>0</v>
      </c>
      <c r="F1620" s="534">
        <v>0</v>
      </c>
      <c r="G1620" s="534">
        <v>7</v>
      </c>
      <c r="I1620" s="534">
        <v>0</v>
      </c>
      <c r="J1620" s="534">
        <v>0</v>
      </c>
      <c r="K1620" s="534">
        <v>1</v>
      </c>
    </row>
    <row r="1621" spans="2:11" x14ac:dyDescent="0.3">
      <c r="B1621" s="529">
        <f t="shared" si="55"/>
        <v>1616001</v>
      </c>
      <c r="C1621" s="529">
        <f t="shared" si="56"/>
        <v>1617</v>
      </c>
      <c r="E1621" s="534">
        <v>0</v>
      </c>
      <c r="F1621" s="534">
        <v>0</v>
      </c>
      <c r="G1621" s="534">
        <v>7</v>
      </c>
      <c r="I1621" s="534">
        <v>0</v>
      </c>
      <c r="J1621" s="534">
        <v>0</v>
      </c>
      <c r="K1621" s="534">
        <v>1</v>
      </c>
    </row>
    <row r="1622" spans="2:11" x14ac:dyDescent="0.3">
      <c r="B1622" s="529">
        <f t="shared" si="55"/>
        <v>1617001</v>
      </c>
      <c r="C1622" s="529">
        <f t="shared" si="56"/>
        <v>1618</v>
      </c>
      <c r="E1622" s="534">
        <v>0</v>
      </c>
      <c r="F1622" s="534">
        <v>0</v>
      </c>
      <c r="G1622" s="534">
        <v>7</v>
      </c>
      <c r="I1622" s="534">
        <v>0</v>
      </c>
      <c r="J1622" s="534">
        <v>0</v>
      </c>
      <c r="K1622" s="534">
        <v>1</v>
      </c>
    </row>
    <row r="1623" spans="2:11" x14ac:dyDescent="0.3">
      <c r="B1623" s="529">
        <f t="shared" si="55"/>
        <v>1618001</v>
      </c>
      <c r="C1623" s="529">
        <f t="shared" si="56"/>
        <v>1619</v>
      </c>
      <c r="E1623" s="534">
        <v>0</v>
      </c>
      <c r="F1623" s="534">
        <v>0</v>
      </c>
      <c r="G1623" s="534">
        <v>7</v>
      </c>
      <c r="I1623" s="534">
        <v>0</v>
      </c>
      <c r="J1623" s="534">
        <v>0</v>
      </c>
      <c r="K1623" s="534">
        <v>1</v>
      </c>
    </row>
    <row r="1624" spans="2:11" x14ac:dyDescent="0.3">
      <c r="B1624" s="529">
        <f t="shared" si="55"/>
        <v>1619001</v>
      </c>
      <c r="C1624" s="529">
        <f t="shared" si="56"/>
        <v>1620</v>
      </c>
      <c r="E1624" s="534">
        <v>0</v>
      </c>
      <c r="F1624" s="534">
        <v>0</v>
      </c>
      <c r="G1624" s="534">
        <v>7</v>
      </c>
      <c r="I1624" s="534">
        <v>0</v>
      </c>
      <c r="J1624" s="534">
        <v>0</v>
      </c>
      <c r="K1624" s="534">
        <v>1</v>
      </c>
    </row>
    <row r="1625" spans="2:11" x14ac:dyDescent="0.3">
      <c r="B1625" s="529">
        <f t="shared" si="55"/>
        <v>1620001</v>
      </c>
      <c r="C1625" s="529">
        <f t="shared" si="56"/>
        <v>1621</v>
      </c>
      <c r="E1625" s="534">
        <v>0</v>
      </c>
      <c r="F1625" s="534">
        <v>0</v>
      </c>
      <c r="G1625" s="534">
        <v>7</v>
      </c>
      <c r="I1625" s="534">
        <v>0</v>
      </c>
      <c r="J1625" s="534">
        <v>0</v>
      </c>
      <c r="K1625" s="534">
        <v>1</v>
      </c>
    </row>
    <row r="1626" spans="2:11" x14ac:dyDescent="0.3">
      <c r="B1626" s="529">
        <f t="shared" si="55"/>
        <v>1621001</v>
      </c>
      <c r="C1626" s="529">
        <f t="shared" si="56"/>
        <v>1622</v>
      </c>
      <c r="E1626" s="534">
        <v>0</v>
      </c>
      <c r="F1626" s="534">
        <v>0</v>
      </c>
      <c r="G1626" s="534">
        <v>7</v>
      </c>
      <c r="I1626" s="534">
        <v>0</v>
      </c>
      <c r="J1626" s="534">
        <v>0</v>
      </c>
      <c r="K1626" s="534">
        <v>1</v>
      </c>
    </row>
    <row r="1627" spans="2:11" x14ac:dyDescent="0.3">
      <c r="B1627" s="529">
        <f t="shared" si="55"/>
        <v>1622001</v>
      </c>
      <c r="C1627" s="529">
        <f t="shared" si="56"/>
        <v>1623</v>
      </c>
      <c r="E1627" s="534">
        <v>0</v>
      </c>
      <c r="F1627" s="534">
        <v>0</v>
      </c>
      <c r="G1627" s="534">
        <v>7</v>
      </c>
      <c r="I1627" s="534">
        <v>0</v>
      </c>
      <c r="J1627" s="534">
        <v>0</v>
      </c>
      <c r="K1627" s="534">
        <v>1</v>
      </c>
    </row>
    <row r="1628" spans="2:11" x14ac:dyDescent="0.3">
      <c r="B1628" s="529">
        <f t="shared" si="55"/>
        <v>1623001</v>
      </c>
      <c r="C1628" s="529">
        <f t="shared" si="56"/>
        <v>1624</v>
      </c>
      <c r="E1628" s="534">
        <v>0</v>
      </c>
      <c r="F1628" s="534">
        <v>0</v>
      </c>
      <c r="G1628" s="534">
        <v>7</v>
      </c>
      <c r="I1628" s="534">
        <v>0</v>
      </c>
      <c r="J1628" s="534">
        <v>0</v>
      </c>
      <c r="K1628" s="534">
        <v>1</v>
      </c>
    </row>
    <row r="1629" spans="2:11" x14ac:dyDescent="0.3">
      <c r="B1629" s="529">
        <f t="shared" si="55"/>
        <v>1624001</v>
      </c>
      <c r="C1629" s="529">
        <f t="shared" si="56"/>
        <v>1625</v>
      </c>
      <c r="E1629" s="534">
        <v>0</v>
      </c>
      <c r="F1629" s="534">
        <v>0</v>
      </c>
      <c r="G1629" s="534">
        <v>7</v>
      </c>
      <c r="I1629" s="534">
        <v>0</v>
      </c>
      <c r="J1629" s="534">
        <v>0</v>
      </c>
      <c r="K1629" s="534">
        <v>1</v>
      </c>
    </row>
    <row r="1630" spans="2:11" x14ac:dyDescent="0.3">
      <c r="B1630" s="529">
        <f t="shared" si="55"/>
        <v>1625001</v>
      </c>
      <c r="C1630" s="529">
        <f t="shared" si="56"/>
        <v>1626</v>
      </c>
      <c r="E1630" s="534">
        <v>0</v>
      </c>
      <c r="F1630" s="534">
        <v>0</v>
      </c>
      <c r="G1630" s="534">
        <v>7</v>
      </c>
      <c r="I1630" s="534">
        <v>0</v>
      </c>
      <c r="J1630" s="534">
        <v>0</v>
      </c>
      <c r="K1630" s="534">
        <v>1</v>
      </c>
    </row>
    <row r="1631" spans="2:11" x14ac:dyDescent="0.3">
      <c r="B1631" s="529">
        <f t="shared" si="55"/>
        <v>1626001</v>
      </c>
      <c r="C1631" s="529">
        <f t="shared" si="56"/>
        <v>1627</v>
      </c>
      <c r="E1631" s="534">
        <v>0</v>
      </c>
      <c r="F1631" s="534">
        <v>0</v>
      </c>
      <c r="G1631" s="534">
        <v>7</v>
      </c>
      <c r="I1631" s="534">
        <v>0</v>
      </c>
      <c r="J1631" s="534">
        <v>0</v>
      </c>
      <c r="K1631" s="534">
        <v>1</v>
      </c>
    </row>
    <row r="1632" spans="2:11" x14ac:dyDescent="0.3">
      <c r="B1632" s="529">
        <f t="shared" si="55"/>
        <v>1627001</v>
      </c>
      <c r="C1632" s="529">
        <f t="shared" si="56"/>
        <v>1628</v>
      </c>
      <c r="E1632" s="534">
        <v>0</v>
      </c>
      <c r="F1632" s="534">
        <v>0</v>
      </c>
      <c r="G1632" s="534">
        <v>7</v>
      </c>
      <c r="I1632" s="534">
        <v>0</v>
      </c>
      <c r="J1632" s="534">
        <v>0</v>
      </c>
      <c r="K1632" s="534">
        <v>1</v>
      </c>
    </row>
    <row r="1633" spans="2:11" x14ac:dyDescent="0.3">
      <c r="B1633" s="529">
        <f t="shared" si="55"/>
        <v>1628001</v>
      </c>
      <c r="C1633" s="529">
        <f t="shared" si="56"/>
        <v>1629</v>
      </c>
      <c r="E1633" s="534">
        <v>0</v>
      </c>
      <c r="F1633" s="534">
        <v>0</v>
      </c>
      <c r="G1633" s="534">
        <v>7</v>
      </c>
      <c r="I1633" s="534">
        <v>0</v>
      </c>
      <c r="J1633" s="534">
        <v>0</v>
      </c>
      <c r="K1633" s="534">
        <v>1</v>
      </c>
    </row>
    <row r="1634" spans="2:11" x14ac:dyDescent="0.3">
      <c r="B1634" s="529">
        <f t="shared" si="55"/>
        <v>1629001</v>
      </c>
      <c r="C1634" s="529">
        <f t="shared" si="56"/>
        <v>1630</v>
      </c>
      <c r="E1634" s="534">
        <v>0</v>
      </c>
      <c r="F1634" s="534">
        <v>0</v>
      </c>
      <c r="G1634" s="534">
        <v>7</v>
      </c>
      <c r="I1634" s="534">
        <v>0</v>
      </c>
      <c r="J1634" s="534">
        <v>0</v>
      </c>
      <c r="K1634" s="534">
        <v>1</v>
      </c>
    </row>
    <row r="1635" spans="2:11" x14ac:dyDescent="0.3">
      <c r="B1635" s="529">
        <f t="shared" si="55"/>
        <v>1630001</v>
      </c>
      <c r="C1635" s="529">
        <f t="shared" si="56"/>
        <v>1631</v>
      </c>
      <c r="E1635" s="534">
        <v>0</v>
      </c>
      <c r="F1635" s="534">
        <v>0</v>
      </c>
      <c r="G1635" s="534">
        <v>7</v>
      </c>
      <c r="I1635" s="534">
        <v>0</v>
      </c>
      <c r="J1635" s="534">
        <v>0</v>
      </c>
      <c r="K1635" s="534">
        <v>1</v>
      </c>
    </row>
    <row r="1636" spans="2:11" x14ac:dyDescent="0.3">
      <c r="B1636" s="529">
        <f t="shared" si="55"/>
        <v>1631001</v>
      </c>
      <c r="C1636" s="529">
        <f t="shared" si="56"/>
        <v>1632</v>
      </c>
      <c r="E1636" s="534">
        <v>0</v>
      </c>
      <c r="F1636" s="534">
        <v>0</v>
      </c>
      <c r="G1636" s="534">
        <v>7</v>
      </c>
      <c r="I1636" s="534">
        <v>1</v>
      </c>
      <c r="J1636" s="534">
        <v>1632</v>
      </c>
      <c r="K1636" s="534">
        <v>1</v>
      </c>
    </row>
    <row r="1637" spans="2:11" x14ac:dyDescent="0.3">
      <c r="B1637" s="529">
        <f t="shared" si="55"/>
        <v>1632001</v>
      </c>
      <c r="C1637" s="529">
        <f t="shared" si="56"/>
        <v>1633</v>
      </c>
      <c r="E1637" s="534">
        <v>0</v>
      </c>
      <c r="F1637" s="534">
        <v>0</v>
      </c>
      <c r="G1637" s="534">
        <v>7</v>
      </c>
      <c r="I1637" s="534">
        <v>0</v>
      </c>
      <c r="J1637" s="534">
        <v>0</v>
      </c>
      <c r="K1637" s="534">
        <v>0</v>
      </c>
    </row>
    <row r="1638" spans="2:11" x14ac:dyDescent="0.3">
      <c r="B1638" s="529">
        <f t="shared" si="55"/>
        <v>1633001</v>
      </c>
      <c r="C1638" s="529">
        <f t="shared" si="56"/>
        <v>1634</v>
      </c>
      <c r="E1638" s="534">
        <v>0</v>
      </c>
      <c r="F1638" s="534">
        <v>0</v>
      </c>
      <c r="G1638" s="534">
        <v>7</v>
      </c>
    </row>
    <row r="1639" spans="2:11" x14ac:dyDescent="0.3">
      <c r="B1639" s="529">
        <f t="shared" si="55"/>
        <v>1634001</v>
      </c>
      <c r="C1639" s="529">
        <f t="shared" si="56"/>
        <v>1635</v>
      </c>
      <c r="E1639" s="534">
        <v>0</v>
      </c>
      <c r="F1639" s="534">
        <v>0</v>
      </c>
      <c r="G1639" s="534">
        <v>7</v>
      </c>
      <c r="I1639" s="536"/>
      <c r="J1639" s="536"/>
      <c r="K1639" s="536"/>
    </row>
    <row r="1640" spans="2:11" x14ac:dyDescent="0.3">
      <c r="B1640" s="529">
        <f t="shared" si="55"/>
        <v>1635001</v>
      </c>
      <c r="C1640" s="529">
        <f t="shared" si="56"/>
        <v>1636</v>
      </c>
      <c r="E1640" s="534">
        <v>0</v>
      </c>
      <c r="F1640" s="534">
        <v>0</v>
      </c>
      <c r="G1640" s="534">
        <v>7</v>
      </c>
    </row>
    <row r="1641" spans="2:11" x14ac:dyDescent="0.3">
      <c r="B1641" s="529">
        <f t="shared" si="55"/>
        <v>1636001</v>
      </c>
      <c r="C1641" s="529">
        <f t="shared" si="56"/>
        <v>1637</v>
      </c>
      <c r="E1641" s="534">
        <v>0</v>
      </c>
      <c r="F1641" s="534">
        <v>0</v>
      </c>
      <c r="G1641" s="534">
        <v>7</v>
      </c>
    </row>
    <row r="1642" spans="2:11" x14ac:dyDescent="0.3">
      <c r="B1642" s="529">
        <f t="shared" si="55"/>
        <v>1637001</v>
      </c>
      <c r="C1642" s="529">
        <f t="shared" si="56"/>
        <v>1638</v>
      </c>
      <c r="E1642" s="534">
        <v>0</v>
      </c>
      <c r="F1642" s="534">
        <v>0</v>
      </c>
      <c r="G1642" s="534">
        <v>7</v>
      </c>
    </row>
    <row r="1643" spans="2:11" x14ac:dyDescent="0.3">
      <c r="B1643" s="529">
        <f t="shared" si="55"/>
        <v>1638001</v>
      </c>
      <c r="C1643" s="529">
        <f t="shared" si="56"/>
        <v>1639</v>
      </c>
      <c r="E1643" s="534">
        <v>0</v>
      </c>
      <c r="F1643" s="534">
        <v>0</v>
      </c>
      <c r="G1643" s="534">
        <v>7</v>
      </c>
    </row>
    <row r="1644" spans="2:11" x14ac:dyDescent="0.3">
      <c r="B1644" s="529">
        <f t="shared" si="55"/>
        <v>1639001</v>
      </c>
      <c r="C1644" s="529">
        <f t="shared" si="56"/>
        <v>1640</v>
      </c>
      <c r="E1644" s="534">
        <v>0</v>
      </c>
      <c r="F1644" s="534">
        <v>0</v>
      </c>
      <c r="G1644" s="534">
        <v>7</v>
      </c>
    </row>
    <row r="1645" spans="2:11" x14ac:dyDescent="0.3">
      <c r="B1645" s="529">
        <f t="shared" si="55"/>
        <v>1640001</v>
      </c>
      <c r="C1645" s="529">
        <f t="shared" si="56"/>
        <v>1641</v>
      </c>
      <c r="E1645" s="534">
        <v>0</v>
      </c>
      <c r="F1645" s="534">
        <v>0</v>
      </c>
      <c r="G1645" s="534">
        <v>7</v>
      </c>
    </row>
    <row r="1646" spans="2:11" x14ac:dyDescent="0.3">
      <c r="B1646" s="529">
        <f t="shared" si="55"/>
        <v>1641001</v>
      </c>
      <c r="C1646" s="529">
        <f t="shared" si="56"/>
        <v>1642</v>
      </c>
      <c r="E1646" s="534">
        <v>0</v>
      </c>
      <c r="F1646" s="534">
        <v>0</v>
      </c>
      <c r="G1646" s="534">
        <v>7</v>
      </c>
    </row>
    <row r="1647" spans="2:11" x14ac:dyDescent="0.3">
      <c r="B1647" s="529">
        <f t="shared" si="55"/>
        <v>1642001</v>
      </c>
      <c r="C1647" s="529">
        <f t="shared" si="56"/>
        <v>1643</v>
      </c>
      <c r="E1647" s="534">
        <v>0</v>
      </c>
      <c r="F1647" s="534">
        <v>0</v>
      </c>
      <c r="G1647" s="534">
        <v>7</v>
      </c>
    </row>
    <row r="1648" spans="2:11" x14ac:dyDescent="0.3">
      <c r="B1648" s="529">
        <f t="shared" si="55"/>
        <v>1643001</v>
      </c>
      <c r="C1648" s="529">
        <f t="shared" si="56"/>
        <v>1644</v>
      </c>
      <c r="E1648" s="534">
        <v>0</v>
      </c>
      <c r="F1648" s="534">
        <v>0</v>
      </c>
      <c r="G1648" s="534">
        <v>7</v>
      </c>
    </row>
    <row r="1649" spans="2:7" x14ac:dyDescent="0.3">
      <c r="B1649" s="529">
        <f t="shared" si="55"/>
        <v>1644001</v>
      </c>
      <c r="C1649" s="529">
        <f t="shared" si="56"/>
        <v>1645</v>
      </c>
      <c r="E1649" s="534">
        <v>0</v>
      </c>
      <c r="F1649" s="534">
        <v>0</v>
      </c>
      <c r="G1649" s="534">
        <v>7</v>
      </c>
    </row>
    <row r="1650" spans="2:7" x14ac:dyDescent="0.3">
      <c r="B1650" s="529">
        <f t="shared" si="55"/>
        <v>1645001</v>
      </c>
      <c r="C1650" s="529">
        <f t="shared" si="56"/>
        <v>1646</v>
      </c>
      <c r="E1650" s="534">
        <v>0</v>
      </c>
      <c r="F1650" s="534">
        <v>0</v>
      </c>
      <c r="G1650" s="534">
        <v>7</v>
      </c>
    </row>
    <row r="1651" spans="2:7" x14ac:dyDescent="0.3">
      <c r="B1651" s="529">
        <f t="shared" si="55"/>
        <v>1646001</v>
      </c>
      <c r="C1651" s="529">
        <f t="shared" si="56"/>
        <v>1647</v>
      </c>
      <c r="E1651" s="534">
        <v>0</v>
      </c>
      <c r="F1651" s="534">
        <v>0</v>
      </c>
      <c r="G1651" s="534">
        <v>7</v>
      </c>
    </row>
    <row r="1652" spans="2:7" x14ac:dyDescent="0.3">
      <c r="B1652" s="529">
        <f t="shared" si="55"/>
        <v>1647001</v>
      </c>
      <c r="C1652" s="529">
        <f t="shared" si="56"/>
        <v>1648</v>
      </c>
      <c r="E1652" s="534">
        <v>0</v>
      </c>
      <c r="F1652" s="534">
        <v>0</v>
      </c>
      <c r="G1652" s="534">
        <v>7</v>
      </c>
    </row>
    <row r="1653" spans="2:7" x14ac:dyDescent="0.3">
      <c r="B1653" s="529">
        <f t="shared" si="55"/>
        <v>1648001</v>
      </c>
      <c r="C1653" s="529">
        <f t="shared" si="56"/>
        <v>1649</v>
      </c>
      <c r="E1653" s="534">
        <v>0</v>
      </c>
      <c r="F1653" s="534">
        <v>0</v>
      </c>
      <c r="G1653" s="534">
        <v>7</v>
      </c>
    </row>
    <row r="1654" spans="2:7" x14ac:dyDescent="0.3">
      <c r="B1654" s="529">
        <f t="shared" si="55"/>
        <v>1649001</v>
      </c>
      <c r="C1654" s="529">
        <f t="shared" si="56"/>
        <v>1650</v>
      </c>
      <c r="E1654" s="534">
        <v>0</v>
      </c>
      <c r="F1654" s="534">
        <v>0</v>
      </c>
      <c r="G1654" s="534">
        <v>7</v>
      </c>
    </row>
    <row r="1655" spans="2:7" x14ac:dyDescent="0.3">
      <c r="B1655" s="529">
        <f t="shared" si="55"/>
        <v>1650001</v>
      </c>
      <c r="C1655" s="529">
        <f t="shared" si="56"/>
        <v>1651</v>
      </c>
      <c r="E1655" s="534">
        <v>0</v>
      </c>
      <c r="F1655" s="534">
        <v>0</v>
      </c>
      <c r="G1655" s="534">
        <v>7</v>
      </c>
    </row>
    <row r="1656" spans="2:7" x14ac:dyDescent="0.3">
      <c r="B1656" s="529">
        <f t="shared" si="55"/>
        <v>1651001</v>
      </c>
      <c r="C1656" s="529">
        <f t="shared" si="56"/>
        <v>1652</v>
      </c>
      <c r="E1656" s="534">
        <v>0</v>
      </c>
      <c r="F1656" s="534">
        <v>0</v>
      </c>
      <c r="G1656" s="534">
        <v>7</v>
      </c>
    </row>
    <row r="1657" spans="2:7" x14ac:dyDescent="0.3">
      <c r="B1657" s="529">
        <f t="shared" si="55"/>
        <v>1652001</v>
      </c>
      <c r="C1657" s="529">
        <f t="shared" si="56"/>
        <v>1653</v>
      </c>
      <c r="E1657" s="534">
        <v>0</v>
      </c>
      <c r="F1657" s="534">
        <v>0</v>
      </c>
      <c r="G1657" s="534">
        <v>7</v>
      </c>
    </row>
    <row r="1658" spans="2:7" x14ac:dyDescent="0.3">
      <c r="B1658" s="529">
        <f t="shared" si="55"/>
        <v>1653001</v>
      </c>
      <c r="C1658" s="529">
        <f t="shared" si="56"/>
        <v>1654</v>
      </c>
      <c r="E1658" s="534">
        <v>0</v>
      </c>
      <c r="F1658" s="534">
        <v>0</v>
      </c>
      <c r="G1658" s="534">
        <v>7</v>
      </c>
    </row>
    <row r="1659" spans="2:7" x14ac:dyDescent="0.3">
      <c r="B1659" s="529">
        <f t="shared" si="55"/>
        <v>1654001</v>
      </c>
      <c r="C1659" s="529">
        <f t="shared" si="56"/>
        <v>1655</v>
      </c>
      <c r="E1659" s="534">
        <v>0</v>
      </c>
      <c r="F1659" s="534">
        <v>0</v>
      </c>
      <c r="G1659" s="534">
        <v>7</v>
      </c>
    </row>
    <row r="1660" spans="2:7" x14ac:dyDescent="0.3">
      <c r="B1660" s="529">
        <f t="shared" si="55"/>
        <v>1655001</v>
      </c>
      <c r="C1660" s="529">
        <f t="shared" si="56"/>
        <v>1656</v>
      </c>
      <c r="E1660" s="534">
        <v>0</v>
      </c>
      <c r="F1660" s="534">
        <v>0</v>
      </c>
      <c r="G1660" s="534">
        <v>7</v>
      </c>
    </row>
    <row r="1661" spans="2:7" x14ac:dyDescent="0.3">
      <c r="B1661" s="529">
        <f t="shared" si="55"/>
        <v>1656001</v>
      </c>
      <c r="C1661" s="529">
        <f t="shared" si="56"/>
        <v>1657</v>
      </c>
      <c r="E1661" s="534">
        <v>1</v>
      </c>
      <c r="F1661" s="534">
        <v>1657</v>
      </c>
      <c r="G1661" s="534">
        <v>7</v>
      </c>
    </row>
    <row r="1662" spans="2:7" x14ac:dyDescent="0.3">
      <c r="B1662" s="529">
        <f t="shared" si="55"/>
        <v>1657001</v>
      </c>
      <c r="C1662" s="529">
        <f t="shared" si="56"/>
        <v>1658</v>
      </c>
      <c r="E1662" s="534">
        <v>0</v>
      </c>
      <c r="F1662" s="534">
        <v>0</v>
      </c>
      <c r="G1662" s="534">
        <v>6</v>
      </c>
    </row>
    <row r="1663" spans="2:7" x14ac:dyDescent="0.3">
      <c r="B1663" s="529">
        <f t="shared" si="55"/>
        <v>1658001</v>
      </c>
      <c r="C1663" s="529">
        <f t="shared" si="56"/>
        <v>1659</v>
      </c>
      <c r="E1663" s="534">
        <v>0</v>
      </c>
      <c r="F1663" s="534">
        <v>0</v>
      </c>
      <c r="G1663" s="534">
        <v>6</v>
      </c>
    </row>
    <row r="1664" spans="2:7" x14ac:dyDescent="0.3">
      <c r="B1664" s="529">
        <f t="shared" si="55"/>
        <v>1659001</v>
      </c>
      <c r="C1664" s="529">
        <f t="shared" si="56"/>
        <v>1660</v>
      </c>
      <c r="E1664" s="534">
        <v>0</v>
      </c>
      <c r="F1664" s="534">
        <v>0</v>
      </c>
      <c r="G1664" s="534">
        <v>6</v>
      </c>
    </row>
    <row r="1665" spans="2:7" x14ac:dyDescent="0.3">
      <c r="B1665" s="529">
        <f t="shared" si="55"/>
        <v>1660001</v>
      </c>
      <c r="C1665" s="529">
        <f t="shared" si="56"/>
        <v>1661</v>
      </c>
      <c r="E1665" s="534">
        <v>0</v>
      </c>
      <c r="F1665" s="534">
        <v>0</v>
      </c>
      <c r="G1665" s="534">
        <v>6</v>
      </c>
    </row>
    <row r="1666" spans="2:7" x14ac:dyDescent="0.3">
      <c r="B1666" s="529">
        <f t="shared" si="55"/>
        <v>1661001</v>
      </c>
      <c r="C1666" s="529">
        <f t="shared" si="56"/>
        <v>1662</v>
      </c>
      <c r="E1666" s="534">
        <v>0</v>
      </c>
      <c r="F1666" s="534">
        <v>0</v>
      </c>
      <c r="G1666" s="534">
        <v>6</v>
      </c>
    </row>
    <row r="1667" spans="2:7" x14ac:dyDescent="0.3">
      <c r="B1667" s="529">
        <f t="shared" si="55"/>
        <v>1662001</v>
      </c>
      <c r="C1667" s="529">
        <f t="shared" si="56"/>
        <v>1663</v>
      </c>
      <c r="E1667" s="534">
        <v>0</v>
      </c>
      <c r="F1667" s="534">
        <v>0</v>
      </c>
      <c r="G1667" s="534">
        <v>6</v>
      </c>
    </row>
    <row r="1668" spans="2:7" x14ac:dyDescent="0.3">
      <c r="B1668" s="529">
        <f t="shared" si="55"/>
        <v>1663001</v>
      </c>
      <c r="C1668" s="529">
        <f t="shared" si="56"/>
        <v>1664</v>
      </c>
      <c r="E1668" s="534">
        <v>0</v>
      </c>
      <c r="F1668" s="534">
        <v>0</v>
      </c>
      <c r="G1668" s="534">
        <v>6</v>
      </c>
    </row>
    <row r="1669" spans="2:7" x14ac:dyDescent="0.3">
      <c r="B1669" s="529">
        <f t="shared" si="55"/>
        <v>1664001</v>
      </c>
      <c r="C1669" s="529">
        <f t="shared" si="56"/>
        <v>1665</v>
      </c>
      <c r="E1669" s="534">
        <v>0</v>
      </c>
      <c r="F1669" s="534">
        <v>0</v>
      </c>
      <c r="G1669" s="534">
        <v>6</v>
      </c>
    </row>
    <row r="1670" spans="2:7" x14ac:dyDescent="0.3">
      <c r="B1670" s="529">
        <f t="shared" si="55"/>
        <v>1665001</v>
      </c>
      <c r="C1670" s="529">
        <f t="shared" si="56"/>
        <v>1666</v>
      </c>
      <c r="E1670" s="534">
        <v>0</v>
      </c>
      <c r="F1670" s="534">
        <v>0</v>
      </c>
      <c r="G1670" s="534">
        <v>6</v>
      </c>
    </row>
    <row r="1671" spans="2:7" x14ac:dyDescent="0.3">
      <c r="B1671" s="529">
        <f t="shared" ref="B1671:B1734" si="57">C1670*1000+1</f>
        <v>1666001</v>
      </c>
      <c r="C1671" s="529">
        <f t="shared" si="56"/>
        <v>1667</v>
      </c>
      <c r="E1671" s="534">
        <v>0</v>
      </c>
      <c r="F1671" s="534">
        <v>0</v>
      </c>
      <c r="G1671" s="534">
        <v>6</v>
      </c>
    </row>
    <row r="1672" spans="2:7" x14ac:dyDescent="0.3">
      <c r="B1672" s="529">
        <f t="shared" si="57"/>
        <v>1667001</v>
      </c>
      <c r="C1672" s="529">
        <f t="shared" si="56"/>
        <v>1668</v>
      </c>
      <c r="E1672" s="534">
        <v>0</v>
      </c>
      <c r="F1672" s="534">
        <v>0</v>
      </c>
      <c r="G1672" s="534">
        <v>6</v>
      </c>
    </row>
    <row r="1673" spans="2:7" x14ac:dyDescent="0.3">
      <c r="B1673" s="529">
        <f t="shared" si="57"/>
        <v>1668001</v>
      </c>
      <c r="C1673" s="529">
        <f t="shared" si="56"/>
        <v>1669</v>
      </c>
      <c r="E1673" s="534">
        <v>0</v>
      </c>
      <c r="F1673" s="534">
        <v>0</v>
      </c>
      <c r="G1673" s="534">
        <v>6</v>
      </c>
    </row>
    <row r="1674" spans="2:7" x14ac:dyDescent="0.3">
      <c r="B1674" s="529">
        <f t="shared" si="57"/>
        <v>1669001</v>
      </c>
      <c r="C1674" s="529">
        <f t="shared" si="56"/>
        <v>1670</v>
      </c>
      <c r="E1674" s="534">
        <v>0</v>
      </c>
      <c r="F1674" s="534">
        <v>0</v>
      </c>
      <c r="G1674" s="534">
        <v>6</v>
      </c>
    </row>
    <row r="1675" spans="2:7" x14ac:dyDescent="0.3">
      <c r="B1675" s="529">
        <f t="shared" si="57"/>
        <v>1670001</v>
      </c>
      <c r="C1675" s="529">
        <f t="shared" si="56"/>
        <v>1671</v>
      </c>
      <c r="E1675" s="534">
        <v>0</v>
      </c>
      <c r="F1675" s="534">
        <v>0</v>
      </c>
      <c r="G1675" s="534">
        <v>6</v>
      </c>
    </row>
    <row r="1676" spans="2:7" x14ac:dyDescent="0.3">
      <c r="B1676" s="529">
        <f t="shared" si="57"/>
        <v>1671001</v>
      </c>
      <c r="C1676" s="529">
        <f t="shared" si="56"/>
        <v>1672</v>
      </c>
      <c r="E1676" s="534">
        <v>0</v>
      </c>
      <c r="F1676" s="534">
        <v>0</v>
      </c>
      <c r="G1676" s="534">
        <v>6</v>
      </c>
    </row>
    <row r="1677" spans="2:7" x14ac:dyDescent="0.3">
      <c r="B1677" s="529">
        <f t="shared" si="57"/>
        <v>1672001</v>
      </c>
      <c r="C1677" s="529">
        <f t="shared" si="56"/>
        <v>1673</v>
      </c>
      <c r="E1677" s="534">
        <v>0</v>
      </c>
      <c r="F1677" s="534">
        <v>0</v>
      </c>
      <c r="G1677" s="534">
        <v>6</v>
      </c>
    </row>
    <row r="1678" spans="2:7" x14ac:dyDescent="0.3">
      <c r="B1678" s="529">
        <f t="shared" si="57"/>
        <v>1673001</v>
      </c>
      <c r="C1678" s="529">
        <f t="shared" si="56"/>
        <v>1674</v>
      </c>
      <c r="E1678" s="534">
        <v>0</v>
      </c>
      <c r="F1678" s="534">
        <v>0</v>
      </c>
      <c r="G1678" s="534">
        <v>6</v>
      </c>
    </row>
    <row r="1679" spans="2:7" x14ac:dyDescent="0.3">
      <c r="B1679" s="529">
        <f t="shared" si="57"/>
        <v>1674001</v>
      </c>
      <c r="C1679" s="529">
        <f t="shared" si="56"/>
        <v>1675</v>
      </c>
      <c r="E1679" s="534">
        <v>0</v>
      </c>
      <c r="F1679" s="534">
        <v>0</v>
      </c>
      <c r="G1679" s="534">
        <v>6</v>
      </c>
    </row>
    <row r="1680" spans="2:7" x14ac:dyDescent="0.3">
      <c r="B1680" s="529">
        <f t="shared" si="57"/>
        <v>1675001</v>
      </c>
      <c r="C1680" s="529">
        <f t="shared" si="56"/>
        <v>1676</v>
      </c>
      <c r="E1680" s="534">
        <v>0</v>
      </c>
      <c r="F1680" s="534">
        <v>0</v>
      </c>
      <c r="G1680" s="534">
        <v>6</v>
      </c>
    </row>
    <row r="1681" spans="2:7" x14ac:dyDescent="0.3">
      <c r="B1681" s="529">
        <f t="shared" si="57"/>
        <v>1676001</v>
      </c>
      <c r="C1681" s="529">
        <f t="shared" si="56"/>
        <v>1677</v>
      </c>
      <c r="E1681" s="534">
        <v>0</v>
      </c>
      <c r="F1681" s="534">
        <v>0</v>
      </c>
      <c r="G1681" s="534">
        <v>6</v>
      </c>
    </row>
    <row r="1682" spans="2:7" x14ac:dyDescent="0.3">
      <c r="B1682" s="529">
        <f t="shared" si="57"/>
        <v>1677001</v>
      </c>
      <c r="C1682" s="529">
        <f t="shared" si="56"/>
        <v>1678</v>
      </c>
      <c r="E1682" s="534">
        <v>0</v>
      </c>
      <c r="F1682" s="534">
        <v>0</v>
      </c>
      <c r="G1682" s="534">
        <v>6</v>
      </c>
    </row>
    <row r="1683" spans="2:7" x14ac:dyDescent="0.3">
      <c r="B1683" s="529">
        <f t="shared" si="57"/>
        <v>1678001</v>
      </c>
      <c r="C1683" s="529">
        <f t="shared" ref="C1683:C1746" si="58">C1682+1</f>
        <v>1679</v>
      </c>
      <c r="E1683" s="534">
        <v>0</v>
      </c>
      <c r="F1683" s="534">
        <v>0</v>
      </c>
      <c r="G1683" s="534">
        <v>6</v>
      </c>
    </row>
    <row r="1684" spans="2:7" x14ac:dyDescent="0.3">
      <c r="B1684" s="529">
        <f t="shared" si="57"/>
        <v>1679001</v>
      </c>
      <c r="C1684" s="529">
        <f t="shared" si="58"/>
        <v>1680</v>
      </c>
      <c r="E1684" s="534">
        <v>0</v>
      </c>
      <c r="F1684" s="534">
        <v>0</v>
      </c>
      <c r="G1684" s="534">
        <v>6</v>
      </c>
    </row>
    <row r="1685" spans="2:7" x14ac:dyDescent="0.3">
      <c r="B1685" s="529">
        <f t="shared" si="57"/>
        <v>1680001</v>
      </c>
      <c r="C1685" s="529">
        <f t="shared" si="58"/>
        <v>1681</v>
      </c>
      <c r="E1685" s="534">
        <v>0</v>
      </c>
      <c r="F1685" s="534">
        <v>0</v>
      </c>
      <c r="G1685" s="534">
        <v>6</v>
      </c>
    </row>
    <row r="1686" spans="2:7" x14ac:dyDescent="0.3">
      <c r="B1686" s="529">
        <f t="shared" si="57"/>
        <v>1681001</v>
      </c>
      <c r="C1686" s="529">
        <f t="shared" si="58"/>
        <v>1682</v>
      </c>
      <c r="E1686" s="534">
        <v>0</v>
      </c>
      <c r="F1686" s="534">
        <v>0</v>
      </c>
      <c r="G1686" s="534">
        <v>6</v>
      </c>
    </row>
    <row r="1687" spans="2:7" x14ac:dyDescent="0.3">
      <c r="B1687" s="529">
        <f t="shared" si="57"/>
        <v>1682001</v>
      </c>
      <c r="C1687" s="529">
        <f t="shared" si="58"/>
        <v>1683</v>
      </c>
      <c r="E1687" s="534">
        <v>0</v>
      </c>
      <c r="F1687" s="534">
        <v>0</v>
      </c>
      <c r="G1687" s="534">
        <v>6</v>
      </c>
    </row>
    <row r="1688" spans="2:7" x14ac:dyDescent="0.3">
      <c r="B1688" s="529">
        <f t="shared" si="57"/>
        <v>1683001</v>
      </c>
      <c r="C1688" s="529">
        <f t="shared" si="58"/>
        <v>1684</v>
      </c>
      <c r="E1688" s="534">
        <v>0</v>
      </c>
      <c r="F1688" s="534">
        <v>0</v>
      </c>
      <c r="G1688" s="534">
        <v>6</v>
      </c>
    </row>
    <row r="1689" spans="2:7" x14ac:dyDescent="0.3">
      <c r="B1689" s="529">
        <f t="shared" si="57"/>
        <v>1684001</v>
      </c>
      <c r="C1689" s="529">
        <f t="shared" si="58"/>
        <v>1685</v>
      </c>
      <c r="E1689" s="534">
        <v>0</v>
      </c>
      <c r="F1689" s="534">
        <v>0</v>
      </c>
      <c r="G1689" s="534">
        <v>6</v>
      </c>
    </row>
    <row r="1690" spans="2:7" x14ac:dyDescent="0.3">
      <c r="B1690" s="529">
        <f t="shared" si="57"/>
        <v>1685001</v>
      </c>
      <c r="C1690" s="529">
        <f t="shared" si="58"/>
        <v>1686</v>
      </c>
      <c r="E1690" s="534">
        <v>0</v>
      </c>
      <c r="F1690" s="534">
        <v>0</v>
      </c>
      <c r="G1690" s="534">
        <v>6</v>
      </c>
    </row>
    <row r="1691" spans="2:7" x14ac:dyDescent="0.3">
      <c r="B1691" s="529">
        <f t="shared" si="57"/>
        <v>1686001</v>
      </c>
      <c r="C1691" s="529">
        <f t="shared" si="58"/>
        <v>1687</v>
      </c>
      <c r="E1691" s="534">
        <v>0</v>
      </c>
      <c r="F1691" s="534">
        <v>0</v>
      </c>
      <c r="G1691" s="534">
        <v>6</v>
      </c>
    </row>
    <row r="1692" spans="2:7" x14ac:dyDescent="0.3">
      <c r="B1692" s="529">
        <f t="shared" si="57"/>
        <v>1687001</v>
      </c>
      <c r="C1692" s="529">
        <f t="shared" si="58"/>
        <v>1688</v>
      </c>
      <c r="E1692" s="534">
        <v>0</v>
      </c>
      <c r="F1692" s="534">
        <v>0</v>
      </c>
      <c r="G1692" s="534">
        <v>6</v>
      </c>
    </row>
    <row r="1693" spans="2:7" x14ac:dyDescent="0.3">
      <c r="B1693" s="529">
        <f t="shared" si="57"/>
        <v>1688001</v>
      </c>
      <c r="C1693" s="529">
        <f t="shared" si="58"/>
        <v>1689</v>
      </c>
      <c r="E1693" s="534">
        <v>0</v>
      </c>
      <c r="F1693" s="534">
        <v>0</v>
      </c>
      <c r="G1693" s="534">
        <v>6</v>
      </c>
    </row>
    <row r="1694" spans="2:7" x14ac:dyDescent="0.3">
      <c r="B1694" s="529">
        <f t="shared" si="57"/>
        <v>1689001</v>
      </c>
      <c r="C1694" s="529">
        <f t="shared" si="58"/>
        <v>1690</v>
      </c>
      <c r="E1694" s="534">
        <v>0</v>
      </c>
      <c r="F1694" s="534">
        <v>0</v>
      </c>
      <c r="G1694" s="534">
        <v>6</v>
      </c>
    </row>
    <row r="1695" spans="2:7" x14ac:dyDescent="0.3">
      <c r="B1695" s="529">
        <f t="shared" si="57"/>
        <v>1690001</v>
      </c>
      <c r="C1695" s="529">
        <f t="shared" si="58"/>
        <v>1691</v>
      </c>
      <c r="E1695" s="534">
        <v>0</v>
      </c>
      <c r="F1695" s="534">
        <v>0</v>
      </c>
      <c r="G1695" s="534">
        <v>6</v>
      </c>
    </row>
    <row r="1696" spans="2:7" x14ac:dyDescent="0.3">
      <c r="B1696" s="529">
        <f t="shared" si="57"/>
        <v>1691001</v>
      </c>
      <c r="C1696" s="529">
        <f t="shared" si="58"/>
        <v>1692</v>
      </c>
      <c r="E1696" s="534">
        <v>0</v>
      </c>
      <c r="F1696" s="534">
        <v>0</v>
      </c>
      <c r="G1696" s="534">
        <v>6</v>
      </c>
    </row>
    <row r="1697" spans="2:7" x14ac:dyDescent="0.3">
      <c r="B1697" s="529">
        <f t="shared" si="57"/>
        <v>1692001</v>
      </c>
      <c r="C1697" s="529">
        <f t="shared" si="58"/>
        <v>1693</v>
      </c>
      <c r="E1697" s="534">
        <v>0</v>
      </c>
      <c r="F1697" s="534">
        <v>0</v>
      </c>
      <c r="G1697" s="534">
        <v>6</v>
      </c>
    </row>
    <row r="1698" spans="2:7" x14ac:dyDescent="0.3">
      <c r="B1698" s="529">
        <f t="shared" si="57"/>
        <v>1693001</v>
      </c>
      <c r="C1698" s="529">
        <f t="shared" si="58"/>
        <v>1694</v>
      </c>
      <c r="E1698" s="534">
        <v>0</v>
      </c>
      <c r="F1698" s="534">
        <v>0</v>
      </c>
      <c r="G1698" s="534">
        <v>6</v>
      </c>
    </row>
    <row r="1699" spans="2:7" x14ac:dyDescent="0.3">
      <c r="B1699" s="529">
        <f t="shared" si="57"/>
        <v>1694001</v>
      </c>
      <c r="C1699" s="529">
        <f t="shared" si="58"/>
        <v>1695</v>
      </c>
      <c r="E1699" s="534">
        <v>0</v>
      </c>
      <c r="F1699" s="534">
        <v>0</v>
      </c>
      <c r="G1699" s="534">
        <v>6</v>
      </c>
    </row>
    <row r="1700" spans="2:7" x14ac:dyDescent="0.3">
      <c r="B1700" s="529">
        <f t="shared" si="57"/>
        <v>1695001</v>
      </c>
      <c r="C1700" s="529">
        <f t="shared" si="58"/>
        <v>1696</v>
      </c>
      <c r="E1700" s="534">
        <v>0</v>
      </c>
      <c r="F1700" s="534">
        <v>0</v>
      </c>
      <c r="G1700" s="534">
        <v>6</v>
      </c>
    </row>
    <row r="1701" spans="2:7" x14ac:dyDescent="0.3">
      <c r="B1701" s="529">
        <f t="shared" si="57"/>
        <v>1696001</v>
      </c>
      <c r="C1701" s="529">
        <f t="shared" si="58"/>
        <v>1697</v>
      </c>
      <c r="E1701" s="534">
        <v>0</v>
      </c>
      <c r="F1701" s="534">
        <v>0</v>
      </c>
      <c r="G1701" s="534">
        <v>6</v>
      </c>
    </row>
    <row r="1702" spans="2:7" x14ac:dyDescent="0.3">
      <c r="B1702" s="529">
        <f t="shared" si="57"/>
        <v>1697001</v>
      </c>
      <c r="C1702" s="529">
        <f t="shared" si="58"/>
        <v>1698</v>
      </c>
      <c r="E1702" s="534">
        <v>0</v>
      </c>
      <c r="F1702" s="534">
        <v>0</v>
      </c>
      <c r="G1702" s="534">
        <v>6</v>
      </c>
    </row>
    <row r="1703" spans="2:7" x14ac:dyDescent="0.3">
      <c r="B1703" s="529">
        <f t="shared" si="57"/>
        <v>1698001</v>
      </c>
      <c r="C1703" s="529">
        <f t="shared" si="58"/>
        <v>1699</v>
      </c>
      <c r="E1703" s="534">
        <v>0</v>
      </c>
      <c r="F1703" s="534">
        <v>0</v>
      </c>
      <c r="G1703" s="534">
        <v>6</v>
      </c>
    </row>
    <row r="1704" spans="2:7" x14ac:dyDescent="0.3">
      <c r="B1704" s="529">
        <f t="shared" si="57"/>
        <v>1699001</v>
      </c>
      <c r="C1704" s="529">
        <f t="shared" si="58"/>
        <v>1700</v>
      </c>
      <c r="E1704" s="534">
        <v>0</v>
      </c>
      <c r="F1704" s="534">
        <v>0</v>
      </c>
      <c r="G1704" s="534">
        <v>6</v>
      </c>
    </row>
    <row r="1705" spans="2:7" x14ac:dyDescent="0.3">
      <c r="B1705" s="529">
        <f t="shared" si="57"/>
        <v>1700001</v>
      </c>
      <c r="C1705" s="529">
        <f t="shared" si="58"/>
        <v>1701</v>
      </c>
      <c r="E1705" s="534">
        <v>0</v>
      </c>
      <c r="F1705" s="534">
        <v>0</v>
      </c>
      <c r="G1705" s="534">
        <v>6</v>
      </c>
    </row>
    <row r="1706" spans="2:7" x14ac:dyDescent="0.3">
      <c r="B1706" s="529">
        <f t="shared" si="57"/>
        <v>1701001</v>
      </c>
      <c r="C1706" s="529">
        <f t="shared" si="58"/>
        <v>1702</v>
      </c>
      <c r="E1706" s="534">
        <v>0</v>
      </c>
      <c r="F1706" s="534">
        <v>0</v>
      </c>
      <c r="G1706" s="534">
        <v>6</v>
      </c>
    </row>
    <row r="1707" spans="2:7" x14ac:dyDescent="0.3">
      <c r="B1707" s="529">
        <f t="shared" si="57"/>
        <v>1702001</v>
      </c>
      <c r="C1707" s="529">
        <f t="shared" si="58"/>
        <v>1703</v>
      </c>
      <c r="E1707" s="534">
        <v>0</v>
      </c>
      <c r="F1707" s="534">
        <v>0</v>
      </c>
      <c r="G1707" s="534">
        <v>6</v>
      </c>
    </row>
    <row r="1708" spans="2:7" x14ac:dyDescent="0.3">
      <c r="B1708" s="529">
        <f t="shared" si="57"/>
        <v>1703001</v>
      </c>
      <c r="C1708" s="529">
        <f t="shared" si="58"/>
        <v>1704</v>
      </c>
      <c r="E1708" s="534">
        <v>0</v>
      </c>
      <c r="F1708" s="534">
        <v>0</v>
      </c>
      <c r="G1708" s="534">
        <v>6</v>
      </c>
    </row>
    <row r="1709" spans="2:7" x14ac:dyDescent="0.3">
      <c r="B1709" s="529">
        <f t="shared" si="57"/>
        <v>1704001</v>
      </c>
      <c r="C1709" s="529">
        <f t="shared" si="58"/>
        <v>1705</v>
      </c>
      <c r="E1709" s="534">
        <v>0</v>
      </c>
      <c r="F1709" s="534">
        <v>0</v>
      </c>
      <c r="G1709" s="534">
        <v>6</v>
      </c>
    </row>
    <row r="1710" spans="2:7" x14ac:dyDescent="0.3">
      <c r="B1710" s="529">
        <f t="shared" si="57"/>
        <v>1705001</v>
      </c>
      <c r="C1710" s="529">
        <f t="shared" si="58"/>
        <v>1706</v>
      </c>
      <c r="E1710" s="534">
        <v>0</v>
      </c>
      <c r="F1710" s="534">
        <v>0</v>
      </c>
      <c r="G1710" s="534">
        <v>6</v>
      </c>
    </row>
    <row r="1711" spans="2:7" x14ac:dyDescent="0.3">
      <c r="B1711" s="529">
        <f t="shared" si="57"/>
        <v>1706001</v>
      </c>
      <c r="C1711" s="529">
        <f t="shared" si="58"/>
        <v>1707</v>
      </c>
      <c r="E1711" s="534">
        <v>0</v>
      </c>
      <c r="F1711" s="534">
        <v>0</v>
      </c>
      <c r="G1711" s="534">
        <v>6</v>
      </c>
    </row>
    <row r="1712" spans="2:7" x14ac:dyDescent="0.3">
      <c r="B1712" s="529">
        <f t="shared" si="57"/>
        <v>1707001</v>
      </c>
      <c r="C1712" s="529">
        <f t="shared" si="58"/>
        <v>1708</v>
      </c>
      <c r="E1712" s="534">
        <v>0</v>
      </c>
      <c r="F1712" s="534">
        <v>0</v>
      </c>
      <c r="G1712" s="534">
        <v>6</v>
      </c>
    </row>
    <row r="1713" spans="2:7" x14ac:dyDescent="0.3">
      <c r="B1713" s="529">
        <f t="shared" si="57"/>
        <v>1708001</v>
      </c>
      <c r="C1713" s="529">
        <f t="shared" si="58"/>
        <v>1709</v>
      </c>
      <c r="E1713" s="534">
        <v>0</v>
      </c>
      <c r="F1713" s="534">
        <v>0</v>
      </c>
      <c r="G1713" s="534">
        <v>6</v>
      </c>
    </row>
    <row r="1714" spans="2:7" x14ac:dyDescent="0.3">
      <c r="B1714" s="529">
        <f t="shared" si="57"/>
        <v>1709001</v>
      </c>
      <c r="C1714" s="529">
        <f t="shared" si="58"/>
        <v>1710</v>
      </c>
      <c r="E1714" s="534">
        <v>1</v>
      </c>
      <c r="F1714" s="534">
        <v>1710</v>
      </c>
      <c r="G1714" s="534">
        <v>6</v>
      </c>
    </row>
    <row r="1715" spans="2:7" x14ac:dyDescent="0.3">
      <c r="B1715" s="529">
        <f t="shared" si="57"/>
        <v>1710001</v>
      </c>
      <c r="C1715" s="529">
        <f t="shared" si="58"/>
        <v>1711</v>
      </c>
      <c r="E1715" s="534">
        <v>0</v>
      </c>
      <c r="F1715" s="534">
        <v>0</v>
      </c>
      <c r="G1715" s="534">
        <v>5</v>
      </c>
    </row>
    <row r="1716" spans="2:7" x14ac:dyDescent="0.3">
      <c r="B1716" s="529">
        <f t="shared" si="57"/>
        <v>1711001</v>
      </c>
      <c r="C1716" s="529">
        <f t="shared" si="58"/>
        <v>1712</v>
      </c>
      <c r="E1716" s="534">
        <v>0</v>
      </c>
      <c r="F1716" s="534">
        <v>0</v>
      </c>
      <c r="G1716" s="534">
        <v>5</v>
      </c>
    </row>
    <row r="1717" spans="2:7" x14ac:dyDescent="0.3">
      <c r="B1717" s="529">
        <f t="shared" si="57"/>
        <v>1712001</v>
      </c>
      <c r="C1717" s="529">
        <f t="shared" si="58"/>
        <v>1713</v>
      </c>
      <c r="E1717" s="534">
        <v>0</v>
      </c>
      <c r="F1717" s="534">
        <v>0</v>
      </c>
      <c r="G1717" s="534">
        <v>5</v>
      </c>
    </row>
    <row r="1718" spans="2:7" x14ac:dyDescent="0.3">
      <c r="B1718" s="529">
        <f t="shared" si="57"/>
        <v>1713001</v>
      </c>
      <c r="C1718" s="529">
        <f t="shared" si="58"/>
        <v>1714</v>
      </c>
      <c r="E1718" s="534">
        <v>0</v>
      </c>
      <c r="F1718" s="534">
        <v>0</v>
      </c>
      <c r="G1718" s="534">
        <v>5</v>
      </c>
    </row>
    <row r="1719" spans="2:7" x14ac:dyDescent="0.3">
      <c r="B1719" s="529">
        <f t="shared" si="57"/>
        <v>1714001</v>
      </c>
      <c r="C1719" s="529">
        <f t="shared" si="58"/>
        <v>1715</v>
      </c>
      <c r="E1719" s="534">
        <v>0</v>
      </c>
      <c r="F1719" s="534">
        <v>0</v>
      </c>
      <c r="G1719" s="534">
        <v>5</v>
      </c>
    </row>
    <row r="1720" spans="2:7" x14ac:dyDescent="0.3">
      <c r="B1720" s="529">
        <f t="shared" si="57"/>
        <v>1715001</v>
      </c>
      <c r="C1720" s="529">
        <f t="shared" si="58"/>
        <v>1716</v>
      </c>
      <c r="E1720" s="534">
        <v>0</v>
      </c>
      <c r="F1720" s="534">
        <v>0</v>
      </c>
      <c r="G1720" s="534">
        <v>5</v>
      </c>
    </row>
    <row r="1721" spans="2:7" x14ac:dyDescent="0.3">
      <c r="B1721" s="529">
        <f t="shared" si="57"/>
        <v>1716001</v>
      </c>
      <c r="C1721" s="529">
        <f t="shared" si="58"/>
        <v>1717</v>
      </c>
      <c r="E1721" s="534">
        <v>0</v>
      </c>
      <c r="F1721" s="534">
        <v>0</v>
      </c>
      <c r="G1721" s="534">
        <v>5</v>
      </c>
    </row>
    <row r="1722" spans="2:7" x14ac:dyDescent="0.3">
      <c r="B1722" s="529">
        <f t="shared" si="57"/>
        <v>1717001</v>
      </c>
      <c r="C1722" s="529">
        <f t="shared" si="58"/>
        <v>1718</v>
      </c>
      <c r="E1722" s="534">
        <v>0</v>
      </c>
      <c r="F1722" s="534">
        <v>0</v>
      </c>
      <c r="G1722" s="534">
        <v>5</v>
      </c>
    </row>
    <row r="1723" spans="2:7" x14ac:dyDescent="0.3">
      <c r="B1723" s="529">
        <f t="shared" si="57"/>
        <v>1718001</v>
      </c>
      <c r="C1723" s="529">
        <f t="shared" si="58"/>
        <v>1719</v>
      </c>
      <c r="E1723" s="534">
        <v>0</v>
      </c>
      <c r="F1723" s="534">
        <v>0</v>
      </c>
      <c r="G1723" s="534">
        <v>5</v>
      </c>
    </row>
    <row r="1724" spans="2:7" x14ac:dyDescent="0.3">
      <c r="B1724" s="529">
        <f t="shared" si="57"/>
        <v>1719001</v>
      </c>
      <c r="C1724" s="529">
        <f t="shared" si="58"/>
        <v>1720</v>
      </c>
      <c r="E1724" s="534">
        <v>0</v>
      </c>
      <c r="F1724" s="534">
        <v>0</v>
      </c>
      <c r="G1724" s="534">
        <v>5</v>
      </c>
    </row>
    <row r="1725" spans="2:7" x14ac:dyDescent="0.3">
      <c r="B1725" s="529">
        <f t="shared" si="57"/>
        <v>1720001</v>
      </c>
      <c r="C1725" s="529">
        <f t="shared" si="58"/>
        <v>1721</v>
      </c>
      <c r="E1725" s="534">
        <v>0</v>
      </c>
      <c r="F1725" s="534">
        <v>0</v>
      </c>
      <c r="G1725" s="534">
        <v>5</v>
      </c>
    </row>
    <row r="1726" spans="2:7" x14ac:dyDescent="0.3">
      <c r="B1726" s="529">
        <f t="shared" si="57"/>
        <v>1721001</v>
      </c>
      <c r="C1726" s="529">
        <f t="shared" si="58"/>
        <v>1722</v>
      </c>
      <c r="E1726" s="534">
        <v>0</v>
      </c>
      <c r="F1726" s="534">
        <v>0</v>
      </c>
      <c r="G1726" s="534">
        <v>5</v>
      </c>
    </row>
    <row r="1727" spans="2:7" x14ac:dyDescent="0.3">
      <c r="B1727" s="529">
        <f t="shared" si="57"/>
        <v>1722001</v>
      </c>
      <c r="C1727" s="529">
        <f t="shared" si="58"/>
        <v>1723</v>
      </c>
      <c r="E1727" s="534">
        <v>0</v>
      </c>
      <c r="F1727" s="534">
        <v>0</v>
      </c>
      <c r="G1727" s="534">
        <v>5</v>
      </c>
    </row>
    <row r="1728" spans="2:7" x14ac:dyDescent="0.3">
      <c r="B1728" s="529">
        <f t="shared" si="57"/>
        <v>1723001</v>
      </c>
      <c r="C1728" s="529">
        <f t="shared" si="58"/>
        <v>1724</v>
      </c>
      <c r="E1728" s="534">
        <v>0</v>
      </c>
      <c r="F1728" s="534">
        <v>0</v>
      </c>
      <c r="G1728" s="534">
        <v>5</v>
      </c>
    </row>
    <row r="1729" spans="2:7" x14ac:dyDescent="0.3">
      <c r="B1729" s="529">
        <f t="shared" si="57"/>
        <v>1724001</v>
      </c>
      <c r="C1729" s="529">
        <f t="shared" si="58"/>
        <v>1725</v>
      </c>
      <c r="E1729" s="534">
        <v>0</v>
      </c>
      <c r="F1729" s="534">
        <v>0</v>
      </c>
      <c r="G1729" s="534">
        <v>5</v>
      </c>
    </row>
    <row r="1730" spans="2:7" x14ac:dyDescent="0.3">
      <c r="B1730" s="529">
        <f t="shared" si="57"/>
        <v>1725001</v>
      </c>
      <c r="C1730" s="529">
        <f t="shared" si="58"/>
        <v>1726</v>
      </c>
      <c r="E1730" s="534">
        <v>0</v>
      </c>
      <c r="F1730" s="534">
        <v>0</v>
      </c>
      <c r="G1730" s="534">
        <v>5</v>
      </c>
    </row>
    <row r="1731" spans="2:7" x14ac:dyDescent="0.3">
      <c r="B1731" s="529">
        <f t="shared" si="57"/>
        <v>1726001</v>
      </c>
      <c r="C1731" s="529">
        <f t="shared" si="58"/>
        <v>1727</v>
      </c>
      <c r="E1731" s="534">
        <v>0</v>
      </c>
      <c r="F1731" s="534">
        <v>0</v>
      </c>
      <c r="G1731" s="534">
        <v>5</v>
      </c>
    </row>
    <row r="1732" spans="2:7" x14ac:dyDescent="0.3">
      <c r="B1732" s="529">
        <f t="shared" si="57"/>
        <v>1727001</v>
      </c>
      <c r="C1732" s="529">
        <f t="shared" si="58"/>
        <v>1728</v>
      </c>
      <c r="E1732" s="534">
        <v>0</v>
      </c>
      <c r="F1732" s="534">
        <v>0</v>
      </c>
      <c r="G1732" s="534">
        <v>5</v>
      </c>
    </row>
    <row r="1733" spans="2:7" x14ac:dyDescent="0.3">
      <c r="B1733" s="529">
        <f t="shared" si="57"/>
        <v>1728001</v>
      </c>
      <c r="C1733" s="529">
        <f t="shared" si="58"/>
        <v>1729</v>
      </c>
      <c r="E1733" s="534">
        <v>0</v>
      </c>
      <c r="F1733" s="534">
        <v>0</v>
      </c>
      <c r="G1733" s="534">
        <v>5</v>
      </c>
    </row>
    <row r="1734" spans="2:7" x14ac:dyDescent="0.3">
      <c r="B1734" s="529">
        <f t="shared" si="57"/>
        <v>1729001</v>
      </c>
      <c r="C1734" s="529">
        <f t="shared" si="58"/>
        <v>1730</v>
      </c>
      <c r="E1734" s="534">
        <v>0</v>
      </c>
      <c r="F1734" s="534">
        <v>0</v>
      </c>
      <c r="G1734" s="534">
        <v>5</v>
      </c>
    </row>
    <row r="1735" spans="2:7" x14ac:dyDescent="0.3">
      <c r="B1735" s="529">
        <f t="shared" ref="B1735:B1798" si="59">C1734*1000+1</f>
        <v>1730001</v>
      </c>
      <c r="C1735" s="529">
        <f t="shared" si="58"/>
        <v>1731</v>
      </c>
      <c r="E1735" s="534">
        <v>0</v>
      </c>
      <c r="F1735" s="534">
        <v>0</v>
      </c>
      <c r="G1735" s="534">
        <v>5</v>
      </c>
    </row>
    <row r="1736" spans="2:7" x14ac:dyDescent="0.3">
      <c r="B1736" s="529">
        <f t="shared" si="59"/>
        <v>1731001</v>
      </c>
      <c r="C1736" s="529">
        <f t="shared" si="58"/>
        <v>1732</v>
      </c>
      <c r="E1736" s="534">
        <v>0</v>
      </c>
      <c r="F1736" s="534">
        <v>0</v>
      </c>
      <c r="G1736" s="534">
        <v>5</v>
      </c>
    </row>
    <row r="1737" spans="2:7" x14ac:dyDescent="0.3">
      <c r="B1737" s="529">
        <f t="shared" si="59"/>
        <v>1732001</v>
      </c>
      <c r="C1737" s="529">
        <f t="shared" si="58"/>
        <v>1733</v>
      </c>
      <c r="E1737" s="534">
        <v>0</v>
      </c>
      <c r="F1737" s="534">
        <v>0</v>
      </c>
      <c r="G1737" s="534">
        <v>5</v>
      </c>
    </row>
    <row r="1738" spans="2:7" x14ac:dyDescent="0.3">
      <c r="B1738" s="529">
        <f t="shared" si="59"/>
        <v>1733001</v>
      </c>
      <c r="C1738" s="529">
        <f t="shared" si="58"/>
        <v>1734</v>
      </c>
      <c r="E1738" s="534">
        <v>0</v>
      </c>
      <c r="F1738" s="534">
        <v>0</v>
      </c>
      <c r="G1738" s="534">
        <v>5</v>
      </c>
    </row>
    <row r="1739" spans="2:7" x14ac:dyDescent="0.3">
      <c r="B1739" s="529">
        <f t="shared" si="59"/>
        <v>1734001</v>
      </c>
      <c r="C1739" s="529">
        <f t="shared" si="58"/>
        <v>1735</v>
      </c>
      <c r="E1739" s="534">
        <v>0</v>
      </c>
      <c r="F1739" s="534">
        <v>0</v>
      </c>
      <c r="G1739" s="534">
        <v>5</v>
      </c>
    </row>
    <row r="1740" spans="2:7" x14ac:dyDescent="0.3">
      <c r="B1740" s="529">
        <f t="shared" si="59"/>
        <v>1735001</v>
      </c>
      <c r="C1740" s="529">
        <f t="shared" si="58"/>
        <v>1736</v>
      </c>
      <c r="E1740" s="534">
        <v>0</v>
      </c>
      <c r="F1740" s="534">
        <v>0</v>
      </c>
      <c r="G1740" s="534">
        <v>5</v>
      </c>
    </row>
    <row r="1741" spans="2:7" x14ac:dyDescent="0.3">
      <c r="B1741" s="529">
        <f t="shared" si="59"/>
        <v>1736001</v>
      </c>
      <c r="C1741" s="529">
        <f t="shared" si="58"/>
        <v>1737</v>
      </c>
      <c r="E1741" s="534">
        <v>0</v>
      </c>
      <c r="F1741" s="534">
        <v>0</v>
      </c>
      <c r="G1741" s="534">
        <v>5</v>
      </c>
    </row>
    <row r="1742" spans="2:7" x14ac:dyDescent="0.3">
      <c r="B1742" s="529">
        <f t="shared" si="59"/>
        <v>1737001</v>
      </c>
      <c r="C1742" s="529">
        <f t="shared" si="58"/>
        <v>1738</v>
      </c>
      <c r="E1742" s="534">
        <v>0</v>
      </c>
      <c r="F1742" s="534">
        <v>0</v>
      </c>
      <c r="G1742" s="534">
        <v>5</v>
      </c>
    </row>
    <row r="1743" spans="2:7" x14ac:dyDescent="0.3">
      <c r="B1743" s="529">
        <f t="shared" si="59"/>
        <v>1738001</v>
      </c>
      <c r="C1743" s="529">
        <f t="shared" si="58"/>
        <v>1739</v>
      </c>
      <c r="E1743" s="534">
        <v>0</v>
      </c>
      <c r="F1743" s="534">
        <v>0</v>
      </c>
      <c r="G1743" s="534">
        <v>5</v>
      </c>
    </row>
    <row r="1744" spans="2:7" x14ac:dyDescent="0.3">
      <c r="B1744" s="529">
        <f t="shared" si="59"/>
        <v>1739001</v>
      </c>
      <c r="C1744" s="529">
        <f t="shared" si="58"/>
        <v>1740</v>
      </c>
      <c r="E1744" s="534">
        <v>0</v>
      </c>
      <c r="F1744" s="534">
        <v>0</v>
      </c>
      <c r="G1744" s="534">
        <v>5</v>
      </c>
    </row>
    <row r="1745" spans="2:7" x14ac:dyDescent="0.3">
      <c r="B1745" s="529">
        <f t="shared" si="59"/>
        <v>1740001</v>
      </c>
      <c r="C1745" s="529">
        <f t="shared" si="58"/>
        <v>1741</v>
      </c>
      <c r="E1745" s="534">
        <v>0</v>
      </c>
      <c r="F1745" s="534">
        <v>0</v>
      </c>
      <c r="G1745" s="534">
        <v>5</v>
      </c>
    </row>
    <row r="1746" spans="2:7" x14ac:dyDescent="0.3">
      <c r="B1746" s="529">
        <f t="shared" si="59"/>
        <v>1741001</v>
      </c>
      <c r="C1746" s="529">
        <f t="shared" si="58"/>
        <v>1742</v>
      </c>
      <c r="E1746" s="534">
        <v>0</v>
      </c>
      <c r="F1746" s="534">
        <v>0</v>
      </c>
      <c r="G1746" s="534">
        <v>5</v>
      </c>
    </row>
    <row r="1747" spans="2:7" x14ac:dyDescent="0.3">
      <c r="B1747" s="529">
        <f t="shared" si="59"/>
        <v>1742001</v>
      </c>
      <c r="C1747" s="529">
        <f t="shared" ref="C1747:C1810" si="60">C1746+1</f>
        <v>1743</v>
      </c>
      <c r="E1747" s="534">
        <v>0</v>
      </c>
      <c r="F1747" s="534">
        <v>0</v>
      </c>
      <c r="G1747" s="534">
        <v>5</v>
      </c>
    </row>
    <row r="1748" spans="2:7" x14ac:dyDescent="0.3">
      <c r="B1748" s="529">
        <f t="shared" si="59"/>
        <v>1743001</v>
      </c>
      <c r="C1748" s="529">
        <f t="shared" si="60"/>
        <v>1744</v>
      </c>
      <c r="E1748" s="534">
        <v>0</v>
      </c>
      <c r="F1748" s="534">
        <v>0</v>
      </c>
      <c r="G1748" s="534">
        <v>5</v>
      </c>
    </row>
    <row r="1749" spans="2:7" x14ac:dyDescent="0.3">
      <c r="B1749" s="529">
        <f t="shared" si="59"/>
        <v>1744001</v>
      </c>
      <c r="C1749" s="529">
        <f t="shared" si="60"/>
        <v>1745</v>
      </c>
      <c r="E1749" s="534">
        <v>0</v>
      </c>
      <c r="F1749" s="534">
        <v>0</v>
      </c>
      <c r="G1749" s="534">
        <v>5</v>
      </c>
    </row>
    <row r="1750" spans="2:7" x14ac:dyDescent="0.3">
      <c r="B1750" s="529">
        <f t="shared" si="59"/>
        <v>1745001</v>
      </c>
      <c r="C1750" s="529">
        <f t="shared" si="60"/>
        <v>1746</v>
      </c>
      <c r="E1750" s="534">
        <v>0</v>
      </c>
      <c r="F1750" s="534">
        <v>0</v>
      </c>
      <c r="G1750" s="534">
        <v>5</v>
      </c>
    </row>
    <row r="1751" spans="2:7" x14ac:dyDescent="0.3">
      <c r="B1751" s="529">
        <f t="shared" si="59"/>
        <v>1746001</v>
      </c>
      <c r="C1751" s="529">
        <f t="shared" si="60"/>
        <v>1747</v>
      </c>
      <c r="E1751" s="534">
        <v>0</v>
      </c>
      <c r="F1751" s="534">
        <v>0</v>
      </c>
      <c r="G1751" s="534">
        <v>5</v>
      </c>
    </row>
    <row r="1752" spans="2:7" x14ac:dyDescent="0.3">
      <c r="B1752" s="529">
        <f t="shared" si="59"/>
        <v>1747001</v>
      </c>
      <c r="C1752" s="529">
        <f t="shared" si="60"/>
        <v>1748</v>
      </c>
      <c r="E1752" s="534">
        <v>0</v>
      </c>
      <c r="F1752" s="534">
        <v>0</v>
      </c>
      <c r="G1752" s="534">
        <v>5</v>
      </c>
    </row>
    <row r="1753" spans="2:7" x14ac:dyDescent="0.3">
      <c r="B1753" s="529">
        <f t="shared" si="59"/>
        <v>1748001</v>
      </c>
      <c r="C1753" s="529">
        <f t="shared" si="60"/>
        <v>1749</v>
      </c>
      <c r="E1753" s="534">
        <v>0</v>
      </c>
      <c r="F1753" s="534">
        <v>0</v>
      </c>
      <c r="G1753" s="534">
        <v>5</v>
      </c>
    </row>
    <row r="1754" spans="2:7" x14ac:dyDescent="0.3">
      <c r="B1754" s="529">
        <f t="shared" si="59"/>
        <v>1749001</v>
      </c>
      <c r="C1754" s="529">
        <f t="shared" si="60"/>
        <v>1750</v>
      </c>
      <c r="E1754" s="534">
        <v>0</v>
      </c>
      <c r="F1754" s="534">
        <v>0</v>
      </c>
      <c r="G1754" s="534">
        <v>5</v>
      </c>
    </row>
    <row r="1755" spans="2:7" x14ac:dyDescent="0.3">
      <c r="B1755" s="529">
        <f t="shared" si="59"/>
        <v>1750001</v>
      </c>
      <c r="C1755" s="529">
        <f t="shared" si="60"/>
        <v>1751</v>
      </c>
      <c r="E1755" s="534">
        <v>0</v>
      </c>
      <c r="F1755" s="534">
        <v>0</v>
      </c>
      <c r="G1755" s="534">
        <v>5</v>
      </c>
    </row>
    <row r="1756" spans="2:7" x14ac:dyDescent="0.3">
      <c r="B1756" s="529">
        <f t="shared" si="59"/>
        <v>1751001</v>
      </c>
      <c r="C1756" s="529">
        <f t="shared" si="60"/>
        <v>1752</v>
      </c>
      <c r="E1756" s="534">
        <v>0</v>
      </c>
      <c r="F1756" s="534">
        <v>0</v>
      </c>
      <c r="G1756" s="534">
        <v>5</v>
      </c>
    </row>
    <row r="1757" spans="2:7" x14ac:dyDescent="0.3">
      <c r="B1757" s="529">
        <f t="shared" si="59"/>
        <v>1752001</v>
      </c>
      <c r="C1757" s="529">
        <f t="shared" si="60"/>
        <v>1753</v>
      </c>
      <c r="E1757" s="534">
        <v>0</v>
      </c>
      <c r="F1757" s="534">
        <v>0</v>
      </c>
      <c r="G1757" s="534">
        <v>5</v>
      </c>
    </row>
    <row r="1758" spans="2:7" x14ac:dyDescent="0.3">
      <c r="B1758" s="529">
        <f t="shared" si="59"/>
        <v>1753001</v>
      </c>
      <c r="C1758" s="529">
        <f t="shared" si="60"/>
        <v>1754</v>
      </c>
      <c r="E1758" s="534">
        <v>0</v>
      </c>
      <c r="F1758" s="534">
        <v>0</v>
      </c>
      <c r="G1758" s="534">
        <v>5</v>
      </c>
    </row>
    <row r="1759" spans="2:7" x14ac:dyDescent="0.3">
      <c r="B1759" s="529">
        <f t="shared" si="59"/>
        <v>1754001</v>
      </c>
      <c r="C1759" s="529">
        <f t="shared" si="60"/>
        <v>1755</v>
      </c>
      <c r="E1759" s="534">
        <v>0</v>
      </c>
      <c r="F1759" s="534">
        <v>0</v>
      </c>
      <c r="G1759" s="534">
        <v>5</v>
      </c>
    </row>
    <row r="1760" spans="2:7" x14ac:dyDescent="0.3">
      <c r="B1760" s="529">
        <f t="shared" si="59"/>
        <v>1755001</v>
      </c>
      <c r="C1760" s="529">
        <f t="shared" si="60"/>
        <v>1756</v>
      </c>
      <c r="E1760" s="534">
        <v>0</v>
      </c>
      <c r="F1760" s="534">
        <v>0</v>
      </c>
      <c r="G1760" s="534">
        <v>5</v>
      </c>
    </row>
    <row r="1761" spans="2:7" x14ac:dyDescent="0.3">
      <c r="B1761" s="529">
        <f t="shared" si="59"/>
        <v>1756001</v>
      </c>
      <c r="C1761" s="529">
        <f t="shared" si="60"/>
        <v>1757</v>
      </c>
      <c r="E1761" s="534">
        <v>0</v>
      </c>
      <c r="F1761" s="534">
        <v>0</v>
      </c>
      <c r="G1761" s="534">
        <v>5</v>
      </c>
    </row>
    <row r="1762" spans="2:7" x14ac:dyDescent="0.3">
      <c r="B1762" s="529">
        <f t="shared" si="59"/>
        <v>1757001</v>
      </c>
      <c r="C1762" s="529">
        <f t="shared" si="60"/>
        <v>1758</v>
      </c>
      <c r="E1762" s="534">
        <v>0</v>
      </c>
      <c r="F1762" s="534">
        <v>0</v>
      </c>
      <c r="G1762" s="534">
        <v>5</v>
      </c>
    </row>
    <row r="1763" spans="2:7" x14ac:dyDescent="0.3">
      <c r="B1763" s="529">
        <f t="shared" si="59"/>
        <v>1758001</v>
      </c>
      <c r="C1763" s="529">
        <f t="shared" si="60"/>
        <v>1759</v>
      </c>
      <c r="E1763" s="534">
        <v>0</v>
      </c>
      <c r="F1763" s="534">
        <v>0</v>
      </c>
      <c r="G1763" s="534">
        <v>5</v>
      </c>
    </row>
    <row r="1764" spans="2:7" x14ac:dyDescent="0.3">
      <c r="B1764" s="529">
        <f t="shared" si="59"/>
        <v>1759001</v>
      </c>
      <c r="C1764" s="529">
        <f t="shared" si="60"/>
        <v>1760</v>
      </c>
      <c r="E1764" s="534">
        <v>0</v>
      </c>
      <c r="F1764" s="534">
        <v>0</v>
      </c>
      <c r="G1764" s="534">
        <v>5</v>
      </c>
    </row>
    <row r="1765" spans="2:7" x14ac:dyDescent="0.3">
      <c r="B1765" s="529">
        <f t="shared" si="59"/>
        <v>1760001</v>
      </c>
      <c r="C1765" s="529">
        <f t="shared" si="60"/>
        <v>1761</v>
      </c>
      <c r="E1765" s="534">
        <v>0</v>
      </c>
      <c r="F1765" s="534">
        <v>0</v>
      </c>
      <c r="G1765" s="534">
        <v>5</v>
      </c>
    </row>
    <row r="1766" spans="2:7" x14ac:dyDescent="0.3">
      <c r="B1766" s="529">
        <f t="shared" si="59"/>
        <v>1761001</v>
      </c>
      <c r="C1766" s="529">
        <f t="shared" si="60"/>
        <v>1762</v>
      </c>
      <c r="E1766" s="534">
        <v>0</v>
      </c>
      <c r="F1766" s="534">
        <v>0</v>
      </c>
      <c r="G1766" s="534">
        <v>5</v>
      </c>
    </row>
    <row r="1767" spans="2:7" x14ac:dyDescent="0.3">
      <c r="B1767" s="529">
        <f t="shared" si="59"/>
        <v>1762001</v>
      </c>
      <c r="C1767" s="529">
        <f t="shared" si="60"/>
        <v>1763</v>
      </c>
      <c r="E1767" s="534">
        <v>0</v>
      </c>
      <c r="F1767" s="534">
        <v>0</v>
      </c>
      <c r="G1767" s="534">
        <v>5</v>
      </c>
    </row>
    <row r="1768" spans="2:7" x14ac:dyDescent="0.3">
      <c r="B1768" s="529">
        <f t="shared" si="59"/>
        <v>1763001</v>
      </c>
      <c r="C1768" s="529">
        <f t="shared" si="60"/>
        <v>1764</v>
      </c>
      <c r="E1768" s="534">
        <v>0</v>
      </c>
      <c r="F1768" s="534">
        <v>0</v>
      </c>
      <c r="G1768" s="534">
        <v>5</v>
      </c>
    </row>
    <row r="1769" spans="2:7" x14ac:dyDescent="0.3">
      <c r="B1769" s="529">
        <f t="shared" si="59"/>
        <v>1764001</v>
      </c>
      <c r="C1769" s="529">
        <f t="shared" si="60"/>
        <v>1765</v>
      </c>
      <c r="E1769" s="534">
        <v>0</v>
      </c>
      <c r="F1769" s="534">
        <v>0</v>
      </c>
      <c r="G1769" s="534">
        <v>5</v>
      </c>
    </row>
    <row r="1770" spans="2:7" x14ac:dyDescent="0.3">
      <c r="B1770" s="529">
        <f t="shared" si="59"/>
        <v>1765001</v>
      </c>
      <c r="C1770" s="529">
        <f t="shared" si="60"/>
        <v>1766</v>
      </c>
      <c r="E1770" s="534">
        <v>0</v>
      </c>
      <c r="F1770" s="534">
        <v>0</v>
      </c>
      <c r="G1770" s="534">
        <v>5</v>
      </c>
    </row>
    <row r="1771" spans="2:7" x14ac:dyDescent="0.3">
      <c r="B1771" s="529">
        <f t="shared" si="59"/>
        <v>1766001</v>
      </c>
      <c r="C1771" s="529">
        <f t="shared" si="60"/>
        <v>1767</v>
      </c>
      <c r="E1771" s="534">
        <v>0</v>
      </c>
      <c r="F1771" s="534">
        <v>0</v>
      </c>
      <c r="G1771" s="534">
        <v>5</v>
      </c>
    </row>
    <row r="1772" spans="2:7" x14ac:dyDescent="0.3">
      <c r="B1772" s="529">
        <f t="shared" si="59"/>
        <v>1767001</v>
      </c>
      <c r="C1772" s="529">
        <f t="shared" si="60"/>
        <v>1768</v>
      </c>
      <c r="E1772" s="534">
        <v>0</v>
      </c>
      <c r="F1772" s="534">
        <v>0</v>
      </c>
      <c r="G1772" s="534">
        <v>5</v>
      </c>
    </row>
    <row r="1773" spans="2:7" x14ac:dyDescent="0.3">
      <c r="B1773" s="529">
        <f t="shared" si="59"/>
        <v>1768001</v>
      </c>
      <c r="C1773" s="529">
        <f t="shared" si="60"/>
        <v>1769</v>
      </c>
      <c r="E1773" s="534">
        <v>0</v>
      </c>
      <c r="F1773" s="534">
        <v>0</v>
      </c>
      <c r="G1773" s="534">
        <v>5</v>
      </c>
    </row>
    <row r="1774" spans="2:7" x14ac:dyDescent="0.3">
      <c r="B1774" s="529">
        <f t="shared" si="59"/>
        <v>1769001</v>
      </c>
      <c r="C1774" s="529">
        <f t="shared" si="60"/>
        <v>1770</v>
      </c>
      <c r="E1774" s="534">
        <v>0</v>
      </c>
      <c r="F1774" s="534">
        <v>0</v>
      </c>
      <c r="G1774" s="534">
        <v>5</v>
      </c>
    </row>
    <row r="1775" spans="2:7" x14ac:dyDescent="0.3">
      <c r="B1775" s="529">
        <f t="shared" si="59"/>
        <v>1770001</v>
      </c>
      <c r="C1775" s="529">
        <f t="shared" si="60"/>
        <v>1771</v>
      </c>
      <c r="E1775" s="534">
        <v>0</v>
      </c>
      <c r="F1775" s="534">
        <v>0</v>
      </c>
      <c r="G1775" s="534">
        <v>5</v>
      </c>
    </row>
    <row r="1776" spans="2:7" x14ac:dyDescent="0.3">
      <c r="B1776" s="529">
        <f t="shared" si="59"/>
        <v>1771001</v>
      </c>
      <c r="C1776" s="529">
        <f t="shared" si="60"/>
        <v>1772</v>
      </c>
      <c r="E1776" s="534">
        <v>0</v>
      </c>
      <c r="F1776" s="534">
        <v>0</v>
      </c>
      <c r="G1776" s="534">
        <v>5</v>
      </c>
    </row>
    <row r="1777" spans="2:7" x14ac:dyDescent="0.3">
      <c r="B1777" s="529">
        <f t="shared" si="59"/>
        <v>1772001</v>
      </c>
      <c r="C1777" s="529">
        <f t="shared" si="60"/>
        <v>1773</v>
      </c>
      <c r="E1777" s="534">
        <v>0</v>
      </c>
      <c r="F1777" s="534">
        <v>0</v>
      </c>
      <c r="G1777" s="534">
        <v>5</v>
      </c>
    </row>
    <row r="1778" spans="2:7" x14ac:dyDescent="0.3">
      <c r="B1778" s="529">
        <f t="shared" si="59"/>
        <v>1773001</v>
      </c>
      <c r="C1778" s="529">
        <f t="shared" si="60"/>
        <v>1774</v>
      </c>
      <c r="E1778" s="534">
        <v>0</v>
      </c>
      <c r="F1778" s="534">
        <v>0</v>
      </c>
      <c r="G1778" s="534">
        <v>5</v>
      </c>
    </row>
    <row r="1779" spans="2:7" x14ac:dyDescent="0.3">
      <c r="B1779" s="529">
        <f t="shared" si="59"/>
        <v>1774001</v>
      </c>
      <c r="C1779" s="529">
        <f t="shared" si="60"/>
        <v>1775</v>
      </c>
      <c r="E1779" s="534">
        <v>0</v>
      </c>
      <c r="F1779" s="534">
        <v>0</v>
      </c>
      <c r="G1779" s="534">
        <v>5</v>
      </c>
    </row>
    <row r="1780" spans="2:7" x14ac:dyDescent="0.3">
      <c r="B1780" s="529">
        <f t="shared" si="59"/>
        <v>1775001</v>
      </c>
      <c r="C1780" s="529">
        <f t="shared" si="60"/>
        <v>1776</v>
      </c>
      <c r="E1780" s="534">
        <v>0</v>
      </c>
      <c r="F1780" s="534">
        <v>0</v>
      </c>
      <c r="G1780" s="534">
        <v>5</v>
      </c>
    </row>
    <row r="1781" spans="2:7" x14ac:dyDescent="0.3">
      <c r="B1781" s="529">
        <f t="shared" si="59"/>
        <v>1776001</v>
      </c>
      <c r="C1781" s="529">
        <f t="shared" si="60"/>
        <v>1777</v>
      </c>
      <c r="E1781" s="534">
        <v>0</v>
      </c>
      <c r="F1781" s="534">
        <v>0</v>
      </c>
      <c r="G1781" s="534">
        <v>5</v>
      </c>
    </row>
    <row r="1782" spans="2:7" x14ac:dyDescent="0.3">
      <c r="B1782" s="529">
        <f t="shared" si="59"/>
        <v>1777001</v>
      </c>
      <c r="C1782" s="529">
        <f t="shared" si="60"/>
        <v>1778</v>
      </c>
      <c r="E1782" s="534">
        <v>0</v>
      </c>
      <c r="F1782" s="534">
        <v>0</v>
      </c>
      <c r="G1782" s="534">
        <v>5</v>
      </c>
    </row>
    <row r="1783" spans="2:7" x14ac:dyDescent="0.3">
      <c r="B1783" s="529">
        <f t="shared" si="59"/>
        <v>1778001</v>
      </c>
      <c r="C1783" s="529">
        <f t="shared" si="60"/>
        <v>1779</v>
      </c>
      <c r="E1783" s="534">
        <v>0</v>
      </c>
      <c r="F1783" s="534">
        <v>0</v>
      </c>
      <c r="G1783" s="534">
        <v>5</v>
      </c>
    </row>
    <row r="1784" spans="2:7" x14ac:dyDescent="0.3">
      <c r="B1784" s="529">
        <f t="shared" si="59"/>
        <v>1779001</v>
      </c>
      <c r="C1784" s="529">
        <f t="shared" si="60"/>
        <v>1780</v>
      </c>
      <c r="E1784" s="534">
        <v>0</v>
      </c>
      <c r="F1784" s="534">
        <v>0</v>
      </c>
      <c r="G1784" s="534">
        <v>5</v>
      </c>
    </row>
    <row r="1785" spans="2:7" x14ac:dyDescent="0.3">
      <c r="B1785" s="529">
        <f t="shared" si="59"/>
        <v>1780001</v>
      </c>
      <c r="C1785" s="529">
        <f t="shared" si="60"/>
        <v>1781</v>
      </c>
      <c r="E1785" s="534">
        <v>0</v>
      </c>
      <c r="F1785" s="534">
        <v>0</v>
      </c>
      <c r="G1785" s="534">
        <v>5</v>
      </c>
    </row>
    <row r="1786" spans="2:7" x14ac:dyDescent="0.3">
      <c r="B1786" s="529">
        <f t="shared" si="59"/>
        <v>1781001</v>
      </c>
      <c r="C1786" s="529">
        <f t="shared" si="60"/>
        <v>1782</v>
      </c>
      <c r="E1786" s="534">
        <v>0</v>
      </c>
      <c r="F1786" s="534">
        <v>0</v>
      </c>
      <c r="G1786" s="534">
        <v>5</v>
      </c>
    </row>
    <row r="1787" spans="2:7" x14ac:dyDescent="0.3">
      <c r="B1787" s="529">
        <f t="shared" si="59"/>
        <v>1782001</v>
      </c>
      <c r="C1787" s="529">
        <f t="shared" si="60"/>
        <v>1783</v>
      </c>
      <c r="E1787" s="534">
        <v>0</v>
      </c>
      <c r="F1787" s="534">
        <v>0</v>
      </c>
      <c r="G1787" s="534">
        <v>5</v>
      </c>
    </row>
    <row r="1788" spans="2:7" x14ac:dyDescent="0.3">
      <c r="B1788" s="529">
        <f t="shared" si="59"/>
        <v>1783001</v>
      </c>
      <c r="C1788" s="529">
        <f t="shared" si="60"/>
        <v>1784</v>
      </c>
      <c r="E1788" s="534">
        <v>0</v>
      </c>
      <c r="F1788" s="534">
        <v>0</v>
      </c>
      <c r="G1788" s="534">
        <v>5</v>
      </c>
    </row>
    <row r="1789" spans="2:7" x14ac:dyDescent="0.3">
      <c r="B1789" s="529">
        <f t="shared" si="59"/>
        <v>1784001</v>
      </c>
      <c r="C1789" s="529">
        <f t="shared" si="60"/>
        <v>1785</v>
      </c>
      <c r="E1789" s="534">
        <v>0</v>
      </c>
      <c r="F1789" s="534">
        <v>0</v>
      </c>
      <c r="G1789" s="534">
        <v>5</v>
      </c>
    </row>
    <row r="1790" spans="2:7" x14ac:dyDescent="0.3">
      <c r="B1790" s="529">
        <f t="shared" si="59"/>
        <v>1785001</v>
      </c>
      <c r="C1790" s="529">
        <f t="shared" si="60"/>
        <v>1786</v>
      </c>
      <c r="E1790" s="534">
        <v>0</v>
      </c>
      <c r="F1790" s="534">
        <v>0</v>
      </c>
      <c r="G1790" s="534">
        <v>5</v>
      </c>
    </row>
    <row r="1791" spans="2:7" x14ac:dyDescent="0.3">
      <c r="B1791" s="529">
        <f t="shared" si="59"/>
        <v>1786001</v>
      </c>
      <c r="C1791" s="529">
        <f t="shared" si="60"/>
        <v>1787</v>
      </c>
      <c r="E1791" s="534">
        <v>0</v>
      </c>
      <c r="F1791" s="534">
        <v>0</v>
      </c>
      <c r="G1791" s="534">
        <v>5</v>
      </c>
    </row>
    <row r="1792" spans="2:7" x14ac:dyDescent="0.3">
      <c r="B1792" s="529">
        <f t="shared" si="59"/>
        <v>1787001</v>
      </c>
      <c r="C1792" s="529">
        <f t="shared" si="60"/>
        <v>1788</v>
      </c>
      <c r="E1792" s="534">
        <v>0</v>
      </c>
      <c r="F1792" s="534">
        <v>0</v>
      </c>
      <c r="G1792" s="534">
        <v>5</v>
      </c>
    </row>
    <row r="1793" spans="2:7" x14ac:dyDescent="0.3">
      <c r="B1793" s="529">
        <f t="shared" si="59"/>
        <v>1788001</v>
      </c>
      <c r="C1793" s="529">
        <f t="shared" si="60"/>
        <v>1789</v>
      </c>
      <c r="E1793" s="534">
        <v>0</v>
      </c>
      <c r="F1793" s="534">
        <v>0</v>
      </c>
      <c r="G1793" s="534">
        <v>5</v>
      </c>
    </row>
    <row r="1794" spans="2:7" x14ac:dyDescent="0.3">
      <c r="B1794" s="529">
        <f t="shared" si="59"/>
        <v>1789001</v>
      </c>
      <c r="C1794" s="529">
        <f t="shared" si="60"/>
        <v>1790</v>
      </c>
      <c r="E1794" s="534">
        <v>0</v>
      </c>
      <c r="F1794" s="534">
        <v>0</v>
      </c>
      <c r="G1794" s="534">
        <v>5</v>
      </c>
    </row>
    <row r="1795" spans="2:7" x14ac:dyDescent="0.3">
      <c r="B1795" s="529">
        <f t="shared" si="59"/>
        <v>1790001</v>
      </c>
      <c r="C1795" s="529">
        <f t="shared" si="60"/>
        <v>1791</v>
      </c>
      <c r="E1795" s="534">
        <v>0</v>
      </c>
      <c r="F1795" s="534">
        <v>0</v>
      </c>
      <c r="G1795" s="534">
        <v>5</v>
      </c>
    </row>
    <row r="1796" spans="2:7" x14ac:dyDescent="0.3">
      <c r="B1796" s="529">
        <f t="shared" si="59"/>
        <v>1791001</v>
      </c>
      <c r="C1796" s="529">
        <f t="shared" si="60"/>
        <v>1792</v>
      </c>
      <c r="E1796" s="534">
        <v>0</v>
      </c>
      <c r="F1796" s="534">
        <v>0</v>
      </c>
      <c r="G1796" s="534">
        <v>5</v>
      </c>
    </row>
    <row r="1797" spans="2:7" x14ac:dyDescent="0.3">
      <c r="B1797" s="529">
        <f t="shared" si="59"/>
        <v>1792001</v>
      </c>
      <c r="C1797" s="529">
        <f t="shared" si="60"/>
        <v>1793</v>
      </c>
      <c r="E1797" s="534">
        <v>0</v>
      </c>
      <c r="F1797" s="534">
        <v>0</v>
      </c>
      <c r="G1797" s="534">
        <v>5</v>
      </c>
    </row>
    <row r="1798" spans="2:7" x14ac:dyDescent="0.3">
      <c r="B1798" s="529">
        <f t="shared" si="59"/>
        <v>1793001</v>
      </c>
      <c r="C1798" s="529">
        <f t="shared" si="60"/>
        <v>1794</v>
      </c>
      <c r="E1798" s="534">
        <v>0</v>
      </c>
      <c r="F1798" s="534">
        <v>0</v>
      </c>
      <c r="G1798" s="534">
        <v>5</v>
      </c>
    </row>
    <row r="1799" spans="2:7" x14ac:dyDescent="0.3">
      <c r="B1799" s="529">
        <f t="shared" ref="B1799:B1862" si="61">C1798*1000+1</f>
        <v>1794001</v>
      </c>
      <c r="C1799" s="529">
        <f t="shared" si="60"/>
        <v>1795</v>
      </c>
      <c r="E1799" s="534">
        <v>0</v>
      </c>
      <c r="F1799" s="534">
        <v>0</v>
      </c>
      <c r="G1799" s="534">
        <v>5</v>
      </c>
    </row>
    <row r="1800" spans="2:7" x14ac:dyDescent="0.3">
      <c r="B1800" s="529">
        <f t="shared" si="61"/>
        <v>1795001</v>
      </c>
      <c r="C1800" s="529">
        <f t="shared" si="60"/>
        <v>1796</v>
      </c>
      <c r="E1800" s="534">
        <v>0</v>
      </c>
      <c r="F1800" s="534">
        <v>0</v>
      </c>
      <c r="G1800" s="534">
        <v>5</v>
      </c>
    </row>
    <row r="1801" spans="2:7" x14ac:dyDescent="0.3">
      <c r="B1801" s="529">
        <f t="shared" si="61"/>
        <v>1796001</v>
      </c>
      <c r="C1801" s="529">
        <f t="shared" si="60"/>
        <v>1797</v>
      </c>
      <c r="E1801" s="534">
        <v>0</v>
      </c>
      <c r="F1801" s="534">
        <v>0</v>
      </c>
      <c r="G1801" s="534">
        <v>5</v>
      </c>
    </row>
    <row r="1802" spans="2:7" x14ac:dyDescent="0.3">
      <c r="B1802" s="529">
        <f t="shared" si="61"/>
        <v>1797001</v>
      </c>
      <c r="C1802" s="529">
        <f t="shared" si="60"/>
        <v>1798</v>
      </c>
      <c r="E1802" s="534">
        <v>0</v>
      </c>
      <c r="F1802" s="534">
        <v>0</v>
      </c>
      <c r="G1802" s="534">
        <v>5</v>
      </c>
    </row>
    <row r="1803" spans="2:7" x14ac:dyDescent="0.3">
      <c r="B1803" s="529">
        <f t="shared" si="61"/>
        <v>1798001</v>
      </c>
      <c r="C1803" s="529">
        <f t="shared" si="60"/>
        <v>1799</v>
      </c>
      <c r="E1803" s="534">
        <v>0</v>
      </c>
      <c r="F1803" s="534">
        <v>0</v>
      </c>
      <c r="G1803" s="534">
        <v>5</v>
      </c>
    </row>
    <row r="1804" spans="2:7" x14ac:dyDescent="0.3">
      <c r="B1804" s="529">
        <f t="shared" si="61"/>
        <v>1799001</v>
      </c>
      <c r="C1804" s="529">
        <f t="shared" si="60"/>
        <v>1800</v>
      </c>
      <c r="E1804" s="534">
        <v>0</v>
      </c>
      <c r="F1804" s="534">
        <v>0</v>
      </c>
      <c r="G1804" s="534">
        <v>5</v>
      </c>
    </row>
    <row r="1805" spans="2:7" x14ac:dyDescent="0.3">
      <c r="B1805" s="529">
        <f t="shared" si="61"/>
        <v>1800001</v>
      </c>
      <c r="C1805" s="529">
        <f t="shared" si="60"/>
        <v>1801</v>
      </c>
      <c r="E1805" s="534">
        <v>0</v>
      </c>
      <c r="F1805" s="534">
        <v>0</v>
      </c>
      <c r="G1805" s="534">
        <v>5</v>
      </c>
    </row>
    <row r="1806" spans="2:7" x14ac:dyDescent="0.3">
      <c r="B1806" s="529">
        <f t="shared" si="61"/>
        <v>1801001</v>
      </c>
      <c r="C1806" s="529">
        <f t="shared" si="60"/>
        <v>1802</v>
      </c>
      <c r="E1806" s="534">
        <v>0</v>
      </c>
      <c r="F1806" s="534">
        <v>0</v>
      </c>
      <c r="G1806" s="534">
        <v>5</v>
      </c>
    </row>
    <row r="1807" spans="2:7" x14ac:dyDescent="0.3">
      <c r="B1807" s="529">
        <f t="shared" si="61"/>
        <v>1802001</v>
      </c>
      <c r="C1807" s="529">
        <f t="shared" si="60"/>
        <v>1803</v>
      </c>
      <c r="E1807" s="534">
        <v>0</v>
      </c>
      <c r="F1807" s="534">
        <v>0</v>
      </c>
      <c r="G1807" s="534">
        <v>5</v>
      </c>
    </row>
    <row r="1808" spans="2:7" x14ac:dyDescent="0.3">
      <c r="B1808" s="529">
        <f t="shared" si="61"/>
        <v>1803001</v>
      </c>
      <c r="C1808" s="529">
        <f t="shared" si="60"/>
        <v>1804</v>
      </c>
      <c r="E1808" s="534">
        <v>0</v>
      </c>
      <c r="F1808" s="534">
        <v>0</v>
      </c>
      <c r="G1808" s="534">
        <v>5</v>
      </c>
    </row>
    <row r="1809" spans="2:7" x14ac:dyDescent="0.3">
      <c r="B1809" s="529">
        <f t="shared" si="61"/>
        <v>1804001</v>
      </c>
      <c r="C1809" s="529">
        <f t="shared" si="60"/>
        <v>1805</v>
      </c>
      <c r="E1809" s="534">
        <v>0</v>
      </c>
      <c r="F1809" s="534">
        <v>0</v>
      </c>
      <c r="G1809" s="534">
        <v>5</v>
      </c>
    </row>
    <row r="1810" spans="2:7" x14ac:dyDescent="0.3">
      <c r="B1810" s="529">
        <f t="shared" si="61"/>
        <v>1805001</v>
      </c>
      <c r="C1810" s="529">
        <f t="shared" si="60"/>
        <v>1806</v>
      </c>
      <c r="E1810" s="534">
        <v>0</v>
      </c>
      <c r="F1810" s="534">
        <v>0</v>
      </c>
      <c r="G1810" s="534">
        <v>5</v>
      </c>
    </row>
    <row r="1811" spans="2:7" x14ac:dyDescent="0.3">
      <c r="B1811" s="529">
        <f t="shared" si="61"/>
        <v>1806001</v>
      </c>
      <c r="C1811" s="529">
        <f t="shared" ref="C1811:C1874" si="62">C1810+1</f>
        <v>1807</v>
      </c>
      <c r="E1811" s="534">
        <v>0</v>
      </c>
      <c r="F1811" s="534">
        <v>0</v>
      </c>
      <c r="G1811" s="534">
        <v>5</v>
      </c>
    </row>
    <row r="1812" spans="2:7" x14ac:dyDescent="0.3">
      <c r="B1812" s="529">
        <f t="shared" si="61"/>
        <v>1807001</v>
      </c>
      <c r="C1812" s="529">
        <f t="shared" si="62"/>
        <v>1808</v>
      </c>
      <c r="E1812" s="534">
        <v>0</v>
      </c>
      <c r="F1812" s="534">
        <v>0</v>
      </c>
      <c r="G1812" s="534">
        <v>5</v>
      </c>
    </row>
    <row r="1813" spans="2:7" x14ac:dyDescent="0.3">
      <c r="B1813" s="529">
        <f t="shared" si="61"/>
        <v>1808001</v>
      </c>
      <c r="C1813" s="529">
        <f t="shared" si="62"/>
        <v>1809</v>
      </c>
      <c r="E1813" s="534">
        <v>0</v>
      </c>
      <c r="F1813" s="534">
        <v>0</v>
      </c>
      <c r="G1813" s="534">
        <v>5</v>
      </c>
    </row>
    <row r="1814" spans="2:7" x14ac:dyDescent="0.3">
      <c r="B1814" s="529">
        <f t="shared" si="61"/>
        <v>1809001</v>
      </c>
      <c r="C1814" s="529">
        <f t="shared" si="62"/>
        <v>1810</v>
      </c>
      <c r="E1814" s="534">
        <v>0</v>
      </c>
      <c r="F1814" s="534">
        <v>0</v>
      </c>
      <c r="G1814" s="534">
        <v>5</v>
      </c>
    </row>
    <row r="1815" spans="2:7" x14ac:dyDescent="0.3">
      <c r="B1815" s="529">
        <f t="shared" si="61"/>
        <v>1810001</v>
      </c>
      <c r="C1815" s="529">
        <f t="shared" si="62"/>
        <v>1811</v>
      </c>
      <c r="E1815" s="534">
        <v>0</v>
      </c>
      <c r="F1815" s="534">
        <v>0</v>
      </c>
      <c r="G1815" s="534">
        <v>5</v>
      </c>
    </row>
    <row r="1816" spans="2:7" x14ac:dyDescent="0.3">
      <c r="B1816" s="529">
        <f t="shared" si="61"/>
        <v>1811001</v>
      </c>
      <c r="C1816" s="529">
        <f t="shared" si="62"/>
        <v>1812</v>
      </c>
      <c r="E1816" s="534">
        <v>0</v>
      </c>
      <c r="F1816" s="534">
        <v>0</v>
      </c>
      <c r="G1816" s="534">
        <v>5</v>
      </c>
    </row>
    <row r="1817" spans="2:7" x14ac:dyDescent="0.3">
      <c r="B1817" s="529">
        <f t="shared" si="61"/>
        <v>1812001</v>
      </c>
      <c r="C1817" s="529">
        <f t="shared" si="62"/>
        <v>1813</v>
      </c>
      <c r="E1817" s="534">
        <v>0</v>
      </c>
      <c r="F1817" s="534">
        <v>0</v>
      </c>
      <c r="G1817" s="534">
        <v>5</v>
      </c>
    </row>
    <row r="1818" spans="2:7" x14ac:dyDescent="0.3">
      <c r="B1818" s="529">
        <f t="shared" si="61"/>
        <v>1813001</v>
      </c>
      <c r="C1818" s="529">
        <f t="shared" si="62"/>
        <v>1814</v>
      </c>
      <c r="E1818" s="534">
        <v>0</v>
      </c>
      <c r="F1818" s="534">
        <v>0</v>
      </c>
      <c r="G1818" s="534">
        <v>5</v>
      </c>
    </row>
    <row r="1819" spans="2:7" x14ac:dyDescent="0.3">
      <c r="B1819" s="529">
        <f t="shared" si="61"/>
        <v>1814001</v>
      </c>
      <c r="C1819" s="529">
        <f t="shared" si="62"/>
        <v>1815</v>
      </c>
      <c r="E1819" s="534">
        <v>0</v>
      </c>
      <c r="F1819" s="534">
        <v>0</v>
      </c>
      <c r="G1819" s="534">
        <v>5</v>
      </c>
    </row>
    <row r="1820" spans="2:7" x14ac:dyDescent="0.3">
      <c r="B1820" s="529">
        <f t="shared" si="61"/>
        <v>1815001</v>
      </c>
      <c r="C1820" s="529">
        <f t="shared" si="62"/>
        <v>1816</v>
      </c>
      <c r="E1820" s="534">
        <v>0</v>
      </c>
      <c r="F1820" s="534">
        <v>0</v>
      </c>
      <c r="G1820" s="534">
        <v>5</v>
      </c>
    </row>
    <row r="1821" spans="2:7" x14ac:dyDescent="0.3">
      <c r="B1821" s="529">
        <f t="shared" si="61"/>
        <v>1816001</v>
      </c>
      <c r="C1821" s="529">
        <f t="shared" si="62"/>
        <v>1817</v>
      </c>
      <c r="E1821" s="534">
        <v>0</v>
      </c>
      <c r="F1821" s="534">
        <v>0</v>
      </c>
      <c r="G1821" s="534">
        <v>5</v>
      </c>
    </row>
    <row r="1822" spans="2:7" x14ac:dyDescent="0.3">
      <c r="B1822" s="529">
        <f t="shared" si="61"/>
        <v>1817001</v>
      </c>
      <c r="C1822" s="529">
        <f t="shared" si="62"/>
        <v>1818</v>
      </c>
      <c r="E1822" s="534">
        <v>0</v>
      </c>
      <c r="F1822" s="534">
        <v>0</v>
      </c>
      <c r="G1822" s="534">
        <v>5</v>
      </c>
    </row>
    <row r="1823" spans="2:7" x14ac:dyDescent="0.3">
      <c r="B1823" s="529">
        <f t="shared" si="61"/>
        <v>1818001</v>
      </c>
      <c r="C1823" s="529">
        <f t="shared" si="62"/>
        <v>1819</v>
      </c>
      <c r="E1823" s="534">
        <v>0</v>
      </c>
      <c r="F1823" s="534">
        <v>0</v>
      </c>
      <c r="G1823" s="534">
        <v>5</v>
      </c>
    </row>
    <row r="1824" spans="2:7" x14ac:dyDescent="0.3">
      <c r="B1824" s="529">
        <f t="shared" si="61"/>
        <v>1819001</v>
      </c>
      <c r="C1824" s="529">
        <f t="shared" si="62"/>
        <v>1820</v>
      </c>
      <c r="E1824" s="534">
        <v>0</v>
      </c>
      <c r="F1824" s="534">
        <v>0</v>
      </c>
      <c r="G1824" s="534">
        <v>5</v>
      </c>
    </row>
    <row r="1825" spans="2:7" x14ac:dyDescent="0.3">
      <c r="B1825" s="529">
        <f t="shared" si="61"/>
        <v>1820001</v>
      </c>
      <c r="C1825" s="529">
        <f t="shared" si="62"/>
        <v>1821</v>
      </c>
      <c r="E1825" s="534">
        <v>0</v>
      </c>
      <c r="F1825" s="534">
        <v>0</v>
      </c>
      <c r="G1825" s="534">
        <v>5</v>
      </c>
    </row>
    <row r="1826" spans="2:7" x14ac:dyDescent="0.3">
      <c r="B1826" s="529">
        <f t="shared" si="61"/>
        <v>1821001</v>
      </c>
      <c r="C1826" s="529">
        <f t="shared" si="62"/>
        <v>1822</v>
      </c>
      <c r="E1826" s="534">
        <v>0</v>
      </c>
      <c r="F1826" s="534">
        <v>0</v>
      </c>
      <c r="G1826" s="534">
        <v>5</v>
      </c>
    </row>
    <row r="1827" spans="2:7" x14ac:dyDescent="0.3">
      <c r="B1827" s="529">
        <f t="shared" si="61"/>
        <v>1822001</v>
      </c>
      <c r="C1827" s="529">
        <f t="shared" si="62"/>
        <v>1823</v>
      </c>
      <c r="E1827" s="534">
        <v>0</v>
      </c>
      <c r="F1827" s="534">
        <v>0</v>
      </c>
      <c r="G1827" s="534">
        <v>5</v>
      </c>
    </row>
    <row r="1828" spans="2:7" x14ac:dyDescent="0.3">
      <c r="B1828" s="529">
        <f t="shared" si="61"/>
        <v>1823001</v>
      </c>
      <c r="C1828" s="529">
        <f t="shared" si="62"/>
        <v>1824</v>
      </c>
      <c r="E1828" s="534">
        <v>0</v>
      </c>
      <c r="F1828" s="534">
        <v>0</v>
      </c>
      <c r="G1828" s="534">
        <v>5</v>
      </c>
    </row>
    <row r="1829" spans="2:7" x14ac:dyDescent="0.3">
      <c r="B1829" s="529">
        <f t="shared" si="61"/>
        <v>1824001</v>
      </c>
      <c r="C1829" s="529">
        <f t="shared" si="62"/>
        <v>1825</v>
      </c>
      <c r="E1829" s="534">
        <v>0</v>
      </c>
      <c r="F1829" s="534">
        <v>0</v>
      </c>
      <c r="G1829" s="534">
        <v>5</v>
      </c>
    </row>
    <row r="1830" spans="2:7" x14ac:dyDescent="0.3">
      <c r="B1830" s="529">
        <f t="shared" si="61"/>
        <v>1825001</v>
      </c>
      <c r="C1830" s="529">
        <f t="shared" si="62"/>
        <v>1826</v>
      </c>
      <c r="E1830" s="534">
        <v>0</v>
      </c>
      <c r="F1830" s="534">
        <v>0</v>
      </c>
      <c r="G1830" s="534">
        <v>5</v>
      </c>
    </row>
    <row r="1831" spans="2:7" x14ac:dyDescent="0.3">
      <c r="B1831" s="529">
        <f t="shared" si="61"/>
        <v>1826001</v>
      </c>
      <c r="C1831" s="529">
        <f t="shared" si="62"/>
        <v>1827</v>
      </c>
      <c r="E1831" s="534">
        <v>0</v>
      </c>
      <c r="F1831" s="534">
        <v>0</v>
      </c>
      <c r="G1831" s="534">
        <v>5</v>
      </c>
    </row>
    <row r="1832" spans="2:7" x14ac:dyDescent="0.3">
      <c r="B1832" s="529">
        <f t="shared" si="61"/>
        <v>1827001</v>
      </c>
      <c r="C1832" s="529">
        <f t="shared" si="62"/>
        <v>1828</v>
      </c>
      <c r="E1832" s="534">
        <v>0</v>
      </c>
      <c r="F1832" s="534">
        <v>0</v>
      </c>
      <c r="G1832" s="534">
        <v>5</v>
      </c>
    </row>
    <row r="1833" spans="2:7" x14ac:dyDescent="0.3">
      <c r="B1833" s="529">
        <f t="shared" si="61"/>
        <v>1828001</v>
      </c>
      <c r="C1833" s="529">
        <f t="shared" si="62"/>
        <v>1829</v>
      </c>
      <c r="E1833" s="534">
        <v>0</v>
      </c>
      <c r="F1833" s="534">
        <v>0</v>
      </c>
      <c r="G1833" s="534">
        <v>5</v>
      </c>
    </row>
    <row r="1834" spans="2:7" x14ac:dyDescent="0.3">
      <c r="B1834" s="529">
        <f t="shared" si="61"/>
        <v>1829001</v>
      </c>
      <c r="C1834" s="529">
        <f t="shared" si="62"/>
        <v>1830</v>
      </c>
      <c r="E1834" s="534">
        <v>0</v>
      </c>
      <c r="F1834" s="534">
        <v>0</v>
      </c>
      <c r="G1834" s="534">
        <v>5</v>
      </c>
    </row>
    <row r="1835" spans="2:7" x14ac:dyDescent="0.3">
      <c r="B1835" s="529">
        <f t="shared" si="61"/>
        <v>1830001</v>
      </c>
      <c r="C1835" s="529">
        <f t="shared" si="62"/>
        <v>1831</v>
      </c>
      <c r="E1835" s="534">
        <v>0</v>
      </c>
      <c r="F1835" s="534">
        <v>0</v>
      </c>
      <c r="G1835" s="534">
        <v>5</v>
      </c>
    </row>
    <row r="1836" spans="2:7" x14ac:dyDescent="0.3">
      <c r="B1836" s="529">
        <f t="shared" si="61"/>
        <v>1831001</v>
      </c>
      <c r="C1836" s="529">
        <f t="shared" si="62"/>
        <v>1832</v>
      </c>
      <c r="E1836" s="534">
        <v>0</v>
      </c>
      <c r="F1836" s="534">
        <v>0</v>
      </c>
      <c r="G1836" s="534">
        <v>5</v>
      </c>
    </row>
    <row r="1837" spans="2:7" x14ac:dyDescent="0.3">
      <c r="B1837" s="529">
        <f t="shared" si="61"/>
        <v>1832001</v>
      </c>
      <c r="C1837" s="529">
        <f t="shared" si="62"/>
        <v>1833</v>
      </c>
      <c r="E1837" s="534">
        <v>0</v>
      </c>
      <c r="F1837" s="534">
        <v>0</v>
      </c>
      <c r="G1837" s="534">
        <v>5</v>
      </c>
    </row>
    <row r="1838" spans="2:7" x14ac:dyDescent="0.3">
      <c r="B1838" s="529">
        <f t="shared" si="61"/>
        <v>1833001</v>
      </c>
      <c r="C1838" s="529">
        <f t="shared" si="62"/>
        <v>1834</v>
      </c>
      <c r="E1838" s="534">
        <v>0</v>
      </c>
      <c r="F1838" s="534">
        <v>0</v>
      </c>
      <c r="G1838" s="534">
        <v>5</v>
      </c>
    </row>
    <row r="1839" spans="2:7" x14ac:dyDescent="0.3">
      <c r="B1839" s="529">
        <f t="shared" si="61"/>
        <v>1834001</v>
      </c>
      <c r="C1839" s="529">
        <f t="shared" si="62"/>
        <v>1835</v>
      </c>
      <c r="E1839" s="534">
        <v>0</v>
      </c>
      <c r="F1839" s="534">
        <v>0</v>
      </c>
      <c r="G1839" s="534">
        <v>5</v>
      </c>
    </row>
    <row r="1840" spans="2:7" x14ac:dyDescent="0.3">
      <c r="B1840" s="529">
        <f t="shared" si="61"/>
        <v>1835001</v>
      </c>
      <c r="C1840" s="529">
        <f t="shared" si="62"/>
        <v>1836</v>
      </c>
      <c r="E1840" s="534">
        <v>0</v>
      </c>
      <c r="F1840" s="534">
        <v>0</v>
      </c>
      <c r="G1840" s="534">
        <v>5</v>
      </c>
    </row>
    <row r="1841" spans="2:7" x14ac:dyDescent="0.3">
      <c r="B1841" s="529">
        <f t="shared" si="61"/>
        <v>1836001</v>
      </c>
      <c r="C1841" s="529">
        <f t="shared" si="62"/>
        <v>1837</v>
      </c>
      <c r="E1841" s="534">
        <v>0</v>
      </c>
      <c r="F1841" s="534">
        <v>0</v>
      </c>
      <c r="G1841" s="534">
        <v>5</v>
      </c>
    </row>
    <row r="1842" spans="2:7" x14ac:dyDescent="0.3">
      <c r="B1842" s="529">
        <f t="shared" si="61"/>
        <v>1837001</v>
      </c>
      <c r="C1842" s="529">
        <f t="shared" si="62"/>
        <v>1838</v>
      </c>
      <c r="E1842" s="534">
        <v>0</v>
      </c>
      <c r="F1842" s="534">
        <v>0</v>
      </c>
      <c r="G1842" s="534">
        <v>5</v>
      </c>
    </row>
    <row r="1843" spans="2:7" x14ac:dyDescent="0.3">
      <c r="B1843" s="529">
        <f t="shared" si="61"/>
        <v>1838001</v>
      </c>
      <c r="C1843" s="529">
        <f t="shared" si="62"/>
        <v>1839</v>
      </c>
      <c r="E1843" s="534">
        <v>0</v>
      </c>
      <c r="F1843" s="534">
        <v>0</v>
      </c>
      <c r="G1843" s="534">
        <v>5</v>
      </c>
    </row>
    <row r="1844" spans="2:7" x14ac:dyDescent="0.3">
      <c r="B1844" s="529">
        <f t="shared" si="61"/>
        <v>1839001</v>
      </c>
      <c r="C1844" s="529">
        <f t="shared" si="62"/>
        <v>1840</v>
      </c>
      <c r="E1844" s="534">
        <v>0</v>
      </c>
      <c r="F1844" s="534">
        <v>0</v>
      </c>
      <c r="G1844" s="534">
        <v>5</v>
      </c>
    </row>
    <row r="1845" spans="2:7" x14ac:dyDescent="0.3">
      <c r="B1845" s="529">
        <f t="shared" si="61"/>
        <v>1840001</v>
      </c>
      <c r="C1845" s="529">
        <f t="shared" si="62"/>
        <v>1841</v>
      </c>
      <c r="E1845" s="534">
        <v>0</v>
      </c>
      <c r="F1845" s="534">
        <v>0</v>
      </c>
      <c r="G1845" s="534">
        <v>5</v>
      </c>
    </row>
    <row r="1846" spans="2:7" x14ac:dyDescent="0.3">
      <c r="B1846" s="529">
        <f t="shared" si="61"/>
        <v>1841001</v>
      </c>
      <c r="C1846" s="529">
        <f t="shared" si="62"/>
        <v>1842</v>
      </c>
      <c r="E1846" s="534">
        <v>0</v>
      </c>
      <c r="F1846" s="534">
        <v>0</v>
      </c>
      <c r="G1846" s="534">
        <v>5</v>
      </c>
    </row>
    <row r="1847" spans="2:7" x14ac:dyDescent="0.3">
      <c r="B1847" s="529">
        <f t="shared" si="61"/>
        <v>1842001</v>
      </c>
      <c r="C1847" s="529">
        <f t="shared" si="62"/>
        <v>1843</v>
      </c>
      <c r="E1847" s="534">
        <v>0</v>
      </c>
      <c r="F1847" s="534">
        <v>0</v>
      </c>
      <c r="G1847" s="534">
        <v>5</v>
      </c>
    </row>
    <row r="1848" spans="2:7" x14ac:dyDescent="0.3">
      <c r="B1848" s="529">
        <f t="shared" si="61"/>
        <v>1843001</v>
      </c>
      <c r="C1848" s="529">
        <f t="shared" si="62"/>
        <v>1844</v>
      </c>
      <c r="E1848" s="534">
        <v>0</v>
      </c>
      <c r="F1848" s="534">
        <v>0</v>
      </c>
      <c r="G1848" s="534">
        <v>5</v>
      </c>
    </row>
    <row r="1849" spans="2:7" x14ac:dyDescent="0.3">
      <c r="B1849" s="529">
        <f t="shared" si="61"/>
        <v>1844001</v>
      </c>
      <c r="C1849" s="529">
        <f t="shared" si="62"/>
        <v>1845</v>
      </c>
      <c r="E1849" s="534">
        <v>0</v>
      </c>
      <c r="F1849" s="534">
        <v>0</v>
      </c>
      <c r="G1849" s="534">
        <v>5</v>
      </c>
    </row>
    <row r="1850" spans="2:7" x14ac:dyDescent="0.3">
      <c r="B1850" s="529">
        <f t="shared" si="61"/>
        <v>1845001</v>
      </c>
      <c r="C1850" s="529">
        <f t="shared" si="62"/>
        <v>1846</v>
      </c>
      <c r="E1850" s="534">
        <v>0</v>
      </c>
      <c r="F1850" s="534">
        <v>0</v>
      </c>
      <c r="G1850" s="534">
        <v>5</v>
      </c>
    </row>
    <row r="1851" spans="2:7" x14ac:dyDescent="0.3">
      <c r="B1851" s="529">
        <f t="shared" si="61"/>
        <v>1846001</v>
      </c>
      <c r="C1851" s="529">
        <f t="shared" si="62"/>
        <v>1847</v>
      </c>
      <c r="E1851" s="534">
        <v>0</v>
      </c>
      <c r="F1851" s="534">
        <v>0</v>
      </c>
      <c r="G1851" s="534">
        <v>5</v>
      </c>
    </row>
    <row r="1852" spans="2:7" x14ac:dyDescent="0.3">
      <c r="B1852" s="529">
        <f t="shared" si="61"/>
        <v>1847001</v>
      </c>
      <c r="C1852" s="529">
        <f t="shared" si="62"/>
        <v>1848</v>
      </c>
      <c r="E1852" s="534">
        <v>0</v>
      </c>
      <c r="F1852" s="534">
        <v>0</v>
      </c>
      <c r="G1852" s="534">
        <v>5</v>
      </c>
    </row>
    <row r="1853" spans="2:7" x14ac:dyDescent="0.3">
      <c r="B1853" s="529">
        <f t="shared" si="61"/>
        <v>1848001</v>
      </c>
      <c r="C1853" s="529">
        <f t="shared" si="62"/>
        <v>1849</v>
      </c>
      <c r="E1853" s="534">
        <v>0</v>
      </c>
      <c r="F1853" s="534">
        <v>0</v>
      </c>
      <c r="G1853" s="534">
        <v>5</v>
      </c>
    </row>
    <row r="1854" spans="2:7" x14ac:dyDescent="0.3">
      <c r="B1854" s="529">
        <f t="shared" si="61"/>
        <v>1849001</v>
      </c>
      <c r="C1854" s="529">
        <f t="shared" si="62"/>
        <v>1850</v>
      </c>
      <c r="E1854" s="534">
        <v>1</v>
      </c>
      <c r="F1854" s="534">
        <v>1850</v>
      </c>
      <c r="G1854" s="534">
        <v>5</v>
      </c>
    </row>
    <row r="1855" spans="2:7" x14ac:dyDescent="0.3">
      <c r="B1855" s="529">
        <f t="shared" si="61"/>
        <v>1850001</v>
      </c>
      <c r="C1855" s="529">
        <f t="shared" si="62"/>
        <v>1851</v>
      </c>
      <c r="E1855" s="534">
        <v>0</v>
      </c>
      <c r="F1855" s="534">
        <v>0</v>
      </c>
      <c r="G1855" s="534">
        <v>4</v>
      </c>
    </row>
    <row r="1856" spans="2:7" x14ac:dyDescent="0.3">
      <c r="B1856" s="529">
        <f t="shared" si="61"/>
        <v>1851001</v>
      </c>
      <c r="C1856" s="529">
        <f t="shared" si="62"/>
        <v>1852</v>
      </c>
      <c r="E1856" s="534">
        <v>0</v>
      </c>
      <c r="F1856" s="534">
        <v>0</v>
      </c>
      <c r="G1856" s="534">
        <v>4</v>
      </c>
    </row>
    <row r="1857" spans="2:7" x14ac:dyDescent="0.3">
      <c r="B1857" s="529">
        <f t="shared" si="61"/>
        <v>1852001</v>
      </c>
      <c r="C1857" s="529">
        <f t="shared" si="62"/>
        <v>1853</v>
      </c>
      <c r="E1857" s="534">
        <v>0</v>
      </c>
      <c r="F1857" s="534">
        <v>0</v>
      </c>
      <c r="G1857" s="534">
        <v>4</v>
      </c>
    </row>
    <row r="1858" spans="2:7" x14ac:dyDescent="0.3">
      <c r="B1858" s="529">
        <f t="shared" si="61"/>
        <v>1853001</v>
      </c>
      <c r="C1858" s="529">
        <f t="shared" si="62"/>
        <v>1854</v>
      </c>
      <c r="E1858" s="534">
        <v>0</v>
      </c>
      <c r="F1858" s="534">
        <v>0</v>
      </c>
      <c r="G1858" s="534">
        <v>4</v>
      </c>
    </row>
    <row r="1859" spans="2:7" x14ac:dyDescent="0.3">
      <c r="B1859" s="529">
        <f t="shared" si="61"/>
        <v>1854001</v>
      </c>
      <c r="C1859" s="529">
        <f t="shared" si="62"/>
        <v>1855</v>
      </c>
      <c r="E1859" s="534">
        <v>0</v>
      </c>
      <c r="F1859" s="534">
        <v>0</v>
      </c>
      <c r="G1859" s="534">
        <v>4</v>
      </c>
    </row>
    <row r="1860" spans="2:7" x14ac:dyDescent="0.3">
      <c r="B1860" s="529">
        <f t="shared" si="61"/>
        <v>1855001</v>
      </c>
      <c r="C1860" s="529">
        <f t="shared" si="62"/>
        <v>1856</v>
      </c>
      <c r="E1860" s="534">
        <v>0</v>
      </c>
      <c r="F1860" s="534">
        <v>0</v>
      </c>
      <c r="G1860" s="534">
        <v>4</v>
      </c>
    </row>
    <row r="1861" spans="2:7" x14ac:dyDescent="0.3">
      <c r="B1861" s="529">
        <f t="shared" si="61"/>
        <v>1856001</v>
      </c>
      <c r="C1861" s="529">
        <f t="shared" si="62"/>
        <v>1857</v>
      </c>
      <c r="E1861" s="534">
        <v>0</v>
      </c>
      <c r="F1861" s="534">
        <v>0</v>
      </c>
      <c r="G1861" s="534">
        <v>4</v>
      </c>
    </row>
    <row r="1862" spans="2:7" x14ac:dyDescent="0.3">
      <c r="B1862" s="529">
        <f t="shared" si="61"/>
        <v>1857001</v>
      </c>
      <c r="C1862" s="529">
        <f t="shared" si="62"/>
        <v>1858</v>
      </c>
      <c r="E1862" s="534">
        <v>0</v>
      </c>
      <c r="F1862" s="534">
        <v>0</v>
      </c>
      <c r="G1862" s="534">
        <v>4</v>
      </c>
    </row>
    <row r="1863" spans="2:7" x14ac:dyDescent="0.3">
      <c r="B1863" s="529">
        <f t="shared" ref="B1863:B1926" si="63">C1862*1000+1</f>
        <v>1858001</v>
      </c>
      <c r="C1863" s="529">
        <f t="shared" si="62"/>
        <v>1859</v>
      </c>
      <c r="E1863" s="534">
        <v>0</v>
      </c>
      <c r="F1863" s="534">
        <v>0</v>
      </c>
      <c r="G1863" s="534">
        <v>4</v>
      </c>
    </row>
    <row r="1864" spans="2:7" x14ac:dyDescent="0.3">
      <c r="B1864" s="529">
        <f t="shared" si="63"/>
        <v>1859001</v>
      </c>
      <c r="C1864" s="529">
        <f t="shared" si="62"/>
        <v>1860</v>
      </c>
      <c r="E1864" s="534">
        <v>0</v>
      </c>
      <c r="F1864" s="534">
        <v>0</v>
      </c>
      <c r="G1864" s="534">
        <v>4</v>
      </c>
    </row>
    <row r="1865" spans="2:7" x14ac:dyDescent="0.3">
      <c r="B1865" s="529">
        <f t="shared" si="63"/>
        <v>1860001</v>
      </c>
      <c r="C1865" s="529">
        <f t="shared" si="62"/>
        <v>1861</v>
      </c>
      <c r="E1865" s="534">
        <v>0</v>
      </c>
      <c r="F1865" s="534">
        <v>0</v>
      </c>
      <c r="G1865" s="534">
        <v>4</v>
      </c>
    </row>
    <row r="1866" spans="2:7" x14ac:dyDescent="0.3">
      <c r="B1866" s="529">
        <f t="shared" si="63"/>
        <v>1861001</v>
      </c>
      <c r="C1866" s="529">
        <f t="shared" si="62"/>
        <v>1862</v>
      </c>
      <c r="E1866" s="534">
        <v>0</v>
      </c>
      <c r="F1866" s="534">
        <v>0</v>
      </c>
      <c r="G1866" s="534">
        <v>4</v>
      </c>
    </row>
    <row r="1867" spans="2:7" x14ac:dyDescent="0.3">
      <c r="B1867" s="529">
        <f t="shared" si="63"/>
        <v>1862001</v>
      </c>
      <c r="C1867" s="529">
        <f t="shared" si="62"/>
        <v>1863</v>
      </c>
      <c r="E1867" s="534">
        <v>0</v>
      </c>
      <c r="F1867" s="534">
        <v>0</v>
      </c>
      <c r="G1867" s="534">
        <v>4</v>
      </c>
    </row>
    <row r="1868" spans="2:7" x14ac:dyDescent="0.3">
      <c r="B1868" s="529">
        <f t="shared" si="63"/>
        <v>1863001</v>
      </c>
      <c r="C1868" s="529">
        <f t="shared" si="62"/>
        <v>1864</v>
      </c>
      <c r="E1868" s="534">
        <v>0</v>
      </c>
      <c r="F1868" s="534">
        <v>0</v>
      </c>
      <c r="G1868" s="534">
        <v>4</v>
      </c>
    </row>
    <row r="1869" spans="2:7" x14ac:dyDescent="0.3">
      <c r="B1869" s="529">
        <f t="shared" si="63"/>
        <v>1864001</v>
      </c>
      <c r="C1869" s="529">
        <f t="shared" si="62"/>
        <v>1865</v>
      </c>
      <c r="E1869" s="534">
        <v>0</v>
      </c>
      <c r="F1869" s="534">
        <v>0</v>
      </c>
      <c r="G1869" s="534">
        <v>4</v>
      </c>
    </row>
    <row r="1870" spans="2:7" x14ac:dyDescent="0.3">
      <c r="B1870" s="529">
        <f t="shared" si="63"/>
        <v>1865001</v>
      </c>
      <c r="C1870" s="529">
        <f t="shared" si="62"/>
        <v>1866</v>
      </c>
      <c r="E1870" s="534">
        <v>0</v>
      </c>
      <c r="F1870" s="534">
        <v>0</v>
      </c>
      <c r="G1870" s="534">
        <v>4</v>
      </c>
    </row>
    <row r="1871" spans="2:7" x14ac:dyDescent="0.3">
      <c r="B1871" s="529">
        <f t="shared" si="63"/>
        <v>1866001</v>
      </c>
      <c r="C1871" s="529">
        <f t="shared" si="62"/>
        <v>1867</v>
      </c>
      <c r="E1871" s="534">
        <v>0</v>
      </c>
      <c r="F1871" s="534">
        <v>0</v>
      </c>
      <c r="G1871" s="534">
        <v>4</v>
      </c>
    </row>
    <row r="1872" spans="2:7" x14ac:dyDescent="0.3">
      <c r="B1872" s="529">
        <f t="shared" si="63"/>
        <v>1867001</v>
      </c>
      <c r="C1872" s="529">
        <f t="shared" si="62"/>
        <v>1868</v>
      </c>
      <c r="E1872" s="534">
        <v>0</v>
      </c>
      <c r="F1872" s="534">
        <v>0</v>
      </c>
      <c r="G1872" s="534">
        <v>4</v>
      </c>
    </row>
    <row r="1873" spans="2:7" x14ac:dyDescent="0.3">
      <c r="B1873" s="529">
        <f t="shared" si="63"/>
        <v>1868001</v>
      </c>
      <c r="C1873" s="529">
        <f t="shared" si="62"/>
        <v>1869</v>
      </c>
      <c r="E1873" s="534">
        <v>0</v>
      </c>
      <c r="F1873" s="534">
        <v>0</v>
      </c>
      <c r="G1873" s="534">
        <v>4</v>
      </c>
    </row>
    <row r="1874" spans="2:7" x14ac:dyDescent="0.3">
      <c r="B1874" s="529">
        <f t="shared" si="63"/>
        <v>1869001</v>
      </c>
      <c r="C1874" s="529">
        <f t="shared" si="62"/>
        <v>1870</v>
      </c>
      <c r="E1874" s="534">
        <v>0</v>
      </c>
      <c r="F1874" s="534">
        <v>0</v>
      </c>
      <c r="G1874" s="534">
        <v>4</v>
      </c>
    </row>
    <row r="1875" spans="2:7" x14ac:dyDescent="0.3">
      <c r="B1875" s="529">
        <f t="shared" si="63"/>
        <v>1870001</v>
      </c>
      <c r="C1875" s="529">
        <f t="shared" ref="C1875:C1924" si="64">C1874+1</f>
        <v>1871</v>
      </c>
      <c r="E1875" s="534">
        <v>0</v>
      </c>
      <c r="F1875" s="534">
        <v>0</v>
      </c>
      <c r="G1875" s="534">
        <v>4</v>
      </c>
    </row>
    <row r="1876" spans="2:7" x14ac:dyDescent="0.3">
      <c r="B1876" s="529">
        <f t="shared" si="63"/>
        <v>1871001</v>
      </c>
      <c r="C1876" s="529">
        <f t="shared" si="64"/>
        <v>1872</v>
      </c>
      <c r="E1876" s="534">
        <v>0</v>
      </c>
      <c r="F1876" s="534">
        <v>0</v>
      </c>
      <c r="G1876" s="534">
        <v>4</v>
      </c>
    </row>
    <row r="1877" spans="2:7" x14ac:dyDescent="0.3">
      <c r="B1877" s="529">
        <f t="shared" si="63"/>
        <v>1872001</v>
      </c>
      <c r="C1877" s="529">
        <f t="shared" si="64"/>
        <v>1873</v>
      </c>
      <c r="E1877" s="534">
        <v>0</v>
      </c>
      <c r="F1877" s="534">
        <v>0</v>
      </c>
      <c r="G1877" s="534">
        <v>4</v>
      </c>
    </row>
    <row r="1878" spans="2:7" x14ac:dyDescent="0.3">
      <c r="B1878" s="529">
        <f t="shared" si="63"/>
        <v>1873001</v>
      </c>
      <c r="C1878" s="529">
        <f t="shared" si="64"/>
        <v>1874</v>
      </c>
      <c r="E1878" s="534">
        <v>0</v>
      </c>
      <c r="F1878" s="534">
        <v>0</v>
      </c>
      <c r="G1878" s="534">
        <v>4</v>
      </c>
    </row>
    <row r="1879" spans="2:7" x14ac:dyDescent="0.3">
      <c r="B1879" s="529">
        <f t="shared" si="63"/>
        <v>1874001</v>
      </c>
      <c r="C1879" s="529">
        <f t="shared" si="64"/>
        <v>1875</v>
      </c>
      <c r="E1879" s="534">
        <v>0</v>
      </c>
      <c r="F1879" s="534">
        <v>0</v>
      </c>
      <c r="G1879" s="534">
        <v>4</v>
      </c>
    </row>
    <row r="1880" spans="2:7" x14ac:dyDescent="0.3">
      <c r="B1880" s="529">
        <f t="shared" si="63"/>
        <v>1875001</v>
      </c>
      <c r="C1880" s="529">
        <f t="shared" si="64"/>
        <v>1876</v>
      </c>
      <c r="E1880" s="534">
        <v>0</v>
      </c>
      <c r="F1880" s="534">
        <v>0</v>
      </c>
      <c r="G1880" s="534">
        <v>4</v>
      </c>
    </row>
    <row r="1881" spans="2:7" x14ac:dyDescent="0.3">
      <c r="B1881" s="529">
        <f t="shared" si="63"/>
        <v>1876001</v>
      </c>
      <c r="C1881" s="529">
        <f t="shared" si="64"/>
        <v>1877</v>
      </c>
      <c r="E1881" s="534">
        <v>0</v>
      </c>
      <c r="F1881" s="534">
        <v>0</v>
      </c>
      <c r="G1881" s="534">
        <v>4</v>
      </c>
    </row>
    <row r="1882" spans="2:7" x14ac:dyDescent="0.3">
      <c r="B1882" s="529">
        <f t="shared" si="63"/>
        <v>1877001</v>
      </c>
      <c r="C1882" s="529">
        <f t="shared" si="64"/>
        <v>1878</v>
      </c>
      <c r="E1882" s="534">
        <v>0</v>
      </c>
      <c r="F1882" s="534">
        <v>0</v>
      </c>
      <c r="G1882" s="534">
        <v>4</v>
      </c>
    </row>
    <row r="1883" spans="2:7" x14ac:dyDescent="0.3">
      <c r="B1883" s="529">
        <f t="shared" si="63"/>
        <v>1878001</v>
      </c>
      <c r="C1883" s="529">
        <f t="shared" si="64"/>
        <v>1879</v>
      </c>
      <c r="E1883" s="534">
        <v>0</v>
      </c>
      <c r="F1883" s="534">
        <v>0</v>
      </c>
      <c r="G1883" s="534">
        <v>4</v>
      </c>
    </row>
    <row r="1884" spans="2:7" x14ac:dyDescent="0.3">
      <c r="B1884" s="529">
        <f t="shared" si="63"/>
        <v>1879001</v>
      </c>
      <c r="C1884" s="529">
        <f t="shared" si="64"/>
        <v>1880</v>
      </c>
      <c r="E1884" s="534">
        <v>0</v>
      </c>
      <c r="F1884" s="534">
        <v>0</v>
      </c>
      <c r="G1884" s="534">
        <v>4</v>
      </c>
    </row>
    <row r="1885" spans="2:7" x14ac:dyDescent="0.3">
      <c r="B1885" s="529">
        <f t="shared" si="63"/>
        <v>1880001</v>
      </c>
      <c r="C1885" s="529">
        <f t="shared" si="64"/>
        <v>1881</v>
      </c>
      <c r="E1885" s="534">
        <v>0</v>
      </c>
      <c r="F1885" s="534">
        <v>0</v>
      </c>
      <c r="G1885" s="534">
        <v>4</v>
      </c>
    </row>
    <row r="1886" spans="2:7" x14ac:dyDescent="0.3">
      <c r="B1886" s="529">
        <f t="shared" si="63"/>
        <v>1881001</v>
      </c>
      <c r="C1886" s="529">
        <f t="shared" si="64"/>
        <v>1882</v>
      </c>
      <c r="E1886" s="534">
        <v>0</v>
      </c>
      <c r="F1886" s="534">
        <v>0</v>
      </c>
      <c r="G1886" s="534">
        <v>4</v>
      </c>
    </row>
    <row r="1887" spans="2:7" x14ac:dyDescent="0.3">
      <c r="B1887" s="529">
        <f t="shared" si="63"/>
        <v>1882001</v>
      </c>
      <c r="C1887" s="529">
        <f t="shared" si="64"/>
        <v>1883</v>
      </c>
      <c r="E1887" s="534">
        <v>0</v>
      </c>
      <c r="F1887" s="534">
        <v>0</v>
      </c>
      <c r="G1887" s="534">
        <v>4</v>
      </c>
    </row>
    <row r="1888" spans="2:7" x14ac:dyDescent="0.3">
      <c r="B1888" s="529">
        <f t="shared" si="63"/>
        <v>1883001</v>
      </c>
      <c r="C1888" s="529">
        <f t="shared" si="64"/>
        <v>1884</v>
      </c>
      <c r="E1888" s="534">
        <v>0</v>
      </c>
      <c r="F1888" s="534">
        <v>0</v>
      </c>
      <c r="G1888" s="534">
        <v>4</v>
      </c>
    </row>
    <row r="1889" spans="2:7" x14ac:dyDescent="0.3">
      <c r="B1889" s="529">
        <f t="shared" si="63"/>
        <v>1884001</v>
      </c>
      <c r="C1889" s="529">
        <f t="shared" si="64"/>
        <v>1885</v>
      </c>
      <c r="E1889" s="534">
        <v>0</v>
      </c>
      <c r="F1889" s="534">
        <v>0</v>
      </c>
      <c r="G1889" s="534">
        <v>4</v>
      </c>
    </row>
    <row r="1890" spans="2:7" x14ac:dyDescent="0.3">
      <c r="B1890" s="529">
        <f t="shared" si="63"/>
        <v>1885001</v>
      </c>
      <c r="C1890" s="529">
        <f t="shared" si="64"/>
        <v>1886</v>
      </c>
      <c r="E1890" s="534">
        <v>0</v>
      </c>
      <c r="F1890" s="534">
        <v>0</v>
      </c>
      <c r="G1890" s="534">
        <v>4</v>
      </c>
    </row>
    <row r="1891" spans="2:7" x14ac:dyDescent="0.3">
      <c r="B1891" s="529">
        <f t="shared" si="63"/>
        <v>1886001</v>
      </c>
      <c r="C1891" s="529">
        <f t="shared" si="64"/>
        <v>1887</v>
      </c>
      <c r="E1891" s="534">
        <v>0</v>
      </c>
      <c r="F1891" s="534">
        <v>0</v>
      </c>
      <c r="G1891" s="534">
        <v>4</v>
      </c>
    </row>
    <row r="1892" spans="2:7" x14ac:dyDescent="0.3">
      <c r="B1892" s="529">
        <f t="shared" si="63"/>
        <v>1887001</v>
      </c>
      <c r="C1892" s="529">
        <f t="shared" si="64"/>
        <v>1888</v>
      </c>
      <c r="E1892" s="534">
        <v>0</v>
      </c>
      <c r="F1892" s="534">
        <v>0</v>
      </c>
      <c r="G1892" s="534">
        <v>4</v>
      </c>
    </row>
    <row r="1893" spans="2:7" x14ac:dyDescent="0.3">
      <c r="B1893" s="529">
        <f t="shared" si="63"/>
        <v>1888001</v>
      </c>
      <c r="C1893" s="529">
        <f t="shared" si="64"/>
        <v>1889</v>
      </c>
      <c r="E1893" s="534">
        <v>0</v>
      </c>
      <c r="F1893" s="534">
        <v>0</v>
      </c>
      <c r="G1893" s="534">
        <v>4</v>
      </c>
    </row>
    <row r="1894" spans="2:7" x14ac:dyDescent="0.3">
      <c r="B1894" s="529">
        <f t="shared" si="63"/>
        <v>1889001</v>
      </c>
      <c r="C1894" s="529">
        <f t="shared" si="64"/>
        <v>1890</v>
      </c>
      <c r="E1894" s="534">
        <v>0</v>
      </c>
      <c r="F1894" s="534">
        <v>0</v>
      </c>
      <c r="G1894" s="534">
        <v>4</v>
      </c>
    </row>
    <row r="1895" spans="2:7" x14ac:dyDescent="0.3">
      <c r="B1895" s="529">
        <f t="shared" si="63"/>
        <v>1890001</v>
      </c>
      <c r="C1895" s="529">
        <f t="shared" si="64"/>
        <v>1891</v>
      </c>
      <c r="E1895" s="534">
        <v>0</v>
      </c>
      <c r="F1895" s="534">
        <v>0</v>
      </c>
      <c r="G1895" s="534">
        <v>4</v>
      </c>
    </row>
    <row r="1896" spans="2:7" x14ac:dyDescent="0.3">
      <c r="B1896" s="529">
        <f t="shared" si="63"/>
        <v>1891001</v>
      </c>
      <c r="C1896" s="529">
        <f t="shared" si="64"/>
        <v>1892</v>
      </c>
      <c r="E1896" s="534">
        <v>0</v>
      </c>
      <c r="F1896" s="534">
        <v>0</v>
      </c>
      <c r="G1896" s="534">
        <v>4</v>
      </c>
    </row>
    <row r="1897" spans="2:7" x14ac:dyDescent="0.3">
      <c r="B1897" s="529">
        <f t="shared" si="63"/>
        <v>1892001</v>
      </c>
      <c r="C1897" s="529">
        <f t="shared" si="64"/>
        <v>1893</v>
      </c>
      <c r="E1897" s="534">
        <v>0</v>
      </c>
      <c r="F1897" s="534">
        <v>0</v>
      </c>
      <c r="G1897" s="534">
        <v>4</v>
      </c>
    </row>
    <row r="1898" spans="2:7" x14ac:dyDescent="0.3">
      <c r="B1898" s="529">
        <f t="shared" si="63"/>
        <v>1893001</v>
      </c>
      <c r="C1898" s="529">
        <f t="shared" si="64"/>
        <v>1894</v>
      </c>
      <c r="E1898" s="534">
        <v>0</v>
      </c>
      <c r="F1898" s="534">
        <v>0</v>
      </c>
      <c r="G1898" s="534">
        <v>4</v>
      </c>
    </row>
    <row r="1899" spans="2:7" x14ac:dyDescent="0.3">
      <c r="B1899" s="529">
        <f t="shared" si="63"/>
        <v>1894001</v>
      </c>
      <c r="C1899" s="529">
        <f t="shared" si="64"/>
        <v>1895</v>
      </c>
      <c r="E1899" s="534">
        <v>0</v>
      </c>
      <c r="F1899" s="534">
        <v>0</v>
      </c>
      <c r="G1899" s="534">
        <v>4</v>
      </c>
    </row>
    <row r="1900" spans="2:7" x14ac:dyDescent="0.3">
      <c r="B1900" s="529">
        <f t="shared" si="63"/>
        <v>1895001</v>
      </c>
      <c r="C1900" s="529">
        <f t="shared" si="64"/>
        <v>1896</v>
      </c>
      <c r="E1900" s="534">
        <v>0</v>
      </c>
      <c r="F1900" s="534">
        <v>0</v>
      </c>
      <c r="G1900" s="534">
        <v>4</v>
      </c>
    </row>
    <row r="1901" spans="2:7" x14ac:dyDescent="0.3">
      <c r="B1901" s="529">
        <f t="shared" si="63"/>
        <v>1896001</v>
      </c>
      <c r="C1901" s="529">
        <f t="shared" si="64"/>
        <v>1897</v>
      </c>
      <c r="E1901" s="534">
        <v>0</v>
      </c>
      <c r="F1901" s="534">
        <v>0</v>
      </c>
      <c r="G1901" s="534">
        <v>4</v>
      </c>
    </row>
    <row r="1902" spans="2:7" x14ac:dyDescent="0.3">
      <c r="B1902" s="529">
        <f t="shared" si="63"/>
        <v>1897001</v>
      </c>
      <c r="C1902" s="529">
        <f t="shared" si="64"/>
        <v>1898</v>
      </c>
      <c r="E1902" s="534">
        <v>0</v>
      </c>
      <c r="F1902" s="534">
        <v>0</v>
      </c>
      <c r="G1902" s="534">
        <v>4</v>
      </c>
    </row>
    <row r="1903" spans="2:7" x14ac:dyDescent="0.3">
      <c r="B1903" s="529">
        <f t="shared" si="63"/>
        <v>1898001</v>
      </c>
      <c r="C1903" s="529">
        <f t="shared" si="64"/>
        <v>1899</v>
      </c>
      <c r="E1903" s="534">
        <v>0</v>
      </c>
      <c r="F1903" s="534">
        <v>0</v>
      </c>
      <c r="G1903" s="534">
        <v>4</v>
      </c>
    </row>
    <row r="1904" spans="2:7" x14ac:dyDescent="0.3">
      <c r="B1904" s="529">
        <f t="shared" si="63"/>
        <v>1899001</v>
      </c>
      <c r="C1904" s="529">
        <f t="shared" si="64"/>
        <v>1900</v>
      </c>
      <c r="E1904" s="534">
        <v>0</v>
      </c>
      <c r="F1904" s="534">
        <v>0</v>
      </c>
      <c r="G1904" s="534">
        <v>4</v>
      </c>
    </row>
    <row r="1905" spans="2:7" x14ac:dyDescent="0.3">
      <c r="B1905" s="529">
        <f t="shared" si="63"/>
        <v>1900001</v>
      </c>
      <c r="C1905" s="529">
        <f t="shared" si="64"/>
        <v>1901</v>
      </c>
      <c r="E1905" s="534">
        <v>0</v>
      </c>
      <c r="F1905" s="534">
        <v>0</v>
      </c>
      <c r="G1905" s="534">
        <v>4</v>
      </c>
    </row>
    <row r="1906" spans="2:7" x14ac:dyDescent="0.3">
      <c r="B1906" s="529">
        <f t="shared" si="63"/>
        <v>1901001</v>
      </c>
      <c r="C1906" s="529">
        <f t="shared" si="64"/>
        <v>1902</v>
      </c>
      <c r="E1906" s="534">
        <v>0</v>
      </c>
      <c r="F1906" s="534">
        <v>0</v>
      </c>
      <c r="G1906" s="534">
        <v>4</v>
      </c>
    </row>
    <row r="1907" spans="2:7" x14ac:dyDescent="0.3">
      <c r="B1907" s="529">
        <f t="shared" si="63"/>
        <v>1902001</v>
      </c>
      <c r="C1907" s="529">
        <f t="shared" si="64"/>
        <v>1903</v>
      </c>
      <c r="E1907" s="534">
        <v>0</v>
      </c>
      <c r="F1907" s="534">
        <v>0</v>
      </c>
      <c r="G1907" s="534">
        <v>4</v>
      </c>
    </row>
    <row r="1908" spans="2:7" x14ac:dyDescent="0.3">
      <c r="B1908" s="529">
        <f t="shared" si="63"/>
        <v>1903001</v>
      </c>
      <c r="C1908" s="529">
        <f t="shared" si="64"/>
        <v>1904</v>
      </c>
      <c r="E1908" s="534">
        <v>0</v>
      </c>
      <c r="F1908" s="534">
        <v>0</v>
      </c>
      <c r="G1908" s="534">
        <v>4</v>
      </c>
    </row>
    <row r="1909" spans="2:7" x14ac:dyDescent="0.3">
      <c r="B1909" s="529">
        <f t="shared" si="63"/>
        <v>1904001</v>
      </c>
      <c r="C1909" s="529">
        <f t="shared" si="64"/>
        <v>1905</v>
      </c>
      <c r="E1909" s="534">
        <v>0</v>
      </c>
      <c r="F1909" s="534">
        <v>0</v>
      </c>
      <c r="G1909" s="534">
        <v>4</v>
      </c>
    </row>
    <row r="1910" spans="2:7" x14ac:dyDescent="0.3">
      <c r="B1910" s="529">
        <f t="shared" si="63"/>
        <v>1905001</v>
      </c>
      <c r="C1910" s="529">
        <f t="shared" si="64"/>
        <v>1906</v>
      </c>
      <c r="E1910" s="534">
        <v>0</v>
      </c>
      <c r="F1910" s="534">
        <v>0</v>
      </c>
      <c r="G1910" s="534">
        <v>4</v>
      </c>
    </row>
    <row r="1911" spans="2:7" x14ac:dyDescent="0.3">
      <c r="B1911" s="529">
        <f t="shared" si="63"/>
        <v>1906001</v>
      </c>
      <c r="C1911" s="529">
        <f t="shared" si="64"/>
        <v>1907</v>
      </c>
      <c r="E1911" s="534">
        <v>1</v>
      </c>
      <c r="F1911" s="534">
        <v>1907</v>
      </c>
      <c r="G1911" s="534">
        <v>4</v>
      </c>
    </row>
    <row r="1912" spans="2:7" x14ac:dyDescent="0.3">
      <c r="B1912" s="529">
        <f t="shared" si="63"/>
        <v>1907001</v>
      </c>
      <c r="C1912" s="529">
        <f t="shared" si="64"/>
        <v>1908</v>
      </c>
      <c r="E1912" s="534">
        <v>0</v>
      </c>
      <c r="F1912" s="534">
        <v>0</v>
      </c>
      <c r="G1912" s="534">
        <v>3</v>
      </c>
    </row>
    <row r="1913" spans="2:7" x14ac:dyDescent="0.3">
      <c r="B1913" s="529">
        <f t="shared" si="63"/>
        <v>1908001</v>
      </c>
      <c r="C1913" s="529">
        <f t="shared" si="64"/>
        <v>1909</v>
      </c>
      <c r="E1913" s="534">
        <v>0</v>
      </c>
      <c r="F1913" s="534">
        <v>0</v>
      </c>
      <c r="G1913" s="534">
        <v>3</v>
      </c>
    </row>
    <row r="1914" spans="2:7" x14ac:dyDescent="0.3">
      <c r="B1914" s="529">
        <f t="shared" si="63"/>
        <v>1909001</v>
      </c>
      <c r="C1914" s="529">
        <f t="shared" si="64"/>
        <v>1910</v>
      </c>
      <c r="E1914" s="534">
        <v>0</v>
      </c>
      <c r="F1914" s="534">
        <v>0</v>
      </c>
      <c r="G1914" s="534">
        <v>3</v>
      </c>
    </row>
    <row r="1915" spans="2:7" x14ac:dyDescent="0.3">
      <c r="B1915" s="529">
        <f t="shared" si="63"/>
        <v>1910001</v>
      </c>
      <c r="C1915" s="529">
        <f t="shared" si="64"/>
        <v>1911</v>
      </c>
      <c r="E1915" s="534">
        <v>0</v>
      </c>
      <c r="F1915" s="534">
        <v>0</v>
      </c>
      <c r="G1915" s="534">
        <v>3</v>
      </c>
    </row>
    <row r="1916" spans="2:7" x14ac:dyDescent="0.3">
      <c r="B1916" s="529">
        <f t="shared" si="63"/>
        <v>1911001</v>
      </c>
      <c r="C1916" s="529">
        <f t="shared" si="64"/>
        <v>1912</v>
      </c>
      <c r="E1916" s="534">
        <v>0</v>
      </c>
      <c r="F1916" s="534">
        <v>0</v>
      </c>
      <c r="G1916" s="534">
        <v>3</v>
      </c>
    </row>
    <row r="1917" spans="2:7" x14ac:dyDescent="0.3">
      <c r="B1917" s="529">
        <f t="shared" si="63"/>
        <v>1912001</v>
      </c>
      <c r="C1917" s="529">
        <f t="shared" si="64"/>
        <v>1913</v>
      </c>
      <c r="E1917" s="534">
        <v>0</v>
      </c>
      <c r="F1917" s="534">
        <v>0</v>
      </c>
      <c r="G1917" s="534">
        <v>3</v>
      </c>
    </row>
    <row r="1918" spans="2:7" x14ac:dyDescent="0.3">
      <c r="B1918" s="529">
        <f t="shared" si="63"/>
        <v>1913001</v>
      </c>
      <c r="C1918" s="529">
        <f t="shared" si="64"/>
        <v>1914</v>
      </c>
      <c r="E1918" s="534">
        <v>0</v>
      </c>
      <c r="F1918" s="534">
        <v>0</v>
      </c>
      <c r="G1918" s="534">
        <v>3</v>
      </c>
    </row>
    <row r="1919" spans="2:7" x14ac:dyDescent="0.3">
      <c r="B1919" s="529">
        <f t="shared" si="63"/>
        <v>1914001</v>
      </c>
      <c r="C1919" s="529">
        <f t="shared" si="64"/>
        <v>1915</v>
      </c>
      <c r="E1919" s="534">
        <v>0</v>
      </c>
      <c r="F1919" s="534">
        <v>0</v>
      </c>
      <c r="G1919" s="534">
        <v>3</v>
      </c>
    </row>
    <row r="1920" spans="2:7" x14ac:dyDescent="0.3">
      <c r="B1920" s="529">
        <f t="shared" si="63"/>
        <v>1915001</v>
      </c>
      <c r="C1920" s="529">
        <f t="shared" si="64"/>
        <v>1916</v>
      </c>
      <c r="E1920" s="534">
        <v>0</v>
      </c>
      <c r="F1920" s="534">
        <v>0</v>
      </c>
      <c r="G1920" s="534">
        <v>3</v>
      </c>
    </row>
    <row r="1921" spans="2:7" x14ac:dyDescent="0.3">
      <c r="B1921" s="529">
        <f t="shared" si="63"/>
        <v>1916001</v>
      </c>
      <c r="C1921" s="529">
        <f t="shared" si="64"/>
        <v>1917</v>
      </c>
      <c r="E1921" s="534">
        <v>1</v>
      </c>
      <c r="F1921" s="534">
        <v>1917</v>
      </c>
      <c r="G1921" s="534">
        <v>3</v>
      </c>
    </row>
    <row r="1922" spans="2:7" x14ac:dyDescent="0.3">
      <c r="B1922" s="529">
        <f t="shared" si="63"/>
        <v>1917001</v>
      </c>
      <c r="C1922" s="529">
        <f t="shared" si="64"/>
        <v>1918</v>
      </c>
      <c r="E1922" s="534">
        <v>0</v>
      </c>
      <c r="F1922" s="534">
        <v>0</v>
      </c>
      <c r="G1922" s="534">
        <v>2</v>
      </c>
    </row>
    <row r="1923" spans="2:7" x14ac:dyDescent="0.3">
      <c r="B1923" s="529">
        <f t="shared" si="63"/>
        <v>1918001</v>
      </c>
      <c r="C1923" s="529">
        <f t="shared" si="64"/>
        <v>1919</v>
      </c>
      <c r="E1923" s="534">
        <v>0</v>
      </c>
      <c r="F1923" s="534">
        <v>0</v>
      </c>
      <c r="G1923" s="534">
        <v>2</v>
      </c>
    </row>
    <row r="1924" spans="2:7" x14ac:dyDescent="0.3">
      <c r="B1924" s="529">
        <f t="shared" si="63"/>
        <v>1919001</v>
      </c>
      <c r="C1924" s="529">
        <f t="shared" si="64"/>
        <v>1920</v>
      </c>
      <c r="E1924" s="534">
        <v>0</v>
      </c>
      <c r="F1924" s="534">
        <v>0</v>
      </c>
      <c r="G1924" s="534">
        <v>2</v>
      </c>
    </row>
    <row r="1925" spans="2:7" x14ac:dyDescent="0.3">
      <c r="B1925" s="529">
        <f t="shared" si="63"/>
        <v>1920001</v>
      </c>
      <c r="C1925" s="529">
        <f>C1924+1</f>
        <v>1921</v>
      </c>
      <c r="E1925" s="534">
        <v>0</v>
      </c>
      <c r="F1925" s="534">
        <v>0</v>
      </c>
      <c r="G1925" s="534">
        <v>2</v>
      </c>
    </row>
    <row r="1926" spans="2:7" x14ac:dyDescent="0.3">
      <c r="B1926" s="529">
        <f t="shared" si="63"/>
        <v>1921001</v>
      </c>
      <c r="C1926" s="529">
        <f t="shared" ref="C1926:C1989" si="65">C1925+1</f>
        <v>1922</v>
      </c>
      <c r="E1926" s="534">
        <v>0</v>
      </c>
      <c r="F1926" s="534">
        <v>0</v>
      </c>
      <c r="G1926" s="534">
        <v>2</v>
      </c>
    </row>
    <row r="1927" spans="2:7" x14ac:dyDescent="0.3">
      <c r="B1927" s="529">
        <f t="shared" ref="B1927:B1990" si="66">C1926*1000+1</f>
        <v>1922001</v>
      </c>
      <c r="C1927" s="529">
        <f t="shared" si="65"/>
        <v>1923</v>
      </c>
      <c r="E1927" s="534">
        <v>0</v>
      </c>
      <c r="F1927" s="534">
        <v>0</v>
      </c>
      <c r="G1927" s="534">
        <v>2</v>
      </c>
    </row>
    <row r="1928" spans="2:7" x14ac:dyDescent="0.3">
      <c r="B1928" s="529">
        <f t="shared" si="66"/>
        <v>1923001</v>
      </c>
      <c r="C1928" s="529">
        <f t="shared" si="65"/>
        <v>1924</v>
      </c>
      <c r="E1928" s="534">
        <v>0</v>
      </c>
      <c r="F1928" s="534">
        <v>0</v>
      </c>
      <c r="G1928" s="534">
        <v>2</v>
      </c>
    </row>
    <row r="1929" spans="2:7" x14ac:dyDescent="0.3">
      <c r="B1929" s="529">
        <f t="shared" si="66"/>
        <v>1924001</v>
      </c>
      <c r="C1929" s="529">
        <f t="shared" si="65"/>
        <v>1925</v>
      </c>
      <c r="E1929" s="534">
        <v>0</v>
      </c>
      <c r="F1929" s="534">
        <v>0</v>
      </c>
      <c r="G1929" s="534">
        <v>2</v>
      </c>
    </row>
    <row r="1930" spans="2:7" x14ac:dyDescent="0.3">
      <c r="B1930" s="529">
        <f t="shared" si="66"/>
        <v>1925001</v>
      </c>
      <c r="C1930" s="529">
        <f t="shared" si="65"/>
        <v>1926</v>
      </c>
      <c r="E1930" s="534">
        <v>0</v>
      </c>
      <c r="F1930" s="534">
        <v>0</v>
      </c>
      <c r="G1930" s="534">
        <v>2</v>
      </c>
    </row>
    <row r="1931" spans="2:7" x14ac:dyDescent="0.3">
      <c r="B1931" s="529">
        <f t="shared" si="66"/>
        <v>1926001</v>
      </c>
      <c r="C1931" s="529">
        <f t="shared" si="65"/>
        <v>1927</v>
      </c>
      <c r="E1931" s="534">
        <v>0</v>
      </c>
      <c r="F1931" s="534">
        <v>0</v>
      </c>
      <c r="G1931" s="534">
        <v>2</v>
      </c>
    </row>
    <row r="1932" spans="2:7" x14ac:dyDescent="0.3">
      <c r="B1932" s="529">
        <f t="shared" si="66"/>
        <v>1927001</v>
      </c>
      <c r="C1932" s="529">
        <f t="shared" si="65"/>
        <v>1928</v>
      </c>
      <c r="E1932" s="534">
        <v>0</v>
      </c>
      <c r="F1932" s="534">
        <v>0</v>
      </c>
      <c r="G1932" s="534">
        <v>2</v>
      </c>
    </row>
    <row r="1933" spans="2:7" x14ac:dyDescent="0.3">
      <c r="B1933" s="529">
        <f t="shared" si="66"/>
        <v>1928001</v>
      </c>
      <c r="C1933" s="529">
        <f t="shared" si="65"/>
        <v>1929</v>
      </c>
      <c r="E1933" s="534">
        <v>0</v>
      </c>
      <c r="F1933" s="534">
        <v>0</v>
      </c>
      <c r="G1933" s="534">
        <v>2</v>
      </c>
    </row>
    <row r="1934" spans="2:7" x14ac:dyDescent="0.3">
      <c r="B1934" s="529">
        <f t="shared" si="66"/>
        <v>1929001</v>
      </c>
      <c r="C1934" s="529">
        <f t="shared" si="65"/>
        <v>1930</v>
      </c>
      <c r="E1934" s="534">
        <v>0</v>
      </c>
      <c r="F1934" s="534">
        <v>0</v>
      </c>
      <c r="G1934" s="534">
        <v>2</v>
      </c>
    </row>
    <row r="1935" spans="2:7" x14ac:dyDescent="0.3">
      <c r="B1935" s="529">
        <f t="shared" si="66"/>
        <v>1930001</v>
      </c>
      <c r="C1935" s="529">
        <f t="shared" si="65"/>
        <v>1931</v>
      </c>
      <c r="E1935" s="534">
        <v>0</v>
      </c>
      <c r="F1935" s="534">
        <v>0</v>
      </c>
      <c r="G1935" s="534">
        <v>2</v>
      </c>
    </row>
    <row r="1936" spans="2:7" x14ac:dyDescent="0.3">
      <c r="B1936" s="529">
        <f t="shared" si="66"/>
        <v>1931001</v>
      </c>
      <c r="C1936" s="529">
        <f t="shared" si="65"/>
        <v>1932</v>
      </c>
      <c r="E1936" s="534">
        <v>0</v>
      </c>
      <c r="F1936" s="534">
        <v>0</v>
      </c>
      <c r="G1936" s="534">
        <v>2</v>
      </c>
    </row>
    <row r="1937" spans="2:7" x14ac:dyDescent="0.3">
      <c r="B1937" s="529">
        <f t="shared" si="66"/>
        <v>1932001</v>
      </c>
      <c r="C1937" s="529">
        <f t="shared" si="65"/>
        <v>1933</v>
      </c>
      <c r="E1937" s="534">
        <v>0</v>
      </c>
      <c r="F1937" s="534">
        <v>0</v>
      </c>
      <c r="G1937" s="534">
        <v>2</v>
      </c>
    </row>
    <row r="1938" spans="2:7" x14ac:dyDescent="0.3">
      <c r="B1938" s="529">
        <f t="shared" si="66"/>
        <v>1933001</v>
      </c>
      <c r="C1938" s="529">
        <f t="shared" si="65"/>
        <v>1934</v>
      </c>
      <c r="E1938" s="534">
        <v>0</v>
      </c>
      <c r="F1938" s="534">
        <v>0</v>
      </c>
      <c r="G1938" s="534">
        <v>2</v>
      </c>
    </row>
    <row r="1939" spans="2:7" x14ac:dyDescent="0.3">
      <c r="B1939" s="529">
        <f t="shared" si="66"/>
        <v>1934001</v>
      </c>
      <c r="C1939" s="529">
        <f t="shared" si="65"/>
        <v>1935</v>
      </c>
      <c r="E1939" s="534">
        <v>0</v>
      </c>
      <c r="F1939" s="534">
        <v>0</v>
      </c>
      <c r="G1939" s="534">
        <v>2</v>
      </c>
    </row>
    <row r="1940" spans="2:7" x14ac:dyDescent="0.3">
      <c r="B1940" s="529">
        <f t="shared" si="66"/>
        <v>1935001</v>
      </c>
      <c r="C1940" s="529">
        <f t="shared" si="65"/>
        <v>1936</v>
      </c>
      <c r="E1940" s="534">
        <v>0</v>
      </c>
      <c r="F1940" s="534">
        <v>0</v>
      </c>
      <c r="G1940" s="534">
        <v>2</v>
      </c>
    </row>
    <row r="1941" spans="2:7" x14ac:dyDescent="0.3">
      <c r="B1941" s="529">
        <f t="shared" si="66"/>
        <v>1936001</v>
      </c>
      <c r="C1941" s="529">
        <f t="shared" si="65"/>
        <v>1937</v>
      </c>
      <c r="E1941" s="534">
        <v>0</v>
      </c>
      <c r="F1941" s="534">
        <v>0</v>
      </c>
      <c r="G1941" s="534">
        <v>2</v>
      </c>
    </row>
    <row r="1942" spans="2:7" x14ac:dyDescent="0.3">
      <c r="B1942" s="529">
        <f t="shared" si="66"/>
        <v>1937001</v>
      </c>
      <c r="C1942" s="529">
        <f t="shared" si="65"/>
        <v>1938</v>
      </c>
      <c r="E1942" s="534">
        <v>0</v>
      </c>
      <c r="F1942" s="534">
        <v>0</v>
      </c>
      <c r="G1942" s="534">
        <v>2</v>
      </c>
    </row>
    <row r="1943" spans="2:7" x14ac:dyDescent="0.3">
      <c r="B1943" s="529">
        <f t="shared" si="66"/>
        <v>1938001</v>
      </c>
      <c r="C1943" s="529">
        <f t="shared" si="65"/>
        <v>1939</v>
      </c>
      <c r="E1943" s="534">
        <v>0</v>
      </c>
      <c r="F1943" s="534">
        <v>0</v>
      </c>
      <c r="G1943" s="534">
        <v>2</v>
      </c>
    </row>
    <row r="1944" spans="2:7" x14ac:dyDescent="0.3">
      <c r="B1944" s="529">
        <f t="shared" si="66"/>
        <v>1939001</v>
      </c>
      <c r="C1944" s="529">
        <f t="shared" si="65"/>
        <v>1940</v>
      </c>
      <c r="E1944" s="534">
        <v>0</v>
      </c>
      <c r="F1944" s="534">
        <v>0</v>
      </c>
      <c r="G1944" s="534">
        <v>2</v>
      </c>
    </row>
    <row r="1945" spans="2:7" x14ac:dyDescent="0.3">
      <c r="B1945" s="529">
        <f t="shared" si="66"/>
        <v>1940001</v>
      </c>
      <c r="C1945" s="529">
        <f t="shared" si="65"/>
        <v>1941</v>
      </c>
      <c r="E1945" s="534">
        <v>0</v>
      </c>
      <c r="F1945" s="534">
        <v>0</v>
      </c>
      <c r="G1945" s="534">
        <v>2</v>
      </c>
    </row>
    <row r="1946" spans="2:7" x14ac:dyDescent="0.3">
      <c r="B1946" s="529">
        <f t="shared" si="66"/>
        <v>1941001</v>
      </c>
      <c r="C1946" s="529">
        <f t="shared" si="65"/>
        <v>1942</v>
      </c>
      <c r="E1946" s="534">
        <v>0</v>
      </c>
      <c r="F1946" s="534">
        <v>0</v>
      </c>
      <c r="G1946" s="534">
        <v>2</v>
      </c>
    </row>
    <row r="1947" spans="2:7" x14ac:dyDescent="0.3">
      <c r="B1947" s="529">
        <f t="shared" si="66"/>
        <v>1942001</v>
      </c>
      <c r="C1947" s="529">
        <f t="shared" si="65"/>
        <v>1943</v>
      </c>
      <c r="E1947" s="534">
        <v>0</v>
      </c>
      <c r="F1947" s="534">
        <v>0</v>
      </c>
      <c r="G1947" s="534">
        <v>2</v>
      </c>
    </row>
    <row r="1948" spans="2:7" x14ac:dyDescent="0.3">
      <c r="B1948" s="529">
        <f t="shared" si="66"/>
        <v>1943001</v>
      </c>
      <c r="C1948" s="529">
        <f t="shared" si="65"/>
        <v>1944</v>
      </c>
      <c r="E1948" s="534">
        <v>0</v>
      </c>
      <c r="F1948" s="534">
        <v>0</v>
      </c>
      <c r="G1948" s="534">
        <v>2</v>
      </c>
    </row>
    <row r="1949" spans="2:7" x14ac:dyDescent="0.3">
      <c r="B1949" s="529">
        <f t="shared" si="66"/>
        <v>1944001</v>
      </c>
      <c r="C1949" s="529">
        <f t="shared" si="65"/>
        <v>1945</v>
      </c>
      <c r="E1949" s="534">
        <v>0</v>
      </c>
      <c r="F1949" s="534">
        <v>0</v>
      </c>
      <c r="G1949" s="534">
        <v>2</v>
      </c>
    </row>
    <row r="1950" spans="2:7" x14ac:dyDescent="0.3">
      <c r="B1950" s="529">
        <f t="shared" si="66"/>
        <v>1945001</v>
      </c>
      <c r="C1950" s="529">
        <f t="shared" si="65"/>
        <v>1946</v>
      </c>
      <c r="E1950" s="534">
        <v>0</v>
      </c>
      <c r="F1950" s="534">
        <v>0</v>
      </c>
      <c r="G1950" s="534">
        <v>2</v>
      </c>
    </row>
    <row r="1951" spans="2:7" x14ac:dyDescent="0.3">
      <c r="B1951" s="529">
        <f t="shared" si="66"/>
        <v>1946001</v>
      </c>
      <c r="C1951" s="529">
        <f t="shared" si="65"/>
        <v>1947</v>
      </c>
      <c r="E1951" s="534">
        <v>0</v>
      </c>
      <c r="F1951" s="534">
        <v>0</v>
      </c>
      <c r="G1951" s="534">
        <v>2</v>
      </c>
    </row>
    <row r="1952" spans="2:7" x14ac:dyDescent="0.3">
      <c r="B1952" s="529">
        <f t="shared" si="66"/>
        <v>1947001</v>
      </c>
      <c r="C1952" s="529">
        <f t="shared" si="65"/>
        <v>1948</v>
      </c>
      <c r="E1952" s="534">
        <v>0</v>
      </c>
      <c r="F1952" s="534">
        <v>0</v>
      </c>
      <c r="G1952" s="534">
        <v>2</v>
      </c>
    </row>
    <row r="1953" spans="2:7" x14ac:dyDescent="0.3">
      <c r="B1953" s="529">
        <f t="shared" si="66"/>
        <v>1948001</v>
      </c>
      <c r="C1953" s="529">
        <f t="shared" si="65"/>
        <v>1949</v>
      </c>
      <c r="E1953" s="534">
        <v>0</v>
      </c>
      <c r="F1953" s="534">
        <v>0</v>
      </c>
      <c r="G1953" s="534">
        <v>2</v>
      </c>
    </row>
    <row r="1954" spans="2:7" x14ac:dyDescent="0.3">
      <c r="B1954" s="529">
        <f t="shared" si="66"/>
        <v>1949001</v>
      </c>
      <c r="C1954" s="529">
        <f t="shared" si="65"/>
        <v>1950</v>
      </c>
      <c r="E1954" s="534">
        <v>0</v>
      </c>
      <c r="F1954" s="534">
        <v>0</v>
      </c>
      <c r="G1954" s="534">
        <v>2</v>
      </c>
    </row>
    <row r="1955" spans="2:7" x14ac:dyDescent="0.3">
      <c r="B1955" s="529">
        <f t="shared" si="66"/>
        <v>1950001</v>
      </c>
      <c r="C1955" s="529">
        <f t="shared" si="65"/>
        <v>1951</v>
      </c>
      <c r="E1955" s="534">
        <v>0</v>
      </c>
      <c r="F1955" s="534">
        <v>0</v>
      </c>
      <c r="G1955" s="534">
        <v>2</v>
      </c>
    </row>
    <row r="1956" spans="2:7" x14ac:dyDescent="0.3">
      <c r="B1956" s="529">
        <f t="shared" si="66"/>
        <v>1951001</v>
      </c>
      <c r="C1956" s="529">
        <f t="shared" si="65"/>
        <v>1952</v>
      </c>
      <c r="E1956" s="534">
        <v>0</v>
      </c>
      <c r="F1956" s="534">
        <v>0</v>
      </c>
      <c r="G1956" s="534">
        <v>2</v>
      </c>
    </row>
    <row r="1957" spans="2:7" x14ac:dyDescent="0.3">
      <c r="B1957" s="529">
        <f t="shared" si="66"/>
        <v>1952001</v>
      </c>
      <c r="C1957" s="529">
        <f t="shared" si="65"/>
        <v>1953</v>
      </c>
      <c r="E1957" s="534">
        <v>0</v>
      </c>
      <c r="F1957" s="534">
        <v>0</v>
      </c>
      <c r="G1957" s="534">
        <v>2</v>
      </c>
    </row>
    <row r="1958" spans="2:7" x14ac:dyDescent="0.3">
      <c r="B1958" s="529">
        <f t="shared" si="66"/>
        <v>1953001</v>
      </c>
      <c r="C1958" s="529">
        <f t="shared" si="65"/>
        <v>1954</v>
      </c>
      <c r="E1958" s="534">
        <v>0</v>
      </c>
      <c r="F1958" s="534">
        <v>0</v>
      </c>
      <c r="G1958" s="534">
        <v>2</v>
      </c>
    </row>
    <row r="1959" spans="2:7" x14ac:dyDescent="0.3">
      <c r="B1959" s="529">
        <f t="shared" si="66"/>
        <v>1954001</v>
      </c>
      <c r="C1959" s="529">
        <f t="shared" si="65"/>
        <v>1955</v>
      </c>
      <c r="E1959" s="534">
        <v>0</v>
      </c>
      <c r="F1959" s="534">
        <v>0</v>
      </c>
      <c r="G1959" s="534">
        <v>2</v>
      </c>
    </row>
    <row r="1960" spans="2:7" x14ac:dyDescent="0.3">
      <c r="B1960" s="529">
        <f t="shared" si="66"/>
        <v>1955001</v>
      </c>
      <c r="C1960" s="529">
        <f t="shared" si="65"/>
        <v>1956</v>
      </c>
      <c r="E1960" s="534">
        <v>0</v>
      </c>
      <c r="F1960" s="534">
        <v>0</v>
      </c>
      <c r="G1960" s="534">
        <v>2</v>
      </c>
    </row>
    <row r="1961" spans="2:7" x14ac:dyDescent="0.3">
      <c r="B1961" s="529">
        <f t="shared" si="66"/>
        <v>1956001</v>
      </c>
      <c r="C1961" s="529">
        <f t="shared" si="65"/>
        <v>1957</v>
      </c>
      <c r="E1961" s="534">
        <v>0</v>
      </c>
      <c r="F1961" s="534">
        <v>0</v>
      </c>
      <c r="G1961" s="534">
        <v>2</v>
      </c>
    </row>
    <row r="1962" spans="2:7" x14ac:dyDescent="0.3">
      <c r="B1962" s="529">
        <f t="shared" si="66"/>
        <v>1957001</v>
      </c>
      <c r="C1962" s="529">
        <f t="shared" si="65"/>
        <v>1958</v>
      </c>
      <c r="E1962" s="534">
        <v>0</v>
      </c>
      <c r="F1962" s="534">
        <v>0</v>
      </c>
      <c r="G1962" s="534">
        <v>2</v>
      </c>
    </row>
    <row r="1963" spans="2:7" x14ac:dyDescent="0.3">
      <c r="B1963" s="529">
        <f t="shared" si="66"/>
        <v>1958001</v>
      </c>
      <c r="C1963" s="529">
        <f t="shared" si="65"/>
        <v>1959</v>
      </c>
      <c r="E1963" s="534">
        <v>0</v>
      </c>
      <c r="F1963" s="534">
        <v>0</v>
      </c>
      <c r="G1963" s="534">
        <v>2</v>
      </c>
    </row>
    <row r="1964" spans="2:7" x14ac:dyDescent="0.3">
      <c r="B1964" s="529">
        <f t="shared" si="66"/>
        <v>1959001</v>
      </c>
      <c r="C1964" s="529">
        <f t="shared" si="65"/>
        <v>1960</v>
      </c>
      <c r="E1964" s="534">
        <v>0</v>
      </c>
      <c r="F1964" s="534">
        <v>0</v>
      </c>
      <c r="G1964" s="534">
        <v>2</v>
      </c>
    </row>
    <row r="1965" spans="2:7" x14ac:dyDescent="0.3">
      <c r="B1965" s="529">
        <f t="shared" si="66"/>
        <v>1960001</v>
      </c>
      <c r="C1965" s="529">
        <f t="shared" si="65"/>
        <v>1961</v>
      </c>
      <c r="E1965" s="534">
        <v>0</v>
      </c>
      <c r="F1965" s="534">
        <v>0</v>
      </c>
      <c r="G1965" s="534">
        <v>2</v>
      </c>
    </row>
    <row r="1966" spans="2:7" x14ac:dyDescent="0.3">
      <c r="B1966" s="529">
        <f t="shared" si="66"/>
        <v>1961001</v>
      </c>
      <c r="C1966" s="529">
        <f t="shared" si="65"/>
        <v>1962</v>
      </c>
      <c r="E1966" s="534">
        <v>0</v>
      </c>
      <c r="F1966" s="534">
        <v>0</v>
      </c>
      <c r="G1966" s="534">
        <v>2</v>
      </c>
    </row>
    <row r="1967" spans="2:7" x14ac:dyDescent="0.3">
      <c r="B1967" s="529">
        <f t="shared" si="66"/>
        <v>1962001</v>
      </c>
      <c r="C1967" s="529">
        <f t="shared" si="65"/>
        <v>1963</v>
      </c>
      <c r="E1967" s="534">
        <v>0</v>
      </c>
      <c r="F1967" s="534">
        <v>0</v>
      </c>
      <c r="G1967" s="534">
        <v>2</v>
      </c>
    </row>
    <row r="1968" spans="2:7" x14ac:dyDescent="0.3">
      <c r="B1968" s="529">
        <f t="shared" si="66"/>
        <v>1963001</v>
      </c>
      <c r="C1968" s="529">
        <f t="shared" si="65"/>
        <v>1964</v>
      </c>
      <c r="E1968" s="534">
        <v>0</v>
      </c>
      <c r="F1968" s="534">
        <v>0</v>
      </c>
      <c r="G1968" s="534">
        <v>2</v>
      </c>
    </row>
    <row r="1969" spans="2:7" x14ac:dyDescent="0.3">
      <c r="B1969" s="529">
        <f t="shared" si="66"/>
        <v>1964001</v>
      </c>
      <c r="C1969" s="529">
        <f t="shared" si="65"/>
        <v>1965</v>
      </c>
      <c r="E1969" s="534">
        <v>0</v>
      </c>
      <c r="F1969" s="534">
        <v>0</v>
      </c>
      <c r="G1969" s="534">
        <v>2</v>
      </c>
    </row>
    <row r="1970" spans="2:7" x14ac:dyDescent="0.3">
      <c r="B1970" s="529">
        <f t="shared" si="66"/>
        <v>1965001</v>
      </c>
      <c r="C1970" s="529">
        <f t="shared" si="65"/>
        <v>1966</v>
      </c>
      <c r="E1970" s="534">
        <v>0</v>
      </c>
      <c r="F1970" s="534">
        <v>0</v>
      </c>
      <c r="G1970" s="534">
        <v>2</v>
      </c>
    </row>
    <row r="1971" spans="2:7" x14ac:dyDescent="0.3">
      <c r="B1971" s="529">
        <f t="shared" si="66"/>
        <v>1966001</v>
      </c>
      <c r="C1971" s="529">
        <f t="shared" si="65"/>
        <v>1967</v>
      </c>
      <c r="E1971" s="534">
        <v>0</v>
      </c>
      <c r="F1971" s="534">
        <v>0</v>
      </c>
      <c r="G1971" s="534">
        <v>2</v>
      </c>
    </row>
    <row r="1972" spans="2:7" x14ac:dyDescent="0.3">
      <c r="B1972" s="529">
        <f t="shared" si="66"/>
        <v>1967001</v>
      </c>
      <c r="C1972" s="529">
        <f t="shared" si="65"/>
        <v>1968</v>
      </c>
      <c r="E1972" s="534">
        <v>0</v>
      </c>
      <c r="F1972" s="534">
        <v>0</v>
      </c>
      <c r="G1972" s="534">
        <v>2</v>
      </c>
    </row>
    <row r="1973" spans="2:7" x14ac:dyDescent="0.3">
      <c r="B1973" s="529">
        <f t="shared" si="66"/>
        <v>1968001</v>
      </c>
      <c r="C1973" s="529">
        <f t="shared" si="65"/>
        <v>1969</v>
      </c>
      <c r="E1973" s="534">
        <v>0</v>
      </c>
      <c r="F1973" s="534">
        <v>0</v>
      </c>
      <c r="G1973" s="534">
        <v>2</v>
      </c>
    </row>
    <row r="1974" spans="2:7" x14ac:dyDescent="0.3">
      <c r="B1974" s="529">
        <f t="shared" si="66"/>
        <v>1969001</v>
      </c>
      <c r="C1974" s="529">
        <f t="shared" si="65"/>
        <v>1970</v>
      </c>
      <c r="E1974" s="534">
        <v>0</v>
      </c>
      <c r="F1974" s="534">
        <v>0</v>
      </c>
      <c r="G1974" s="534">
        <v>2</v>
      </c>
    </row>
    <row r="1975" spans="2:7" x14ac:dyDescent="0.3">
      <c r="B1975" s="529">
        <f t="shared" si="66"/>
        <v>1970001</v>
      </c>
      <c r="C1975" s="529">
        <f t="shared" si="65"/>
        <v>1971</v>
      </c>
      <c r="E1975" s="534">
        <v>0</v>
      </c>
      <c r="F1975" s="534">
        <v>0</v>
      </c>
      <c r="G1975" s="534">
        <v>2</v>
      </c>
    </row>
    <row r="1976" spans="2:7" x14ac:dyDescent="0.3">
      <c r="B1976" s="529">
        <f t="shared" si="66"/>
        <v>1971001</v>
      </c>
      <c r="C1976" s="529">
        <f t="shared" si="65"/>
        <v>1972</v>
      </c>
      <c r="E1976" s="534">
        <v>0</v>
      </c>
      <c r="F1976" s="534">
        <v>0</v>
      </c>
      <c r="G1976" s="534">
        <v>2</v>
      </c>
    </row>
    <row r="1977" spans="2:7" x14ac:dyDescent="0.3">
      <c r="B1977" s="529">
        <f t="shared" si="66"/>
        <v>1972001</v>
      </c>
      <c r="C1977" s="529">
        <f t="shared" si="65"/>
        <v>1973</v>
      </c>
      <c r="E1977" s="534">
        <v>0</v>
      </c>
      <c r="F1977" s="534">
        <v>0</v>
      </c>
      <c r="G1977" s="534">
        <v>2</v>
      </c>
    </row>
    <row r="1978" spans="2:7" x14ac:dyDescent="0.3">
      <c r="B1978" s="529">
        <f t="shared" si="66"/>
        <v>1973001</v>
      </c>
      <c r="C1978" s="529">
        <f t="shared" si="65"/>
        <v>1974</v>
      </c>
      <c r="E1978" s="534">
        <v>0</v>
      </c>
      <c r="F1978" s="534">
        <v>0</v>
      </c>
      <c r="G1978" s="534">
        <v>2</v>
      </c>
    </row>
    <row r="1979" spans="2:7" x14ac:dyDescent="0.3">
      <c r="B1979" s="529">
        <f t="shared" si="66"/>
        <v>1974001</v>
      </c>
      <c r="C1979" s="529">
        <f t="shared" si="65"/>
        <v>1975</v>
      </c>
      <c r="E1979" s="534">
        <v>0</v>
      </c>
      <c r="F1979" s="534">
        <v>0</v>
      </c>
      <c r="G1979" s="534">
        <v>2</v>
      </c>
    </row>
    <row r="1980" spans="2:7" x14ac:dyDescent="0.3">
      <c r="B1980" s="529">
        <f t="shared" si="66"/>
        <v>1975001</v>
      </c>
      <c r="C1980" s="529">
        <f t="shared" si="65"/>
        <v>1976</v>
      </c>
      <c r="E1980" s="534">
        <v>0</v>
      </c>
      <c r="F1980" s="534">
        <v>0</v>
      </c>
      <c r="G1980" s="534">
        <v>2</v>
      </c>
    </row>
    <row r="1981" spans="2:7" x14ac:dyDescent="0.3">
      <c r="B1981" s="529">
        <f t="shared" si="66"/>
        <v>1976001</v>
      </c>
      <c r="C1981" s="529">
        <f t="shared" si="65"/>
        <v>1977</v>
      </c>
      <c r="E1981" s="534">
        <v>0</v>
      </c>
      <c r="F1981" s="534">
        <v>0</v>
      </c>
      <c r="G1981" s="534">
        <v>2</v>
      </c>
    </row>
    <row r="1982" spans="2:7" x14ac:dyDescent="0.3">
      <c r="B1982" s="529">
        <f t="shared" si="66"/>
        <v>1977001</v>
      </c>
      <c r="C1982" s="529">
        <f t="shared" si="65"/>
        <v>1978</v>
      </c>
      <c r="E1982" s="534">
        <v>0</v>
      </c>
      <c r="F1982" s="534">
        <v>0</v>
      </c>
      <c r="G1982" s="534">
        <v>2</v>
      </c>
    </row>
    <row r="1983" spans="2:7" x14ac:dyDescent="0.3">
      <c r="B1983" s="529">
        <f t="shared" si="66"/>
        <v>1978001</v>
      </c>
      <c r="C1983" s="529">
        <f t="shared" si="65"/>
        <v>1979</v>
      </c>
      <c r="E1983" s="534">
        <v>0</v>
      </c>
      <c r="F1983" s="534">
        <v>0</v>
      </c>
      <c r="G1983" s="534">
        <v>2</v>
      </c>
    </row>
    <row r="1984" spans="2:7" x14ac:dyDescent="0.3">
      <c r="B1984" s="529">
        <f t="shared" si="66"/>
        <v>1979001</v>
      </c>
      <c r="C1984" s="529">
        <f t="shared" si="65"/>
        <v>1980</v>
      </c>
      <c r="E1984" s="534">
        <v>0</v>
      </c>
      <c r="F1984" s="534">
        <v>0</v>
      </c>
      <c r="G1984" s="534">
        <v>2</v>
      </c>
    </row>
    <row r="1985" spans="2:7" x14ac:dyDescent="0.3">
      <c r="B1985" s="529">
        <f t="shared" si="66"/>
        <v>1980001</v>
      </c>
      <c r="C1985" s="529">
        <f t="shared" si="65"/>
        <v>1981</v>
      </c>
      <c r="E1985" s="534">
        <v>0</v>
      </c>
      <c r="F1985" s="534">
        <v>0</v>
      </c>
      <c r="G1985" s="534">
        <v>2</v>
      </c>
    </row>
    <row r="1986" spans="2:7" x14ac:dyDescent="0.3">
      <c r="B1986" s="529">
        <f t="shared" si="66"/>
        <v>1981001</v>
      </c>
      <c r="C1986" s="529">
        <f t="shared" si="65"/>
        <v>1982</v>
      </c>
      <c r="E1986" s="534">
        <v>0</v>
      </c>
      <c r="F1986" s="534">
        <v>0</v>
      </c>
      <c r="G1986" s="534">
        <v>2</v>
      </c>
    </row>
    <row r="1987" spans="2:7" x14ac:dyDescent="0.3">
      <c r="B1987" s="529">
        <f t="shared" si="66"/>
        <v>1982001</v>
      </c>
      <c r="C1987" s="529">
        <f t="shared" si="65"/>
        <v>1983</v>
      </c>
      <c r="E1987" s="534">
        <v>0</v>
      </c>
      <c r="F1987" s="534">
        <v>0</v>
      </c>
      <c r="G1987" s="534">
        <v>2</v>
      </c>
    </row>
    <row r="1988" spans="2:7" x14ac:dyDescent="0.3">
      <c r="B1988" s="529">
        <f t="shared" si="66"/>
        <v>1983001</v>
      </c>
      <c r="C1988" s="529">
        <f t="shared" si="65"/>
        <v>1984</v>
      </c>
      <c r="E1988" s="534">
        <v>0</v>
      </c>
      <c r="F1988" s="534">
        <v>0</v>
      </c>
      <c r="G1988" s="534">
        <v>2</v>
      </c>
    </row>
    <row r="1989" spans="2:7" x14ac:dyDescent="0.3">
      <c r="B1989" s="529">
        <f t="shared" si="66"/>
        <v>1984001</v>
      </c>
      <c r="C1989" s="529">
        <f t="shared" si="65"/>
        <v>1985</v>
      </c>
      <c r="E1989" s="534">
        <v>0</v>
      </c>
      <c r="F1989" s="534">
        <v>0</v>
      </c>
      <c r="G1989" s="534">
        <v>2</v>
      </c>
    </row>
    <row r="1990" spans="2:7" x14ac:dyDescent="0.3">
      <c r="B1990" s="529">
        <f t="shared" si="66"/>
        <v>1985001</v>
      </c>
      <c r="C1990" s="529">
        <f t="shared" ref="C1990:C2053" si="67">C1989+1</f>
        <v>1986</v>
      </c>
      <c r="E1990" s="534">
        <v>0</v>
      </c>
      <c r="F1990" s="534">
        <v>0</v>
      </c>
      <c r="G1990" s="534">
        <v>2</v>
      </c>
    </row>
    <row r="1991" spans="2:7" x14ac:dyDescent="0.3">
      <c r="B1991" s="529">
        <f t="shared" ref="B1991:B2054" si="68">C1990*1000+1</f>
        <v>1986001</v>
      </c>
      <c r="C1991" s="529">
        <f t="shared" si="67"/>
        <v>1987</v>
      </c>
      <c r="E1991" s="534">
        <v>0</v>
      </c>
      <c r="F1991" s="534">
        <v>0</v>
      </c>
      <c r="G1991" s="534">
        <v>2</v>
      </c>
    </row>
    <row r="1992" spans="2:7" x14ac:dyDescent="0.3">
      <c r="B1992" s="529">
        <f t="shared" si="68"/>
        <v>1987001</v>
      </c>
      <c r="C1992" s="529">
        <f t="shared" si="67"/>
        <v>1988</v>
      </c>
      <c r="E1992" s="534">
        <v>0</v>
      </c>
      <c r="F1992" s="534">
        <v>0</v>
      </c>
      <c r="G1992" s="534">
        <v>2</v>
      </c>
    </row>
    <row r="1993" spans="2:7" x14ac:dyDescent="0.3">
      <c r="B1993" s="529">
        <f t="shared" si="68"/>
        <v>1988001</v>
      </c>
      <c r="C1993" s="529">
        <f t="shared" si="67"/>
        <v>1989</v>
      </c>
      <c r="E1993" s="534">
        <v>0</v>
      </c>
      <c r="F1993" s="534">
        <v>0</v>
      </c>
      <c r="G1993" s="534">
        <v>2</v>
      </c>
    </row>
    <row r="1994" spans="2:7" x14ac:dyDescent="0.3">
      <c r="B1994" s="529">
        <f t="shared" si="68"/>
        <v>1989001</v>
      </c>
      <c r="C1994" s="529">
        <f t="shared" si="67"/>
        <v>1990</v>
      </c>
      <c r="E1994" s="534">
        <v>0</v>
      </c>
      <c r="F1994" s="534">
        <v>0</v>
      </c>
      <c r="G1994" s="534">
        <v>2</v>
      </c>
    </row>
    <row r="1995" spans="2:7" x14ac:dyDescent="0.3">
      <c r="B1995" s="529">
        <f t="shared" si="68"/>
        <v>1990001</v>
      </c>
      <c r="C1995" s="529">
        <f t="shared" si="67"/>
        <v>1991</v>
      </c>
      <c r="E1995" s="534">
        <v>0</v>
      </c>
      <c r="F1995" s="534">
        <v>0</v>
      </c>
      <c r="G1995" s="534">
        <v>2</v>
      </c>
    </row>
    <row r="1996" spans="2:7" x14ac:dyDescent="0.3">
      <c r="B1996" s="529">
        <f t="shared" si="68"/>
        <v>1991001</v>
      </c>
      <c r="C1996" s="529">
        <f t="shared" si="67"/>
        <v>1992</v>
      </c>
      <c r="E1996" s="534">
        <v>0</v>
      </c>
      <c r="F1996" s="534">
        <v>0</v>
      </c>
      <c r="G1996" s="534">
        <v>2</v>
      </c>
    </row>
    <row r="1997" spans="2:7" x14ac:dyDescent="0.3">
      <c r="B1997" s="529">
        <f t="shared" si="68"/>
        <v>1992001</v>
      </c>
      <c r="C1997" s="529">
        <f t="shared" si="67"/>
        <v>1993</v>
      </c>
      <c r="E1997" s="534">
        <v>0</v>
      </c>
      <c r="F1997" s="534">
        <v>0</v>
      </c>
      <c r="G1997" s="534">
        <v>2</v>
      </c>
    </row>
    <row r="1998" spans="2:7" x14ac:dyDescent="0.3">
      <c r="B1998" s="529">
        <f t="shared" si="68"/>
        <v>1993001</v>
      </c>
      <c r="C1998" s="529">
        <f t="shared" si="67"/>
        <v>1994</v>
      </c>
      <c r="E1998" s="534">
        <v>0</v>
      </c>
      <c r="F1998" s="534">
        <v>0</v>
      </c>
      <c r="G1998" s="534">
        <v>2</v>
      </c>
    </row>
    <row r="1999" spans="2:7" x14ac:dyDescent="0.3">
      <c r="B1999" s="529">
        <f t="shared" si="68"/>
        <v>1994001</v>
      </c>
      <c r="C1999" s="529">
        <f t="shared" si="67"/>
        <v>1995</v>
      </c>
      <c r="E1999" s="534">
        <v>0</v>
      </c>
      <c r="F1999" s="534">
        <v>0</v>
      </c>
      <c r="G1999" s="534">
        <v>2</v>
      </c>
    </row>
    <row r="2000" spans="2:7" x14ac:dyDescent="0.3">
      <c r="B2000" s="529">
        <f t="shared" si="68"/>
        <v>1995001</v>
      </c>
      <c r="C2000" s="529">
        <f t="shared" si="67"/>
        <v>1996</v>
      </c>
      <c r="E2000" s="534">
        <v>0</v>
      </c>
      <c r="F2000" s="534">
        <v>0</v>
      </c>
      <c r="G2000" s="534">
        <v>2</v>
      </c>
    </row>
    <row r="2001" spans="2:7" x14ac:dyDescent="0.3">
      <c r="B2001" s="529">
        <f t="shared" si="68"/>
        <v>1996001</v>
      </c>
      <c r="C2001" s="529">
        <f t="shared" si="67"/>
        <v>1997</v>
      </c>
      <c r="E2001" s="534">
        <v>0</v>
      </c>
      <c r="F2001" s="534">
        <v>0</v>
      </c>
      <c r="G2001" s="534">
        <v>2</v>
      </c>
    </row>
    <row r="2002" spans="2:7" x14ac:dyDescent="0.3">
      <c r="B2002" s="529">
        <f t="shared" si="68"/>
        <v>1997001</v>
      </c>
      <c r="C2002" s="529">
        <f t="shared" si="67"/>
        <v>1998</v>
      </c>
      <c r="E2002" s="534">
        <v>0</v>
      </c>
      <c r="F2002" s="534">
        <v>0</v>
      </c>
      <c r="G2002" s="534">
        <v>2</v>
      </c>
    </row>
    <row r="2003" spans="2:7" x14ac:dyDescent="0.3">
      <c r="B2003" s="529">
        <f t="shared" si="68"/>
        <v>1998001</v>
      </c>
      <c r="C2003" s="529">
        <f t="shared" si="67"/>
        <v>1999</v>
      </c>
      <c r="E2003" s="534">
        <v>0</v>
      </c>
      <c r="F2003" s="534">
        <v>0</v>
      </c>
      <c r="G2003" s="534">
        <v>2</v>
      </c>
    </row>
    <row r="2004" spans="2:7" x14ac:dyDescent="0.3">
      <c r="B2004" s="529">
        <f t="shared" si="68"/>
        <v>1999001</v>
      </c>
      <c r="C2004" s="529">
        <f t="shared" si="67"/>
        <v>2000</v>
      </c>
      <c r="E2004" s="534">
        <v>0</v>
      </c>
      <c r="F2004" s="534">
        <v>0</v>
      </c>
      <c r="G2004" s="534">
        <v>2</v>
      </c>
    </row>
    <row r="2005" spans="2:7" x14ac:dyDescent="0.3">
      <c r="B2005" s="529">
        <f t="shared" si="68"/>
        <v>2000001</v>
      </c>
      <c r="C2005" s="529">
        <f t="shared" si="67"/>
        <v>2001</v>
      </c>
      <c r="E2005" s="534">
        <v>0</v>
      </c>
      <c r="F2005" s="534">
        <v>0</v>
      </c>
      <c r="G2005" s="534">
        <v>2</v>
      </c>
    </row>
    <row r="2006" spans="2:7" x14ac:dyDescent="0.3">
      <c r="B2006" s="529">
        <f t="shared" si="68"/>
        <v>2001001</v>
      </c>
      <c r="C2006" s="529">
        <f t="shared" si="67"/>
        <v>2002</v>
      </c>
      <c r="E2006" s="534">
        <v>0</v>
      </c>
      <c r="F2006" s="534">
        <v>0</v>
      </c>
      <c r="G2006" s="534">
        <v>2</v>
      </c>
    </row>
    <row r="2007" spans="2:7" x14ac:dyDescent="0.3">
      <c r="B2007" s="529">
        <f t="shared" si="68"/>
        <v>2002001</v>
      </c>
      <c r="C2007" s="529">
        <f t="shared" si="67"/>
        <v>2003</v>
      </c>
      <c r="E2007" s="534">
        <v>0</v>
      </c>
      <c r="F2007" s="534">
        <v>0</v>
      </c>
      <c r="G2007" s="534">
        <v>2</v>
      </c>
    </row>
    <row r="2008" spans="2:7" x14ac:dyDescent="0.3">
      <c r="B2008" s="529">
        <f t="shared" si="68"/>
        <v>2003001</v>
      </c>
      <c r="C2008" s="529">
        <f t="shared" si="67"/>
        <v>2004</v>
      </c>
      <c r="E2008" s="534">
        <v>0</v>
      </c>
      <c r="F2008" s="534">
        <v>0</v>
      </c>
      <c r="G2008" s="534">
        <v>2</v>
      </c>
    </row>
    <row r="2009" spans="2:7" x14ac:dyDescent="0.3">
      <c r="B2009" s="529">
        <f t="shared" si="68"/>
        <v>2004001</v>
      </c>
      <c r="C2009" s="529">
        <f t="shared" si="67"/>
        <v>2005</v>
      </c>
      <c r="E2009" s="534">
        <v>0</v>
      </c>
      <c r="F2009" s="534">
        <v>0</v>
      </c>
      <c r="G2009" s="534">
        <v>2</v>
      </c>
    </row>
    <row r="2010" spans="2:7" x14ac:dyDescent="0.3">
      <c r="B2010" s="529">
        <f t="shared" si="68"/>
        <v>2005001</v>
      </c>
      <c r="C2010" s="529">
        <f t="shared" si="67"/>
        <v>2006</v>
      </c>
      <c r="E2010" s="534">
        <v>0</v>
      </c>
      <c r="F2010" s="534">
        <v>0</v>
      </c>
      <c r="G2010" s="534">
        <v>2</v>
      </c>
    </row>
    <row r="2011" spans="2:7" x14ac:dyDescent="0.3">
      <c r="B2011" s="529">
        <f t="shared" si="68"/>
        <v>2006001</v>
      </c>
      <c r="C2011" s="529">
        <f t="shared" si="67"/>
        <v>2007</v>
      </c>
      <c r="E2011" s="534">
        <v>0</v>
      </c>
      <c r="F2011" s="534">
        <v>0</v>
      </c>
      <c r="G2011" s="534">
        <v>2</v>
      </c>
    </row>
    <row r="2012" spans="2:7" x14ac:dyDescent="0.3">
      <c r="B2012" s="529">
        <f t="shared" si="68"/>
        <v>2007001</v>
      </c>
      <c r="C2012" s="529">
        <f t="shared" si="67"/>
        <v>2008</v>
      </c>
      <c r="E2012" s="534">
        <v>0</v>
      </c>
      <c r="F2012" s="534">
        <v>0</v>
      </c>
      <c r="G2012" s="534">
        <v>2</v>
      </c>
    </row>
    <row r="2013" spans="2:7" x14ac:dyDescent="0.3">
      <c r="B2013" s="529">
        <f t="shared" si="68"/>
        <v>2008001</v>
      </c>
      <c r="C2013" s="529">
        <f t="shared" si="67"/>
        <v>2009</v>
      </c>
      <c r="E2013" s="534">
        <v>0</v>
      </c>
      <c r="F2013" s="534">
        <v>0</v>
      </c>
      <c r="G2013" s="534">
        <v>2</v>
      </c>
    </row>
    <row r="2014" spans="2:7" x14ac:dyDescent="0.3">
      <c r="B2014" s="529">
        <f t="shared" si="68"/>
        <v>2009001</v>
      </c>
      <c r="C2014" s="529">
        <f t="shared" si="67"/>
        <v>2010</v>
      </c>
      <c r="E2014" s="534">
        <v>0</v>
      </c>
      <c r="F2014" s="534">
        <v>0</v>
      </c>
      <c r="G2014" s="534">
        <v>2</v>
      </c>
    </row>
    <row r="2015" spans="2:7" x14ac:dyDescent="0.3">
      <c r="B2015" s="529">
        <f t="shared" si="68"/>
        <v>2010001</v>
      </c>
      <c r="C2015" s="529">
        <f t="shared" si="67"/>
        <v>2011</v>
      </c>
      <c r="E2015" s="534">
        <v>0</v>
      </c>
      <c r="F2015" s="534">
        <v>0</v>
      </c>
      <c r="G2015" s="534">
        <v>2</v>
      </c>
    </row>
    <row r="2016" spans="2:7" x14ac:dyDescent="0.3">
      <c r="B2016" s="529">
        <f t="shared" si="68"/>
        <v>2011001</v>
      </c>
      <c r="C2016" s="529">
        <f t="shared" si="67"/>
        <v>2012</v>
      </c>
      <c r="E2016" s="534">
        <v>0</v>
      </c>
      <c r="F2016" s="534">
        <v>0</v>
      </c>
      <c r="G2016" s="534">
        <v>2</v>
      </c>
    </row>
    <row r="2017" spans="2:7" x14ac:dyDescent="0.3">
      <c r="B2017" s="529">
        <f t="shared" si="68"/>
        <v>2012001</v>
      </c>
      <c r="C2017" s="529">
        <f t="shared" si="67"/>
        <v>2013</v>
      </c>
      <c r="E2017" s="534">
        <v>0</v>
      </c>
      <c r="F2017" s="534">
        <v>0</v>
      </c>
      <c r="G2017" s="534">
        <v>2</v>
      </c>
    </row>
    <row r="2018" spans="2:7" x14ac:dyDescent="0.3">
      <c r="B2018" s="529">
        <f t="shared" si="68"/>
        <v>2013001</v>
      </c>
      <c r="C2018" s="529">
        <f t="shared" si="67"/>
        <v>2014</v>
      </c>
      <c r="E2018" s="534">
        <v>0</v>
      </c>
      <c r="F2018" s="534">
        <v>0</v>
      </c>
      <c r="G2018" s="534">
        <v>2</v>
      </c>
    </row>
    <row r="2019" spans="2:7" x14ac:dyDescent="0.3">
      <c r="B2019" s="529">
        <f t="shared" si="68"/>
        <v>2014001</v>
      </c>
      <c r="C2019" s="529">
        <f t="shared" si="67"/>
        <v>2015</v>
      </c>
      <c r="E2019" s="534">
        <v>0</v>
      </c>
      <c r="F2019" s="534">
        <v>0</v>
      </c>
      <c r="G2019" s="534">
        <v>2</v>
      </c>
    </row>
    <row r="2020" spans="2:7" x14ac:dyDescent="0.3">
      <c r="B2020" s="529">
        <f t="shared" si="68"/>
        <v>2015001</v>
      </c>
      <c r="C2020" s="529">
        <f t="shared" si="67"/>
        <v>2016</v>
      </c>
      <c r="E2020" s="534">
        <v>0</v>
      </c>
      <c r="F2020" s="534">
        <v>0</v>
      </c>
      <c r="G2020" s="534">
        <v>2</v>
      </c>
    </row>
    <row r="2021" spans="2:7" x14ac:dyDescent="0.3">
      <c r="B2021" s="529">
        <f t="shared" si="68"/>
        <v>2016001</v>
      </c>
      <c r="C2021" s="529">
        <f t="shared" si="67"/>
        <v>2017</v>
      </c>
      <c r="E2021" s="534">
        <v>0</v>
      </c>
      <c r="F2021" s="534">
        <v>0</v>
      </c>
      <c r="G2021" s="534">
        <v>2</v>
      </c>
    </row>
    <row r="2022" spans="2:7" x14ac:dyDescent="0.3">
      <c r="B2022" s="529">
        <f t="shared" si="68"/>
        <v>2017001</v>
      </c>
      <c r="C2022" s="529">
        <f t="shared" si="67"/>
        <v>2018</v>
      </c>
      <c r="E2022" s="534">
        <v>0</v>
      </c>
      <c r="F2022" s="534">
        <v>0</v>
      </c>
      <c r="G2022" s="534">
        <v>2</v>
      </c>
    </row>
    <row r="2023" spans="2:7" x14ac:dyDescent="0.3">
      <c r="B2023" s="529">
        <f t="shared" si="68"/>
        <v>2018001</v>
      </c>
      <c r="C2023" s="529">
        <f t="shared" si="67"/>
        <v>2019</v>
      </c>
      <c r="E2023" s="534">
        <v>0</v>
      </c>
      <c r="F2023" s="534">
        <v>0</v>
      </c>
      <c r="G2023" s="534">
        <v>2</v>
      </c>
    </row>
    <row r="2024" spans="2:7" x14ac:dyDescent="0.3">
      <c r="B2024" s="529">
        <f t="shared" si="68"/>
        <v>2019001</v>
      </c>
      <c r="C2024" s="529">
        <f t="shared" si="67"/>
        <v>2020</v>
      </c>
      <c r="E2024" s="534">
        <v>0</v>
      </c>
      <c r="F2024" s="534">
        <v>0</v>
      </c>
      <c r="G2024" s="534">
        <v>2</v>
      </c>
    </row>
    <row r="2025" spans="2:7" x14ac:dyDescent="0.3">
      <c r="B2025" s="529">
        <f t="shared" si="68"/>
        <v>2020001</v>
      </c>
      <c r="C2025" s="529">
        <f t="shared" si="67"/>
        <v>2021</v>
      </c>
      <c r="E2025" s="534">
        <v>0</v>
      </c>
      <c r="F2025" s="534">
        <v>0</v>
      </c>
      <c r="G2025" s="534">
        <v>2</v>
      </c>
    </row>
    <row r="2026" spans="2:7" x14ac:dyDescent="0.3">
      <c r="B2026" s="529">
        <f t="shared" si="68"/>
        <v>2021001</v>
      </c>
      <c r="C2026" s="529">
        <f t="shared" si="67"/>
        <v>2022</v>
      </c>
      <c r="E2026" s="534">
        <v>0</v>
      </c>
      <c r="F2026" s="534">
        <v>0</v>
      </c>
      <c r="G2026" s="534">
        <v>2</v>
      </c>
    </row>
    <row r="2027" spans="2:7" x14ac:dyDescent="0.3">
      <c r="B2027" s="529">
        <f t="shared" si="68"/>
        <v>2022001</v>
      </c>
      <c r="C2027" s="529">
        <f t="shared" si="67"/>
        <v>2023</v>
      </c>
      <c r="E2027" s="534">
        <v>0</v>
      </c>
      <c r="F2027" s="534">
        <v>0</v>
      </c>
      <c r="G2027" s="534">
        <v>2</v>
      </c>
    </row>
    <row r="2028" spans="2:7" x14ac:dyDescent="0.3">
      <c r="B2028" s="529">
        <f t="shared" si="68"/>
        <v>2023001</v>
      </c>
      <c r="C2028" s="529">
        <f t="shared" si="67"/>
        <v>2024</v>
      </c>
      <c r="E2028" s="534">
        <v>0</v>
      </c>
      <c r="F2028" s="534">
        <v>0</v>
      </c>
      <c r="G2028" s="534">
        <v>2</v>
      </c>
    </row>
    <row r="2029" spans="2:7" x14ac:dyDescent="0.3">
      <c r="B2029" s="529">
        <f t="shared" si="68"/>
        <v>2024001</v>
      </c>
      <c r="C2029" s="529">
        <f t="shared" si="67"/>
        <v>2025</v>
      </c>
      <c r="E2029" s="534">
        <v>0</v>
      </c>
      <c r="F2029" s="534">
        <v>0</v>
      </c>
      <c r="G2029" s="534">
        <v>2</v>
      </c>
    </row>
    <row r="2030" spans="2:7" x14ac:dyDescent="0.3">
      <c r="B2030" s="529">
        <f t="shared" si="68"/>
        <v>2025001</v>
      </c>
      <c r="C2030" s="529">
        <f t="shared" si="67"/>
        <v>2026</v>
      </c>
      <c r="E2030" s="534">
        <v>0</v>
      </c>
      <c r="F2030" s="534">
        <v>0</v>
      </c>
      <c r="G2030" s="534">
        <v>2</v>
      </c>
    </row>
    <row r="2031" spans="2:7" x14ac:dyDescent="0.3">
      <c r="B2031" s="529">
        <f t="shared" si="68"/>
        <v>2026001</v>
      </c>
      <c r="C2031" s="529">
        <f t="shared" si="67"/>
        <v>2027</v>
      </c>
      <c r="E2031" s="534">
        <v>0</v>
      </c>
      <c r="F2031" s="534">
        <v>0</v>
      </c>
      <c r="G2031" s="534">
        <v>2</v>
      </c>
    </row>
    <row r="2032" spans="2:7" x14ac:dyDescent="0.3">
      <c r="B2032" s="529">
        <f t="shared" si="68"/>
        <v>2027001</v>
      </c>
      <c r="C2032" s="529">
        <f t="shared" si="67"/>
        <v>2028</v>
      </c>
      <c r="E2032" s="534">
        <v>0</v>
      </c>
      <c r="F2032" s="534">
        <v>0</v>
      </c>
      <c r="G2032" s="534">
        <v>2</v>
      </c>
    </row>
    <row r="2033" spans="2:7" x14ac:dyDescent="0.3">
      <c r="B2033" s="529">
        <f t="shared" si="68"/>
        <v>2028001</v>
      </c>
      <c r="C2033" s="529">
        <f t="shared" si="67"/>
        <v>2029</v>
      </c>
      <c r="E2033" s="534">
        <v>0</v>
      </c>
      <c r="F2033" s="534">
        <v>0</v>
      </c>
      <c r="G2033" s="534">
        <v>2</v>
      </c>
    </row>
    <row r="2034" spans="2:7" x14ac:dyDescent="0.3">
      <c r="B2034" s="529">
        <f t="shared" si="68"/>
        <v>2029001</v>
      </c>
      <c r="C2034" s="529">
        <f t="shared" si="67"/>
        <v>2030</v>
      </c>
      <c r="E2034" s="534">
        <v>0</v>
      </c>
      <c r="F2034" s="534">
        <v>0</v>
      </c>
      <c r="G2034" s="534">
        <v>2</v>
      </c>
    </row>
    <row r="2035" spans="2:7" x14ac:dyDescent="0.3">
      <c r="B2035" s="529">
        <f t="shared" si="68"/>
        <v>2030001</v>
      </c>
      <c r="C2035" s="529">
        <f t="shared" si="67"/>
        <v>2031</v>
      </c>
      <c r="E2035" s="534">
        <v>0</v>
      </c>
      <c r="F2035" s="534">
        <v>0</v>
      </c>
      <c r="G2035" s="534">
        <v>2</v>
      </c>
    </row>
    <row r="2036" spans="2:7" x14ac:dyDescent="0.3">
      <c r="B2036" s="529">
        <f t="shared" si="68"/>
        <v>2031001</v>
      </c>
      <c r="C2036" s="529">
        <f t="shared" si="67"/>
        <v>2032</v>
      </c>
      <c r="E2036" s="534">
        <v>0</v>
      </c>
      <c r="F2036" s="534">
        <v>0</v>
      </c>
      <c r="G2036" s="534">
        <v>2</v>
      </c>
    </row>
    <row r="2037" spans="2:7" x14ac:dyDescent="0.3">
      <c r="B2037" s="529">
        <f t="shared" si="68"/>
        <v>2032001</v>
      </c>
      <c r="C2037" s="529">
        <f t="shared" si="67"/>
        <v>2033</v>
      </c>
      <c r="E2037" s="534">
        <v>0</v>
      </c>
      <c r="F2037" s="534">
        <v>0</v>
      </c>
      <c r="G2037" s="534">
        <v>2</v>
      </c>
    </row>
    <row r="2038" spans="2:7" x14ac:dyDescent="0.3">
      <c r="B2038" s="529">
        <f t="shared" si="68"/>
        <v>2033001</v>
      </c>
      <c r="C2038" s="529">
        <f t="shared" si="67"/>
        <v>2034</v>
      </c>
      <c r="E2038" s="534">
        <v>0</v>
      </c>
      <c r="F2038" s="534">
        <v>0</v>
      </c>
      <c r="G2038" s="534">
        <v>2</v>
      </c>
    </row>
    <row r="2039" spans="2:7" x14ac:dyDescent="0.3">
      <c r="B2039" s="529">
        <f t="shared" si="68"/>
        <v>2034001</v>
      </c>
      <c r="C2039" s="529">
        <f t="shared" si="67"/>
        <v>2035</v>
      </c>
      <c r="E2039" s="534">
        <v>0</v>
      </c>
      <c r="F2039" s="534">
        <v>0</v>
      </c>
      <c r="G2039" s="534">
        <v>2</v>
      </c>
    </row>
    <row r="2040" spans="2:7" x14ac:dyDescent="0.3">
      <c r="B2040" s="529">
        <f t="shared" si="68"/>
        <v>2035001</v>
      </c>
      <c r="C2040" s="529">
        <f t="shared" si="67"/>
        <v>2036</v>
      </c>
      <c r="E2040" s="534">
        <v>0</v>
      </c>
      <c r="F2040" s="534">
        <v>0</v>
      </c>
      <c r="G2040" s="534">
        <v>2</v>
      </c>
    </row>
    <row r="2041" spans="2:7" x14ac:dyDescent="0.3">
      <c r="B2041" s="529">
        <f t="shared" si="68"/>
        <v>2036001</v>
      </c>
      <c r="C2041" s="529">
        <f t="shared" si="67"/>
        <v>2037</v>
      </c>
      <c r="E2041" s="534">
        <v>0</v>
      </c>
      <c r="F2041" s="534">
        <v>0</v>
      </c>
      <c r="G2041" s="534">
        <v>2</v>
      </c>
    </row>
    <row r="2042" spans="2:7" x14ac:dyDescent="0.3">
      <c r="B2042" s="529">
        <f t="shared" si="68"/>
        <v>2037001</v>
      </c>
      <c r="C2042" s="529">
        <f t="shared" si="67"/>
        <v>2038</v>
      </c>
      <c r="E2042" s="534">
        <v>0</v>
      </c>
      <c r="F2042" s="534">
        <v>0</v>
      </c>
      <c r="G2042" s="534">
        <v>2</v>
      </c>
    </row>
    <row r="2043" spans="2:7" x14ac:dyDescent="0.3">
      <c r="B2043" s="529">
        <f t="shared" si="68"/>
        <v>2038001</v>
      </c>
      <c r="C2043" s="529">
        <f t="shared" si="67"/>
        <v>2039</v>
      </c>
      <c r="E2043" s="534">
        <v>0</v>
      </c>
      <c r="F2043" s="534">
        <v>0</v>
      </c>
      <c r="G2043" s="534">
        <v>2</v>
      </c>
    </row>
    <row r="2044" spans="2:7" x14ac:dyDescent="0.3">
      <c r="B2044" s="529">
        <f t="shared" si="68"/>
        <v>2039001</v>
      </c>
      <c r="C2044" s="529">
        <f t="shared" si="67"/>
        <v>2040</v>
      </c>
      <c r="E2044" s="534">
        <v>0</v>
      </c>
      <c r="F2044" s="534">
        <v>0</v>
      </c>
      <c r="G2044" s="534">
        <v>2</v>
      </c>
    </row>
    <row r="2045" spans="2:7" x14ac:dyDescent="0.3">
      <c r="B2045" s="529">
        <f t="shared" si="68"/>
        <v>2040001</v>
      </c>
      <c r="C2045" s="529">
        <f t="shared" si="67"/>
        <v>2041</v>
      </c>
      <c r="E2045" s="534">
        <v>0</v>
      </c>
      <c r="F2045" s="534">
        <v>0</v>
      </c>
      <c r="G2045" s="534">
        <v>2</v>
      </c>
    </row>
    <row r="2046" spans="2:7" x14ac:dyDescent="0.3">
      <c r="B2046" s="529">
        <f t="shared" si="68"/>
        <v>2041001</v>
      </c>
      <c r="C2046" s="529">
        <f t="shared" si="67"/>
        <v>2042</v>
      </c>
      <c r="E2046" s="534">
        <v>0</v>
      </c>
      <c r="F2046" s="534">
        <v>0</v>
      </c>
      <c r="G2046" s="534">
        <v>2</v>
      </c>
    </row>
    <row r="2047" spans="2:7" x14ac:dyDescent="0.3">
      <c r="B2047" s="529">
        <f t="shared" si="68"/>
        <v>2042001</v>
      </c>
      <c r="C2047" s="529">
        <f t="shared" si="67"/>
        <v>2043</v>
      </c>
      <c r="E2047" s="534">
        <v>0</v>
      </c>
      <c r="F2047" s="534">
        <v>0</v>
      </c>
      <c r="G2047" s="534">
        <v>2</v>
      </c>
    </row>
    <row r="2048" spans="2:7" x14ac:dyDescent="0.3">
      <c r="B2048" s="529">
        <f t="shared" si="68"/>
        <v>2043001</v>
      </c>
      <c r="C2048" s="529">
        <f t="shared" si="67"/>
        <v>2044</v>
      </c>
      <c r="E2048" s="534">
        <v>0</v>
      </c>
      <c r="F2048" s="534">
        <v>0</v>
      </c>
      <c r="G2048" s="534">
        <v>2</v>
      </c>
    </row>
    <row r="2049" spans="2:7" x14ac:dyDescent="0.3">
      <c r="B2049" s="529">
        <f t="shared" si="68"/>
        <v>2044001</v>
      </c>
      <c r="C2049" s="529">
        <f t="shared" si="67"/>
        <v>2045</v>
      </c>
      <c r="E2049" s="534">
        <v>0</v>
      </c>
      <c r="F2049" s="534">
        <v>0</v>
      </c>
      <c r="G2049" s="534">
        <v>2</v>
      </c>
    </row>
    <row r="2050" spans="2:7" x14ac:dyDescent="0.3">
      <c r="B2050" s="529">
        <f t="shared" si="68"/>
        <v>2045001</v>
      </c>
      <c r="C2050" s="529">
        <f t="shared" si="67"/>
        <v>2046</v>
      </c>
      <c r="E2050" s="534">
        <v>0</v>
      </c>
      <c r="F2050" s="534">
        <v>0</v>
      </c>
      <c r="G2050" s="534">
        <v>2</v>
      </c>
    </row>
    <row r="2051" spans="2:7" x14ac:dyDescent="0.3">
      <c r="B2051" s="529">
        <f t="shared" si="68"/>
        <v>2046001</v>
      </c>
      <c r="C2051" s="529">
        <f t="shared" si="67"/>
        <v>2047</v>
      </c>
      <c r="E2051" s="534">
        <v>0</v>
      </c>
      <c r="F2051" s="534">
        <v>0</v>
      </c>
      <c r="G2051" s="534">
        <v>2</v>
      </c>
    </row>
    <row r="2052" spans="2:7" x14ac:dyDescent="0.3">
      <c r="B2052" s="529">
        <f t="shared" si="68"/>
        <v>2047001</v>
      </c>
      <c r="C2052" s="529">
        <f t="shared" si="67"/>
        <v>2048</v>
      </c>
      <c r="E2052" s="534">
        <v>0</v>
      </c>
      <c r="F2052" s="534">
        <v>0</v>
      </c>
      <c r="G2052" s="534">
        <v>2</v>
      </c>
    </row>
    <row r="2053" spans="2:7" x14ac:dyDescent="0.3">
      <c r="B2053" s="529">
        <f t="shared" si="68"/>
        <v>2048001</v>
      </c>
      <c r="C2053" s="529">
        <f t="shared" si="67"/>
        <v>2049</v>
      </c>
      <c r="E2053" s="534">
        <v>0</v>
      </c>
      <c r="F2053" s="534">
        <v>0</v>
      </c>
      <c r="G2053" s="534">
        <v>2</v>
      </c>
    </row>
    <row r="2054" spans="2:7" x14ac:dyDescent="0.3">
      <c r="B2054" s="529">
        <f t="shared" si="68"/>
        <v>2049001</v>
      </c>
      <c r="C2054" s="529">
        <f t="shared" ref="C2054:C2117" si="69">C2053+1</f>
        <v>2050</v>
      </c>
      <c r="E2054" s="534">
        <v>0</v>
      </c>
      <c r="F2054" s="534">
        <v>0</v>
      </c>
      <c r="G2054" s="534">
        <v>2</v>
      </c>
    </row>
    <row r="2055" spans="2:7" x14ac:dyDescent="0.3">
      <c r="B2055" s="529">
        <f t="shared" ref="B2055:B2118" si="70">C2054*1000+1</f>
        <v>2050001</v>
      </c>
      <c r="C2055" s="529">
        <f t="shared" si="69"/>
        <v>2051</v>
      </c>
      <c r="E2055" s="534">
        <v>0</v>
      </c>
      <c r="F2055" s="534">
        <v>0</v>
      </c>
      <c r="G2055" s="534">
        <v>2</v>
      </c>
    </row>
    <row r="2056" spans="2:7" x14ac:dyDescent="0.3">
      <c r="B2056" s="529">
        <f t="shared" si="70"/>
        <v>2051001</v>
      </c>
      <c r="C2056" s="529">
        <f t="shared" si="69"/>
        <v>2052</v>
      </c>
      <c r="E2056" s="534">
        <v>0</v>
      </c>
      <c r="F2056" s="534">
        <v>0</v>
      </c>
      <c r="G2056" s="534">
        <v>2</v>
      </c>
    </row>
    <row r="2057" spans="2:7" x14ac:dyDescent="0.3">
      <c r="B2057" s="529">
        <f t="shared" si="70"/>
        <v>2052001</v>
      </c>
      <c r="C2057" s="529">
        <f t="shared" si="69"/>
        <v>2053</v>
      </c>
      <c r="E2057" s="534">
        <v>0</v>
      </c>
      <c r="F2057" s="534">
        <v>0</v>
      </c>
      <c r="G2057" s="534">
        <v>2</v>
      </c>
    </row>
    <row r="2058" spans="2:7" x14ac:dyDescent="0.3">
      <c r="B2058" s="529">
        <f t="shared" si="70"/>
        <v>2053001</v>
      </c>
      <c r="C2058" s="529">
        <f t="shared" si="69"/>
        <v>2054</v>
      </c>
      <c r="E2058" s="534">
        <v>0</v>
      </c>
      <c r="F2058" s="534">
        <v>0</v>
      </c>
      <c r="G2058" s="534">
        <v>2</v>
      </c>
    </row>
    <row r="2059" spans="2:7" x14ac:dyDescent="0.3">
      <c r="B2059" s="529">
        <f t="shared" si="70"/>
        <v>2054001</v>
      </c>
      <c r="C2059" s="529">
        <f t="shared" si="69"/>
        <v>2055</v>
      </c>
      <c r="E2059" s="534">
        <v>0</v>
      </c>
      <c r="F2059" s="534">
        <v>0</v>
      </c>
      <c r="G2059" s="534">
        <v>2</v>
      </c>
    </row>
    <row r="2060" spans="2:7" x14ac:dyDescent="0.3">
      <c r="B2060" s="529">
        <f t="shared" si="70"/>
        <v>2055001</v>
      </c>
      <c r="C2060" s="529">
        <f t="shared" si="69"/>
        <v>2056</v>
      </c>
      <c r="E2060" s="534">
        <v>0</v>
      </c>
      <c r="F2060" s="534">
        <v>0</v>
      </c>
      <c r="G2060" s="534">
        <v>2</v>
      </c>
    </row>
    <row r="2061" spans="2:7" x14ac:dyDescent="0.3">
      <c r="B2061" s="529">
        <f t="shared" si="70"/>
        <v>2056001</v>
      </c>
      <c r="C2061" s="529">
        <f t="shared" si="69"/>
        <v>2057</v>
      </c>
      <c r="E2061" s="534">
        <v>0</v>
      </c>
      <c r="F2061" s="534">
        <v>0</v>
      </c>
      <c r="G2061" s="534">
        <v>2</v>
      </c>
    </row>
    <row r="2062" spans="2:7" x14ac:dyDescent="0.3">
      <c r="B2062" s="529">
        <f t="shared" si="70"/>
        <v>2057001</v>
      </c>
      <c r="C2062" s="529">
        <f t="shared" si="69"/>
        <v>2058</v>
      </c>
      <c r="E2062" s="534">
        <v>0</v>
      </c>
      <c r="F2062" s="534">
        <v>0</v>
      </c>
      <c r="G2062" s="534">
        <v>2</v>
      </c>
    </row>
    <row r="2063" spans="2:7" x14ac:dyDescent="0.3">
      <c r="B2063" s="529">
        <f t="shared" si="70"/>
        <v>2058001</v>
      </c>
      <c r="C2063" s="529">
        <f t="shared" si="69"/>
        <v>2059</v>
      </c>
      <c r="E2063" s="534">
        <v>0</v>
      </c>
      <c r="F2063" s="534">
        <v>0</v>
      </c>
      <c r="G2063" s="534">
        <v>2</v>
      </c>
    </row>
    <row r="2064" spans="2:7" x14ac:dyDescent="0.3">
      <c r="B2064" s="529">
        <f t="shared" si="70"/>
        <v>2059001</v>
      </c>
      <c r="C2064" s="529">
        <f t="shared" si="69"/>
        <v>2060</v>
      </c>
      <c r="E2064" s="534">
        <v>0</v>
      </c>
      <c r="F2064" s="534">
        <v>0</v>
      </c>
      <c r="G2064" s="534">
        <v>2</v>
      </c>
    </row>
    <row r="2065" spans="2:7" x14ac:dyDescent="0.3">
      <c r="B2065" s="529">
        <f t="shared" si="70"/>
        <v>2060001</v>
      </c>
      <c r="C2065" s="529">
        <f t="shared" si="69"/>
        <v>2061</v>
      </c>
      <c r="E2065" s="534">
        <v>0</v>
      </c>
      <c r="F2065" s="534">
        <v>0</v>
      </c>
      <c r="G2065" s="534">
        <v>2</v>
      </c>
    </row>
    <row r="2066" spans="2:7" x14ac:dyDescent="0.3">
      <c r="B2066" s="529">
        <f t="shared" si="70"/>
        <v>2061001</v>
      </c>
      <c r="C2066" s="529">
        <f t="shared" si="69"/>
        <v>2062</v>
      </c>
      <c r="E2066" s="534">
        <v>0</v>
      </c>
      <c r="F2066" s="534">
        <v>0</v>
      </c>
      <c r="G2066" s="534">
        <v>2</v>
      </c>
    </row>
    <row r="2067" spans="2:7" x14ac:dyDescent="0.3">
      <c r="B2067" s="529">
        <f t="shared" si="70"/>
        <v>2062001</v>
      </c>
      <c r="C2067" s="529">
        <f t="shared" si="69"/>
        <v>2063</v>
      </c>
      <c r="E2067" s="534">
        <v>0</v>
      </c>
      <c r="F2067" s="534">
        <v>0</v>
      </c>
      <c r="G2067" s="534">
        <v>2</v>
      </c>
    </row>
    <row r="2068" spans="2:7" x14ac:dyDescent="0.3">
      <c r="B2068" s="529">
        <f t="shared" si="70"/>
        <v>2063001</v>
      </c>
      <c r="C2068" s="529">
        <f t="shared" si="69"/>
        <v>2064</v>
      </c>
      <c r="E2068" s="534">
        <v>0</v>
      </c>
      <c r="F2068" s="534">
        <v>0</v>
      </c>
      <c r="G2068" s="534">
        <v>2</v>
      </c>
    </row>
    <row r="2069" spans="2:7" x14ac:dyDescent="0.3">
      <c r="B2069" s="529">
        <f t="shared" si="70"/>
        <v>2064001</v>
      </c>
      <c r="C2069" s="529">
        <f t="shared" si="69"/>
        <v>2065</v>
      </c>
      <c r="E2069" s="534">
        <v>0</v>
      </c>
      <c r="F2069" s="534">
        <v>0</v>
      </c>
      <c r="G2069" s="534">
        <v>2</v>
      </c>
    </row>
    <row r="2070" spans="2:7" x14ac:dyDescent="0.3">
      <c r="B2070" s="529">
        <f t="shared" si="70"/>
        <v>2065001</v>
      </c>
      <c r="C2070" s="529">
        <f t="shared" si="69"/>
        <v>2066</v>
      </c>
      <c r="E2070" s="534">
        <v>0</v>
      </c>
      <c r="F2070" s="534">
        <v>0</v>
      </c>
      <c r="G2070" s="534">
        <v>2</v>
      </c>
    </row>
    <row r="2071" spans="2:7" x14ac:dyDescent="0.3">
      <c r="B2071" s="529">
        <f t="shared" si="70"/>
        <v>2066001</v>
      </c>
      <c r="C2071" s="529">
        <f t="shared" si="69"/>
        <v>2067</v>
      </c>
      <c r="E2071" s="534">
        <v>0</v>
      </c>
      <c r="F2071" s="534">
        <v>0</v>
      </c>
      <c r="G2071" s="534">
        <v>2</v>
      </c>
    </row>
    <row r="2072" spans="2:7" x14ac:dyDescent="0.3">
      <c r="B2072" s="529">
        <f t="shared" si="70"/>
        <v>2067001</v>
      </c>
      <c r="C2072" s="529">
        <f t="shared" si="69"/>
        <v>2068</v>
      </c>
      <c r="E2072" s="534">
        <v>0</v>
      </c>
      <c r="F2072" s="534">
        <v>0</v>
      </c>
      <c r="G2072" s="534">
        <v>2</v>
      </c>
    </row>
    <row r="2073" spans="2:7" x14ac:dyDescent="0.3">
      <c r="B2073" s="529">
        <f t="shared" si="70"/>
        <v>2068001</v>
      </c>
      <c r="C2073" s="529">
        <f t="shared" si="69"/>
        <v>2069</v>
      </c>
      <c r="E2073" s="534">
        <v>0</v>
      </c>
      <c r="F2073" s="534">
        <v>0</v>
      </c>
      <c r="G2073" s="534">
        <v>2</v>
      </c>
    </row>
    <row r="2074" spans="2:7" x14ac:dyDescent="0.3">
      <c r="B2074" s="529">
        <f t="shared" si="70"/>
        <v>2069001</v>
      </c>
      <c r="C2074" s="529">
        <f t="shared" si="69"/>
        <v>2070</v>
      </c>
      <c r="E2074" s="534">
        <v>0</v>
      </c>
      <c r="F2074" s="534">
        <v>0</v>
      </c>
      <c r="G2074" s="534">
        <v>2</v>
      </c>
    </row>
    <row r="2075" spans="2:7" x14ac:dyDescent="0.3">
      <c r="B2075" s="529">
        <f t="shared" si="70"/>
        <v>2070001</v>
      </c>
      <c r="C2075" s="529">
        <f t="shared" si="69"/>
        <v>2071</v>
      </c>
      <c r="E2075" s="534">
        <v>0</v>
      </c>
      <c r="F2075" s="534">
        <v>0</v>
      </c>
      <c r="G2075" s="534">
        <v>2</v>
      </c>
    </row>
    <row r="2076" spans="2:7" x14ac:dyDescent="0.3">
      <c r="B2076" s="529">
        <f t="shared" si="70"/>
        <v>2071001</v>
      </c>
      <c r="C2076" s="529">
        <f t="shared" si="69"/>
        <v>2072</v>
      </c>
      <c r="E2076" s="534">
        <v>0</v>
      </c>
      <c r="F2076" s="534">
        <v>0</v>
      </c>
      <c r="G2076" s="534">
        <v>2</v>
      </c>
    </row>
    <row r="2077" spans="2:7" x14ac:dyDescent="0.3">
      <c r="B2077" s="529">
        <f t="shared" si="70"/>
        <v>2072001</v>
      </c>
      <c r="C2077" s="529">
        <f t="shared" si="69"/>
        <v>2073</v>
      </c>
      <c r="E2077" s="534">
        <v>0</v>
      </c>
      <c r="F2077" s="534">
        <v>0</v>
      </c>
      <c r="G2077" s="534">
        <v>2</v>
      </c>
    </row>
    <row r="2078" spans="2:7" x14ac:dyDescent="0.3">
      <c r="B2078" s="529">
        <f t="shared" si="70"/>
        <v>2073001</v>
      </c>
      <c r="C2078" s="529">
        <f t="shared" si="69"/>
        <v>2074</v>
      </c>
      <c r="E2078" s="534">
        <v>0</v>
      </c>
      <c r="F2078" s="534">
        <v>0</v>
      </c>
      <c r="G2078" s="534">
        <v>2</v>
      </c>
    </row>
    <row r="2079" spans="2:7" x14ac:dyDescent="0.3">
      <c r="B2079" s="529">
        <f t="shared" si="70"/>
        <v>2074001</v>
      </c>
      <c r="C2079" s="529">
        <f t="shared" si="69"/>
        <v>2075</v>
      </c>
      <c r="E2079" s="534">
        <v>0</v>
      </c>
      <c r="F2079" s="534">
        <v>0</v>
      </c>
      <c r="G2079" s="534">
        <v>2</v>
      </c>
    </row>
    <row r="2080" spans="2:7" x14ac:dyDescent="0.3">
      <c r="B2080" s="529">
        <f t="shared" si="70"/>
        <v>2075001</v>
      </c>
      <c r="C2080" s="529">
        <f t="shared" si="69"/>
        <v>2076</v>
      </c>
      <c r="E2080" s="534">
        <v>0</v>
      </c>
      <c r="F2080" s="534">
        <v>0</v>
      </c>
      <c r="G2080" s="534">
        <v>2</v>
      </c>
    </row>
    <row r="2081" spans="2:7" x14ac:dyDescent="0.3">
      <c r="B2081" s="529">
        <f t="shared" si="70"/>
        <v>2076001</v>
      </c>
      <c r="C2081" s="529">
        <f t="shared" si="69"/>
        <v>2077</v>
      </c>
      <c r="E2081" s="534">
        <v>0</v>
      </c>
      <c r="F2081" s="534">
        <v>0</v>
      </c>
      <c r="G2081" s="534">
        <v>2</v>
      </c>
    </row>
    <row r="2082" spans="2:7" x14ac:dyDescent="0.3">
      <c r="B2082" s="529">
        <f t="shared" si="70"/>
        <v>2077001</v>
      </c>
      <c r="C2082" s="529">
        <f t="shared" si="69"/>
        <v>2078</v>
      </c>
      <c r="E2082" s="534">
        <v>0</v>
      </c>
      <c r="F2082" s="534">
        <v>0</v>
      </c>
      <c r="G2082" s="534">
        <v>2</v>
      </c>
    </row>
    <row r="2083" spans="2:7" x14ac:dyDescent="0.3">
      <c r="B2083" s="529">
        <f t="shared" si="70"/>
        <v>2078001</v>
      </c>
      <c r="C2083" s="529">
        <f t="shared" si="69"/>
        <v>2079</v>
      </c>
      <c r="E2083" s="534">
        <v>0</v>
      </c>
      <c r="F2083" s="534">
        <v>0</v>
      </c>
      <c r="G2083" s="534">
        <v>2</v>
      </c>
    </row>
    <row r="2084" spans="2:7" x14ac:dyDescent="0.3">
      <c r="B2084" s="529">
        <f t="shared" si="70"/>
        <v>2079001</v>
      </c>
      <c r="C2084" s="529">
        <f t="shared" si="69"/>
        <v>2080</v>
      </c>
      <c r="E2084" s="534">
        <v>0</v>
      </c>
      <c r="F2084" s="534">
        <v>0</v>
      </c>
      <c r="G2084" s="534">
        <v>2</v>
      </c>
    </row>
    <row r="2085" spans="2:7" x14ac:dyDescent="0.3">
      <c r="B2085" s="529">
        <f t="shared" si="70"/>
        <v>2080001</v>
      </c>
      <c r="C2085" s="529">
        <f t="shared" si="69"/>
        <v>2081</v>
      </c>
      <c r="E2085" s="534">
        <v>0</v>
      </c>
      <c r="F2085" s="534">
        <v>0</v>
      </c>
      <c r="G2085" s="534">
        <v>2</v>
      </c>
    </row>
    <row r="2086" spans="2:7" x14ac:dyDescent="0.3">
      <c r="B2086" s="529">
        <f t="shared" si="70"/>
        <v>2081001</v>
      </c>
      <c r="C2086" s="529">
        <f t="shared" si="69"/>
        <v>2082</v>
      </c>
      <c r="E2086" s="534">
        <v>0</v>
      </c>
      <c r="F2086" s="534">
        <v>0</v>
      </c>
      <c r="G2086" s="534">
        <v>2</v>
      </c>
    </row>
    <row r="2087" spans="2:7" x14ac:dyDescent="0.3">
      <c r="B2087" s="529">
        <f t="shared" si="70"/>
        <v>2082001</v>
      </c>
      <c r="C2087" s="529">
        <f t="shared" si="69"/>
        <v>2083</v>
      </c>
      <c r="E2087" s="534">
        <v>0</v>
      </c>
      <c r="F2087" s="534">
        <v>0</v>
      </c>
      <c r="G2087" s="534">
        <v>2</v>
      </c>
    </row>
    <row r="2088" spans="2:7" x14ac:dyDescent="0.3">
      <c r="B2088" s="529">
        <f t="shared" si="70"/>
        <v>2083001</v>
      </c>
      <c r="C2088" s="529">
        <f t="shared" si="69"/>
        <v>2084</v>
      </c>
      <c r="E2088" s="534">
        <v>0</v>
      </c>
      <c r="F2088" s="534">
        <v>0</v>
      </c>
      <c r="G2088" s="534">
        <v>2</v>
      </c>
    </row>
    <row r="2089" spans="2:7" x14ac:dyDescent="0.3">
      <c r="B2089" s="529">
        <f t="shared" si="70"/>
        <v>2084001</v>
      </c>
      <c r="C2089" s="529">
        <f t="shared" si="69"/>
        <v>2085</v>
      </c>
      <c r="E2089" s="534">
        <v>0</v>
      </c>
      <c r="F2089" s="534">
        <v>0</v>
      </c>
      <c r="G2089" s="534">
        <v>2</v>
      </c>
    </row>
    <row r="2090" spans="2:7" x14ac:dyDescent="0.3">
      <c r="B2090" s="529">
        <f t="shared" si="70"/>
        <v>2085001</v>
      </c>
      <c r="C2090" s="529">
        <f t="shared" si="69"/>
        <v>2086</v>
      </c>
      <c r="E2090" s="534">
        <v>0</v>
      </c>
      <c r="F2090" s="534">
        <v>0</v>
      </c>
      <c r="G2090" s="534">
        <v>2</v>
      </c>
    </row>
    <row r="2091" spans="2:7" x14ac:dyDescent="0.3">
      <c r="B2091" s="529">
        <f t="shared" si="70"/>
        <v>2086001</v>
      </c>
      <c r="C2091" s="529">
        <f t="shared" si="69"/>
        <v>2087</v>
      </c>
      <c r="E2091" s="534">
        <v>0</v>
      </c>
      <c r="F2091" s="534">
        <v>0</v>
      </c>
      <c r="G2091" s="534">
        <v>2</v>
      </c>
    </row>
    <row r="2092" spans="2:7" x14ac:dyDescent="0.3">
      <c r="B2092" s="529">
        <f t="shared" si="70"/>
        <v>2087001</v>
      </c>
      <c r="C2092" s="529">
        <f t="shared" si="69"/>
        <v>2088</v>
      </c>
      <c r="E2092" s="534">
        <v>0</v>
      </c>
      <c r="F2092" s="534">
        <v>0</v>
      </c>
      <c r="G2092" s="534">
        <v>2</v>
      </c>
    </row>
    <row r="2093" spans="2:7" x14ac:dyDescent="0.3">
      <c r="B2093" s="529">
        <f t="shared" si="70"/>
        <v>2088001</v>
      </c>
      <c r="C2093" s="529">
        <f t="shared" si="69"/>
        <v>2089</v>
      </c>
      <c r="E2093" s="534">
        <v>0</v>
      </c>
      <c r="F2093" s="534">
        <v>0</v>
      </c>
      <c r="G2093" s="534">
        <v>2</v>
      </c>
    </row>
    <row r="2094" spans="2:7" x14ac:dyDescent="0.3">
      <c r="B2094" s="529">
        <f t="shared" si="70"/>
        <v>2089001</v>
      </c>
      <c r="C2094" s="529">
        <f t="shared" si="69"/>
        <v>2090</v>
      </c>
      <c r="E2094" s="534">
        <v>0</v>
      </c>
      <c r="F2094" s="534">
        <v>0</v>
      </c>
      <c r="G2094" s="534">
        <v>2</v>
      </c>
    </row>
    <row r="2095" spans="2:7" x14ac:dyDescent="0.3">
      <c r="B2095" s="529">
        <f t="shared" si="70"/>
        <v>2090001</v>
      </c>
      <c r="C2095" s="529">
        <f t="shared" si="69"/>
        <v>2091</v>
      </c>
      <c r="E2095" s="534">
        <v>0</v>
      </c>
      <c r="F2095" s="534">
        <v>0</v>
      </c>
      <c r="G2095" s="534">
        <v>2</v>
      </c>
    </row>
    <row r="2096" spans="2:7" x14ac:dyDescent="0.3">
      <c r="B2096" s="529">
        <f t="shared" si="70"/>
        <v>2091001</v>
      </c>
      <c r="C2096" s="529">
        <f t="shared" si="69"/>
        <v>2092</v>
      </c>
      <c r="E2096" s="534">
        <v>0</v>
      </c>
      <c r="F2096" s="534">
        <v>0</v>
      </c>
      <c r="G2096" s="534">
        <v>2</v>
      </c>
    </row>
    <row r="2097" spans="2:7" x14ac:dyDescent="0.3">
      <c r="B2097" s="529">
        <f t="shared" si="70"/>
        <v>2092001</v>
      </c>
      <c r="C2097" s="529">
        <f t="shared" si="69"/>
        <v>2093</v>
      </c>
      <c r="E2097" s="534">
        <v>0</v>
      </c>
      <c r="F2097" s="534">
        <v>0</v>
      </c>
      <c r="G2097" s="534">
        <v>2</v>
      </c>
    </row>
    <row r="2098" spans="2:7" x14ac:dyDescent="0.3">
      <c r="B2098" s="529">
        <f t="shared" si="70"/>
        <v>2093001</v>
      </c>
      <c r="C2098" s="529">
        <f t="shared" si="69"/>
        <v>2094</v>
      </c>
      <c r="E2098" s="534">
        <v>0</v>
      </c>
      <c r="F2098" s="534">
        <v>0</v>
      </c>
      <c r="G2098" s="534">
        <v>2</v>
      </c>
    </row>
    <row r="2099" spans="2:7" x14ac:dyDescent="0.3">
      <c r="B2099" s="529">
        <f t="shared" si="70"/>
        <v>2094001</v>
      </c>
      <c r="C2099" s="529">
        <f t="shared" si="69"/>
        <v>2095</v>
      </c>
      <c r="E2099" s="534">
        <v>0</v>
      </c>
      <c r="F2099" s="534">
        <v>0</v>
      </c>
      <c r="G2099" s="534">
        <v>2</v>
      </c>
    </row>
    <row r="2100" spans="2:7" x14ac:dyDescent="0.3">
      <c r="B2100" s="529">
        <f t="shared" si="70"/>
        <v>2095001</v>
      </c>
      <c r="C2100" s="529">
        <f t="shared" si="69"/>
        <v>2096</v>
      </c>
      <c r="E2100" s="534">
        <v>0</v>
      </c>
      <c r="F2100" s="534">
        <v>0</v>
      </c>
      <c r="G2100" s="534">
        <v>2</v>
      </c>
    </row>
    <row r="2101" spans="2:7" x14ac:dyDescent="0.3">
      <c r="B2101" s="529">
        <f t="shared" si="70"/>
        <v>2096001</v>
      </c>
      <c r="C2101" s="529">
        <f t="shared" si="69"/>
        <v>2097</v>
      </c>
      <c r="E2101" s="534">
        <v>0</v>
      </c>
      <c r="F2101" s="534">
        <v>0</v>
      </c>
      <c r="G2101" s="534">
        <v>2</v>
      </c>
    </row>
    <row r="2102" spans="2:7" x14ac:dyDescent="0.3">
      <c r="B2102" s="529">
        <f t="shared" si="70"/>
        <v>2097001</v>
      </c>
      <c r="C2102" s="529">
        <f t="shared" si="69"/>
        <v>2098</v>
      </c>
      <c r="E2102" s="534">
        <v>0</v>
      </c>
      <c r="F2102" s="534">
        <v>0</v>
      </c>
      <c r="G2102" s="534">
        <v>2</v>
      </c>
    </row>
    <row r="2103" spans="2:7" x14ac:dyDescent="0.3">
      <c r="B2103" s="529">
        <f t="shared" si="70"/>
        <v>2098001</v>
      </c>
      <c r="C2103" s="529">
        <f t="shared" si="69"/>
        <v>2099</v>
      </c>
      <c r="E2103" s="534">
        <v>0</v>
      </c>
      <c r="F2103" s="534">
        <v>0</v>
      </c>
      <c r="G2103" s="534">
        <v>2</v>
      </c>
    </row>
    <row r="2104" spans="2:7" x14ac:dyDescent="0.3">
      <c r="B2104" s="529">
        <f t="shared" si="70"/>
        <v>2099001</v>
      </c>
      <c r="C2104" s="529">
        <f t="shared" si="69"/>
        <v>2100</v>
      </c>
      <c r="E2104" s="534">
        <v>0</v>
      </c>
      <c r="F2104" s="534">
        <v>0</v>
      </c>
      <c r="G2104" s="534">
        <v>2</v>
      </c>
    </row>
    <row r="2105" spans="2:7" x14ac:dyDescent="0.3">
      <c r="B2105" s="529">
        <f t="shared" si="70"/>
        <v>2100001</v>
      </c>
      <c r="C2105" s="529">
        <f t="shared" si="69"/>
        <v>2101</v>
      </c>
      <c r="E2105" s="534">
        <v>0</v>
      </c>
      <c r="F2105" s="534">
        <v>0</v>
      </c>
      <c r="G2105" s="534">
        <v>2</v>
      </c>
    </row>
    <row r="2106" spans="2:7" x14ac:dyDescent="0.3">
      <c r="B2106" s="529">
        <f t="shared" si="70"/>
        <v>2101001</v>
      </c>
      <c r="C2106" s="529">
        <f t="shared" si="69"/>
        <v>2102</v>
      </c>
      <c r="E2106" s="534">
        <v>0</v>
      </c>
      <c r="F2106" s="534">
        <v>0</v>
      </c>
      <c r="G2106" s="534">
        <v>2</v>
      </c>
    </row>
    <row r="2107" spans="2:7" x14ac:dyDescent="0.3">
      <c r="B2107" s="529">
        <f t="shared" si="70"/>
        <v>2102001</v>
      </c>
      <c r="C2107" s="529">
        <f t="shared" si="69"/>
        <v>2103</v>
      </c>
      <c r="E2107" s="534">
        <v>0</v>
      </c>
      <c r="F2107" s="534">
        <v>0</v>
      </c>
      <c r="G2107" s="534">
        <v>2</v>
      </c>
    </row>
    <row r="2108" spans="2:7" x14ac:dyDescent="0.3">
      <c r="B2108" s="529">
        <f t="shared" si="70"/>
        <v>2103001</v>
      </c>
      <c r="C2108" s="529">
        <f t="shared" si="69"/>
        <v>2104</v>
      </c>
      <c r="E2108" s="534">
        <v>0</v>
      </c>
      <c r="F2108" s="534">
        <v>0</v>
      </c>
      <c r="G2108" s="534">
        <v>2</v>
      </c>
    </row>
    <row r="2109" spans="2:7" x14ac:dyDescent="0.3">
      <c r="B2109" s="529">
        <f t="shared" si="70"/>
        <v>2104001</v>
      </c>
      <c r="C2109" s="529">
        <f t="shared" si="69"/>
        <v>2105</v>
      </c>
      <c r="E2109" s="534">
        <v>0</v>
      </c>
      <c r="F2109" s="534">
        <v>0</v>
      </c>
      <c r="G2109" s="534">
        <v>2</v>
      </c>
    </row>
    <row r="2110" spans="2:7" x14ac:dyDescent="0.3">
      <c r="B2110" s="529">
        <f t="shared" si="70"/>
        <v>2105001</v>
      </c>
      <c r="C2110" s="529">
        <f t="shared" si="69"/>
        <v>2106</v>
      </c>
      <c r="E2110" s="534">
        <v>0</v>
      </c>
      <c r="F2110" s="534">
        <v>0</v>
      </c>
      <c r="G2110" s="534">
        <v>2</v>
      </c>
    </row>
    <row r="2111" spans="2:7" x14ac:dyDescent="0.3">
      <c r="B2111" s="529">
        <f t="shared" si="70"/>
        <v>2106001</v>
      </c>
      <c r="C2111" s="529">
        <f t="shared" si="69"/>
        <v>2107</v>
      </c>
      <c r="E2111" s="534">
        <v>0</v>
      </c>
      <c r="F2111" s="534">
        <v>0</v>
      </c>
      <c r="G2111" s="534">
        <v>2</v>
      </c>
    </row>
    <row r="2112" spans="2:7" x14ac:dyDescent="0.3">
      <c r="B2112" s="529">
        <f t="shared" si="70"/>
        <v>2107001</v>
      </c>
      <c r="C2112" s="529">
        <f t="shared" si="69"/>
        <v>2108</v>
      </c>
      <c r="E2112" s="534">
        <v>0</v>
      </c>
      <c r="F2112" s="534">
        <v>0</v>
      </c>
      <c r="G2112" s="534">
        <v>2</v>
      </c>
    </row>
    <row r="2113" spans="2:7" x14ac:dyDescent="0.3">
      <c r="B2113" s="529">
        <f t="shared" si="70"/>
        <v>2108001</v>
      </c>
      <c r="C2113" s="529">
        <f t="shared" si="69"/>
        <v>2109</v>
      </c>
      <c r="E2113" s="534">
        <v>0</v>
      </c>
      <c r="F2113" s="534">
        <v>0</v>
      </c>
      <c r="G2113" s="534">
        <v>2</v>
      </c>
    </row>
    <row r="2114" spans="2:7" x14ac:dyDescent="0.3">
      <c r="B2114" s="529">
        <f t="shared" si="70"/>
        <v>2109001</v>
      </c>
      <c r="C2114" s="529">
        <f t="shared" si="69"/>
        <v>2110</v>
      </c>
      <c r="E2114" s="534">
        <v>0</v>
      </c>
      <c r="F2114" s="534">
        <v>0</v>
      </c>
      <c r="G2114" s="534">
        <v>2</v>
      </c>
    </row>
    <row r="2115" spans="2:7" x14ac:dyDescent="0.3">
      <c r="B2115" s="529">
        <f t="shared" si="70"/>
        <v>2110001</v>
      </c>
      <c r="C2115" s="529">
        <f t="shared" si="69"/>
        <v>2111</v>
      </c>
      <c r="E2115" s="534">
        <v>0</v>
      </c>
      <c r="F2115" s="534">
        <v>0</v>
      </c>
      <c r="G2115" s="534">
        <v>2</v>
      </c>
    </row>
    <row r="2116" spans="2:7" x14ac:dyDescent="0.3">
      <c r="B2116" s="529">
        <f t="shared" si="70"/>
        <v>2111001</v>
      </c>
      <c r="C2116" s="529">
        <f t="shared" si="69"/>
        <v>2112</v>
      </c>
      <c r="E2116" s="534">
        <v>0</v>
      </c>
      <c r="F2116" s="534">
        <v>0</v>
      </c>
      <c r="G2116" s="534">
        <v>2</v>
      </c>
    </row>
    <row r="2117" spans="2:7" x14ac:dyDescent="0.3">
      <c r="B2117" s="529">
        <f t="shared" si="70"/>
        <v>2112001</v>
      </c>
      <c r="C2117" s="529">
        <f t="shared" si="69"/>
        <v>2113</v>
      </c>
      <c r="E2117" s="534">
        <v>0</v>
      </c>
      <c r="F2117" s="534">
        <v>0</v>
      </c>
      <c r="G2117" s="534">
        <v>2</v>
      </c>
    </row>
    <row r="2118" spans="2:7" x14ac:dyDescent="0.3">
      <c r="B2118" s="529">
        <f t="shared" si="70"/>
        <v>2113001</v>
      </c>
      <c r="C2118" s="529">
        <f t="shared" ref="C2118:C2181" si="71">C2117+1</f>
        <v>2114</v>
      </c>
      <c r="E2118" s="534">
        <v>0</v>
      </c>
      <c r="F2118" s="534">
        <v>0</v>
      </c>
      <c r="G2118" s="534">
        <v>2</v>
      </c>
    </row>
    <row r="2119" spans="2:7" x14ac:dyDescent="0.3">
      <c r="B2119" s="529">
        <f t="shared" ref="B2119:B2182" si="72">C2118*1000+1</f>
        <v>2114001</v>
      </c>
      <c r="C2119" s="529">
        <f t="shared" si="71"/>
        <v>2115</v>
      </c>
      <c r="E2119" s="534">
        <v>0</v>
      </c>
      <c r="F2119" s="534">
        <v>0</v>
      </c>
      <c r="G2119" s="534">
        <v>2</v>
      </c>
    </row>
    <row r="2120" spans="2:7" x14ac:dyDescent="0.3">
      <c r="B2120" s="529">
        <f t="shared" si="72"/>
        <v>2115001</v>
      </c>
      <c r="C2120" s="529">
        <f t="shared" si="71"/>
        <v>2116</v>
      </c>
      <c r="E2120" s="534">
        <v>0</v>
      </c>
      <c r="F2120" s="534">
        <v>0</v>
      </c>
      <c r="G2120" s="534">
        <v>2</v>
      </c>
    </row>
    <row r="2121" spans="2:7" x14ac:dyDescent="0.3">
      <c r="B2121" s="529">
        <f t="shared" si="72"/>
        <v>2116001</v>
      </c>
      <c r="C2121" s="529">
        <f t="shared" si="71"/>
        <v>2117</v>
      </c>
      <c r="E2121" s="534">
        <v>0</v>
      </c>
      <c r="F2121" s="534">
        <v>0</v>
      </c>
      <c r="G2121" s="534">
        <v>2</v>
      </c>
    </row>
    <row r="2122" spans="2:7" x14ac:dyDescent="0.3">
      <c r="B2122" s="529">
        <f t="shared" si="72"/>
        <v>2117001</v>
      </c>
      <c r="C2122" s="529">
        <f t="shared" si="71"/>
        <v>2118</v>
      </c>
      <c r="E2122" s="534">
        <v>0</v>
      </c>
      <c r="F2122" s="534">
        <v>0</v>
      </c>
      <c r="G2122" s="534">
        <v>2</v>
      </c>
    </row>
    <row r="2123" spans="2:7" x14ac:dyDescent="0.3">
      <c r="B2123" s="529">
        <f t="shared" si="72"/>
        <v>2118001</v>
      </c>
      <c r="C2123" s="529">
        <f t="shared" si="71"/>
        <v>2119</v>
      </c>
      <c r="E2123" s="534">
        <v>0</v>
      </c>
      <c r="F2123" s="534">
        <v>0</v>
      </c>
      <c r="G2123" s="534">
        <v>2</v>
      </c>
    </row>
    <row r="2124" spans="2:7" x14ac:dyDescent="0.3">
      <c r="B2124" s="529">
        <f t="shared" si="72"/>
        <v>2119001</v>
      </c>
      <c r="C2124" s="529">
        <f t="shared" si="71"/>
        <v>2120</v>
      </c>
      <c r="E2124" s="534">
        <v>0</v>
      </c>
      <c r="F2124" s="534">
        <v>0</v>
      </c>
      <c r="G2124" s="534">
        <v>2</v>
      </c>
    </row>
    <row r="2125" spans="2:7" x14ac:dyDescent="0.3">
      <c r="B2125" s="529">
        <f t="shared" si="72"/>
        <v>2120001</v>
      </c>
      <c r="C2125" s="529">
        <f t="shared" si="71"/>
        <v>2121</v>
      </c>
      <c r="E2125" s="534">
        <v>0</v>
      </c>
      <c r="F2125" s="534">
        <v>0</v>
      </c>
      <c r="G2125" s="534">
        <v>2</v>
      </c>
    </row>
    <row r="2126" spans="2:7" x14ac:dyDescent="0.3">
      <c r="B2126" s="529">
        <f t="shared" si="72"/>
        <v>2121001</v>
      </c>
      <c r="C2126" s="529">
        <f t="shared" si="71"/>
        <v>2122</v>
      </c>
      <c r="E2126" s="534">
        <v>0</v>
      </c>
      <c r="F2126" s="534">
        <v>0</v>
      </c>
      <c r="G2126" s="534">
        <v>2</v>
      </c>
    </row>
    <row r="2127" spans="2:7" x14ac:dyDescent="0.3">
      <c r="B2127" s="529">
        <f t="shared" si="72"/>
        <v>2122001</v>
      </c>
      <c r="C2127" s="529">
        <f t="shared" si="71"/>
        <v>2123</v>
      </c>
      <c r="E2127" s="534">
        <v>0</v>
      </c>
      <c r="F2127" s="534">
        <v>0</v>
      </c>
      <c r="G2127" s="534">
        <v>2</v>
      </c>
    </row>
    <row r="2128" spans="2:7" x14ac:dyDescent="0.3">
      <c r="B2128" s="529">
        <f t="shared" si="72"/>
        <v>2123001</v>
      </c>
      <c r="C2128" s="529">
        <f t="shared" si="71"/>
        <v>2124</v>
      </c>
      <c r="E2128" s="534">
        <v>0</v>
      </c>
      <c r="F2128" s="534">
        <v>0</v>
      </c>
      <c r="G2128" s="534">
        <v>2</v>
      </c>
    </row>
    <row r="2129" spans="2:7" x14ac:dyDescent="0.3">
      <c r="B2129" s="529">
        <f t="shared" si="72"/>
        <v>2124001</v>
      </c>
      <c r="C2129" s="529">
        <f t="shared" si="71"/>
        <v>2125</v>
      </c>
      <c r="E2129" s="534">
        <v>0</v>
      </c>
      <c r="F2129" s="534">
        <v>0</v>
      </c>
      <c r="G2129" s="534">
        <v>2</v>
      </c>
    </row>
    <row r="2130" spans="2:7" x14ac:dyDescent="0.3">
      <c r="B2130" s="529">
        <f t="shared" si="72"/>
        <v>2125001</v>
      </c>
      <c r="C2130" s="529">
        <f t="shared" si="71"/>
        <v>2126</v>
      </c>
      <c r="E2130" s="534">
        <v>0</v>
      </c>
      <c r="F2130" s="534">
        <v>0</v>
      </c>
      <c r="G2130" s="534">
        <v>2</v>
      </c>
    </row>
    <row r="2131" spans="2:7" x14ac:dyDescent="0.3">
      <c r="B2131" s="529">
        <f t="shared" si="72"/>
        <v>2126001</v>
      </c>
      <c r="C2131" s="529">
        <f t="shared" si="71"/>
        <v>2127</v>
      </c>
      <c r="E2131" s="534">
        <v>0</v>
      </c>
      <c r="F2131" s="534">
        <v>0</v>
      </c>
      <c r="G2131" s="534">
        <v>2</v>
      </c>
    </row>
    <row r="2132" spans="2:7" x14ac:dyDescent="0.3">
      <c r="B2132" s="529">
        <f t="shared" si="72"/>
        <v>2127001</v>
      </c>
      <c r="C2132" s="529">
        <f t="shared" si="71"/>
        <v>2128</v>
      </c>
      <c r="E2132" s="534">
        <v>0</v>
      </c>
      <c r="F2132" s="534">
        <v>0</v>
      </c>
      <c r="G2132" s="534">
        <v>2</v>
      </c>
    </row>
    <row r="2133" spans="2:7" x14ac:dyDescent="0.3">
      <c r="B2133" s="529">
        <f t="shared" si="72"/>
        <v>2128001</v>
      </c>
      <c r="C2133" s="529">
        <f t="shared" si="71"/>
        <v>2129</v>
      </c>
      <c r="E2133" s="534">
        <v>0</v>
      </c>
      <c r="F2133" s="534">
        <v>0</v>
      </c>
      <c r="G2133" s="534">
        <v>2</v>
      </c>
    </row>
    <row r="2134" spans="2:7" x14ac:dyDescent="0.3">
      <c r="B2134" s="529">
        <f t="shared" si="72"/>
        <v>2129001</v>
      </c>
      <c r="C2134" s="529">
        <f t="shared" si="71"/>
        <v>2130</v>
      </c>
      <c r="E2134" s="534">
        <v>0</v>
      </c>
      <c r="F2134" s="534">
        <v>0</v>
      </c>
      <c r="G2134" s="534">
        <v>2</v>
      </c>
    </row>
    <row r="2135" spans="2:7" x14ac:dyDescent="0.3">
      <c r="B2135" s="529">
        <f t="shared" si="72"/>
        <v>2130001</v>
      </c>
      <c r="C2135" s="529">
        <f t="shared" si="71"/>
        <v>2131</v>
      </c>
      <c r="E2135" s="534">
        <v>0</v>
      </c>
      <c r="F2135" s="534">
        <v>0</v>
      </c>
      <c r="G2135" s="534">
        <v>2</v>
      </c>
    </row>
    <row r="2136" spans="2:7" x14ac:dyDescent="0.3">
      <c r="B2136" s="529">
        <f t="shared" si="72"/>
        <v>2131001</v>
      </c>
      <c r="C2136" s="529">
        <f t="shared" si="71"/>
        <v>2132</v>
      </c>
      <c r="E2136" s="534">
        <v>0</v>
      </c>
      <c r="F2136" s="534">
        <v>0</v>
      </c>
      <c r="G2136" s="534">
        <v>2</v>
      </c>
    </row>
    <row r="2137" spans="2:7" x14ac:dyDescent="0.3">
      <c r="B2137" s="529">
        <f t="shared" si="72"/>
        <v>2132001</v>
      </c>
      <c r="C2137" s="529">
        <f t="shared" si="71"/>
        <v>2133</v>
      </c>
      <c r="E2137" s="534">
        <v>0</v>
      </c>
      <c r="F2137" s="534">
        <v>0</v>
      </c>
      <c r="G2137" s="534">
        <v>2</v>
      </c>
    </row>
    <row r="2138" spans="2:7" x14ac:dyDescent="0.3">
      <c r="B2138" s="529">
        <f t="shared" si="72"/>
        <v>2133001</v>
      </c>
      <c r="C2138" s="529">
        <f t="shared" si="71"/>
        <v>2134</v>
      </c>
      <c r="E2138" s="534">
        <v>0</v>
      </c>
      <c r="F2138" s="534">
        <v>0</v>
      </c>
      <c r="G2138" s="534">
        <v>2</v>
      </c>
    </row>
    <row r="2139" spans="2:7" x14ac:dyDescent="0.3">
      <c r="B2139" s="529">
        <f t="shared" si="72"/>
        <v>2134001</v>
      </c>
      <c r="C2139" s="529">
        <f t="shared" si="71"/>
        <v>2135</v>
      </c>
      <c r="E2139" s="534">
        <v>0</v>
      </c>
      <c r="F2139" s="534">
        <v>0</v>
      </c>
      <c r="G2139" s="534">
        <v>2</v>
      </c>
    </row>
    <row r="2140" spans="2:7" x14ac:dyDescent="0.3">
      <c r="B2140" s="529">
        <f t="shared" si="72"/>
        <v>2135001</v>
      </c>
      <c r="C2140" s="529">
        <f t="shared" si="71"/>
        <v>2136</v>
      </c>
      <c r="E2140" s="534">
        <v>0</v>
      </c>
      <c r="F2140" s="534">
        <v>0</v>
      </c>
      <c r="G2140" s="534">
        <v>2</v>
      </c>
    </row>
    <row r="2141" spans="2:7" x14ac:dyDescent="0.3">
      <c r="B2141" s="529">
        <f t="shared" si="72"/>
        <v>2136001</v>
      </c>
      <c r="C2141" s="529">
        <f t="shared" si="71"/>
        <v>2137</v>
      </c>
      <c r="E2141" s="534">
        <v>0</v>
      </c>
      <c r="F2141" s="534">
        <v>0</v>
      </c>
      <c r="G2141" s="534">
        <v>2</v>
      </c>
    </row>
    <row r="2142" spans="2:7" x14ac:dyDescent="0.3">
      <c r="B2142" s="529">
        <f t="shared" si="72"/>
        <v>2137001</v>
      </c>
      <c r="C2142" s="529">
        <f t="shared" si="71"/>
        <v>2138</v>
      </c>
      <c r="E2142" s="534">
        <v>0</v>
      </c>
      <c r="F2142" s="534">
        <v>0</v>
      </c>
      <c r="G2142" s="534">
        <v>2</v>
      </c>
    </row>
    <row r="2143" spans="2:7" x14ac:dyDescent="0.3">
      <c r="B2143" s="529">
        <f t="shared" si="72"/>
        <v>2138001</v>
      </c>
      <c r="C2143" s="529">
        <f t="shared" si="71"/>
        <v>2139</v>
      </c>
      <c r="E2143" s="534">
        <v>0</v>
      </c>
      <c r="F2143" s="534">
        <v>0</v>
      </c>
      <c r="G2143" s="534">
        <v>2</v>
      </c>
    </row>
    <row r="2144" spans="2:7" x14ac:dyDescent="0.3">
      <c r="B2144" s="529">
        <f t="shared" si="72"/>
        <v>2139001</v>
      </c>
      <c r="C2144" s="529">
        <f t="shared" si="71"/>
        <v>2140</v>
      </c>
      <c r="E2144" s="534">
        <v>0</v>
      </c>
      <c r="F2144" s="534">
        <v>0</v>
      </c>
      <c r="G2144" s="534">
        <v>2</v>
      </c>
    </row>
    <row r="2145" spans="2:7" x14ac:dyDescent="0.3">
      <c r="B2145" s="529">
        <f t="shared" si="72"/>
        <v>2140001</v>
      </c>
      <c r="C2145" s="529">
        <f t="shared" si="71"/>
        <v>2141</v>
      </c>
      <c r="E2145" s="534">
        <v>0</v>
      </c>
      <c r="F2145" s="534">
        <v>0</v>
      </c>
      <c r="G2145" s="534">
        <v>2</v>
      </c>
    </row>
    <row r="2146" spans="2:7" x14ac:dyDescent="0.3">
      <c r="B2146" s="529">
        <f t="shared" si="72"/>
        <v>2141001</v>
      </c>
      <c r="C2146" s="529">
        <f t="shared" si="71"/>
        <v>2142</v>
      </c>
      <c r="E2146" s="534">
        <v>0</v>
      </c>
      <c r="F2146" s="534">
        <v>0</v>
      </c>
      <c r="G2146" s="534">
        <v>2</v>
      </c>
    </row>
    <row r="2147" spans="2:7" x14ac:dyDescent="0.3">
      <c r="B2147" s="529">
        <f t="shared" si="72"/>
        <v>2142001</v>
      </c>
      <c r="C2147" s="529">
        <f t="shared" si="71"/>
        <v>2143</v>
      </c>
      <c r="E2147" s="534">
        <v>0</v>
      </c>
      <c r="F2147" s="534">
        <v>0</v>
      </c>
      <c r="G2147" s="534">
        <v>2</v>
      </c>
    </row>
    <row r="2148" spans="2:7" x14ac:dyDescent="0.3">
      <c r="B2148" s="529">
        <f t="shared" si="72"/>
        <v>2143001</v>
      </c>
      <c r="C2148" s="529">
        <f t="shared" si="71"/>
        <v>2144</v>
      </c>
      <c r="E2148" s="534">
        <v>0</v>
      </c>
      <c r="F2148" s="534">
        <v>0</v>
      </c>
      <c r="G2148" s="534">
        <v>2</v>
      </c>
    </row>
    <row r="2149" spans="2:7" x14ac:dyDescent="0.3">
      <c r="B2149" s="529">
        <f t="shared" si="72"/>
        <v>2144001</v>
      </c>
      <c r="C2149" s="529">
        <f t="shared" si="71"/>
        <v>2145</v>
      </c>
      <c r="E2149" s="534">
        <v>0</v>
      </c>
      <c r="F2149" s="534">
        <v>0</v>
      </c>
      <c r="G2149" s="534">
        <v>2</v>
      </c>
    </row>
    <row r="2150" spans="2:7" x14ac:dyDescent="0.3">
      <c r="B2150" s="529">
        <f t="shared" si="72"/>
        <v>2145001</v>
      </c>
      <c r="C2150" s="529">
        <f t="shared" si="71"/>
        <v>2146</v>
      </c>
      <c r="E2150" s="534">
        <v>0</v>
      </c>
      <c r="F2150" s="534">
        <v>0</v>
      </c>
      <c r="G2150" s="534">
        <v>2</v>
      </c>
    </row>
    <row r="2151" spans="2:7" x14ac:dyDescent="0.3">
      <c r="B2151" s="529">
        <f t="shared" si="72"/>
        <v>2146001</v>
      </c>
      <c r="C2151" s="529">
        <f t="shared" si="71"/>
        <v>2147</v>
      </c>
      <c r="E2151" s="534">
        <v>0</v>
      </c>
      <c r="F2151" s="534">
        <v>0</v>
      </c>
      <c r="G2151" s="534">
        <v>2</v>
      </c>
    </row>
    <row r="2152" spans="2:7" x14ac:dyDescent="0.3">
      <c r="B2152" s="529">
        <f t="shared" si="72"/>
        <v>2147001</v>
      </c>
      <c r="C2152" s="529">
        <f t="shared" si="71"/>
        <v>2148</v>
      </c>
      <c r="E2152" s="534">
        <v>0</v>
      </c>
      <c r="F2152" s="534">
        <v>0</v>
      </c>
      <c r="G2152" s="534">
        <v>2</v>
      </c>
    </row>
    <row r="2153" spans="2:7" x14ac:dyDescent="0.3">
      <c r="B2153" s="529">
        <f t="shared" si="72"/>
        <v>2148001</v>
      </c>
      <c r="C2153" s="529">
        <f t="shared" si="71"/>
        <v>2149</v>
      </c>
      <c r="E2153" s="534">
        <v>0</v>
      </c>
      <c r="F2153" s="534">
        <v>0</v>
      </c>
      <c r="G2153" s="534">
        <v>2</v>
      </c>
    </row>
    <row r="2154" spans="2:7" x14ac:dyDescent="0.3">
      <c r="B2154" s="529">
        <f t="shared" si="72"/>
        <v>2149001</v>
      </c>
      <c r="C2154" s="529">
        <f t="shared" si="71"/>
        <v>2150</v>
      </c>
      <c r="E2154" s="534">
        <v>0</v>
      </c>
      <c r="F2154" s="534">
        <v>0</v>
      </c>
      <c r="G2154" s="534">
        <v>2</v>
      </c>
    </row>
    <row r="2155" spans="2:7" x14ac:dyDescent="0.3">
      <c r="B2155" s="529">
        <f t="shared" si="72"/>
        <v>2150001</v>
      </c>
      <c r="C2155" s="529">
        <f t="shared" si="71"/>
        <v>2151</v>
      </c>
      <c r="E2155" s="534">
        <v>0</v>
      </c>
      <c r="F2155" s="534">
        <v>0</v>
      </c>
      <c r="G2155" s="534">
        <v>2</v>
      </c>
    </row>
    <row r="2156" spans="2:7" x14ac:dyDescent="0.3">
      <c r="B2156" s="529">
        <f t="shared" si="72"/>
        <v>2151001</v>
      </c>
      <c r="C2156" s="529">
        <f t="shared" si="71"/>
        <v>2152</v>
      </c>
      <c r="E2156" s="534">
        <v>0</v>
      </c>
      <c r="F2156" s="534">
        <v>0</v>
      </c>
      <c r="G2156" s="534">
        <v>2</v>
      </c>
    </row>
    <row r="2157" spans="2:7" x14ac:dyDescent="0.3">
      <c r="B2157" s="529">
        <f t="shared" si="72"/>
        <v>2152001</v>
      </c>
      <c r="C2157" s="529">
        <f t="shared" si="71"/>
        <v>2153</v>
      </c>
      <c r="E2157" s="534">
        <v>0</v>
      </c>
      <c r="F2157" s="534">
        <v>0</v>
      </c>
      <c r="G2157" s="534">
        <v>2</v>
      </c>
    </row>
    <row r="2158" spans="2:7" x14ac:dyDescent="0.3">
      <c r="B2158" s="529">
        <f t="shared" si="72"/>
        <v>2153001</v>
      </c>
      <c r="C2158" s="529">
        <f t="shared" si="71"/>
        <v>2154</v>
      </c>
      <c r="E2158" s="534">
        <v>0</v>
      </c>
      <c r="F2158" s="534">
        <v>0</v>
      </c>
      <c r="G2158" s="534">
        <v>2</v>
      </c>
    </row>
    <row r="2159" spans="2:7" x14ac:dyDescent="0.3">
      <c r="B2159" s="529">
        <f t="shared" si="72"/>
        <v>2154001</v>
      </c>
      <c r="C2159" s="529">
        <f t="shared" si="71"/>
        <v>2155</v>
      </c>
      <c r="E2159" s="534">
        <v>0</v>
      </c>
      <c r="F2159" s="534">
        <v>0</v>
      </c>
      <c r="G2159" s="534">
        <v>2</v>
      </c>
    </row>
    <row r="2160" spans="2:7" x14ac:dyDescent="0.3">
      <c r="B2160" s="529">
        <f t="shared" si="72"/>
        <v>2155001</v>
      </c>
      <c r="C2160" s="529">
        <f t="shared" si="71"/>
        <v>2156</v>
      </c>
      <c r="E2160" s="534">
        <v>0</v>
      </c>
      <c r="F2160" s="534">
        <v>0</v>
      </c>
      <c r="G2160" s="534">
        <v>2</v>
      </c>
    </row>
    <row r="2161" spans="2:7" x14ac:dyDescent="0.3">
      <c r="B2161" s="529">
        <f t="shared" si="72"/>
        <v>2156001</v>
      </c>
      <c r="C2161" s="529">
        <f t="shared" si="71"/>
        <v>2157</v>
      </c>
      <c r="E2161" s="534">
        <v>0</v>
      </c>
      <c r="F2161" s="534">
        <v>0</v>
      </c>
      <c r="G2161" s="534">
        <v>2</v>
      </c>
    </row>
    <row r="2162" spans="2:7" x14ac:dyDescent="0.3">
      <c r="B2162" s="529">
        <f t="shared" si="72"/>
        <v>2157001</v>
      </c>
      <c r="C2162" s="529">
        <f t="shared" si="71"/>
        <v>2158</v>
      </c>
      <c r="E2162" s="534">
        <v>0</v>
      </c>
      <c r="F2162" s="534">
        <v>0</v>
      </c>
      <c r="G2162" s="534">
        <v>2</v>
      </c>
    </row>
    <row r="2163" spans="2:7" x14ac:dyDescent="0.3">
      <c r="B2163" s="529">
        <f t="shared" si="72"/>
        <v>2158001</v>
      </c>
      <c r="C2163" s="529">
        <f t="shared" si="71"/>
        <v>2159</v>
      </c>
      <c r="E2163" s="534">
        <v>0</v>
      </c>
      <c r="F2163" s="534">
        <v>0</v>
      </c>
      <c r="G2163" s="534">
        <v>2</v>
      </c>
    </row>
    <row r="2164" spans="2:7" x14ac:dyDescent="0.3">
      <c r="B2164" s="529">
        <f t="shared" si="72"/>
        <v>2159001</v>
      </c>
      <c r="C2164" s="529">
        <f t="shared" si="71"/>
        <v>2160</v>
      </c>
      <c r="E2164" s="534">
        <v>0</v>
      </c>
      <c r="F2164" s="534">
        <v>0</v>
      </c>
      <c r="G2164" s="534">
        <v>2</v>
      </c>
    </row>
    <row r="2165" spans="2:7" x14ac:dyDescent="0.3">
      <c r="B2165" s="529">
        <f t="shared" si="72"/>
        <v>2160001</v>
      </c>
      <c r="C2165" s="529">
        <f t="shared" si="71"/>
        <v>2161</v>
      </c>
      <c r="E2165" s="534">
        <v>0</v>
      </c>
      <c r="F2165" s="534">
        <v>0</v>
      </c>
      <c r="G2165" s="534">
        <v>2</v>
      </c>
    </row>
    <row r="2166" spans="2:7" x14ac:dyDescent="0.3">
      <c r="B2166" s="529">
        <f t="shared" si="72"/>
        <v>2161001</v>
      </c>
      <c r="C2166" s="529">
        <f t="shared" si="71"/>
        <v>2162</v>
      </c>
      <c r="E2166" s="534">
        <v>0</v>
      </c>
      <c r="F2166" s="534">
        <v>0</v>
      </c>
      <c r="G2166" s="534">
        <v>2</v>
      </c>
    </row>
    <row r="2167" spans="2:7" x14ac:dyDescent="0.3">
      <c r="B2167" s="529">
        <f t="shared" si="72"/>
        <v>2162001</v>
      </c>
      <c r="C2167" s="529">
        <f t="shared" si="71"/>
        <v>2163</v>
      </c>
      <c r="E2167" s="534">
        <v>0</v>
      </c>
      <c r="F2167" s="534">
        <v>0</v>
      </c>
      <c r="G2167" s="534">
        <v>2</v>
      </c>
    </row>
    <row r="2168" spans="2:7" x14ac:dyDescent="0.3">
      <c r="B2168" s="529">
        <f t="shared" si="72"/>
        <v>2163001</v>
      </c>
      <c r="C2168" s="529">
        <f t="shared" si="71"/>
        <v>2164</v>
      </c>
      <c r="E2168" s="534">
        <v>0</v>
      </c>
      <c r="F2168" s="534">
        <v>0</v>
      </c>
      <c r="G2168" s="534">
        <v>2</v>
      </c>
    </row>
    <row r="2169" spans="2:7" x14ac:dyDescent="0.3">
      <c r="B2169" s="529">
        <f t="shared" si="72"/>
        <v>2164001</v>
      </c>
      <c r="C2169" s="529">
        <f t="shared" si="71"/>
        <v>2165</v>
      </c>
      <c r="E2169" s="534">
        <v>0</v>
      </c>
      <c r="F2169" s="534">
        <v>0</v>
      </c>
      <c r="G2169" s="534">
        <v>2</v>
      </c>
    </row>
    <row r="2170" spans="2:7" x14ac:dyDescent="0.3">
      <c r="B2170" s="529">
        <f t="shared" si="72"/>
        <v>2165001</v>
      </c>
      <c r="C2170" s="529">
        <f t="shared" si="71"/>
        <v>2166</v>
      </c>
      <c r="E2170" s="534">
        <v>0</v>
      </c>
      <c r="F2170" s="534">
        <v>0</v>
      </c>
      <c r="G2170" s="534">
        <v>2</v>
      </c>
    </row>
    <row r="2171" spans="2:7" x14ac:dyDescent="0.3">
      <c r="B2171" s="529">
        <f t="shared" si="72"/>
        <v>2166001</v>
      </c>
      <c r="C2171" s="529">
        <f t="shared" si="71"/>
        <v>2167</v>
      </c>
      <c r="E2171" s="534">
        <v>0</v>
      </c>
      <c r="F2171" s="534">
        <v>0</v>
      </c>
      <c r="G2171" s="534">
        <v>2</v>
      </c>
    </row>
    <row r="2172" spans="2:7" x14ac:dyDescent="0.3">
      <c r="B2172" s="529">
        <f t="shared" si="72"/>
        <v>2167001</v>
      </c>
      <c r="C2172" s="529">
        <f t="shared" si="71"/>
        <v>2168</v>
      </c>
      <c r="E2172" s="534">
        <v>0</v>
      </c>
      <c r="F2172" s="534">
        <v>0</v>
      </c>
      <c r="G2172" s="534">
        <v>2</v>
      </c>
    </row>
    <row r="2173" spans="2:7" x14ac:dyDescent="0.3">
      <c r="B2173" s="529">
        <f t="shared" si="72"/>
        <v>2168001</v>
      </c>
      <c r="C2173" s="529">
        <f t="shared" si="71"/>
        <v>2169</v>
      </c>
      <c r="E2173" s="534">
        <v>0</v>
      </c>
      <c r="F2173" s="534">
        <v>0</v>
      </c>
      <c r="G2173" s="534">
        <v>2</v>
      </c>
    </row>
    <row r="2174" spans="2:7" x14ac:dyDescent="0.3">
      <c r="B2174" s="529">
        <f t="shared" si="72"/>
        <v>2169001</v>
      </c>
      <c r="C2174" s="529">
        <f t="shared" si="71"/>
        <v>2170</v>
      </c>
      <c r="E2174" s="534">
        <v>0</v>
      </c>
      <c r="F2174" s="534">
        <v>0</v>
      </c>
      <c r="G2174" s="534">
        <v>2</v>
      </c>
    </row>
    <row r="2175" spans="2:7" x14ac:dyDescent="0.3">
      <c r="B2175" s="529">
        <f t="shared" si="72"/>
        <v>2170001</v>
      </c>
      <c r="C2175" s="529">
        <f t="shared" si="71"/>
        <v>2171</v>
      </c>
      <c r="E2175" s="534">
        <v>0</v>
      </c>
      <c r="F2175" s="534">
        <v>0</v>
      </c>
      <c r="G2175" s="534">
        <v>2</v>
      </c>
    </row>
    <row r="2176" spans="2:7" x14ac:dyDescent="0.3">
      <c r="B2176" s="529">
        <f t="shared" si="72"/>
        <v>2171001</v>
      </c>
      <c r="C2176" s="529">
        <f t="shared" si="71"/>
        <v>2172</v>
      </c>
      <c r="E2176" s="534">
        <v>0</v>
      </c>
      <c r="F2176" s="534">
        <v>0</v>
      </c>
      <c r="G2176" s="534">
        <v>2</v>
      </c>
    </row>
    <row r="2177" spans="2:7" x14ac:dyDescent="0.3">
      <c r="B2177" s="529">
        <f t="shared" si="72"/>
        <v>2172001</v>
      </c>
      <c r="C2177" s="529">
        <f t="shared" si="71"/>
        <v>2173</v>
      </c>
      <c r="E2177" s="534">
        <v>0</v>
      </c>
      <c r="F2177" s="534">
        <v>0</v>
      </c>
      <c r="G2177" s="534">
        <v>2</v>
      </c>
    </row>
    <row r="2178" spans="2:7" x14ac:dyDescent="0.3">
      <c r="B2178" s="529">
        <f t="shared" si="72"/>
        <v>2173001</v>
      </c>
      <c r="C2178" s="529">
        <f t="shared" si="71"/>
        <v>2174</v>
      </c>
      <c r="E2178" s="534">
        <v>0</v>
      </c>
      <c r="F2178" s="534">
        <v>0</v>
      </c>
      <c r="G2178" s="534">
        <v>2</v>
      </c>
    </row>
    <row r="2179" spans="2:7" x14ac:dyDescent="0.3">
      <c r="B2179" s="529">
        <f t="shared" si="72"/>
        <v>2174001</v>
      </c>
      <c r="C2179" s="529">
        <f t="shared" si="71"/>
        <v>2175</v>
      </c>
      <c r="E2179" s="534">
        <v>0</v>
      </c>
      <c r="F2179" s="534">
        <v>0</v>
      </c>
      <c r="G2179" s="534">
        <v>2</v>
      </c>
    </row>
    <row r="2180" spans="2:7" x14ac:dyDescent="0.3">
      <c r="B2180" s="529">
        <f t="shared" si="72"/>
        <v>2175001</v>
      </c>
      <c r="C2180" s="529">
        <f t="shared" si="71"/>
        <v>2176</v>
      </c>
      <c r="E2180" s="534">
        <v>0</v>
      </c>
      <c r="F2180" s="534">
        <v>0</v>
      </c>
      <c r="G2180" s="534">
        <v>2</v>
      </c>
    </row>
    <row r="2181" spans="2:7" x14ac:dyDescent="0.3">
      <c r="B2181" s="529">
        <f t="shared" si="72"/>
        <v>2176001</v>
      </c>
      <c r="C2181" s="529">
        <f t="shared" si="71"/>
        <v>2177</v>
      </c>
      <c r="E2181" s="534">
        <v>0</v>
      </c>
      <c r="F2181" s="534">
        <v>0</v>
      </c>
      <c r="G2181" s="534">
        <v>2</v>
      </c>
    </row>
    <row r="2182" spans="2:7" x14ac:dyDescent="0.3">
      <c r="B2182" s="529">
        <f t="shared" si="72"/>
        <v>2177001</v>
      </c>
      <c r="C2182" s="529">
        <f t="shared" ref="C2182:C2245" si="73">C2181+1</f>
        <v>2178</v>
      </c>
      <c r="E2182" s="534">
        <v>0</v>
      </c>
      <c r="F2182" s="534">
        <v>0</v>
      </c>
      <c r="G2182" s="534">
        <v>2</v>
      </c>
    </row>
    <row r="2183" spans="2:7" x14ac:dyDescent="0.3">
      <c r="B2183" s="529">
        <f t="shared" ref="B2183:B2246" si="74">C2182*1000+1</f>
        <v>2178001</v>
      </c>
      <c r="C2183" s="529">
        <f t="shared" si="73"/>
        <v>2179</v>
      </c>
      <c r="E2183" s="534">
        <v>0</v>
      </c>
      <c r="F2183" s="534">
        <v>0</v>
      </c>
      <c r="G2183" s="534">
        <v>2</v>
      </c>
    </row>
    <row r="2184" spans="2:7" x14ac:dyDescent="0.3">
      <c r="B2184" s="529">
        <f t="shared" si="74"/>
        <v>2179001</v>
      </c>
      <c r="C2184" s="529">
        <f t="shared" si="73"/>
        <v>2180</v>
      </c>
      <c r="E2184" s="534">
        <v>0</v>
      </c>
      <c r="F2184" s="534">
        <v>0</v>
      </c>
      <c r="G2184" s="534">
        <v>2</v>
      </c>
    </row>
    <row r="2185" spans="2:7" x14ac:dyDescent="0.3">
      <c r="B2185" s="529">
        <f t="shared" si="74"/>
        <v>2180001</v>
      </c>
      <c r="C2185" s="529">
        <f t="shared" si="73"/>
        <v>2181</v>
      </c>
      <c r="E2185" s="534">
        <v>0</v>
      </c>
      <c r="F2185" s="534">
        <v>0</v>
      </c>
      <c r="G2185" s="534">
        <v>2</v>
      </c>
    </row>
    <row r="2186" spans="2:7" x14ac:dyDescent="0.3">
      <c r="B2186" s="529">
        <f t="shared" si="74"/>
        <v>2181001</v>
      </c>
      <c r="C2186" s="529">
        <f t="shared" si="73"/>
        <v>2182</v>
      </c>
      <c r="E2186" s="534">
        <v>0</v>
      </c>
      <c r="F2186" s="534">
        <v>0</v>
      </c>
      <c r="G2186" s="534">
        <v>2</v>
      </c>
    </row>
    <row r="2187" spans="2:7" x14ac:dyDescent="0.3">
      <c r="B2187" s="529">
        <f t="shared" si="74"/>
        <v>2182001</v>
      </c>
      <c r="C2187" s="529">
        <f t="shared" si="73"/>
        <v>2183</v>
      </c>
      <c r="E2187" s="534">
        <v>0</v>
      </c>
      <c r="F2187" s="534">
        <v>0</v>
      </c>
      <c r="G2187" s="534">
        <v>2</v>
      </c>
    </row>
    <row r="2188" spans="2:7" x14ac:dyDescent="0.3">
      <c r="B2188" s="529">
        <f t="shared" si="74"/>
        <v>2183001</v>
      </c>
      <c r="C2188" s="529">
        <f t="shared" si="73"/>
        <v>2184</v>
      </c>
      <c r="E2188" s="534">
        <v>0</v>
      </c>
      <c r="F2188" s="534">
        <v>0</v>
      </c>
      <c r="G2188" s="534">
        <v>2</v>
      </c>
    </row>
    <row r="2189" spans="2:7" x14ac:dyDescent="0.3">
      <c r="B2189" s="529">
        <f t="shared" si="74"/>
        <v>2184001</v>
      </c>
      <c r="C2189" s="529">
        <f t="shared" si="73"/>
        <v>2185</v>
      </c>
      <c r="E2189" s="534">
        <v>0</v>
      </c>
      <c r="F2189" s="534">
        <v>0</v>
      </c>
      <c r="G2189" s="534">
        <v>2</v>
      </c>
    </row>
    <row r="2190" spans="2:7" x14ac:dyDescent="0.3">
      <c r="B2190" s="529">
        <f t="shared" si="74"/>
        <v>2185001</v>
      </c>
      <c r="C2190" s="529">
        <f t="shared" si="73"/>
        <v>2186</v>
      </c>
      <c r="E2190" s="534">
        <v>0</v>
      </c>
      <c r="F2190" s="534">
        <v>0</v>
      </c>
      <c r="G2190" s="534">
        <v>2</v>
      </c>
    </row>
    <row r="2191" spans="2:7" x14ac:dyDescent="0.3">
      <c r="B2191" s="529">
        <f t="shared" si="74"/>
        <v>2186001</v>
      </c>
      <c r="C2191" s="529">
        <f t="shared" si="73"/>
        <v>2187</v>
      </c>
      <c r="E2191" s="534">
        <v>0</v>
      </c>
      <c r="F2191" s="534">
        <v>0</v>
      </c>
      <c r="G2191" s="534">
        <v>2</v>
      </c>
    </row>
    <row r="2192" spans="2:7" x14ac:dyDescent="0.3">
      <c r="B2192" s="529">
        <f t="shared" si="74"/>
        <v>2187001</v>
      </c>
      <c r="C2192" s="529">
        <f t="shared" si="73"/>
        <v>2188</v>
      </c>
      <c r="E2192" s="534">
        <v>0</v>
      </c>
      <c r="F2192" s="534">
        <v>0</v>
      </c>
      <c r="G2192" s="534">
        <v>2</v>
      </c>
    </row>
    <row r="2193" spans="2:7" x14ac:dyDescent="0.3">
      <c r="B2193" s="529">
        <f t="shared" si="74"/>
        <v>2188001</v>
      </c>
      <c r="C2193" s="529">
        <f t="shared" si="73"/>
        <v>2189</v>
      </c>
      <c r="E2193" s="534">
        <v>0</v>
      </c>
      <c r="F2193" s="534">
        <v>0</v>
      </c>
      <c r="G2193" s="534">
        <v>2</v>
      </c>
    </row>
    <row r="2194" spans="2:7" x14ac:dyDescent="0.3">
      <c r="B2194" s="529">
        <f t="shared" si="74"/>
        <v>2189001</v>
      </c>
      <c r="C2194" s="529">
        <f t="shared" si="73"/>
        <v>2190</v>
      </c>
      <c r="E2194" s="534">
        <v>0</v>
      </c>
      <c r="F2194" s="534">
        <v>0</v>
      </c>
      <c r="G2194" s="534">
        <v>2</v>
      </c>
    </row>
    <row r="2195" spans="2:7" x14ac:dyDescent="0.3">
      <c r="B2195" s="529">
        <f t="shared" si="74"/>
        <v>2190001</v>
      </c>
      <c r="C2195" s="529">
        <f t="shared" si="73"/>
        <v>2191</v>
      </c>
      <c r="E2195" s="534">
        <v>0</v>
      </c>
      <c r="F2195" s="534">
        <v>0</v>
      </c>
      <c r="G2195" s="534">
        <v>2</v>
      </c>
    </row>
    <row r="2196" spans="2:7" x14ac:dyDescent="0.3">
      <c r="B2196" s="529">
        <f t="shared" si="74"/>
        <v>2191001</v>
      </c>
      <c r="C2196" s="529">
        <f t="shared" si="73"/>
        <v>2192</v>
      </c>
      <c r="E2196" s="534">
        <v>0</v>
      </c>
      <c r="F2196" s="534">
        <v>0</v>
      </c>
      <c r="G2196" s="534">
        <v>2</v>
      </c>
    </row>
    <row r="2197" spans="2:7" x14ac:dyDescent="0.3">
      <c r="B2197" s="529">
        <f t="shared" si="74"/>
        <v>2192001</v>
      </c>
      <c r="C2197" s="529">
        <f t="shared" si="73"/>
        <v>2193</v>
      </c>
      <c r="E2197" s="534">
        <v>0</v>
      </c>
      <c r="F2197" s="534">
        <v>0</v>
      </c>
      <c r="G2197" s="534">
        <v>2</v>
      </c>
    </row>
    <row r="2198" spans="2:7" x14ac:dyDescent="0.3">
      <c r="B2198" s="529">
        <f t="shared" si="74"/>
        <v>2193001</v>
      </c>
      <c r="C2198" s="529">
        <f t="shared" si="73"/>
        <v>2194</v>
      </c>
      <c r="E2198" s="534">
        <v>0</v>
      </c>
      <c r="F2198" s="534">
        <v>0</v>
      </c>
      <c r="G2198" s="534">
        <v>2</v>
      </c>
    </row>
    <row r="2199" spans="2:7" x14ac:dyDescent="0.3">
      <c r="B2199" s="529">
        <f t="shared" si="74"/>
        <v>2194001</v>
      </c>
      <c r="C2199" s="529">
        <f t="shared" si="73"/>
        <v>2195</v>
      </c>
      <c r="E2199" s="534">
        <v>0</v>
      </c>
      <c r="F2199" s="534">
        <v>0</v>
      </c>
      <c r="G2199" s="534">
        <v>2</v>
      </c>
    </row>
    <row r="2200" spans="2:7" x14ac:dyDescent="0.3">
      <c r="B2200" s="529">
        <f t="shared" si="74"/>
        <v>2195001</v>
      </c>
      <c r="C2200" s="529">
        <f t="shared" si="73"/>
        <v>2196</v>
      </c>
      <c r="E2200" s="534">
        <v>0</v>
      </c>
      <c r="F2200" s="534">
        <v>0</v>
      </c>
      <c r="G2200" s="534">
        <v>2</v>
      </c>
    </row>
    <row r="2201" spans="2:7" x14ac:dyDescent="0.3">
      <c r="B2201" s="529">
        <f t="shared" si="74"/>
        <v>2196001</v>
      </c>
      <c r="C2201" s="529">
        <f t="shared" si="73"/>
        <v>2197</v>
      </c>
      <c r="E2201" s="534">
        <v>0</v>
      </c>
      <c r="F2201" s="534">
        <v>0</v>
      </c>
      <c r="G2201" s="534">
        <v>2</v>
      </c>
    </row>
    <row r="2202" spans="2:7" x14ac:dyDescent="0.3">
      <c r="B2202" s="529">
        <f t="shared" si="74"/>
        <v>2197001</v>
      </c>
      <c r="C2202" s="529">
        <f t="shared" si="73"/>
        <v>2198</v>
      </c>
      <c r="E2202" s="534">
        <v>0</v>
      </c>
      <c r="F2202" s="534">
        <v>0</v>
      </c>
      <c r="G2202" s="534">
        <v>2</v>
      </c>
    </row>
    <row r="2203" spans="2:7" x14ac:dyDescent="0.3">
      <c r="B2203" s="529">
        <f t="shared" si="74"/>
        <v>2198001</v>
      </c>
      <c r="C2203" s="529">
        <f t="shared" si="73"/>
        <v>2199</v>
      </c>
      <c r="E2203" s="534">
        <v>0</v>
      </c>
      <c r="F2203" s="534">
        <v>0</v>
      </c>
      <c r="G2203" s="534">
        <v>2</v>
      </c>
    </row>
    <row r="2204" spans="2:7" x14ac:dyDescent="0.3">
      <c r="B2204" s="529">
        <f t="shared" si="74"/>
        <v>2199001</v>
      </c>
      <c r="C2204" s="529">
        <f t="shared" si="73"/>
        <v>2200</v>
      </c>
      <c r="E2204" s="534">
        <v>0</v>
      </c>
      <c r="F2204" s="534">
        <v>0</v>
      </c>
      <c r="G2204" s="534">
        <v>2</v>
      </c>
    </row>
    <row r="2205" spans="2:7" x14ac:dyDescent="0.3">
      <c r="B2205" s="529">
        <f t="shared" si="74"/>
        <v>2200001</v>
      </c>
      <c r="C2205" s="529">
        <f t="shared" si="73"/>
        <v>2201</v>
      </c>
      <c r="E2205" s="534">
        <v>0</v>
      </c>
      <c r="F2205" s="534">
        <v>0</v>
      </c>
      <c r="G2205" s="534">
        <v>2</v>
      </c>
    </row>
    <row r="2206" spans="2:7" x14ac:dyDescent="0.3">
      <c r="B2206" s="529">
        <f t="shared" si="74"/>
        <v>2201001</v>
      </c>
      <c r="C2206" s="529">
        <f t="shared" si="73"/>
        <v>2202</v>
      </c>
      <c r="E2206" s="534">
        <v>0</v>
      </c>
      <c r="F2206" s="534">
        <v>0</v>
      </c>
      <c r="G2206" s="534">
        <v>2</v>
      </c>
    </row>
    <row r="2207" spans="2:7" x14ac:dyDescent="0.3">
      <c r="B2207" s="529">
        <f t="shared" si="74"/>
        <v>2202001</v>
      </c>
      <c r="C2207" s="529">
        <f t="shared" si="73"/>
        <v>2203</v>
      </c>
      <c r="E2207" s="534">
        <v>0</v>
      </c>
      <c r="F2207" s="534">
        <v>0</v>
      </c>
      <c r="G2207" s="534">
        <v>2</v>
      </c>
    </row>
    <row r="2208" spans="2:7" x14ac:dyDescent="0.3">
      <c r="B2208" s="529">
        <f t="shared" si="74"/>
        <v>2203001</v>
      </c>
      <c r="C2208" s="529">
        <f t="shared" si="73"/>
        <v>2204</v>
      </c>
      <c r="E2208" s="534">
        <v>0</v>
      </c>
      <c r="F2208" s="534">
        <v>0</v>
      </c>
      <c r="G2208" s="534">
        <v>2</v>
      </c>
    </row>
    <row r="2209" spans="2:7" x14ac:dyDescent="0.3">
      <c r="B2209" s="529">
        <f t="shared" si="74"/>
        <v>2204001</v>
      </c>
      <c r="C2209" s="529">
        <f t="shared" si="73"/>
        <v>2205</v>
      </c>
      <c r="E2209" s="534">
        <v>0</v>
      </c>
      <c r="F2209" s="534">
        <v>0</v>
      </c>
      <c r="G2209" s="534">
        <v>2</v>
      </c>
    </row>
    <row r="2210" spans="2:7" x14ac:dyDescent="0.3">
      <c r="B2210" s="529">
        <f t="shared" si="74"/>
        <v>2205001</v>
      </c>
      <c r="C2210" s="529">
        <f t="shared" si="73"/>
        <v>2206</v>
      </c>
      <c r="E2210" s="534">
        <v>0</v>
      </c>
      <c r="F2210" s="534">
        <v>0</v>
      </c>
      <c r="G2210" s="534">
        <v>2</v>
      </c>
    </row>
    <row r="2211" spans="2:7" x14ac:dyDescent="0.3">
      <c r="B2211" s="529">
        <f t="shared" si="74"/>
        <v>2206001</v>
      </c>
      <c r="C2211" s="529">
        <f t="shared" si="73"/>
        <v>2207</v>
      </c>
      <c r="E2211" s="534">
        <v>0</v>
      </c>
      <c r="F2211" s="534">
        <v>0</v>
      </c>
      <c r="G2211" s="534">
        <v>2</v>
      </c>
    </row>
    <row r="2212" spans="2:7" x14ac:dyDescent="0.3">
      <c r="B2212" s="529">
        <f t="shared" si="74"/>
        <v>2207001</v>
      </c>
      <c r="C2212" s="529">
        <f t="shared" si="73"/>
        <v>2208</v>
      </c>
      <c r="E2212" s="534">
        <v>0</v>
      </c>
      <c r="F2212" s="534">
        <v>0</v>
      </c>
      <c r="G2212" s="534">
        <v>2</v>
      </c>
    </row>
    <row r="2213" spans="2:7" x14ac:dyDescent="0.3">
      <c r="B2213" s="529">
        <f t="shared" si="74"/>
        <v>2208001</v>
      </c>
      <c r="C2213" s="529">
        <f t="shared" si="73"/>
        <v>2209</v>
      </c>
      <c r="E2213" s="534">
        <v>0</v>
      </c>
      <c r="F2213" s="534">
        <v>0</v>
      </c>
      <c r="G2213" s="534">
        <v>2</v>
      </c>
    </row>
    <row r="2214" spans="2:7" x14ac:dyDescent="0.3">
      <c r="B2214" s="529">
        <f t="shared" si="74"/>
        <v>2209001</v>
      </c>
      <c r="C2214" s="529">
        <f t="shared" si="73"/>
        <v>2210</v>
      </c>
      <c r="E2214" s="534">
        <v>0</v>
      </c>
      <c r="F2214" s="534">
        <v>0</v>
      </c>
      <c r="G2214" s="534">
        <v>2</v>
      </c>
    </row>
    <row r="2215" spans="2:7" x14ac:dyDescent="0.3">
      <c r="B2215" s="529">
        <f t="shared" si="74"/>
        <v>2210001</v>
      </c>
      <c r="C2215" s="529">
        <f t="shared" si="73"/>
        <v>2211</v>
      </c>
      <c r="E2215" s="534">
        <v>0</v>
      </c>
      <c r="F2215" s="534">
        <v>0</v>
      </c>
      <c r="G2215" s="534">
        <v>2</v>
      </c>
    </row>
    <row r="2216" spans="2:7" x14ac:dyDescent="0.3">
      <c r="B2216" s="529">
        <f t="shared" si="74"/>
        <v>2211001</v>
      </c>
      <c r="C2216" s="529">
        <f t="shared" si="73"/>
        <v>2212</v>
      </c>
      <c r="E2216" s="534">
        <v>0</v>
      </c>
      <c r="F2216" s="534">
        <v>0</v>
      </c>
      <c r="G2216" s="534">
        <v>2</v>
      </c>
    </row>
    <row r="2217" spans="2:7" x14ac:dyDescent="0.3">
      <c r="B2217" s="529">
        <f t="shared" si="74"/>
        <v>2212001</v>
      </c>
      <c r="C2217" s="529">
        <f t="shared" si="73"/>
        <v>2213</v>
      </c>
      <c r="E2217" s="534">
        <v>0</v>
      </c>
      <c r="F2217" s="534">
        <v>0</v>
      </c>
      <c r="G2217" s="534">
        <v>2</v>
      </c>
    </row>
    <row r="2218" spans="2:7" x14ac:dyDescent="0.3">
      <c r="B2218" s="529">
        <f t="shared" si="74"/>
        <v>2213001</v>
      </c>
      <c r="C2218" s="529">
        <f t="shared" si="73"/>
        <v>2214</v>
      </c>
      <c r="E2218" s="534">
        <v>0</v>
      </c>
      <c r="F2218" s="534">
        <v>0</v>
      </c>
      <c r="G2218" s="534">
        <v>2</v>
      </c>
    </row>
    <row r="2219" spans="2:7" x14ac:dyDescent="0.3">
      <c r="B2219" s="529">
        <f t="shared" si="74"/>
        <v>2214001</v>
      </c>
      <c r="C2219" s="529">
        <f t="shared" si="73"/>
        <v>2215</v>
      </c>
      <c r="E2219" s="534">
        <v>0</v>
      </c>
      <c r="F2219" s="534">
        <v>0</v>
      </c>
      <c r="G2219" s="534">
        <v>2</v>
      </c>
    </row>
    <row r="2220" spans="2:7" x14ac:dyDescent="0.3">
      <c r="B2220" s="529">
        <f t="shared" si="74"/>
        <v>2215001</v>
      </c>
      <c r="C2220" s="529">
        <f t="shared" si="73"/>
        <v>2216</v>
      </c>
      <c r="E2220" s="534">
        <v>0</v>
      </c>
      <c r="F2220" s="534">
        <v>0</v>
      </c>
      <c r="G2220" s="534">
        <v>2</v>
      </c>
    </row>
    <row r="2221" spans="2:7" x14ac:dyDescent="0.3">
      <c r="B2221" s="529">
        <f t="shared" si="74"/>
        <v>2216001</v>
      </c>
      <c r="C2221" s="529">
        <f t="shared" si="73"/>
        <v>2217</v>
      </c>
      <c r="E2221" s="534">
        <v>0</v>
      </c>
      <c r="F2221" s="534">
        <v>0</v>
      </c>
      <c r="G2221" s="534">
        <v>2</v>
      </c>
    </row>
    <row r="2222" spans="2:7" x14ac:dyDescent="0.3">
      <c r="B2222" s="529">
        <f t="shared" si="74"/>
        <v>2217001</v>
      </c>
      <c r="C2222" s="529">
        <f t="shared" si="73"/>
        <v>2218</v>
      </c>
      <c r="E2222" s="534">
        <v>0</v>
      </c>
      <c r="F2222" s="534">
        <v>0</v>
      </c>
      <c r="G2222" s="534">
        <v>2</v>
      </c>
    </row>
    <row r="2223" spans="2:7" x14ac:dyDescent="0.3">
      <c r="B2223" s="529">
        <f t="shared" si="74"/>
        <v>2218001</v>
      </c>
      <c r="C2223" s="529">
        <f t="shared" si="73"/>
        <v>2219</v>
      </c>
      <c r="E2223" s="534">
        <v>0</v>
      </c>
      <c r="F2223" s="534">
        <v>0</v>
      </c>
      <c r="G2223" s="534">
        <v>2</v>
      </c>
    </row>
    <row r="2224" spans="2:7" x14ac:dyDescent="0.3">
      <c r="B2224" s="529">
        <f t="shared" si="74"/>
        <v>2219001</v>
      </c>
      <c r="C2224" s="529">
        <f t="shared" si="73"/>
        <v>2220</v>
      </c>
      <c r="E2224" s="534">
        <v>0</v>
      </c>
      <c r="F2224" s="534">
        <v>0</v>
      </c>
      <c r="G2224" s="534">
        <v>2</v>
      </c>
    </row>
    <row r="2225" spans="2:7" x14ac:dyDescent="0.3">
      <c r="B2225" s="529">
        <f t="shared" si="74"/>
        <v>2220001</v>
      </c>
      <c r="C2225" s="529">
        <f t="shared" si="73"/>
        <v>2221</v>
      </c>
      <c r="E2225" s="534">
        <v>0</v>
      </c>
      <c r="F2225" s="534">
        <v>0</v>
      </c>
      <c r="G2225" s="534">
        <v>2</v>
      </c>
    </row>
    <row r="2226" spans="2:7" x14ac:dyDescent="0.3">
      <c r="B2226" s="529">
        <f t="shared" si="74"/>
        <v>2221001</v>
      </c>
      <c r="C2226" s="529">
        <f t="shared" si="73"/>
        <v>2222</v>
      </c>
      <c r="E2226" s="534">
        <v>0</v>
      </c>
      <c r="F2226" s="534">
        <v>0</v>
      </c>
      <c r="G2226" s="534">
        <v>2</v>
      </c>
    </row>
    <row r="2227" spans="2:7" x14ac:dyDescent="0.3">
      <c r="B2227" s="529">
        <f t="shared" si="74"/>
        <v>2222001</v>
      </c>
      <c r="C2227" s="529">
        <f t="shared" si="73"/>
        <v>2223</v>
      </c>
      <c r="E2227" s="534">
        <v>0</v>
      </c>
      <c r="F2227" s="534">
        <v>0</v>
      </c>
      <c r="G2227" s="534">
        <v>2</v>
      </c>
    </row>
    <row r="2228" spans="2:7" x14ac:dyDescent="0.3">
      <c r="B2228" s="529">
        <f t="shared" si="74"/>
        <v>2223001</v>
      </c>
      <c r="C2228" s="529">
        <f t="shared" si="73"/>
        <v>2224</v>
      </c>
      <c r="E2228" s="534">
        <v>0</v>
      </c>
      <c r="F2228" s="534">
        <v>0</v>
      </c>
      <c r="G2228" s="534">
        <v>2</v>
      </c>
    </row>
    <row r="2229" spans="2:7" x14ac:dyDescent="0.3">
      <c r="B2229" s="529">
        <f t="shared" si="74"/>
        <v>2224001</v>
      </c>
      <c r="C2229" s="529">
        <f t="shared" si="73"/>
        <v>2225</v>
      </c>
      <c r="E2229" s="534">
        <v>0</v>
      </c>
      <c r="F2229" s="534">
        <v>0</v>
      </c>
      <c r="G2229" s="534">
        <v>2</v>
      </c>
    </row>
    <row r="2230" spans="2:7" x14ac:dyDescent="0.3">
      <c r="B2230" s="529">
        <f t="shared" si="74"/>
        <v>2225001</v>
      </c>
      <c r="C2230" s="529">
        <f t="shared" si="73"/>
        <v>2226</v>
      </c>
      <c r="E2230" s="534">
        <v>0</v>
      </c>
      <c r="F2230" s="534">
        <v>0</v>
      </c>
      <c r="G2230" s="534">
        <v>2</v>
      </c>
    </row>
    <row r="2231" spans="2:7" x14ac:dyDescent="0.3">
      <c r="B2231" s="529">
        <f t="shared" si="74"/>
        <v>2226001</v>
      </c>
      <c r="C2231" s="529">
        <f t="shared" si="73"/>
        <v>2227</v>
      </c>
      <c r="E2231" s="534">
        <v>0</v>
      </c>
      <c r="F2231" s="534">
        <v>0</v>
      </c>
      <c r="G2231" s="534">
        <v>2</v>
      </c>
    </row>
    <row r="2232" spans="2:7" x14ac:dyDescent="0.3">
      <c r="B2232" s="529">
        <f t="shared" si="74"/>
        <v>2227001</v>
      </c>
      <c r="C2232" s="529">
        <f t="shared" si="73"/>
        <v>2228</v>
      </c>
      <c r="E2232" s="534">
        <v>0</v>
      </c>
      <c r="F2232" s="534">
        <v>0</v>
      </c>
      <c r="G2232" s="534">
        <v>2</v>
      </c>
    </row>
    <row r="2233" spans="2:7" x14ac:dyDescent="0.3">
      <c r="B2233" s="529">
        <f t="shared" si="74"/>
        <v>2228001</v>
      </c>
      <c r="C2233" s="529">
        <f t="shared" si="73"/>
        <v>2229</v>
      </c>
      <c r="E2233" s="534">
        <v>0</v>
      </c>
      <c r="F2233" s="534">
        <v>0</v>
      </c>
      <c r="G2233" s="534">
        <v>2</v>
      </c>
    </row>
    <row r="2234" spans="2:7" x14ac:dyDescent="0.3">
      <c r="B2234" s="529">
        <f t="shared" si="74"/>
        <v>2229001</v>
      </c>
      <c r="C2234" s="529">
        <f t="shared" si="73"/>
        <v>2230</v>
      </c>
      <c r="E2234" s="534">
        <v>0</v>
      </c>
      <c r="F2234" s="534">
        <v>0</v>
      </c>
      <c r="G2234" s="534">
        <v>2</v>
      </c>
    </row>
    <row r="2235" spans="2:7" x14ac:dyDescent="0.3">
      <c r="B2235" s="529">
        <f t="shared" si="74"/>
        <v>2230001</v>
      </c>
      <c r="C2235" s="529">
        <f t="shared" si="73"/>
        <v>2231</v>
      </c>
      <c r="E2235" s="534">
        <v>0</v>
      </c>
      <c r="F2235" s="534">
        <v>0</v>
      </c>
      <c r="G2235" s="534">
        <v>2</v>
      </c>
    </row>
    <row r="2236" spans="2:7" x14ac:dyDescent="0.3">
      <c r="B2236" s="529">
        <f t="shared" si="74"/>
        <v>2231001</v>
      </c>
      <c r="C2236" s="529">
        <f t="shared" si="73"/>
        <v>2232</v>
      </c>
      <c r="E2236" s="534">
        <v>0</v>
      </c>
      <c r="F2236" s="534">
        <v>0</v>
      </c>
      <c r="G2236" s="534">
        <v>2</v>
      </c>
    </row>
    <row r="2237" spans="2:7" x14ac:dyDescent="0.3">
      <c r="B2237" s="529">
        <f t="shared" si="74"/>
        <v>2232001</v>
      </c>
      <c r="C2237" s="529">
        <f t="shared" si="73"/>
        <v>2233</v>
      </c>
      <c r="E2237" s="534">
        <v>0</v>
      </c>
      <c r="F2237" s="534">
        <v>0</v>
      </c>
      <c r="G2237" s="534">
        <v>2</v>
      </c>
    </row>
    <row r="2238" spans="2:7" x14ac:dyDescent="0.3">
      <c r="B2238" s="529">
        <f t="shared" si="74"/>
        <v>2233001</v>
      </c>
      <c r="C2238" s="529">
        <f t="shared" si="73"/>
        <v>2234</v>
      </c>
      <c r="E2238" s="534">
        <v>0</v>
      </c>
      <c r="F2238" s="534">
        <v>0</v>
      </c>
      <c r="G2238" s="534">
        <v>2</v>
      </c>
    </row>
    <row r="2239" spans="2:7" x14ac:dyDescent="0.3">
      <c r="B2239" s="529">
        <f t="shared" si="74"/>
        <v>2234001</v>
      </c>
      <c r="C2239" s="529">
        <f t="shared" si="73"/>
        <v>2235</v>
      </c>
      <c r="E2239" s="534">
        <v>0</v>
      </c>
      <c r="F2239" s="534">
        <v>0</v>
      </c>
      <c r="G2239" s="534">
        <v>2</v>
      </c>
    </row>
    <row r="2240" spans="2:7" x14ac:dyDescent="0.3">
      <c r="B2240" s="529">
        <f t="shared" si="74"/>
        <v>2235001</v>
      </c>
      <c r="C2240" s="529">
        <f t="shared" si="73"/>
        <v>2236</v>
      </c>
      <c r="E2240" s="534">
        <v>0</v>
      </c>
      <c r="F2240" s="534">
        <v>0</v>
      </c>
      <c r="G2240" s="534">
        <v>2</v>
      </c>
    </row>
    <row r="2241" spans="2:20" x14ac:dyDescent="0.3">
      <c r="B2241" s="529">
        <f t="shared" si="74"/>
        <v>2236001</v>
      </c>
      <c r="C2241" s="529">
        <f t="shared" si="73"/>
        <v>2237</v>
      </c>
      <c r="E2241" s="534">
        <v>0</v>
      </c>
      <c r="F2241" s="534">
        <v>0</v>
      </c>
      <c r="G2241" s="534">
        <v>2</v>
      </c>
    </row>
    <row r="2242" spans="2:20" x14ac:dyDescent="0.3">
      <c r="B2242" s="529">
        <f t="shared" si="74"/>
        <v>2237001</v>
      </c>
      <c r="C2242" s="529">
        <f t="shared" si="73"/>
        <v>2238</v>
      </c>
      <c r="E2242" s="534">
        <v>0</v>
      </c>
      <c r="F2242" s="534">
        <v>0</v>
      </c>
      <c r="G2242" s="534">
        <v>2</v>
      </c>
    </row>
    <row r="2243" spans="2:20" x14ac:dyDescent="0.3">
      <c r="B2243" s="529">
        <f t="shared" si="74"/>
        <v>2238001</v>
      </c>
      <c r="C2243" s="529">
        <f t="shared" si="73"/>
        <v>2239</v>
      </c>
      <c r="E2243" s="534">
        <v>0</v>
      </c>
      <c r="F2243" s="534">
        <v>0</v>
      </c>
      <c r="G2243" s="534">
        <v>2</v>
      </c>
    </row>
    <row r="2244" spans="2:20" x14ac:dyDescent="0.3">
      <c r="B2244" s="529">
        <f t="shared" si="74"/>
        <v>2239001</v>
      </c>
      <c r="C2244" s="529">
        <f t="shared" si="73"/>
        <v>2240</v>
      </c>
      <c r="E2244" s="534">
        <v>0</v>
      </c>
      <c r="F2244" s="534">
        <v>0</v>
      </c>
      <c r="G2244" s="534">
        <v>2</v>
      </c>
    </row>
    <row r="2245" spans="2:20" x14ac:dyDescent="0.3">
      <c r="B2245" s="529">
        <f t="shared" si="74"/>
        <v>2240001</v>
      </c>
      <c r="C2245" s="529">
        <f t="shared" si="73"/>
        <v>2241</v>
      </c>
      <c r="E2245" s="534">
        <v>0</v>
      </c>
      <c r="F2245" s="534">
        <v>0</v>
      </c>
      <c r="G2245" s="534">
        <v>2</v>
      </c>
    </row>
    <row r="2246" spans="2:20" x14ac:dyDescent="0.3">
      <c r="B2246" s="529">
        <f t="shared" si="74"/>
        <v>2241001</v>
      </c>
      <c r="C2246" s="529">
        <f t="shared" ref="C2246:C2250" si="75">C2245+1</f>
        <v>2242</v>
      </c>
      <c r="E2246" s="534">
        <v>0</v>
      </c>
      <c r="F2246" s="534">
        <v>0</v>
      </c>
      <c r="G2246" s="534">
        <v>2</v>
      </c>
    </row>
    <row r="2247" spans="2:20" x14ac:dyDescent="0.3">
      <c r="B2247" s="529">
        <f t="shared" ref="B2247:B2250" si="76">C2246*1000+1</f>
        <v>2242001</v>
      </c>
      <c r="C2247" s="529">
        <f t="shared" si="75"/>
        <v>2243</v>
      </c>
      <c r="E2247" s="534">
        <v>0</v>
      </c>
      <c r="F2247" s="534">
        <v>0</v>
      </c>
      <c r="G2247" s="534">
        <v>2</v>
      </c>
      <c r="P2247" s="1327" t="s">
        <v>1707</v>
      </c>
      <c r="Q2247" s="1327"/>
      <c r="S2247" s="1327" t="s">
        <v>1708</v>
      </c>
      <c r="T2247" s="1327"/>
    </row>
    <row r="2248" spans="2:20" x14ac:dyDescent="0.3">
      <c r="B2248" s="529">
        <f t="shared" si="76"/>
        <v>2243001</v>
      </c>
      <c r="C2248" s="529">
        <f t="shared" si="75"/>
        <v>2244</v>
      </c>
      <c r="E2248" s="534">
        <v>1</v>
      </c>
      <c r="F2248" s="534">
        <v>2244</v>
      </c>
      <c r="G2248" s="534">
        <v>2</v>
      </c>
      <c r="P2248" s="542">
        <v>9</v>
      </c>
      <c r="Q2248" s="542">
        <v>9</v>
      </c>
      <c r="S2248" s="543">
        <f>P2248*E2252</f>
        <v>1231578</v>
      </c>
      <c r="T2248" s="543">
        <f>Q2248*I2252</f>
        <v>86292</v>
      </c>
    </row>
    <row r="2249" spans="2:20" x14ac:dyDescent="0.3">
      <c r="B2249" s="529">
        <f t="shared" si="76"/>
        <v>2244001</v>
      </c>
      <c r="C2249" s="529">
        <f t="shared" si="75"/>
        <v>2245</v>
      </c>
      <c r="E2249" s="534">
        <v>1</v>
      </c>
      <c r="F2249" s="534">
        <v>2245</v>
      </c>
      <c r="G2249" s="534">
        <v>1</v>
      </c>
      <c r="S2249" s="544">
        <f>((S2248+T2248)-'Misc Revenues'!Q57)/'Misc Revenues'!Q57</f>
        <v>5.3987426209203618E-2</v>
      </c>
    </row>
    <row r="2250" spans="2:20" x14ac:dyDescent="0.3">
      <c r="B2250" s="529">
        <f t="shared" si="76"/>
        <v>2245001</v>
      </c>
      <c r="C2250" s="529">
        <f t="shared" si="75"/>
        <v>2246</v>
      </c>
      <c r="E2250" s="534">
        <v>0</v>
      </c>
      <c r="F2250" s="534">
        <v>0</v>
      </c>
      <c r="G2250" s="534">
        <v>0</v>
      </c>
    </row>
    <row r="2252" spans="2:20" x14ac:dyDescent="0.3">
      <c r="E2252" s="536">
        <f>SUM(E4:E2250)</f>
        <v>136842</v>
      </c>
      <c r="F2252" s="536">
        <f>SUM(F4:F2250)</f>
        <v>1730880</v>
      </c>
      <c r="G2252" s="536">
        <f>SUM(G4:G2250)</f>
        <v>1730880</v>
      </c>
      <c r="I2252" s="536">
        <f>SUM(I4:I2250)</f>
        <v>9588</v>
      </c>
      <c r="J2252" s="536">
        <f>SUM(J4:J2250)</f>
        <v>121558</v>
      </c>
      <c r="K2252" s="536">
        <f>SUM(K4:K2250)</f>
        <v>121558</v>
      </c>
      <c r="M2252" s="959">
        <f>I2252+E2252</f>
        <v>146430</v>
      </c>
      <c r="P2252" s="959">
        <f>G2252+K2252</f>
        <v>1852438</v>
      </c>
    </row>
    <row r="2253" spans="2:20" x14ac:dyDescent="0.3">
      <c r="G2253" s="976">
        <f>G2252/$P2252</f>
        <v>0.93437945021641755</v>
      </c>
      <c r="K2253" s="976">
        <f>K2252/$P2252</f>
        <v>6.5620549783582505E-2</v>
      </c>
      <c r="M2253" s="976">
        <f>M2252/$P2252</f>
        <v>7.9047179986590638E-2</v>
      </c>
    </row>
    <row r="2254" spans="2:20" x14ac:dyDescent="0.3">
      <c r="G2254" s="976"/>
      <c r="K2254" s="976"/>
      <c r="M2254" s="976"/>
    </row>
    <row r="2255" spans="2:20" x14ac:dyDescent="0.3">
      <c r="C2255" s="123" t="s">
        <v>1700</v>
      </c>
      <c r="M2255" s="537" t="s">
        <v>1703</v>
      </c>
      <c r="N2255" s="537" t="s">
        <v>1704</v>
      </c>
      <c r="P2255" s="1327" t="s">
        <v>1705</v>
      </c>
      <c r="Q2255" s="1327"/>
      <c r="S2255" s="1327" t="s">
        <v>1706</v>
      </c>
      <c r="T2255" s="1327"/>
    </row>
    <row r="2256" spans="2:20" x14ac:dyDescent="0.3">
      <c r="C2256" s="123" t="s">
        <v>1697</v>
      </c>
      <c r="E2256" s="538">
        <v>0</v>
      </c>
      <c r="F2256" s="539">
        <v>9</v>
      </c>
      <c r="G2256" s="536">
        <f>SUMIF($C$4:$C$2250,"&lt;="&amp;F2256,G$4:G$2250)</f>
        <v>883403</v>
      </c>
      <c r="I2256" s="538">
        <v>0</v>
      </c>
      <c r="J2256" s="538">
        <v>9</v>
      </c>
      <c r="K2256" s="536">
        <f>SUMIF($C$4:$C$2250,"&lt;="&amp;J2256,K$4:K$2250)</f>
        <v>66189</v>
      </c>
      <c r="M2256" s="540">
        <f>G2256/$G$2260</f>
        <v>0.51037795803290809</v>
      </c>
      <c r="N2256" s="540">
        <f>K2256/$K$2260</f>
        <v>0.54450550354563254</v>
      </c>
      <c r="P2256" s="542">
        <v>5.24</v>
      </c>
      <c r="Q2256" s="542">
        <v>7.61</v>
      </c>
      <c r="S2256" s="543">
        <f>P2256*G2256</f>
        <v>4629031.72</v>
      </c>
      <c r="T2256" s="543">
        <f>Q2256*K2256</f>
        <v>503698.29000000004</v>
      </c>
    </row>
    <row r="2257" spans="3:20" x14ac:dyDescent="0.3">
      <c r="C2257" s="123" t="s">
        <v>1698</v>
      </c>
      <c r="E2257" s="538">
        <f>F2256</f>
        <v>9</v>
      </c>
      <c r="F2257" s="539">
        <v>18</v>
      </c>
      <c r="G2257" s="536">
        <f>SUMIF($C$4:$C$2250,"&lt;="&amp;F2257,G$4:G$2250)-G2256</f>
        <v>303869</v>
      </c>
      <c r="I2257" s="538">
        <f>J2256</f>
        <v>9</v>
      </c>
      <c r="J2257" s="538">
        <v>18</v>
      </c>
      <c r="K2257" s="536">
        <f>SUMIF($C$4:$C$2250,"&lt;="&amp;J2257,K$4:K$2250)-K2256</f>
        <v>22777</v>
      </c>
      <c r="M2257" s="540">
        <f>G2257/$G$2260</f>
        <v>0.17555751987428361</v>
      </c>
      <c r="N2257" s="540">
        <f t="shared" ref="N2257:N2258" si="77">K2257/$K$2260</f>
        <v>0.18737557380016123</v>
      </c>
      <c r="P2257" s="542">
        <v>6.54</v>
      </c>
      <c r="Q2257" s="542">
        <v>9.51</v>
      </c>
      <c r="S2257" s="543">
        <f t="shared" ref="S2257:S2258" si="78">P2257*G2257</f>
        <v>1987303.26</v>
      </c>
      <c r="T2257" s="543">
        <f t="shared" ref="T2257:T2258" si="79">Q2257*K2257</f>
        <v>216609.27</v>
      </c>
    </row>
    <row r="2258" spans="3:20" x14ac:dyDescent="0.3">
      <c r="C2258" s="123" t="s">
        <v>1699</v>
      </c>
      <c r="E2258" s="538" t="s">
        <v>1696</v>
      </c>
      <c r="F2258" s="539">
        <f>F2257</f>
        <v>18</v>
      </c>
      <c r="G2258" s="536">
        <f>SUMIF($C$4:$C$2250,"&gt;"&amp;F2258,G4:G2250)</f>
        <v>543608</v>
      </c>
      <c r="I2258" s="538" t="s">
        <v>1696</v>
      </c>
      <c r="J2258" s="538">
        <f>J2257</f>
        <v>18</v>
      </c>
      <c r="K2258" s="536">
        <f>SUMIF($C$4:$C$2250,"&gt;"&amp;J2258,K4:K2250)</f>
        <v>32592</v>
      </c>
      <c r="M2258" s="540">
        <f>G2258/$G$2260</f>
        <v>0.31406452209280827</v>
      </c>
      <c r="N2258" s="540">
        <f t="shared" si="77"/>
        <v>0.26811892265420623</v>
      </c>
      <c r="P2258" s="542">
        <v>7.85</v>
      </c>
      <c r="Q2258" s="542">
        <v>11.41</v>
      </c>
      <c r="S2258" s="543">
        <f t="shared" si="78"/>
        <v>4267322.8</v>
      </c>
      <c r="T2258" s="543">
        <f t="shared" si="79"/>
        <v>371874.72000000003</v>
      </c>
    </row>
    <row r="2259" spans="3:20" x14ac:dyDescent="0.3">
      <c r="M2259" s="541">
        <f>SUM(M2256:M2258)</f>
        <v>1</v>
      </c>
      <c r="N2259" s="541">
        <f>SUM(N2256:N2258)</f>
        <v>1</v>
      </c>
      <c r="S2259" s="543">
        <f>SUM(S2256:S2258)</f>
        <v>10883657.779999999</v>
      </c>
      <c r="T2259" s="543">
        <f>SUM(T2256:T2258)</f>
        <v>1092182.28</v>
      </c>
    </row>
    <row r="2260" spans="3:20" x14ac:dyDescent="0.3">
      <c r="C2260" s="123" t="s">
        <v>1485</v>
      </c>
      <c r="F2260" s="535" t="b">
        <f>G2260=G$2252</f>
        <v>1</v>
      </c>
      <c r="G2260" s="536">
        <f>SUM(G2256:G2258)</f>
        <v>1730880</v>
      </c>
      <c r="J2260" s="535" t="b">
        <f>K2260=K$2252</f>
        <v>1</v>
      </c>
      <c r="K2260" s="536">
        <f>SUM(K2256:K2258)</f>
        <v>121558</v>
      </c>
      <c r="M2260" s="200"/>
      <c r="N2260" s="200"/>
      <c r="S2260" s="544">
        <f>(S2259-'Misc Revenues'!Q54)/'Misc Revenues'!Q54</f>
        <v>4.0352779387833597E-2</v>
      </c>
      <c r="T2260" s="544">
        <f>(T2259-'Misc Revenues'!Q55)/'Misc Revenues'!Q55</f>
        <v>-1.7347083123769166E-3</v>
      </c>
    </row>
    <row r="2261" spans="3:20" x14ac:dyDescent="0.3">
      <c r="M2261" s="200"/>
      <c r="N2261" s="200"/>
    </row>
    <row r="2262" spans="3:20" x14ac:dyDescent="0.3">
      <c r="C2262" s="123" t="s">
        <v>1701</v>
      </c>
      <c r="M2262" s="200"/>
      <c r="N2262" s="200"/>
    </row>
    <row r="2263" spans="3:20" x14ac:dyDescent="0.3">
      <c r="C2263" s="123" t="s">
        <v>1697</v>
      </c>
      <c r="E2263" s="538">
        <v>0</v>
      </c>
      <c r="F2263" s="539">
        <f>'2015 Allocated Consuption'!F2809</f>
        <v>7</v>
      </c>
      <c r="G2263" s="536">
        <f>SUMIF($C$4:$C$2250,"&lt;="&amp;F2263,G$4:G$2250)</f>
        <v>745946</v>
      </c>
      <c r="I2263" s="538">
        <f>E2263</f>
        <v>0</v>
      </c>
      <c r="J2263" s="538">
        <f>F2263</f>
        <v>7</v>
      </c>
      <c r="K2263" s="536">
        <f>SUMIF($C$4:$C$2250,"&lt;="&amp;J2263,K$4:K$2250)</f>
        <v>55388</v>
      </c>
      <c r="M2263" s="540">
        <f>G2263/$G$2268</f>
        <v>0.43096344056202623</v>
      </c>
      <c r="N2263" s="540">
        <f>K2263/$K$2268</f>
        <v>0.45565080044094175</v>
      </c>
      <c r="S2263" s="543"/>
      <c r="T2263" s="543"/>
    </row>
    <row r="2264" spans="3:20" x14ac:dyDescent="0.3">
      <c r="C2264" s="123" t="s">
        <v>1698</v>
      </c>
      <c r="E2264" s="538">
        <f>F2263</f>
        <v>7</v>
      </c>
      <c r="F2264" s="539">
        <f>'2015 Allocated Consuption'!F2810</f>
        <v>12</v>
      </c>
      <c r="G2264" s="536">
        <f>SUMIF($C$4:$C$2250,"&lt;="&amp;F2264,G$4:G$2250)-G2263</f>
        <v>283071</v>
      </c>
      <c r="I2264" s="538">
        <f t="shared" ref="I2264:I2266" si="80">E2264</f>
        <v>7</v>
      </c>
      <c r="J2264" s="538">
        <f t="shared" ref="J2264:J2266" si="81">F2264</f>
        <v>12</v>
      </c>
      <c r="K2264" s="536">
        <f>SUMIF($C$4:$C$2250,"&lt;="&amp;J2264,K$4:K$2250)-K2263</f>
        <v>22192</v>
      </c>
      <c r="M2264" s="540">
        <f>G2264/$G$2268</f>
        <v>0.16354166666666667</v>
      </c>
      <c r="N2264" s="540">
        <f t="shared" ref="N2264:N2266" si="82">K2264/$K$2268</f>
        <v>0.18256305631879433</v>
      </c>
      <c r="S2264" s="543"/>
      <c r="T2264" s="543"/>
    </row>
    <row r="2265" spans="3:20" x14ac:dyDescent="0.3">
      <c r="C2265" s="123" t="s">
        <v>1699</v>
      </c>
      <c r="E2265" s="538">
        <f>F2264</f>
        <v>12</v>
      </c>
      <c r="F2265" s="539">
        <f>'2015 Allocated Consuption'!F2811</f>
        <v>22</v>
      </c>
      <c r="G2265" s="536">
        <f>SUMIF($C$4:$C$2250,"&lt;="&amp;F2265,G$4:G$2250)-G2264-G2263</f>
        <v>217452</v>
      </c>
      <c r="I2265" s="538">
        <f t="shared" si="80"/>
        <v>12</v>
      </c>
      <c r="J2265" s="538">
        <f t="shared" si="81"/>
        <v>22</v>
      </c>
      <c r="K2265" s="536">
        <f>SUMIF($C$4:$C$2250,"&lt;="&amp;J2265,K$4:K$2250)-K2264-K2263</f>
        <v>14984</v>
      </c>
      <c r="M2265" s="540">
        <f>G2265/$G$2268</f>
        <v>0.12563089295618413</v>
      </c>
      <c r="N2265" s="540">
        <f t="shared" si="82"/>
        <v>0.12326625972786653</v>
      </c>
      <c r="S2265" s="543"/>
      <c r="T2265" s="543"/>
    </row>
    <row r="2266" spans="3:20" x14ac:dyDescent="0.3">
      <c r="C2266" s="123" t="s">
        <v>1702</v>
      </c>
      <c r="E2266" s="538" t="s">
        <v>1696</v>
      </c>
      <c r="F2266" s="538">
        <f>F2265</f>
        <v>22</v>
      </c>
      <c r="G2266" s="536">
        <f>SUMIF($C$4:$C$2250,"&gt;"&amp;F2266,G$4:G$2250)</f>
        <v>484411</v>
      </c>
      <c r="I2266" s="538" t="str">
        <f t="shared" si="80"/>
        <v>Over</v>
      </c>
      <c r="J2266" s="538">
        <f t="shared" si="81"/>
        <v>22</v>
      </c>
      <c r="K2266" s="536">
        <f>SUMIF($C$4:$C$2250,"&gt;"&amp;J2266,K$4:K$2250)</f>
        <v>28994</v>
      </c>
      <c r="M2266" s="540">
        <f>G2266/$G$2268</f>
        <v>0.27986399981512294</v>
      </c>
      <c r="N2266" s="540">
        <f t="shared" si="82"/>
        <v>0.23851988351239736</v>
      </c>
      <c r="S2266" s="543"/>
      <c r="T2266" s="543"/>
    </row>
    <row r="2267" spans="3:20" x14ac:dyDescent="0.3">
      <c r="C2267" s="123">
        <v>8</v>
      </c>
      <c r="M2267" s="541">
        <f>SUM(M2263:M2266)</f>
        <v>1</v>
      </c>
      <c r="N2267" s="541">
        <f>SUM(N2263:N2266)</f>
        <v>1</v>
      </c>
    </row>
    <row r="2268" spans="3:20" x14ac:dyDescent="0.3">
      <c r="C2268" s="123" t="s">
        <v>1485</v>
      </c>
      <c r="F2268" s="535" t="b">
        <f>G2268=G$2252</f>
        <v>1</v>
      </c>
      <c r="G2268" s="536">
        <f>SUM(G2263:G2266)</f>
        <v>1730880</v>
      </c>
      <c r="J2268" s="535" t="b">
        <f>K2268=K$2252</f>
        <v>1</v>
      </c>
      <c r="K2268" s="536">
        <f>SUM(K2263:K2266)</f>
        <v>121558</v>
      </c>
    </row>
    <row r="2271" spans="3:20" x14ac:dyDescent="0.3">
      <c r="E2271" s="536">
        <f>SUMIF($C$4:$C$2250,"&lt;="&amp;F2256,E$4:E$2250)</f>
        <v>81059</v>
      </c>
      <c r="F2271" s="836">
        <f>E2271/$E$2252</f>
        <v>0.59235468642668188</v>
      </c>
      <c r="I2271" s="536">
        <f>SUMIF($C$4:$C$2250,"&lt;="&amp;J2256,I$4:I$2250)</f>
        <v>5202</v>
      </c>
      <c r="J2271" s="836">
        <f>I2271/$I$2252</f>
        <v>0.54255319148936165</v>
      </c>
    </row>
    <row r="2272" spans="3:20" x14ac:dyDescent="0.3">
      <c r="E2272" s="536">
        <f>SUMIF($C$4:$C$2250,"&lt;="&amp;F2257,E$4:E$2250)-E2271</f>
        <v>38727</v>
      </c>
      <c r="F2272" s="836">
        <f t="shared" ref="F2272:F2273" si="83">E2272/$E$2252</f>
        <v>0.28300521769632131</v>
      </c>
      <c r="I2272" s="536">
        <f>SUMIF($C$4:$C$2250,"&lt;="&amp;J2257,I$4:I$2250)-I2271</f>
        <v>3315</v>
      </c>
      <c r="J2272" s="836">
        <f t="shared" ref="J2272:J2273" si="84">I2272/$I$2252</f>
        <v>0.34574468085106386</v>
      </c>
    </row>
    <row r="2273" spans="5:10" x14ac:dyDescent="0.3">
      <c r="E2273" s="536">
        <f>SUMIF($C$4:$C$2250,"&gt;"&amp;F2258,E4:E2250)</f>
        <v>17056</v>
      </c>
      <c r="F2273" s="836">
        <f t="shared" si="83"/>
        <v>0.12464009587699683</v>
      </c>
      <c r="I2273" s="536">
        <f>SUMIF($C$4:$C$2250,"&gt;"&amp;J2258,I4:I2250)</f>
        <v>1071</v>
      </c>
      <c r="J2273" s="836">
        <f t="shared" si="84"/>
        <v>0.11170212765957446</v>
      </c>
    </row>
    <row r="2274" spans="5:10" x14ac:dyDescent="0.3">
      <c r="E2274" s="1274"/>
    </row>
    <row r="2276" spans="5:10" x14ac:dyDescent="0.3">
      <c r="E2276" s="536">
        <f>SUMIF($C$4:$C$2250,"&lt;="&amp;F2263,E$4:E$2250)</f>
        <v>63559</v>
      </c>
      <c r="F2276" s="836">
        <f>E2276/$E$2252</f>
        <v>0.46446997266920975</v>
      </c>
      <c r="I2276" s="536">
        <f>SUMIF($C$4:$C$2250,"&lt;="&amp;J2263,I$4:I$2250)</f>
        <v>3823</v>
      </c>
      <c r="J2276" s="836">
        <f>I2276/$I$2252</f>
        <v>0.39872757613683774</v>
      </c>
    </row>
    <row r="2277" spans="5:10" x14ac:dyDescent="0.3">
      <c r="E2277" s="536">
        <f>SUMIF($C$4:$C$2250,"&lt;="&amp;F2264,E$4:E$2250)-E2276</f>
        <v>37286</v>
      </c>
      <c r="F2277" s="836">
        <f t="shared" ref="F2277:F2279" si="85">E2277/$E$2252</f>
        <v>0.27247482498063458</v>
      </c>
      <c r="G2277" s="1213">
        <f>F2277+F2276</f>
        <v>0.73694479764984433</v>
      </c>
      <c r="I2277" s="536">
        <f>SUMIF($C$4:$C$2250,"&lt;="&amp;J2264,I$4:I$2250)-I2276</f>
        <v>3016</v>
      </c>
      <c r="J2277" s="836">
        <f t="shared" ref="J2277:J2279" si="86">I2277/$I$2252</f>
        <v>0.3145598664997914</v>
      </c>
    </row>
    <row r="2278" spans="5:10" x14ac:dyDescent="0.3">
      <c r="E2278" s="536">
        <f>SUMIF($C$4:$C$2250,"&lt;="&amp;F2265,E$4:E$2250)-E2277-E2276</f>
        <v>24187</v>
      </c>
      <c r="F2278" s="836">
        <f t="shared" si="85"/>
        <v>0.17675128980868446</v>
      </c>
      <c r="I2278" s="536">
        <f>SUMIF($C$4:$C$2250,"&lt;="&amp;J2265,I$4:I$2250)-I2277-I2276</f>
        <v>2089</v>
      </c>
      <c r="J2278" s="836">
        <f t="shared" si="86"/>
        <v>0.21787651230705049</v>
      </c>
    </row>
    <row r="2279" spans="5:10" x14ac:dyDescent="0.3">
      <c r="E2279" s="536">
        <f>SUMIF($C$4:$C$2250,"&gt;"&amp;F2266,E$4:E$2250)</f>
        <v>11810</v>
      </c>
      <c r="F2279" s="836">
        <f t="shared" si="85"/>
        <v>8.6303912541471184E-2</v>
      </c>
      <c r="I2279" s="536">
        <f>SUMIF($C$4:$C$2250,"&gt;"&amp;J2266,I$4:I$2250)</f>
        <v>660</v>
      </c>
      <c r="J2279" s="836">
        <f t="shared" si="86"/>
        <v>6.8836045056320405E-2</v>
      </c>
    </row>
    <row r="2281" spans="5:10" x14ac:dyDescent="0.3">
      <c r="E2281" s="1274"/>
    </row>
  </sheetData>
  <mergeCells count="6">
    <mergeCell ref="B2:C2"/>
    <mergeCell ref="B3:C3"/>
    <mergeCell ref="P2255:Q2255"/>
    <mergeCell ref="S2255:T2255"/>
    <mergeCell ref="P2247:Q2247"/>
    <mergeCell ref="S2247:T224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35"/>
  <sheetViews>
    <sheetView topLeftCell="A22" zoomScale="90" zoomScaleNormal="90" workbookViewId="0">
      <selection activeCell="O12" sqref="O12"/>
    </sheetView>
  </sheetViews>
  <sheetFormatPr defaultColWidth="9" defaultRowHeight="14.4" x14ac:dyDescent="0.3"/>
  <cols>
    <col min="1" max="1" width="4.5" style="123" customWidth="1"/>
    <col min="2" max="2" width="9.19921875" style="123" bestFit="1" customWidth="1"/>
    <col min="3" max="3" width="9.09765625" style="123" bestFit="1" customWidth="1"/>
    <col min="4" max="4" width="2.19921875" style="530" customWidth="1"/>
    <col min="5" max="5" width="9.59765625" style="535" customWidth="1"/>
    <col min="6" max="6" width="11.19921875" style="535" bestFit="1" customWidth="1"/>
    <col min="7" max="7" width="11.09765625" style="535" customWidth="1"/>
    <col min="8" max="8" width="5.5" style="530" customWidth="1"/>
    <col min="9" max="9" width="9.59765625" style="535" customWidth="1"/>
    <col min="10" max="10" width="13.19921875" style="535" bestFit="1" customWidth="1"/>
    <col min="11" max="11" width="11.09765625" style="535" customWidth="1"/>
    <col min="12" max="12" width="2.19921875" style="530" customWidth="1"/>
    <col min="13" max="13" width="9.09765625" style="123" bestFit="1" customWidth="1"/>
    <col min="14" max="15" width="11.09765625" style="123" customWidth="1"/>
    <col min="16" max="16" width="9.3984375" style="123" customWidth="1"/>
    <col min="17" max="17" width="2.19921875" style="530" customWidth="1"/>
    <col min="18" max="18" width="11.09765625" style="123" bestFit="1" customWidth="1"/>
    <col min="19" max="19" width="12.8984375" style="123" customWidth="1"/>
    <col min="20" max="20" width="2.19921875" style="530" customWidth="1"/>
    <col min="21" max="21" width="8.59765625" style="123" customWidth="1"/>
    <col min="22" max="22" width="10.59765625" style="123" customWidth="1"/>
    <col min="23" max="16384" width="9" style="123"/>
  </cols>
  <sheetData>
    <row r="1" spans="2:21" x14ac:dyDescent="0.3">
      <c r="E1" s="531"/>
      <c r="F1" s="598" t="s">
        <v>1690</v>
      </c>
      <c r="G1" s="531"/>
      <c r="I1" s="531"/>
      <c r="J1" s="598" t="s">
        <v>1695</v>
      </c>
      <c r="K1" s="531"/>
      <c r="R1" s="123" t="e">
        <f>med</f>
        <v>#NAME?</v>
      </c>
    </row>
    <row r="2" spans="2:21" x14ac:dyDescent="0.3">
      <c r="B2" s="1325" t="s">
        <v>1687</v>
      </c>
      <c r="C2" s="1325"/>
      <c r="E2" s="1276"/>
      <c r="F2" s="598" t="s">
        <v>1750</v>
      </c>
      <c r="G2" s="531"/>
      <c r="I2" s="531"/>
      <c r="J2" s="598" t="s">
        <v>1750</v>
      </c>
      <c r="K2" s="531"/>
    </row>
    <row r="3" spans="2:21" ht="43.2" x14ac:dyDescent="0.3">
      <c r="B3" s="1326" t="s">
        <v>1688</v>
      </c>
      <c r="C3" s="1326"/>
      <c r="E3" s="533" t="s">
        <v>1692</v>
      </c>
      <c r="F3" s="533" t="s">
        <v>1693</v>
      </c>
      <c r="G3" s="533" t="s">
        <v>1694</v>
      </c>
      <c r="I3" s="533" t="s">
        <v>1692</v>
      </c>
      <c r="J3" s="533" t="s">
        <v>1693</v>
      </c>
      <c r="K3" s="533" t="s">
        <v>1694</v>
      </c>
      <c r="M3" s="958" t="s">
        <v>2143</v>
      </c>
      <c r="N3" s="958" t="s">
        <v>1693</v>
      </c>
      <c r="O3" s="958"/>
    </row>
    <row r="4" spans="2:21" x14ac:dyDescent="0.3">
      <c r="B4" s="598" t="s">
        <v>1689</v>
      </c>
      <c r="C4" s="529">
        <v>0</v>
      </c>
      <c r="E4" s="534">
        <v>8495</v>
      </c>
      <c r="F4" s="534">
        <v>0</v>
      </c>
      <c r="G4" s="534">
        <v>0</v>
      </c>
      <c r="I4" s="534">
        <v>618</v>
      </c>
      <c r="J4" s="534">
        <v>0</v>
      </c>
      <c r="K4" s="534">
        <v>0</v>
      </c>
      <c r="M4" s="617">
        <f>I4+E4</f>
        <v>9113</v>
      </c>
      <c r="N4" s="617">
        <f>K4+G4</f>
        <v>0</v>
      </c>
      <c r="O4" s="617"/>
    </row>
    <row r="5" spans="2:21" x14ac:dyDescent="0.3">
      <c r="B5" s="529">
        <v>0</v>
      </c>
      <c r="C5" s="529">
        <v>1</v>
      </c>
      <c r="E5" s="534">
        <v>2793</v>
      </c>
      <c r="F5" s="534">
        <v>2793</v>
      </c>
      <c r="G5" s="534">
        <v>103520</v>
      </c>
      <c r="I5" s="534">
        <v>134</v>
      </c>
      <c r="J5" s="534">
        <v>134</v>
      </c>
      <c r="K5" s="534">
        <v>7292</v>
      </c>
      <c r="M5" s="617">
        <f t="shared" ref="M5:M68" si="0">I5+E5</f>
        <v>2927</v>
      </c>
      <c r="N5" s="617">
        <f t="shared" ref="N5:N68" si="1">K5+G5</f>
        <v>110812</v>
      </c>
      <c r="O5" s="617"/>
    </row>
    <row r="6" spans="2:21" x14ac:dyDescent="0.3">
      <c r="B6" s="529">
        <v>1001</v>
      </c>
      <c r="C6" s="529">
        <v>2</v>
      </c>
      <c r="E6" s="534">
        <v>4169</v>
      </c>
      <c r="F6" s="534">
        <v>8338</v>
      </c>
      <c r="G6" s="534">
        <v>100727</v>
      </c>
      <c r="I6" s="534">
        <v>182</v>
      </c>
      <c r="J6" s="534">
        <v>364</v>
      </c>
      <c r="K6" s="534">
        <v>7158</v>
      </c>
      <c r="M6" s="617">
        <f t="shared" si="0"/>
        <v>4351</v>
      </c>
      <c r="N6" s="617">
        <f t="shared" si="1"/>
        <v>107885</v>
      </c>
      <c r="O6" s="617"/>
    </row>
    <row r="7" spans="2:21" x14ac:dyDescent="0.3">
      <c r="B7" s="529">
        <v>2001</v>
      </c>
      <c r="C7" s="529">
        <v>3</v>
      </c>
      <c r="E7" s="534">
        <v>6253</v>
      </c>
      <c r="F7" s="534">
        <v>18759</v>
      </c>
      <c r="G7" s="534">
        <v>96558</v>
      </c>
      <c r="I7" s="534">
        <v>312</v>
      </c>
      <c r="J7" s="534">
        <v>936</v>
      </c>
      <c r="K7" s="534">
        <v>6976</v>
      </c>
      <c r="M7" s="617">
        <f t="shared" si="0"/>
        <v>6565</v>
      </c>
      <c r="N7" s="617">
        <f t="shared" si="1"/>
        <v>103534</v>
      </c>
      <c r="O7" s="617"/>
    </row>
    <row r="8" spans="2:21" x14ac:dyDescent="0.3">
      <c r="B8" s="529">
        <v>3001</v>
      </c>
      <c r="C8" s="529">
        <v>4</v>
      </c>
      <c r="E8" s="534">
        <v>7026</v>
      </c>
      <c r="F8" s="534">
        <v>28104</v>
      </c>
      <c r="G8" s="534">
        <v>90305</v>
      </c>
      <c r="I8" s="534">
        <v>377</v>
      </c>
      <c r="J8" s="534">
        <v>1508</v>
      </c>
      <c r="K8" s="534">
        <v>6664</v>
      </c>
      <c r="M8" s="617">
        <f t="shared" si="0"/>
        <v>7403</v>
      </c>
      <c r="N8" s="617">
        <f t="shared" si="1"/>
        <v>96969</v>
      </c>
      <c r="O8" s="617"/>
      <c r="R8" s="123" t="s">
        <v>2144</v>
      </c>
      <c r="U8" s="123" t="s">
        <v>2145</v>
      </c>
    </row>
    <row r="9" spans="2:21" x14ac:dyDescent="0.3">
      <c r="B9" s="529">
        <v>4001</v>
      </c>
      <c r="C9" s="529">
        <v>5</v>
      </c>
      <c r="E9" s="534">
        <v>7520</v>
      </c>
      <c r="F9" s="534">
        <v>37600</v>
      </c>
      <c r="G9" s="534">
        <v>83279</v>
      </c>
      <c r="I9" s="534">
        <v>438</v>
      </c>
      <c r="J9" s="534">
        <v>2190</v>
      </c>
      <c r="K9" s="534">
        <v>6287</v>
      </c>
      <c r="M9" s="617">
        <f t="shared" si="0"/>
        <v>7958</v>
      </c>
      <c r="N9" s="617">
        <f t="shared" si="1"/>
        <v>89566</v>
      </c>
      <c r="O9" s="617"/>
      <c r="P9" s="617">
        <f>SUM(M4:M9)</f>
        <v>38317</v>
      </c>
      <c r="R9" s="960">
        <f>P9/M$2799</f>
        <v>0.31950802584948929</v>
      </c>
      <c r="S9" s="617">
        <f>SUM(N$4:N9)</f>
        <v>508766</v>
      </c>
      <c r="U9" s="960">
        <f t="shared" ref="U9:U33" si="2">S9/N$2799</f>
        <v>0.3399417490129471</v>
      </c>
    </row>
    <row r="10" spans="2:21" x14ac:dyDescent="0.3">
      <c r="B10" s="529">
        <v>5001</v>
      </c>
      <c r="C10" s="529">
        <v>6</v>
      </c>
      <c r="E10" s="534">
        <v>8008</v>
      </c>
      <c r="F10" s="534">
        <v>48048</v>
      </c>
      <c r="G10" s="534">
        <v>75759</v>
      </c>
      <c r="I10" s="534">
        <v>523</v>
      </c>
      <c r="J10" s="534">
        <v>3138</v>
      </c>
      <c r="K10" s="534">
        <v>5849</v>
      </c>
      <c r="M10" s="617">
        <f t="shared" si="0"/>
        <v>8531</v>
      </c>
      <c r="N10" s="617">
        <f t="shared" si="1"/>
        <v>81608</v>
      </c>
      <c r="O10" s="617"/>
      <c r="P10" s="617">
        <f>SUM(M4:M10)</f>
        <v>46848</v>
      </c>
      <c r="R10" s="960">
        <f t="shared" ref="R10:R26" si="3">P10/M$2799</f>
        <v>0.39064415259537211</v>
      </c>
      <c r="S10" s="617">
        <f>SUM(N$4:N10)</f>
        <v>590374</v>
      </c>
      <c r="U10" s="960">
        <f t="shared" si="2"/>
        <v>0.39446969752650463</v>
      </c>
    </row>
    <row r="11" spans="2:21" x14ac:dyDescent="0.3">
      <c r="B11" s="529">
        <v>6001</v>
      </c>
      <c r="C11" s="529">
        <v>7</v>
      </c>
      <c r="E11" s="534">
        <v>8252</v>
      </c>
      <c r="F11" s="534">
        <v>57764</v>
      </c>
      <c r="G11" s="534">
        <v>67751</v>
      </c>
      <c r="I11" s="534">
        <v>577</v>
      </c>
      <c r="J11" s="534">
        <v>4039</v>
      </c>
      <c r="K11" s="534">
        <v>5326</v>
      </c>
      <c r="M11" s="617">
        <f t="shared" si="0"/>
        <v>8829</v>
      </c>
      <c r="N11" s="617">
        <f t="shared" si="1"/>
        <v>73077</v>
      </c>
      <c r="O11" s="617"/>
      <c r="P11" s="617">
        <f>SUM(M4:M11)</f>
        <v>55677</v>
      </c>
      <c r="R11" s="960">
        <f t="shared" si="3"/>
        <v>0.46426516572858034</v>
      </c>
      <c r="S11" s="617">
        <f>SUM(N$4:N11)</f>
        <v>663451</v>
      </c>
      <c r="U11" s="960">
        <f t="shared" si="2"/>
        <v>0.44329749496701581</v>
      </c>
    </row>
    <row r="12" spans="2:21" x14ac:dyDescent="0.3">
      <c r="B12" s="529">
        <v>7001</v>
      </c>
      <c r="C12" s="529">
        <v>8</v>
      </c>
      <c r="E12" s="534">
        <v>7801</v>
      </c>
      <c r="F12" s="534">
        <v>62408</v>
      </c>
      <c r="G12" s="534">
        <v>59499</v>
      </c>
      <c r="I12" s="534">
        <v>639</v>
      </c>
      <c r="J12" s="534">
        <v>5112</v>
      </c>
      <c r="K12" s="534">
        <v>4749</v>
      </c>
      <c r="M12" s="617">
        <f t="shared" si="0"/>
        <v>8440</v>
      </c>
      <c r="N12" s="617">
        <f t="shared" si="1"/>
        <v>64248</v>
      </c>
      <c r="O12" s="617">
        <f>SUM(G4:G13)</f>
        <v>729096</v>
      </c>
      <c r="P12" s="617">
        <f>SUM(M4:M12)</f>
        <v>64117</v>
      </c>
      <c r="R12" s="960">
        <f t="shared" si="3"/>
        <v>0.53464248488638733</v>
      </c>
      <c r="S12" s="617">
        <f>SUM(N$4:N12)</f>
        <v>727699</v>
      </c>
      <c r="U12" s="960">
        <f t="shared" si="2"/>
        <v>0.48622602692588068</v>
      </c>
    </row>
    <row r="13" spans="2:21" x14ac:dyDescent="0.3">
      <c r="B13" s="529">
        <v>8001</v>
      </c>
      <c r="C13" s="529">
        <v>9</v>
      </c>
      <c r="E13" s="534">
        <v>7090</v>
      </c>
      <c r="F13" s="534">
        <v>63810</v>
      </c>
      <c r="G13" s="534">
        <v>51698</v>
      </c>
      <c r="I13" s="534">
        <v>542</v>
      </c>
      <c r="J13" s="534">
        <v>4878</v>
      </c>
      <c r="K13" s="534">
        <v>4110</v>
      </c>
      <c r="M13" s="617">
        <f t="shared" si="0"/>
        <v>7632</v>
      </c>
      <c r="N13" s="617">
        <f t="shared" si="1"/>
        <v>55808</v>
      </c>
      <c r="O13" s="617">
        <f>SUM(G14:G2797)</f>
        <v>670886</v>
      </c>
      <c r="P13" s="617">
        <f>SUM(M$4:M13)</f>
        <v>71749</v>
      </c>
      <c r="R13" s="960">
        <f t="shared" si="3"/>
        <v>0.59828225974567439</v>
      </c>
      <c r="S13" s="617">
        <f>SUM(N$4:N13)</f>
        <v>783507</v>
      </c>
      <c r="U13" s="960">
        <f t="shared" si="2"/>
        <v>0.5235152112049295</v>
      </c>
    </row>
    <row r="14" spans="2:21" x14ac:dyDescent="0.3">
      <c r="B14" s="529">
        <v>9001</v>
      </c>
      <c r="C14" s="529">
        <v>10</v>
      </c>
      <c r="E14" s="534">
        <v>6249</v>
      </c>
      <c r="F14" s="534">
        <v>62490</v>
      </c>
      <c r="G14" s="534">
        <v>44608</v>
      </c>
      <c r="I14" s="534">
        <v>542</v>
      </c>
      <c r="J14" s="534">
        <v>5420</v>
      </c>
      <c r="K14" s="534">
        <v>3568</v>
      </c>
      <c r="M14" s="617">
        <f t="shared" si="0"/>
        <v>6791</v>
      </c>
      <c r="N14" s="617">
        <f t="shared" si="1"/>
        <v>48176</v>
      </c>
      <c r="O14" s="617"/>
      <c r="P14" s="617">
        <f>SUM(M$4:M14)</f>
        <v>78540</v>
      </c>
      <c r="R14" s="960">
        <f t="shared" si="3"/>
        <v>0.65490931832395249</v>
      </c>
      <c r="S14" s="617">
        <f>SUM(N$4:N14)</f>
        <v>831683</v>
      </c>
      <c r="U14" s="960">
        <f t="shared" si="2"/>
        <v>0.55570492848251429</v>
      </c>
    </row>
    <row r="15" spans="2:21" x14ac:dyDescent="0.3">
      <c r="B15" s="529">
        <v>10001</v>
      </c>
      <c r="C15" s="529">
        <v>11</v>
      </c>
      <c r="E15" s="534">
        <v>5471</v>
      </c>
      <c r="F15" s="534">
        <v>60181</v>
      </c>
      <c r="G15" s="534">
        <v>38359</v>
      </c>
      <c r="I15" s="534">
        <v>438</v>
      </c>
      <c r="J15" s="534">
        <v>4818</v>
      </c>
      <c r="K15" s="534">
        <v>3026</v>
      </c>
      <c r="M15" s="617">
        <f t="shared" si="0"/>
        <v>5909</v>
      </c>
      <c r="N15" s="617">
        <f t="shared" si="1"/>
        <v>41385</v>
      </c>
      <c r="O15" s="617"/>
      <c r="P15" s="617">
        <f>SUM(M$4:M15)</f>
        <v>84449</v>
      </c>
      <c r="R15" s="960">
        <f t="shared" si="3"/>
        <v>0.70418178027934131</v>
      </c>
      <c r="S15" s="617">
        <f>SUM(N$4:N15)</f>
        <v>873068</v>
      </c>
      <c r="U15" s="960">
        <f t="shared" si="2"/>
        <v>0.58335710901914772</v>
      </c>
    </row>
    <row r="16" spans="2:21" x14ac:dyDescent="0.3">
      <c r="B16" s="529">
        <v>11001</v>
      </c>
      <c r="C16" s="529">
        <v>12</v>
      </c>
      <c r="E16" s="534">
        <v>4787</v>
      </c>
      <c r="F16" s="534">
        <v>57444</v>
      </c>
      <c r="G16" s="534">
        <v>32888</v>
      </c>
      <c r="I16" s="534">
        <v>389</v>
      </c>
      <c r="J16" s="534">
        <v>4668</v>
      </c>
      <c r="K16" s="534">
        <v>2588</v>
      </c>
      <c r="M16" s="617">
        <f t="shared" si="0"/>
        <v>5176</v>
      </c>
      <c r="N16" s="617">
        <f t="shared" si="1"/>
        <v>35476</v>
      </c>
      <c r="O16" s="617"/>
      <c r="P16" s="617">
        <f>SUM(M$4:M16)</f>
        <v>89625</v>
      </c>
      <c r="R16" s="960">
        <f t="shared" si="3"/>
        <v>0.74734208880550346</v>
      </c>
      <c r="S16" s="617">
        <f>SUM(N$4:N16)</f>
        <v>908544</v>
      </c>
      <c r="U16" s="960">
        <f t="shared" si="2"/>
        <v>0.60706107801075349</v>
      </c>
    </row>
    <row r="17" spans="2:21" x14ac:dyDescent="0.3">
      <c r="B17" s="529">
        <v>12001</v>
      </c>
      <c r="C17" s="529">
        <v>13</v>
      </c>
      <c r="E17" s="534">
        <v>3875</v>
      </c>
      <c r="F17" s="534">
        <v>50375</v>
      </c>
      <c r="G17" s="534">
        <v>28101</v>
      </c>
      <c r="I17" s="534">
        <v>340</v>
      </c>
      <c r="J17" s="534">
        <v>4420</v>
      </c>
      <c r="K17" s="534">
        <v>2199</v>
      </c>
      <c r="M17" s="617">
        <f t="shared" si="0"/>
        <v>4215</v>
      </c>
      <c r="N17" s="617">
        <f t="shared" si="1"/>
        <v>30300</v>
      </c>
      <c r="O17" s="617"/>
      <c r="P17" s="617">
        <f>SUM(M$4:M17)</f>
        <v>93840</v>
      </c>
      <c r="R17" s="960">
        <f t="shared" si="3"/>
        <v>0.78248905565978732</v>
      </c>
      <c r="S17" s="617">
        <f>SUM(N$4:N17)</f>
        <v>938844</v>
      </c>
      <c r="U17" s="960">
        <f t="shared" si="2"/>
        <v>0.6273066034489555</v>
      </c>
    </row>
    <row r="18" spans="2:21" x14ac:dyDescent="0.3">
      <c r="B18" s="529">
        <v>13001</v>
      </c>
      <c r="C18" s="529">
        <v>14</v>
      </c>
      <c r="E18" s="534">
        <v>3328</v>
      </c>
      <c r="F18" s="534">
        <v>46592</v>
      </c>
      <c r="G18" s="534">
        <v>24226</v>
      </c>
      <c r="I18" s="534">
        <v>321</v>
      </c>
      <c r="J18" s="534">
        <v>4494</v>
      </c>
      <c r="K18" s="534">
        <v>1859</v>
      </c>
      <c r="M18" s="617">
        <f t="shared" si="0"/>
        <v>3649</v>
      </c>
      <c r="N18" s="617">
        <f t="shared" si="1"/>
        <v>26085</v>
      </c>
      <c r="O18" s="617"/>
      <c r="P18" s="617">
        <f>SUM(M$4:M18)</f>
        <v>97489</v>
      </c>
      <c r="R18" s="960">
        <f t="shared" si="3"/>
        <v>0.81291640608713778</v>
      </c>
      <c r="S18" s="617">
        <f>SUM(N$4:N18)</f>
        <v>964929</v>
      </c>
      <c r="U18" s="960">
        <f t="shared" si="2"/>
        <v>0.64473579589303143</v>
      </c>
    </row>
    <row r="19" spans="2:21" x14ac:dyDescent="0.3">
      <c r="B19" s="529">
        <v>14001</v>
      </c>
      <c r="C19" s="529">
        <v>15</v>
      </c>
      <c r="E19" s="534">
        <v>2615</v>
      </c>
      <c r="F19" s="534">
        <v>39225</v>
      </c>
      <c r="G19" s="534">
        <v>20898</v>
      </c>
      <c r="I19" s="534">
        <v>228</v>
      </c>
      <c r="J19" s="534">
        <v>3420</v>
      </c>
      <c r="K19" s="534">
        <v>1538</v>
      </c>
      <c r="M19" s="617">
        <f t="shared" si="0"/>
        <v>2843</v>
      </c>
      <c r="N19" s="617">
        <f t="shared" si="1"/>
        <v>22436</v>
      </c>
      <c r="O19" s="617"/>
      <c r="P19" s="617">
        <f>SUM(M$4:M19)</f>
        <v>100332</v>
      </c>
      <c r="R19" s="960">
        <f t="shared" si="3"/>
        <v>0.83662288930581619</v>
      </c>
      <c r="S19" s="617">
        <f>SUM(N$4:N19)</f>
        <v>987365</v>
      </c>
      <c r="U19" s="960">
        <f t="shared" si="2"/>
        <v>0.65972683908549024</v>
      </c>
    </row>
    <row r="20" spans="2:21" x14ac:dyDescent="0.3">
      <c r="B20" s="529">
        <v>15001</v>
      </c>
      <c r="C20" s="529">
        <v>16</v>
      </c>
      <c r="E20" s="534">
        <v>2146</v>
      </c>
      <c r="F20" s="534">
        <v>34336</v>
      </c>
      <c r="G20" s="534">
        <v>18283</v>
      </c>
      <c r="I20" s="534">
        <v>190</v>
      </c>
      <c r="J20" s="534">
        <v>3040</v>
      </c>
      <c r="K20" s="534">
        <v>1310</v>
      </c>
      <c r="M20" s="617">
        <f t="shared" si="0"/>
        <v>2336</v>
      </c>
      <c r="N20" s="617">
        <f t="shared" si="1"/>
        <v>19593</v>
      </c>
      <c r="O20" s="617"/>
      <c r="P20" s="617">
        <f>SUM(M$4:M20)</f>
        <v>102668</v>
      </c>
      <c r="R20" s="960">
        <f t="shared" si="3"/>
        <v>0.85610173024807168</v>
      </c>
      <c r="S20" s="617">
        <f>SUM(N$4:N20)</f>
        <v>1006958</v>
      </c>
      <c r="U20" s="960">
        <f t="shared" si="2"/>
        <v>0.67281827736637123</v>
      </c>
    </row>
    <row r="21" spans="2:21" x14ac:dyDescent="0.3">
      <c r="B21" s="529">
        <v>16001</v>
      </c>
      <c r="C21" s="529">
        <v>17</v>
      </c>
      <c r="E21" s="534">
        <v>1738</v>
      </c>
      <c r="F21" s="534">
        <v>29546</v>
      </c>
      <c r="G21" s="534">
        <v>16137</v>
      </c>
      <c r="I21" s="534">
        <v>167</v>
      </c>
      <c r="J21" s="534">
        <v>2839</v>
      </c>
      <c r="K21" s="534">
        <v>1120</v>
      </c>
      <c r="M21" s="617">
        <f t="shared" si="0"/>
        <v>1905</v>
      </c>
      <c r="N21" s="617">
        <f t="shared" si="1"/>
        <v>17257</v>
      </c>
      <c r="O21" s="617"/>
      <c r="P21" s="617">
        <f>SUM(M$4:M21)</f>
        <v>104573</v>
      </c>
      <c r="R21" s="960">
        <f t="shared" si="3"/>
        <v>0.87198665832812172</v>
      </c>
      <c r="S21" s="617">
        <f>SUM(N$4:N21)</f>
        <v>1024215</v>
      </c>
      <c r="U21" s="960">
        <f t="shared" si="2"/>
        <v>0.68434887249795706</v>
      </c>
    </row>
    <row r="22" spans="2:21" x14ac:dyDescent="0.3">
      <c r="B22" s="529">
        <v>17001</v>
      </c>
      <c r="C22" s="529">
        <v>18</v>
      </c>
      <c r="E22" s="534">
        <v>1477</v>
      </c>
      <c r="F22" s="534">
        <v>26586</v>
      </c>
      <c r="G22" s="534">
        <v>14399</v>
      </c>
      <c r="I22" s="534">
        <v>121</v>
      </c>
      <c r="J22" s="534">
        <v>2178</v>
      </c>
      <c r="K22" s="534">
        <v>953</v>
      </c>
      <c r="M22" s="617">
        <f t="shared" si="0"/>
        <v>1598</v>
      </c>
      <c r="N22" s="617">
        <f t="shared" si="1"/>
        <v>15352</v>
      </c>
      <c r="O22" s="617"/>
      <c r="P22" s="617">
        <f>SUM(M$4:M22)</f>
        <v>106171</v>
      </c>
      <c r="R22" s="960">
        <f t="shared" si="3"/>
        <v>0.88531165311653115</v>
      </c>
      <c r="S22" s="617">
        <f>SUM(N$4:N22)</f>
        <v>1039567</v>
      </c>
      <c r="U22" s="960">
        <f t="shared" si="2"/>
        <v>0.69460660538664609</v>
      </c>
    </row>
    <row r="23" spans="2:21" x14ac:dyDescent="0.3">
      <c r="B23" s="529">
        <v>18001</v>
      </c>
      <c r="C23" s="529">
        <v>19</v>
      </c>
      <c r="E23" s="534">
        <v>1173</v>
      </c>
      <c r="F23" s="534">
        <v>22287</v>
      </c>
      <c r="G23" s="534">
        <v>12922</v>
      </c>
      <c r="I23" s="534">
        <v>92</v>
      </c>
      <c r="J23" s="534">
        <v>1748</v>
      </c>
      <c r="K23" s="534">
        <v>832</v>
      </c>
      <c r="M23" s="617">
        <f t="shared" si="0"/>
        <v>1265</v>
      </c>
      <c r="N23" s="617">
        <f t="shared" si="1"/>
        <v>13754</v>
      </c>
      <c r="O23" s="617"/>
      <c r="P23" s="617">
        <f>SUM(M$4:M23)</f>
        <v>107436</v>
      </c>
      <c r="R23" s="960">
        <f t="shared" si="3"/>
        <v>0.89585991244527829</v>
      </c>
      <c r="S23" s="617">
        <f>SUM(N$4:N23)</f>
        <v>1053321</v>
      </c>
      <c r="U23" s="960">
        <f t="shared" si="2"/>
        <v>0.70379660396344579</v>
      </c>
    </row>
    <row r="24" spans="2:21" x14ac:dyDescent="0.3">
      <c r="B24" s="529">
        <v>19001</v>
      </c>
      <c r="C24" s="529">
        <v>20</v>
      </c>
      <c r="E24" s="534">
        <v>1018</v>
      </c>
      <c r="F24" s="534">
        <v>20360</v>
      </c>
      <c r="G24" s="534">
        <v>11749</v>
      </c>
      <c r="I24" s="534">
        <v>81</v>
      </c>
      <c r="J24" s="534">
        <v>1620</v>
      </c>
      <c r="K24" s="534">
        <v>740</v>
      </c>
      <c r="M24" s="617">
        <f t="shared" si="0"/>
        <v>1099</v>
      </c>
      <c r="N24" s="617">
        <f t="shared" si="1"/>
        <v>12489</v>
      </c>
      <c r="O24" s="617"/>
      <c r="P24" s="617">
        <f>SUM(M$4:M24)</f>
        <v>108535</v>
      </c>
      <c r="R24" s="960">
        <f t="shared" si="3"/>
        <v>0.90502397331665629</v>
      </c>
      <c r="S24" s="617">
        <f>SUM(N$4:N24)</f>
        <v>1065810</v>
      </c>
      <c r="U24" s="960">
        <f t="shared" si="2"/>
        <v>0.71214136855742949</v>
      </c>
    </row>
    <row r="25" spans="2:21" x14ac:dyDescent="0.3">
      <c r="B25" s="529">
        <v>20001</v>
      </c>
      <c r="C25" s="529">
        <v>21</v>
      </c>
      <c r="E25" s="534">
        <v>830</v>
      </c>
      <c r="F25" s="534">
        <v>17430</v>
      </c>
      <c r="G25" s="534">
        <v>10731</v>
      </c>
      <c r="I25" s="534">
        <v>73</v>
      </c>
      <c r="J25" s="534">
        <v>1533</v>
      </c>
      <c r="K25" s="534">
        <v>659</v>
      </c>
      <c r="M25" s="617">
        <f t="shared" si="0"/>
        <v>903</v>
      </c>
      <c r="N25" s="617">
        <f t="shared" si="1"/>
        <v>11390</v>
      </c>
      <c r="O25" s="617"/>
      <c r="P25" s="617">
        <f>SUM(M$4:M25)</f>
        <v>109438</v>
      </c>
      <c r="R25" s="960">
        <f t="shared" si="3"/>
        <v>0.91255367938294762</v>
      </c>
      <c r="S25" s="617">
        <f>SUM(N$4:N25)</f>
        <v>1077200</v>
      </c>
      <c r="U25" s="960">
        <f t="shared" si="2"/>
        <v>0.71975181524855558</v>
      </c>
    </row>
    <row r="26" spans="2:21" x14ac:dyDescent="0.3">
      <c r="B26" s="529">
        <v>21001</v>
      </c>
      <c r="C26" s="529">
        <v>22</v>
      </c>
      <c r="E26" s="534">
        <v>732</v>
      </c>
      <c r="F26" s="534">
        <v>16104</v>
      </c>
      <c r="G26" s="534">
        <v>9901</v>
      </c>
      <c r="I26" s="534">
        <v>78</v>
      </c>
      <c r="J26" s="534">
        <v>1716</v>
      </c>
      <c r="K26" s="534">
        <v>586</v>
      </c>
      <c r="M26" s="617">
        <f t="shared" si="0"/>
        <v>810</v>
      </c>
      <c r="N26" s="617">
        <f t="shared" si="1"/>
        <v>10487</v>
      </c>
      <c r="O26" s="617"/>
      <c r="P26" s="617">
        <f>SUM(M$4:M26)</f>
        <v>110248</v>
      </c>
      <c r="R26" s="960">
        <f t="shared" si="3"/>
        <v>0.91930790077131541</v>
      </c>
      <c r="S26" s="617">
        <f>SUM(N$4:N26)</f>
        <v>1087687</v>
      </c>
      <c r="U26" s="960">
        <f t="shared" si="2"/>
        <v>0.7267589051914739</v>
      </c>
    </row>
    <row r="27" spans="2:21" x14ac:dyDescent="0.3">
      <c r="B27" s="529">
        <v>22001</v>
      </c>
      <c r="C27" s="529">
        <v>23</v>
      </c>
      <c r="E27" s="534">
        <v>637</v>
      </c>
      <c r="F27" s="534">
        <v>14651</v>
      </c>
      <c r="G27" s="534">
        <v>9169</v>
      </c>
      <c r="I27" s="534">
        <v>47</v>
      </c>
      <c r="J27" s="534">
        <v>1081</v>
      </c>
      <c r="K27" s="534">
        <v>508</v>
      </c>
      <c r="M27" s="617">
        <f t="shared" si="0"/>
        <v>684</v>
      </c>
      <c r="N27" s="617">
        <f t="shared" si="1"/>
        <v>9677</v>
      </c>
      <c r="O27" s="617"/>
      <c r="S27" s="617">
        <f>SUM(N$4:N27)</f>
        <v>1097364</v>
      </c>
      <c r="U27" s="960">
        <f t="shared" si="2"/>
        <v>0.73322477811772735</v>
      </c>
    </row>
    <row r="28" spans="2:21" x14ac:dyDescent="0.3">
      <c r="B28" s="529">
        <v>23001</v>
      </c>
      <c r="C28" s="529">
        <v>24</v>
      </c>
      <c r="E28" s="534">
        <v>552</v>
      </c>
      <c r="F28" s="534">
        <v>13248</v>
      </c>
      <c r="G28" s="534">
        <v>8532</v>
      </c>
      <c r="I28" s="534">
        <v>39</v>
      </c>
      <c r="J28" s="534">
        <v>936</v>
      </c>
      <c r="K28" s="534">
        <v>461</v>
      </c>
      <c r="M28" s="617">
        <f t="shared" si="0"/>
        <v>591</v>
      </c>
      <c r="N28" s="617">
        <f t="shared" si="1"/>
        <v>8993</v>
      </c>
      <c r="O28" s="617"/>
      <c r="S28" s="617">
        <f>SUM(N$4:N28)</f>
        <v>1106357</v>
      </c>
      <c r="U28" s="960">
        <f t="shared" si="2"/>
        <v>0.7392336233410195</v>
      </c>
    </row>
    <row r="29" spans="2:21" x14ac:dyDescent="0.3">
      <c r="B29" s="529">
        <v>24001</v>
      </c>
      <c r="C29" s="529">
        <v>25</v>
      </c>
      <c r="E29" s="534">
        <v>497</v>
      </c>
      <c r="F29" s="534">
        <v>12425</v>
      </c>
      <c r="G29" s="534">
        <v>7980</v>
      </c>
      <c r="I29" s="534">
        <v>39</v>
      </c>
      <c r="J29" s="534">
        <v>975</v>
      </c>
      <c r="K29" s="534">
        <v>422</v>
      </c>
      <c r="M29" s="617">
        <f t="shared" si="0"/>
        <v>536</v>
      </c>
      <c r="N29" s="617">
        <f t="shared" si="1"/>
        <v>8402</v>
      </c>
      <c r="O29" s="617"/>
      <c r="S29" s="617">
        <f>SUM(N$4:N29)</f>
        <v>1114759</v>
      </c>
      <c r="U29" s="960">
        <f t="shared" si="2"/>
        <v>0.74484758059289324</v>
      </c>
    </row>
    <row r="30" spans="2:21" x14ac:dyDescent="0.3">
      <c r="B30" s="529">
        <v>25001</v>
      </c>
      <c r="C30" s="529">
        <v>26</v>
      </c>
      <c r="E30" s="534">
        <v>430</v>
      </c>
      <c r="F30" s="534">
        <v>11180</v>
      </c>
      <c r="G30" s="534">
        <v>7483</v>
      </c>
      <c r="I30" s="534">
        <v>20</v>
      </c>
      <c r="J30" s="534">
        <v>520</v>
      </c>
      <c r="K30" s="534">
        <v>383</v>
      </c>
      <c r="M30" s="617">
        <f t="shared" si="0"/>
        <v>450</v>
      </c>
      <c r="N30" s="617">
        <f t="shared" si="1"/>
        <v>7866</v>
      </c>
      <c r="O30" s="617"/>
      <c r="S30" s="617">
        <f>SUM(N$4:N30)</f>
        <v>1122625</v>
      </c>
      <c r="U30" s="960">
        <f t="shared" si="2"/>
        <v>0.75010339917694924</v>
      </c>
    </row>
    <row r="31" spans="2:21" x14ac:dyDescent="0.3">
      <c r="B31" s="529">
        <v>26001</v>
      </c>
      <c r="C31" s="529">
        <v>27</v>
      </c>
      <c r="E31" s="534">
        <v>418</v>
      </c>
      <c r="F31" s="534">
        <v>11286</v>
      </c>
      <c r="G31" s="534">
        <v>7053</v>
      </c>
      <c r="I31" s="534">
        <v>32</v>
      </c>
      <c r="J31" s="534">
        <v>864</v>
      </c>
      <c r="K31" s="534">
        <v>363</v>
      </c>
      <c r="M31" s="617">
        <f t="shared" si="0"/>
        <v>450</v>
      </c>
      <c r="N31" s="617">
        <f t="shared" si="1"/>
        <v>7416</v>
      </c>
      <c r="O31" s="617"/>
      <c r="S31" s="617">
        <f>SUM(N$4:N31)</f>
        <v>1130041</v>
      </c>
      <c r="U31" s="960">
        <f t="shared" si="2"/>
        <v>0.75505854164063591</v>
      </c>
    </row>
    <row r="32" spans="2:21" x14ac:dyDescent="0.3">
      <c r="B32" s="529">
        <v>27001</v>
      </c>
      <c r="C32" s="529">
        <v>28</v>
      </c>
      <c r="E32" s="534">
        <v>378</v>
      </c>
      <c r="F32" s="534">
        <v>10584</v>
      </c>
      <c r="G32" s="534">
        <v>6635</v>
      </c>
      <c r="I32" s="534">
        <v>28</v>
      </c>
      <c r="J32" s="534">
        <v>784</v>
      </c>
      <c r="K32" s="534">
        <v>331</v>
      </c>
      <c r="M32" s="617">
        <f t="shared" si="0"/>
        <v>406</v>
      </c>
      <c r="N32" s="617">
        <f t="shared" si="1"/>
        <v>6966</v>
      </c>
      <c r="O32" s="617"/>
      <c r="S32" s="617">
        <f>SUM(N$4:N32)</f>
        <v>1137007</v>
      </c>
      <c r="U32" s="960">
        <f t="shared" si="2"/>
        <v>0.75971300798395325</v>
      </c>
    </row>
    <row r="33" spans="2:21" x14ac:dyDescent="0.3">
      <c r="B33" s="529">
        <v>28001</v>
      </c>
      <c r="C33" s="529">
        <v>29</v>
      </c>
      <c r="E33" s="534">
        <v>323</v>
      </c>
      <c r="F33" s="534">
        <v>9367</v>
      </c>
      <c r="G33" s="534">
        <v>6257</v>
      </c>
      <c r="I33" s="534">
        <v>16</v>
      </c>
      <c r="J33" s="534">
        <v>464</v>
      </c>
      <c r="K33" s="534">
        <v>303</v>
      </c>
      <c r="M33" s="617">
        <f t="shared" si="0"/>
        <v>339</v>
      </c>
      <c r="N33" s="617">
        <f t="shared" si="1"/>
        <v>6560</v>
      </c>
      <c r="O33" s="617"/>
      <c r="S33" s="617">
        <f>SUM(N$4:N33)</f>
        <v>1143567</v>
      </c>
      <c r="U33" s="960">
        <f t="shared" si="2"/>
        <v>0.76409619764978176</v>
      </c>
    </row>
    <row r="34" spans="2:21" x14ac:dyDescent="0.3">
      <c r="B34" s="529">
        <v>29001</v>
      </c>
      <c r="C34" s="529">
        <v>30</v>
      </c>
      <c r="E34" s="534">
        <v>300</v>
      </c>
      <c r="F34" s="534">
        <v>9000</v>
      </c>
      <c r="G34" s="534">
        <v>5934</v>
      </c>
      <c r="I34" s="534">
        <v>20</v>
      </c>
      <c r="J34" s="534">
        <v>600</v>
      </c>
      <c r="K34" s="534">
        <v>287</v>
      </c>
      <c r="M34" s="617">
        <f t="shared" si="0"/>
        <v>320</v>
      </c>
      <c r="N34" s="617">
        <f t="shared" si="1"/>
        <v>6221</v>
      </c>
      <c r="O34" s="617"/>
    </row>
    <row r="35" spans="2:21" x14ac:dyDescent="0.3">
      <c r="B35" s="529">
        <v>30001</v>
      </c>
      <c r="C35" s="529">
        <v>31</v>
      </c>
      <c r="E35" s="534">
        <v>269</v>
      </c>
      <c r="F35" s="534">
        <v>8339</v>
      </c>
      <c r="G35" s="534">
        <v>5634</v>
      </c>
      <c r="I35" s="534">
        <v>17</v>
      </c>
      <c r="J35" s="534">
        <v>527</v>
      </c>
      <c r="K35" s="534">
        <v>267</v>
      </c>
      <c r="M35" s="617">
        <f t="shared" si="0"/>
        <v>286</v>
      </c>
      <c r="N35" s="617">
        <f t="shared" si="1"/>
        <v>5901</v>
      </c>
      <c r="O35" s="617"/>
    </row>
    <row r="36" spans="2:21" x14ac:dyDescent="0.3">
      <c r="B36" s="529">
        <v>31001</v>
      </c>
      <c r="C36" s="529">
        <v>32</v>
      </c>
      <c r="E36" s="534">
        <v>264</v>
      </c>
      <c r="F36" s="534">
        <v>8448</v>
      </c>
      <c r="G36" s="534">
        <v>5365</v>
      </c>
      <c r="I36" s="534">
        <v>19</v>
      </c>
      <c r="J36" s="534">
        <v>608</v>
      </c>
      <c r="K36" s="534">
        <v>250</v>
      </c>
      <c r="M36" s="617">
        <f t="shared" si="0"/>
        <v>283</v>
      </c>
      <c r="N36" s="617">
        <f t="shared" si="1"/>
        <v>5615</v>
      </c>
      <c r="O36" s="617"/>
    </row>
    <row r="37" spans="2:21" x14ac:dyDescent="0.3">
      <c r="B37" s="529">
        <v>32001</v>
      </c>
      <c r="C37" s="529">
        <v>33</v>
      </c>
      <c r="E37" s="534">
        <v>213</v>
      </c>
      <c r="F37" s="534">
        <v>7029</v>
      </c>
      <c r="G37" s="534">
        <v>5101</v>
      </c>
      <c r="I37" s="534">
        <v>8</v>
      </c>
      <c r="J37" s="534">
        <v>264</v>
      </c>
      <c r="K37" s="534">
        <v>231</v>
      </c>
      <c r="M37" s="617">
        <f t="shared" si="0"/>
        <v>221</v>
      </c>
      <c r="N37" s="617">
        <f t="shared" si="1"/>
        <v>5332</v>
      </c>
      <c r="O37" s="617"/>
    </row>
    <row r="38" spans="2:21" x14ac:dyDescent="0.3">
      <c r="B38" s="529">
        <v>33001</v>
      </c>
      <c r="C38" s="529">
        <v>34</v>
      </c>
      <c r="E38" s="534">
        <v>206</v>
      </c>
      <c r="F38" s="534">
        <v>7004</v>
      </c>
      <c r="G38" s="534">
        <v>4888</v>
      </c>
      <c r="I38" s="534">
        <v>15</v>
      </c>
      <c r="J38" s="534">
        <v>510</v>
      </c>
      <c r="K38" s="534">
        <v>223</v>
      </c>
      <c r="M38" s="617">
        <f t="shared" si="0"/>
        <v>221</v>
      </c>
      <c r="N38" s="617">
        <f t="shared" si="1"/>
        <v>5111</v>
      </c>
      <c r="O38" s="617"/>
    </row>
    <row r="39" spans="2:21" x14ac:dyDescent="0.3">
      <c r="B39" s="529">
        <v>34001</v>
      </c>
      <c r="C39" s="529">
        <v>35</v>
      </c>
      <c r="E39" s="534">
        <v>178</v>
      </c>
      <c r="F39" s="534">
        <v>6230</v>
      </c>
      <c r="G39" s="534">
        <v>4682</v>
      </c>
      <c r="I39" s="534">
        <v>15</v>
      </c>
      <c r="J39" s="534">
        <v>525</v>
      </c>
      <c r="K39" s="534">
        <v>208</v>
      </c>
      <c r="M39" s="617">
        <f t="shared" si="0"/>
        <v>193</v>
      </c>
      <c r="N39" s="617">
        <f t="shared" si="1"/>
        <v>4890</v>
      </c>
      <c r="O39" s="617"/>
    </row>
    <row r="40" spans="2:21" x14ac:dyDescent="0.3">
      <c r="B40" s="529">
        <v>35001</v>
      </c>
      <c r="C40" s="529">
        <v>36</v>
      </c>
      <c r="E40" s="534">
        <v>189</v>
      </c>
      <c r="F40" s="534">
        <v>6804</v>
      </c>
      <c r="G40" s="534">
        <v>4504</v>
      </c>
      <c r="I40" s="534">
        <v>9</v>
      </c>
      <c r="J40" s="534">
        <v>324</v>
      </c>
      <c r="K40" s="534">
        <v>193</v>
      </c>
      <c r="M40" s="617">
        <f t="shared" si="0"/>
        <v>198</v>
      </c>
      <c r="N40" s="617">
        <f t="shared" si="1"/>
        <v>4697</v>
      </c>
      <c r="O40" s="617"/>
    </row>
    <row r="41" spans="2:21" x14ac:dyDescent="0.3">
      <c r="B41" s="529">
        <v>36001</v>
      </c>
      <c r="C41" s="529">
        <v>37</v>
      </c>
      <c r="E41" s="534">
        <v>175</v>
      </c>
      <c r="F41" s="534">
        <v>6475</v>
      </c>
      <c r="G41" s="534">
        <v>4315</v>
      </c>
      <c r="I41" s="534">
        <v>8</v>
      </c>
      <c r="J41" s="534">
        <v>296</v>
      </c>
      <c r="K41" s="534">
        <v>184</v>
      </c>
      <c r="M41" s="617">
        <f t="shared" si="0"/>
        <v>183</v>
      </c>
      <c r="N41" s="617">
        <f t="shared" si="1"/>
        <v>4499</v>
      </c>
      <c r="O41" s="617"/>
    </row>
    <row r="42" spans="2:21" x14ac:dyDescent="0.3">
      <c r="B42" s="529">
        <v>37001</v>
      </c>
      <c r="C42" s="529">
        <v>38</v>
      </c>
      <c r="E42" s="534">
        <v>171</v>
      </c>
      <c r="F42" s="534">
        <v>6498</v>
      </c>
      <c r="G42" s="534">
        <v>4140</v>
      </c>
      <c r="I42" s="534">
        <v>5</v>
      </c>
      <c r="J42" s="534">
        <v>190</v>
      </c>
      <c r="K42" s="534">
        <v>176</v>
      </c>
      <c r="M42" s="617">
        <f t="shared" si="0"/>
        <v>176</v>
      </c>
      <c r="N42" s="617">
        <f t="shared" si="1"/>
        <v>4316</v>
      </c>
      <c r="O42" s="617"/>
    </row>
    <row r="43" spans="2:21" x14ac:dyDescent="0.3">
      <c r="B43" s="529">
        <v>38001</v>
      </c>
      <c r="C43" s="529">
        <v>39</v>
      </c>
      <c r="E43" s="534">
        <v>194</v>
      </c>
      <c r="F43" s="534">
        <v>7566</v>
      </c>
      <c r="G43" s="534">
        <v>3969</v>
      </c>
      <c r="I43" s="534">
        <v>8</v>
      </c>
      <c r="J43" s="534">
        <v>312</v>
      </c>
      <c r="K43" s="534">
        <v>171</v>
      </c>
      <c r="M43" s="617">
        <f t="shared" si="0"/>
        <v>202</v>
      </c>
      <c r="N43" s="617">
        <f t="shared" si="1"/>
        <v>4140</v>
      </c>
      <c r="O43" s="617"/>
    </row>
    <row r="44" spans="2:21" x14ac:dyDescent="0.3">
      <c r="B44" s="529">
        <v>39001</v>
      </c>
      <c r="C44" s="529">
        <v>40</v>
      </c>
      <c r="E44" s="534">
        <v>132</v>
      </c>
      <c r="F44" s="534">
        <v>5280</v>
      </c>
      <c r="G44" s="534">
        <v>3775</v>
      </c>
      <c r="I44" s="534">
        <v>5</v>
      </c>
      <c r="J44" s="534">
        <v>200</v>
      </c>
      <c r="K44" s="534">
        <v>163</v>
      </c>
      <c r="M44" s="617">
        <f t="shared" si="0"/>
        <v>137</v>
      </c>
      <c r="N44" s="617">
        <f t="shared" si="1"/>
        <v>3938</v>
      </c>
      <c r="O44" s="617"/>
    </row>
    <row r="45" spans="2:21" x14ac:dyDescent="0.3">
      <c r="B45" s="529">
        <v>40001</v>
      </c>
      <c r="C45" s="529">
        <v>41</v>
      </c>
      <c r="E45" s="534">
        <v>127</v>
      </c>
      <c r="F45" s="534">
        <v>5207</v>
      </c>
      <c r="G45" s="534">
        <v>3643</v>
      </c>
      <c r="I45" s="534">
        <v>9</v>
      </c>
      <c r="J45" s="534">
        <v>369</v>
      </c>
      <c r="K45" s="534">
        <v>158</v>
      </c>
      <c r="M45" s="617">
        <f t="shared" si="0"/>
        <v>136</v>
      </c>
      <c r="N45" s="617">
        <f t="shared" si="1"/>
        <v>3801</v>
      </c>
      <c r="O45" s="617"/>
    </row>
    <row r="46" spans="2:21" x14ac:dyDescent="0.3">
      <c r="B46" s="529">
        <v>41001</v>
      </c>
      <c r="C46" s="529">
        <v>42</v>
      </c>
      <c r="E46" s="534">
        <v>127</v>
      </c>
      <c r="F46" s="534">
        <v>5334</v>
      </c>
      <c r="G46" s="534">
        <v>3516</v>
      </c>
      <c r="I46" s="534">
        <v>6</v>
      </c>
      <c r="J46" s="534">
        <v>252</v>
      </c>
      <c r="K46" s="534">
        <v>149</v>
      </c>
      <c r="M46" s="617">
        <f t="shared" si="0"/>
        <v>133</v>
      </c>
      <c r="N46" s="617">
        <f t="shared" si="1"/>
        <v>3665</v>
      </c>
      <c r="O46" s="617"/>
    </row>
    <row r="47" spans="2:21" x14ac:dyDescent="0.3">
      <c r="B47" s="529">
        <v>42001</v>
      </c>
      <c r="C47" s="529">
        <v>43</v>
      </c>
      <c r="E47" s="534">
        <v>135</v>
      </c>
      <c r="F47" s="534">
        <v>5805</v>
      </c>
      <c r="G47" s="534">
        <v>3389</v>
      </c>
      <c r="I47" s="534">
        <v>4</v>
      </c>
      <c r="J47" s="534">
        <v>172</v>
      </c>
      <c r="K47" s="534">
        <v>143</v>
      </c>
      <c r="M47" s="617">
        <f t="shared" si="0"/>
        <v>139</v>
      </c>
      <c r="N47" s="617">
        <f t="shared" si="1"/>
        <v>3532</v>
      </c>
      <c r="O47" s="617"/>
    </row>
    <row r="48" spans="2:21" x14ac:dyDescent="0.3">
      <c r="B48" s="529">
        <v>43001</v>
      </c>
      <c r="C48" s="529">
        <v>44</v>
      </c>
      <c r="E48" s="534">
        <v>104</v>
      </c>
      <c r="F48" s="534">
        <v>4576</v>
      </c>
      <c r="G48" s="534">
        <v>3254</v>
      </c>
      <c r="I48" s="534">
        <v>2</v>
      </c>
      <c r="J48" s="534">
        <v>88</v>
      </c>
      <c r="K48" s="534">
        <v>139</v>
      </c>
      <c r="M48" s="617">
        <f t="shared" si="0"/>
        <v>106</v>
      </c>
      <c r="N48" s="617">
        <f t="shared" si="1"/>
        <v>3393</v>
      </c>
      <c r="O48" s="617"/>
    </row>
    <row r="49" spans="2:15" x14ac:dyDescent="0.3">
      <c r="B49" s="529">
        <v>44001</v>
      </c>
      <c r="C49" s="529">
        <v>45</v>
      </c>
      <c r="E49" s="534">
        <v>93</v>
      </c>
      <c r="F49" s="534">
        <v>4185</v>
      </c>
      <c r="G49" s="534">
        <v>3150</v>
      </c>
      <c r="I49" s="534">
        <v>3</v>
      </c>
      <c r="J49" s="534">
        <v>135</v>
      </c>
      <c r="K49" s="534">
        <v>137</v>
      </c>
      <c r="M49" s="617">
        <f t="shared" si="0"/>
        <v>96</v>
      </c>
      <c r="N49" s="617">
        <f t="shared" si="1"/>
        <v>3287</v>
      </c>
      <c r="O49" s="617"/>
    </row>
    <row r="50" spans="2:15" x14ac:dyDescent="0.3">
      <c r="B50" s="529">
        <v>45001</v>
      </c>
      <c r="C50" s="529">
        <v>46</v>
      </c>
      <c r="E50" s="534">
        <v>117</v>
      </c>
      <c r="F50" s="534">
        <v>5382</v>
      </c>
      <c r="G50" s="534">
        <v>3057</v>
      </c>
      <c r="I50" s="534">
        <v>5</v>
      </c>
      <c r="J50" s="534">
        <v>230</v>
      </c>
      <c r="K50" s="534">
        <v>134</v>
      </c>
      <c r="M50" s="617">
        <f t="shared" si="0"/>
        <v>122</v>
      </c>
      <c r="N50" s="617">
        <f t="shared" si="1"/>
        <v>3191</v>
      </c>
      <c r="O50" s="617"/>
    </row>
    <row r="51" spans="2:15" x14ac:dyDescent="0.3">
      <c r="B51" s="529">
        <v>46001</v>
      </c>
      <c r="C51" s="529">
        <v>47</v>
      </c>
      <c r="E51" s="534">
        <v>89</v>
      </c>
      <c r="F51" s="534">
        <v>4183</v>
      </c>
      <c r="G51" s="534">
        <v>2940</v>
      </c>
      <c r="I51" s="534">
        <v>6</v>
      </c>
      <c r="J51" s="534">
        <v>282</v>
      </c>
      <c r="K51" s="534">
        <v>129</v>
      </c>
      <c r="M51" s="617">
        <f t="shared" si="0"/>
        <v>95</v>
      </c>
      <c r="N51" s="617">
        <f t="shared" si="1"/>
        <v>3069</v>
      </c>
      <c r="O51" s="617"/>
    </row>
    <row r="52" spans="2:15" x14ac:dyDescent="0.3">
      <c r="B52" s="529">
        <v>47001</v>
      </c>
      <c r="C52" s="529">
        <v>48</v>
      </c>
      <c r="E52" s="534">
        <v>118</v>
      </c>
      <c r="F52" s="534">
        <v>5664</v>
      </c>
      <c r="G52" s="534">
        <v>2851</v>
      </c>
      <c r="I52" s="534">
        <v>3</v>
      </c>
      <c r="J52" s="534">
        <v>144</v>
      </c>
      <c r="K52" s="534">
        <v>123</v>
      </c>
      <c r="M52" s="617">
        <f t="shared" si="0"/>
        <v>121</v>
      </c>
      <c r="N52" s="617">
        <f t="shared" si="1"/>
        <v>2974</v>
      </c>
      <c r="O52" s="617"/>
    </row>
    <row r="53" spans="2:15" x14ac:dyDescent="0.3">
      <c r="B53" s="529">
        <v>48001</v>
      </c>
      <c r="C53" s="529">
        <v>49</v>
      </c>
      <c r="E53" s="534">
        <v>79</v>
      </c>
      <c r="F53" s="534">
        <v>3871</v>
      </c>
      <c r="G53" s="534">
        <v>2733</v>
      </c>
      <c r="I53" s="534">
        <v>1</v>
      </c>
      <c r="J53" s="534">
        <v>49</v>
      </c>
      <c r="K53" s="534">
        <v>120</v>
      </c>
      <c r="M53" s="617">
        <f t="shared" si="0"/>
        <v>80</v>
      </c>
      <c r="N53" s="617">
        <f t="shared" si="1"/>
        <v>2853</v>
      </c>
      <c r="O53" s="617"/>
    </row>
    <row r="54" spans="2:15" x14ac:dyDescent="0.3">
      <c r="B54" s="529">
        <v>49001</v>
      </c>
      <c r="C54" s="529">
        <v>50</v>
      </c>
      <c r="E54" s="534">
        <v>87</v>
      </c>
      <c r="F54" s="534">
        <v>4350</v>
      </c>
      <c r="G54" s="534">
        <v>2654</v>
      </c>
      <c r="I54" s="534">
        <v>4</v>
      </c>
      <c r="J54" s="534">
        <v>200</v>
      </c>
      <c r="K54" s="534">
        <v>119</v>
      </c>
      <c r="M54" s="617">
        <f t="shared" si="0"/>
        <v>91</v>
      </c>
      <c r="N54" s="617">
        <f t="shared" si="1"/>
        <v>2773</v>
      </c>
      <c r="O54" s="617"/>
    </row>
    <row r="55" spans="2:15" x14ac:dyDescent="0.3">
      <c r="B55" s="529">
        <v>50001</v>
      </c>
      <c r="C55" s="529">
        <v>51</v>
      </c>
      <c r="E55" s="534">
        <v>74</v>
      </c>
      <c r="F55" s="534">
        <v>3774</v>
      </c>
      <c r="G55" s="534">
        <v>2567</v>
      </c>
      <c r="I55" s="534">
        <v>3</v>
      </c>
      <c r="J55" s="534">
        <v>153</v>
      </c>
      <c r="K55" s="534">
        <v>115</v>
      </c>
      <c r="M55" s="617">
        <f t="shared" si="0"/>
        <v>77</v>
      </c>
      <c r="N55" s="617">
        <f t="shared" si="1"/>
        <v>2682</v>
      </c>
      <c r="O55" s="617"/>
    </row>
    <row r="56" spans="2:15" x14ac:dyDescent="0.3">
      <c r="B56" s="529">
        <v>51001</v>
      </c>
      <c r="C56" s="529">
        <v>52</v>
      </c>
      <c r="E56" s="534">
        <v>74</v>
      </c>
      <c r="F56" s="534">
        <v>3848</v>
      </c>
      <c r="G56" s="534">
        <v>2493</v>
      </c>
      <c r="I56" s="534">
        <v>3</v>
      </c>
      <c r="J56" s="534">
        <v>156</v>
      </c>
      <c r="K56" s="534">
        <v>112</v>
      </c>
      <c r="M56" s="617">
        <f t="shared" si="0"/>
        <v>77</v>
      </c>
      <c r="N56" s="617">
        <f t="shared" si="1"/>
        <v>2605</v>
      </c>
      <c r="O56" s="617"/>
    </row>
    <row r="57" spans="2:15" x14ac:dyDescent="0.3">
      <c r="B57" s="529">
        <v>52001</v>
      </c>
      <c r="C57" s="529">
        <v>53</v>
      </c>
      <c r="E57" s="534">
        <v>64</v>
      </c>
      <c r="F57" s="534">
        <v>3392</v>
      </c>
      <c r="G57" s="534">
        <v>2419</v>
      </c>
      <c r="I57" s="534">
        <v>3</v>
      </c>
      <c r="J57" s="534">
        <v>159</v>
      </c>
      <c r="K57" s="534">
        <v>109</v>
      </c>
      <c r="M57" s="617">
        <f t="shared" si="0"/>
        <v>67</v>
      </c>
      <c r="N57" s="617">
        <f t="shared" si="1"/>
        <v>2528</v>
      </c>
      <c r="O57" s="617"/>
    </row>
    <row r="58" spans="2:15" x14ac:dyDescent="0.3">
      <c r="B58" s="529">
        <v>53001</v>
      </c>
      <c r="C58" s="529">
        <v>54</v>
      </c>
      <c r="E58" s="534">
        <v>63</v>
      </c>
      <c r="F58" s="534">
        <v>3402</v>
      </c>
      <c r="G58" s="534">
        <v>2355</v>
      </c>
      <c r="I58" s="534">
        <v>4</v>
      </c>
      <c r="J58" s="534">
        <v>216</v>
      </c>
      <c r="K58" s="534">
        <v>106</v>
      </c>
      <c r="M58" s="617">
        <f t="shared" si="0"/>
        <v>67</v>
      </c>
      <c r="N58" s="617">
        <f t="shared" si="1"/>
        <v>2461</v>
      </c>
      <c r="O58" s="617"/>
    </row>
    <row r="59" spans="2:15" x14ac:dyDescent="0.3">
      <c r="B59" s="529">
        <v>54001</v>
      </c>
      <c r="C59" s="529">
        <v>55</v>
      </c>
      <c r="E59" s="534">
        <v>51</v>
      </c>
      <c r="F59" s="534">
        <v>2805</v>
      </c>
      <c r="G59" s="534">
        <v>2292</v>
      </c>
      <c r="I59" s="534">
        <v>1</v>
      </c>
      <c r="J59" s="534">
        <v>55</v>
      </c>
      <c r="K59" s="534">
        <v>102</v>
      </c>
      <c r="M59" s="617">
        <f t="shared" si="0"/>
        <v>52</v>
      </c>
      <c r="N59" s="617">
        <f t="shared" si="1"/>
        <v>2394</v>
      </c>
      <c r="O59" s="617"/>
    </row>
    <row r="60" spans="2:15" x14ac:dyDescent="0.3">
      <c r="B60" s="529">
        <v>55001</v>
      </c>
      <c r="C60" s="529">
        <v>56</v>
      </c>
      <c r="E60" s="534">
        <v>52</v>
      </c>
      <c r="F60" s="534">
        <v>2912</v>
      </c>
      <c r="G60" s="534">
        <v>2241</v>
      </c>
      <c r="I60" s="534">
        <v>2</v>
      </c>
      <c r="J60" s="534">
        <v>112</v>
      </c>
      <c r="K60" s="534">
        <v>101</v>
      </c>
      <c r="M60" s="617">
        <f t="shared" si="0"/>
        <v>54</v>
      </c>
      <c r="N60" s="617">
        <f t="shared" si="1"/>
        <v>2342</v>
      </c>
      <c r="O60" s="617"/>
    </row>
    <row r="61" spans="2:15" x14ac:dyDescent="0.3">
      <c r="B61" s="529">
        <v>56001</v>
      </c>
      <c r="C61" s="529">
        <v>57</v>
      </c>
      <c r="E61" s="534">
        <v>57</v>
      </c>
      <c r="F61" s="534">
        <v>3249</v>
      </c>
      <c r="G61" s="534">
        <v>2189</v>
      </c>
      <c r="I61" s="534">
        <v>2</v>
      </c>
      <c r="J61" s="534">
        <v>114</v>
      </c>
      <c r="K61" s="534">
        <v>99</v>
      </c>
      <c r="M61" s="617">
        <f t="shared" si="0"/>
        <v>59</v>
      </c>
      <c r="N61" s="617">
        <f t="shared" si="1"/>
        <v>2288</v>
      </c>
      <c r="O61" s="617"/>
    </row>
    <row r="62" spans="2:15" x14ac:dyDescent="0.3">
      <c r="B62" s="529">
        <v>57001</v>
      </c>
      <c r="C62" s="529">
        <v>58</v>
      </c>
      <c r="E62" s="534">
        <v>54</v>
      </c>
      <c r="F62" s="534">
        <v>3132</v>
      </c>
      <c r="G62" s="534">
        <v>2132</v>
      </c>
      <c r="I62" s="534">
        <v>1</v>
      </c>
      <c r="J62" s="534">
        <v>58</v>
      </c>
      <c r="K62" s="534">
        <v>97</v>
      </c>
      <c r="M62" s="617">
        <f t="shared" si="0"/>
        <v>55</v>
      </c>
      <c r="N62" s="617">
        <f t="shared" si="1"/>
        <v>2229</v>
      </c>
      <c r="O62" s="617"/>
    </row>
    <row r="63" spans="2:15" ht="15" x14ac:dyDescent="0.25">
      <c r="B63" s="529">
        <v>58001</v>
      </c>
      <c r="C63" s="529">
        <v>59</v>
      </c>
      <c r="E63" s="534">
        <v>70</v>
      </c>
      <c r="F63" s="534">
        <v>4130</v>
      </c>
      <c r="G63" s="534">
        <v>2078</v>
      </c>
      <c r="I63" s="534">
        <v>0</v>
      </c>
      <c r="J63" s="534">
        <v>0</v>
      </c>
      <c r="K63" s="534">
        <v>96</v>
      </c>
      <c r="M63" s="617">
        <f t="shared" si="0"/>
        <v>70</v>
      </c>
      <c r="N63" s="617">
        <f t="shared" si="1"/>
        <v>2174</v>
      </c>
      <c r="O63" s="617"/>
    </row>
    <row r="64" spans="2:15" ht="15" x14ac:dyDescent="0.25">
      <c r="B64" s="529">
        <v>59001</v>
      </c>
      <c r="C64" s="529">
        <v>60</v>
      </c>
      <c r="E64" s="534">
        <v>61</v>
      </c>
      <c r="F64" s="534">
        <v>3660</v>
      </c>
      <c r="G64" s="534">
        <v>2008</v>
      </c>
      <c r="I64" s="534">
        <v>1</v>
      </c>
      <c r="J64" s="534">
        <v>60</v>
      </c>
      <c r="K64" s="534">
        <v>96</v>
      </c>
      <c r="M64" s="617">
        <f t="shared" si="0"/>
        <v>62</v>
      </c>
      <c r="N64" s="617">
        <f t="shared" si="1"/>
        <v>2104</v>
      </c>
      <c r="O64" s="617"/>
    </row>
    <row r="65" spans="2:15" ht="15" x14ac:dyDescent="0.25">
      <c r="B65" s="529">
        <v>60001</v>
      </c>
      <c r="C65" s="529">
        <v>61</v>
      </c>
      <c r="E65" s="534">
        <v>39</v>
      </c>
      <c r="F65" s="534">
        <v>2379</v>
      </c>
      <c r="G65" s="534">
        <v>1947</v>
      </c>
      <c r="I65" s="534">
        <v>1</v>
      </c>
      <c r="J65" s="534">
        <v>61</v>
      </c>
      <c r="K65" s="534">
        <v>95</v>
      </c>
      <c r="M65" s="617">
        <f t="shared" si="0"/>
        <v>40</v>
      </c>
      <c r="N65" s="617">
        <f t="shared" si="1"/>
        <v>2042</v>
      </c>
      <c r="O65" s="617"/>
    </row>
    <row r="66" spans="2:15" ht="15" x14ac:dyDescent="0.25">
      <c r="B66" s="529">
        <v>61001</v>
      </c>
      <c r="C66" s="529">
        <v>62</v>
      </c>
      <c r="E66" s="534">
        <v>48</v>
      </c>
      <c r="F66" s="534">
        <v>2976</v>
      </c>
      <c r="G66" s="534">
        <v>1908</v>
      </c>
      <c r="I66" s="534">
        <v>1</v>
      </c>
      <c r="J66" s="534">
        <v>62</v>
      </c>
      <c r="K66" s="534">
        <v>94</v>
      </c>
      <c r="M66" s="617">
        <f t="shared" si="0"/>
        <v>49</v>
      </c>
      <c r="N66" s="617">
        <f t="shared" si="1"/>
        <v>2002</v>
      </c>
      <c r="O66" s="617"/>
    </row>
    <row r="67" spans="2:15" ht="15" x14ac:dyDescent="0.25">
      <c r="B67" s="529">
        <v>62001</v>
      </c>
      <c r="C67" s="529">
        <v>63</v>
      </c>
      <c r="E67" s="534">
        <v>43</v>
      </c>
      <c r="F67" s="534">
        <v>2709</v>
      </c>
      <c r="G67" s="534">
        <v>1860</v>
      </c>
      <c r="I67" s="534">
        <v>2</v>
      </c>
      <c r="J67" s="534">
        <v>126</v>
      </c>
      <c r="K67" s="534">
        <v>93</v>
      </c>
      <c r="M67" s="617">
        <f t="shared" si="0"/>
        <v>45</v>
      </c>
      <c r="N67" s="617">
        <f t="shared" si="1"/>
        <v>1953</v>
      </c>
      <c r="O67" s="617"/>
    </row>
    <row r="68" spans="2:15" ht="15" x14ac:dyDescent="0.25">
      <c r="B68" s="529">
        <v>63001</v>
      </c>
      <c r="C68" s="529">
        <v>64</v>
      </c>
      <c r="E68" s="534">
        <v>39</v>
      </c>
      <c r="F68" s="534">
        <v>2496</v>
      </c>
      <c r="G68" s="534">
        <v>1817</v>
      </c>
      <c r="I68" s="534">
        <v>1</v>
      </c>
      <c r="J68" s="534">
        <v>64</v>
      </c>
      <c r="K68" s="534">
        <v>91</v>
      </c>
      <c r="M68" s="617">
        <f t="shared" si="0"/>
        <v>40</v>
      </c>
      <c r="N68" s="617">
        <f t="shared" si="1"/>
        <v>1908</v>
      </c>
      <c r="O68" s="617"/>
    </row>
    <row r="69" spans="2:15" ht="15" x14ac:dyDescent="0.25">
      <c r="B69" s="529">
        <v>64001</v>
      </c>
      <c r="C69" s="529">
        <v>65</v>
      </c>
      <c r="E69" s="534">
        <v>33</v>
      </c>
      <c r="F69" s="534">
        <v>2145</v>
      </c>
      <c r="G69" s="534">
        <v>1778</v>
      </c>
      <c r="I69" s="534">
        <v>2</v>
      </c>
      <c r="J69" s="534">
        <v>130</v>
      </c>
      <c r="K69" s="534">
        <v>90</v>
      </c>
      <c r="M69" s="617">
        <f t="shared" ref="M69:M132" si="4">I69+E69</f>
        <v>35</v>
      </c>
      <c r="N69" s="617">
        <f t="shared" ref="N69:N132" si="5">K69+G69</f>
        <v>1868</v>
      </c>
      <c r="O69" s="617"/>
    </row>
    <row r="70" spans="2:15" ht="15" x14ac:dyDescent="0.25">
      <c r="B70" s="529">
        <v>65001</v>
      </c>
      <c r="C70" s="529">
        <v>66</v>
      </c>
      <c r="E70" s="534">
        <v>35</v>
      </c>
      <c r="F70" s="534">
        <v>2310</v>
      </c>
      <c r="G70" s="534">
        <v>1745</v>
      </c>
      <c r="I70" s="534">
        <v>1</v>
      </c>
      <c r="J70" s="534">
        <v>66</v>
      </c>
      <c r="K70" s="534">
        <v>88</v>
      </c>
      <c r="M70" s="617">
        <f t="shared" si="4"/>
        <v>36</v>
      </c>
      <c r="N70" s="617">
        <f t="shared" si="5"/>
        <v>1833</v>
      </c>
      <c r="O70" s="617"/>
    </row>
    <row r="71" spans="2:15" ht="15" x14ac:dyDescent="0.25">
      <c r="B71" s="529">
        <v>66001</v>
      </c>
      <c r="C71" s="529">
        <v>67</v>
      </c>
      <c r="E71" s="534">
        <v>45</v>
      </c>
      <c r="F71" s="534">
        <v>3015</v>
      </c>
      <c r="G71" s="534">
        <v>1710</v>
      </c>
      <c r="I71" s="534">
        <v>0</v>
      </c>
      <c r="J71" s="534">
        <v>0</v>
      </c>
      <c r="K71" s="534">
        <v>87</v>
      </c>
      <c r="M71" s="617">
        <f t="shared" si="4"/>
        <v>45</v>
      </c>
      <c r="N71" s="617">
        <f t="shared" si="5"/>
        <v>1797</v>
      </c>
      <c r="O71" s="617"/>
    </row>
    <row r="72" spans="2:15" ht="15" x14ac:dyDescent="0.25">
      <c r="B72" s="529">
        <v>67001</v>
      </c>
      <c r="C72" s="529">
        <v>68</v>
      </c>
      <c r="E72" s="534">
        <v>44</v>
      </c>
      <c r="F72" s="534">
        <v>2992</v>
      </c>
      <c r="G72" s="534">
        <v>1665</v>
      </c>
      <c r="I72" s="534">
        <v>0</v>
      </c>
      <c r="J72" s="534">
        <v>0</v>
      </c>
      <c r="K72" s="534">
        <v>87</v>
      </c>
      <c r="M72" s="617">
        <f t="shared" si="4"/>
        <v>44</v>
      </c>
      <c r="N72" s="617">
        <f t="shared" si="5"/>
        <v>1752</v>
      </c>
      <c r="O72" s="617"/>
    </row>
    <row r="73" spans="2:15" ht="15" x14ac:dyDescent="0.25">
      <c r="B73" s="529">
        <v>68001</v>
      </c>
      <c r="C73" s="529">
        <v>69</v>
      </c>
      <c r="E73" s="534">
        <v>27</v>
      </c>
      <c r="F73" s="534">
        <v>1863</v>
      </c>
      <c r="G73" s="534">
        <v>1621</v>
      </c>
      <c r="I73" s="534">
        <v>2</v>
      </c>
      <c r="J73" s="534">
        <v>138</v>
      </c>
      <c r="K73" s="534">
        <v>87</v>
      </c>
      <c r="M73" s="617">
        <f t="shared" si="4"/>
        <v>29</v>
      </c>
      <c r="N73" s="617">
        <f t="shared" si="5"/>
        <v>1708</v>
      </c>
      <c r="O73" s="617"/>
    </row>
    <row r="74" spans="2:15" ht="15" x14ac:dyDescent="0.25">
      <c r="B74" s="529">
        <v>69001</v>
      </c>
      <c r="C74" s="529">
        <v>70</v>
      </c>
      <c r="E74" s="534">
        <v>29</v>
      </c>
      <c r="F74" s="534">
        <v>2030</v>
      </c>
      <c r="G74" s="534">
        <v>1594</v>
      </c>
      <c r="I74" s="534">
        <v>2</v>
      </c>
      <c r="J74" s="534">
        <v>140</v>
      </c>
      <c r="K74" s="534">
        <v>85</v>
      </c>
      <c r="M74" s="617">
        <f t="shared" si="4"/>
        <v>31</v>
      </c>
      <c r="N74" s="617">
        <f t="shared" si="5"/>
        <v>1679</v>
      </c>
      <c r="O74" s="617"/>
    </row>
    <row r="75" spans="2:15" ht="15" x14ac:dyDescent="0.25">
      <c r="B75" s="529">
        <v>70001</v>
      </c>
      <c r="C75" s="529">
        <v>71</v>
      </c>
      <c r="E75" s="534">
        <v>34</v>
      </c>
      <c r="F75" s="534">
        <v>2414</v>
      </c>
      <c r="G75" s="534">
        <v>1565</v>
      </c>
      <c r="I75" s="534">
        <v>0</v>
      </c>
      <c r="J75" s="534">
        <v>0</v>
      </c>
      <c r="K75" s="534">
        <v>83</v>
      </c>
      <c r="M75" s="617">
        <f t="shared" si="4"/>
        <v>34</v>
      </c>
      <c r="N75" s="617">
        <f t="shared" si="5"/>
        <v>1648</v>
      </c>
      <c r="O75" s="617"/>
    </row>
    <row r="76" spans="2:15" ht="15" x14ac:dyDescent="0.25">
      <c r="B76" s="529">
        <v>71001</v>
      </c>
      <c r="C76" s="529">
        <v>72</v>
      </c>
      <c r="E76" s="534">
        <v>26</v>
      </c>
      <c r="F76" s="534">
        <v>1872</v>
      </c>
      <c r="G76" s="534">
        <v>1531</v>
      </c>
      <c r="I76" s="534">
        <v>1</v>
      </c>
      <c r="J76" s="534">
        <v>72</v>
      </c>
      <c r="K76" s="534">
        <v>83</v>
      </c>
      <c r="M76" s="617">
        <f t="shared" si="4"/>
        <v>27</v>
      </c>
      <c r="N76" s="617">
        <f t="shared" si="5"/>
        <v>1614</v>
      </c>
      <c r="O76" s="617"/>
    </row>
    <row r="77" spans="2:15" ht="15" x14ac:dyDescent="0.25">
      <c r="B77" s="529">
        <v>72001</v>
      </c>
      <c r="C77" s="529">
        <v>73</v>
      </c>
      <c r="E77" s="534">
        <v>27</v>
      </c>
      <c r="F77" s="534">
        <v>1971</v>
      </c>
      <c r="G77" s="534">
        <v>1505</v>
      </c>
      <c r="I77" s="534">
        <v>1</v>
      </c>
      <c r="J77" s="534">
        <v>73</v>
      </c>
      <c r="K77" s="534">
        <v>82</v>
      </c>
      <c r="M77" s="617">
        <f t="shared" si="4"/>
        <v>28</v>
      </c>
      <c r="N77" s="617">
        <f t="shared" si="5"/>
        <v>1587</v>
      </c>
      <c r="O77" s="617"/>
    </row>
    <row r="78" spans="2:15" ht="15" x14ac:dyDescent="0.25">
      <c r="B78" s="529">
        <v>73001</v>
      </c>
      <c r="C78" s="529">
        <v>74</v>
      </c>
      <c r="E78" s="534">
        <v>18</v>
      </c>
      <c r="F78" s="534">
        <v>1332</v>
      </c>
      <c r="G78" s="534">
        <v>1478</v>
      </c>
      <c r="I78" s="534">
        <v>2</v>
      </c>
      <c r="J78" s="534">
        <v>148</v>
      </c>
      <c r="K78" s="534">
        <v>81</v>
      </c>
      <c r="M78" s="617">
        <f t="shared" si="4"/>
        <v>20</v>
      </c>
      <c r="N78" s="617">
        <f t="shared" si="5"/>
        <v>1559</v>
      </c>
      <c r="O78" s="617"/>
    </row>
    <row r="79" spans="2:15" ht="15" x14ac:dyDescent="0.25">
      <c r="B79" s="529">
        <v>74001</v>
      </c>
      <c r="C79" s="529">
        <v>75</v>
      </c>
      <c r="E79" s="534">
        <v>24</v>
      </c>
      <c r="F79" s="534">
        <v>1800</v>
      </c>
      <c r="G79" s="534">
        <v>1460</v>
      </c>
      <c r="I79" s="534">
        <v>0</v>
      </c>
      <c r="J79" s="534">
        <v>0</v>
      </c>
      <c r="K79" s="534">
        <v>79</v>
      </c>
      <c r="M79" s="617">
        <f t="shared" si="4"/>
        <v>24</v>
      </c>
      <c r="N79" s="617">
        <f t="shared" si="5"/>
        <v>1539</v>
      </c>
      <c r="O79" s="617"/>
    </row>
    <row r="80" spans="2:15" ht="15" x14ac:dyDescent="0.25">
      <c r="B80" s="529">
        <v>75001</v>
      </c>
      <c r="C80" s="529">
        <v>76</v>
      </c>
      <c r="E80" s="534">
        <v>22</v>
      </c>
      <c r="F80" s="534">
        <v>1672</v>
      </c>
      <c r="G80" s="534">
        <v>1436</v>
      </c>
      <c r="I80" s="534">
        <v>0</v>
      </c>
      <c r="J80" s="534">
        <v>0</v>
      </c>
      <c r="K80" s="534">
        <v>79</v>
      </c>
      <c r="M80" s="617">
        <f t="shared" si="4"/>
        <v>22</v>
      </c>
      <c r="N80" s="617">
        <f t="shared" si="5"/>
        <v>1515</v>
      </c>
      <c r="O80" s="617"/>
    </row>
    <row r="81" spans="2:15" ht="15" x14ac:dyDescent="0.25">
      <c r="B81" s="529">
        <v>76001</v>
      </c>
      <c r="C81" s="529">
        <v>77</v>
      </c>
      <c r="E81" s="534">
        <v>44</v>
      </c>
      <c r="F81" s="534">
        <v>3388</v>
      </c>
      <c r="G81" s="534">
        <v>1414</v>
      </c>
      <c r="I81" s="534">
        <v>1</v>
      </c>
      <c r="J81" s="534">
        <v>77</v>
      </c>
      <c r="K81" s="534">
        <v>79</v>
      </c>
      <c r="M81" s="617">
        <f t="shared" si="4"/>
        <v>45</v>
      </c>
      <c r="N81" s="617">
        <f t="shared" si="5"/>
        <v>1493</v>
      </c>
      <c r="O81" s="617"/>
    </row>
    <row r="82" spans="2:15" ht="15" x14ac:dyDescent="0.25">
      <c r="B82" s="529">
        <v>77001</v>
      </c>
      <c r="C82" s="529">
        <v>78</v>
      </c>
      <c r="E82" s="534">
        <v>29</v>
      </c>
      <c r="F82" s="534">
        <v>2262</v>
      </c>
      <c r="G82" s="534">
        <v>1370</v>
      </c>
      <c r="I82" s="534">
        <v>0</v>
      </c>
      <c r="J82" s="534">
        <v>0</v>
      </c>
      <c r="K82" s="534">
        <v>78</v>
      </c>
      <c r="M82" s="617">
        <f t="shared" si="4"/>
        <v>29</v>
      </c>
      <c r="N82" s="617">
        <f t="shared" si="5"/>
        <v>1448</v>
      </c>
      <c r="O82" s="617"/>
    </row>
    <row r="83" spans="2:15" ht="15" x14ac:dyDescent="0.25">
      <c r="B83" s="529">
        <v>78001</v>
      </c>
      <c r="C83" s="529">
        <v>79</v>
      </c>
      <c r="E83" s="534">
        <v>29</v>
      </c>
      <c r="F83" s="534">
        <v>2291</v>
      </c>
      <c r="G83" s="534">
        <v>1341</v>
      </c>
      <c r="I83" s="534">
        <v>0</v>
      </c>
      <c r="J83" s="534">
        <v>0</v>
      </c>
      <c r="K83" s="534">
        <v>78</v>
      </c>
      <c r="M83" s="617">
        <f t="shared" si="4"/>
        <v>29</v>
      </c>
      <c r="N83" s="617">
        <f t="shared" si="5"/>
        <v>1419</v>
      </c>
      <c r="O83" s="617"/>
    </row>
    <row r="84" spans="2:15" ht="15" x14ac:dyDescent="0.25">
      <c r="B84" s="529">
        <v>79001</v>
      </c>
      <c r="C84" s="529">
        <v>80</v>
      </c>
      <c r="E84" s="534">
        <v>24</v>
      </c>
      <c r="F84" s="534">
        <v>1920</v>
      </c>
      <c r="G84" s="534">
        <v>1312</v>
      </c>
      <c r="I84" s="534">
        <v>0</v>
      </c>
      <c r="J84" s="534">
        <v>0</v>
      </c>
      <c r="K84" s="534">
        <v>78</v>
      </c>
      <c r="M84" s="617">
        <f t="shared" si="4"/>
        <v>24</v>
      </c>
      <c r="N84" s="617">
        <f t="shared" si="5"/>
        <v>1390</v>
      </c>
      <c r="O84" s="617"/>
    </row>
    <row r="85" spans="2:15" ht="15" x14ac:dyDescent="0.25">
      <c r="B85" s="529">
        <v>80001</v>
      </c>
      <c r="C85" s="529">
        <v>81</v>
      </c>
      <c r="E85" s="534">
        <v>20</v>
      </c>
      <c r="F85" s="534">
        <v>1620</v>
      </c>
      <c r="G85" s="534">
        <v>1288</v>
      </c>
      <c r="I85" s="534">
        <v>1</v>
      </c>
      <c r="J85" s="534">
        <v>81</v>
      </c>
      <c r="K85" s="534">
        <v>78</v>
      </c>
      <c r="M85" s="617">
        <f t="shared" si="4"/>
        <v>21</v>
      </c>
      <c r="N85" s="617">
        <f t="shared" si="5"/>
        <v>1366</v>
      </c>
      <c r="O85" s="617"/>
    </row>
    <row r="86" spans="2:15" ht="15" x14ac:dyDescent="0.25">
      <c r="B86" s="529">
        <v>81001</v>
      </c>
      <c r="C86" s="529">
        <v>82</v>
      </c>
      <c r="E86" s="534">
        <v>18</v>
      </c>
      <c r="F86" s="534">
        <v>1476</v>
      </c>
      <c r="G86" s="534">
        <v>1268</v>
      </c>
      <c r="I86" s="534">
        <v>0</v>
      </c>
      <c r="J86" s="534">
        <v>0</v>
      </c>
      <c r="K86" s="534">
        <v>77</v>
      </c>
      <c r="M86" s="617">
        <f t="shared" si="4"/>
        <v>18</v>
      </c>
      <c r="N86" s="617">
        <f t="shared" si="5"/>
        <v>1345</v>
      </c>
      <c r="O86" s="617"/>
    </row>
    <row r="87" spans="2:15" ht="15" x14ac:dyDescent="0.25">
      <c r="B87" s="529">
        <v>82001</v>
      </c>
      <c r="C87" s="529">
        <v>83</v>
      </c>
      <c r="E87" s="534">
        <v>21</v>
      </c>
      <c r="F87" s="534">
        <v>1743</v>
      </c>
      <c r="G87" s="534">
        <v>1250</v>
      </c>
      <c r="I87" s="534">
        <v>2</v>
      </c>
      <c r="J87" s="534">
        <v>166</v>
      </c>
      <c r="K87" s="534">
        <v>77</v>
      </c>
      <c r="M87" s="617">
        <f t="shared" si="4"/>
        <v>23</v>
      </c>
      <c r="N87" s="617">
        <f t="shared" si="5"/>
        <v>1327</v>
      </c>
      <c r="O87" s="617"/>
    </row>
    <row r="88" spans="2:15" ht="15" x14ac:dyDescent="0.25">
      <c r="B88" s="529">
        <v>83001</v>
      </c>
      <c r="C88" s="529">
        <v>84</v>
      </c>
      <c r="E88" s="534">
        <v>17</v>
      </c>
      <c r="F88" s="534">
        <v>1428</v>
      </c>
      <c r="G88" s="534">
        <v>1229</v>
      </c>
      <c r="I88" s="534">
        <v>0</v>
      </c>
      <c r="J88" s="534">
        <v>0</v>
      </c>
      <c r="K88" s="534">
        <v>75</v>
      </c>
      <c r="M88" s="617">
        <f t="shared" si="4"/>
        <v>17</v>
      </c>
      <c r="N88" s="617">
        <f t="shared" si="5"/>
        <v>1304</v>
      </c>
      <c r="O88" s="617"/>
    </row>
    <row r="89" spans="2:15" ht="15" x14ac:dyDescent="0.25">
      <c r="B89" s="529">
        <v>84001</v>
      </c>
      <c r="C89" s="529">
        <v>85</v>
      </c>
      <c r="E89" s="534">
        <v>24</v>
      </c>
      <c r="F89" s="534">
        <v>2040</v>
      </c>
      <c r="G89" s="534">
        <v>1212</v>
      </c>
      <c r="I89" s="534">
        <v>0</v>
      </c>
      <c r="J89" s="534">
        <v>0</v>
      </c>
      <c r="K89" s="534">
        <v>75</v>
      </c>
      <c r="M89" s="617">
        <f t="shared" si="4"/>
        <v>24</v>
      </c>
      <c r="N89" s="617">
        <f t="shared" si="5"/>
        <v>1287</v>
      </c>
      <c r="O89" s="617"/>
    </row>
    <row r="90" spans="2:15" ht="15" x14ac:dyDescent="0.25">
      <c r="B90" s="529">
        <v>85001</v>
      </c>
      <c r="C90" s="529">
        <v>86</v>
      </c>
      <c r="E90" s="534">
        <v>9</v>
      </c>
      <c r="F90" s="534">
        <v>774</v>
      </c>
      <c r="G90" s="534">
        <v>1188</v>
      </c>
      <c r="I90" s="534">
        <v>1</v>
      </c>
      <c r="J90" s="534">
        <v>86</v>
      </c>
      <c r="K90" s="534">
        <v>75</v>
      </c>
      <c r="M90" s="617">
        <f t="shared" si="4"/>
        <v>10</v>
      </c>
      <c r="N90" s="617">
        <f t="shared" si="5"/>
        <v>1263</v>
      </c>
      <c r="O90" s="617"/>
    </row>
    <row r="91" spans="2:15" ht="15" x14ac:dyDescent="0.25">
      <c r="B91" s="529">
        <v>86001</v>
      </c>
      <c r="C91" s="529">
        <v>87</v>
      </c>
      <c r="E91" s="534">
        <v>19</v>
      </c>
      <c r="F91" s="534">
        <v>1653</v>
      </c>
      <c r="G91" s="534">
        <v>1179</v>
      </c>
      <c r="I91" s="534">
        <v>0</v>
      </c>
      <c r="J91" s="534">
        <v>0</v>
      </c>
      <c r="K91" s="534">
        <v>74</v>
      </c>
      <c r="M91" s="617">
        <f t="shared" si="4"/>
        <v>19</v>
      </c>
      <c r="N91" s="617">
        <f t="shared" si="5"/>
        <v>1253</v>
      </c>
      <c r="O91" s="617"/>
    </row>
    <row r="92" spans="2:15" ht="15" x14ac:dyDescent="0.25">
      <c r="B92" s="529">
        <v>87001</v>
      </c>
      <c r="C92" s="529">
        <v>88</v>
      </c>
      <c r="E92" s="534">
        <v>16</v>
      </c>
      <c r="F92" s="534">
        <v>1408</v>
      </c>
      <c r="G92" s="534">
        <v>1160</v>
      </c>
      <c r="I92" s="534">
        <v>1</v>
      </c>
      <c r="J92" s="534">
        <v>88</v>
      </c>
      <c r="K92" s="534">
        <v>74</v>
      </c>
      <c r="M92" s="617">
        <f t="shared" si="4"/>
        <v>17</v>
      </c>
      <c r="N92" s="617">
        <f t="shared" si="5"/>
        <v>1234</v>
      </c>
      <c r="O92" s="617"/>
    </row>
    <row r="93" spans="2:15" ht="15" x14ac:dyDescent="0.25">
      <c r="B93" s="529">
        <v>88001</v>
      </c>
      <c r="C93" s="529">
        <v>89</v>
      </c>
      <c r="E93" s="534">
        <v>14</v>
      </c>
      <c r="F93" s="534">
        <v>1246</v>
      </c>
      <c r="G93" s="534">
        <v>1144</v>
      </c>
      <c r="I93" s="534">
        <v>1</v>
      </c>
      <c r="J93" s="534">
        <v>89</v>
      </c>
      <c r="K93" s="534">
        <v>73</v>
      </c>
      <c r="M93" s="617">
        <f t="shared" si="4"/>
        <v>15</v>
      </c>
      <c r="N93" s="617">
        <f t="shared" si="5"/>
        <v>1217</v>
      </c>
      <c r="O93" s="617"/>
    </row>
    <row r="94" spans="2:15" ht="15" x14ac:dyDescent="0.25">
      <c r="B94" s="529">
        <v>89001</v>
      </c>
      <c r="C94" s="529">
        <v>90</v>
      </c>
      <c r="E94" s="534">
        <v>20</v>
      </c>
      <c r="F94" s="534">
        <v>1800</v>
      </c>
      <c r="G94" s="534">
        <v>1130</v>
      </c>
      <c r="I94" s="534">
        <v>1</v>
      </c>
      <c r="J94" s="534">
        <v>90</v>
      </c>
      <c r="K94" s="534">
        <v>72</v>
      </c>
      <c r="M94" s="617">
        <f t="shared" si="4"/>
        <v>21</v>
      </c>
      <c r="N94" s="617">
        <f t="shared" si="5"/>
        <v>1202</v>
      </c>
      <c r="O94" s="617"/>
    </row>
    <row r="95" spans="2:15" ht="15" x14ac:dyDescent="0.25">
      <c r="B95" s="529">
        <v>90001</v>
      </c>
      <c r="C95" s="529">
        <v>91</v>
      </c>
      <c r="E95" s="534">
        <v>17</v>
      </c>
      <c r="F95" s="534">
        <v>1547</v>
      </c>
      <c r="G95" s="534">
        <v>1110</v>
      </c>
      <c r="I95" s="534">
        <v>0</v>
      </c>
      <c r="J95" s="534">
        <v>0</v>
      </c>
      <c r="K95" s="534">
        <v>71</v>
      </c>
      <c r="M95" s="617">
        <f t="shared" si="4"/>
        <v>17</v>
      </c>
      <c r="N95" s="617">
        <f t="shared" si="5"/>
        <v>1181</v>
      </c>
      <c r="O95" s="617"/>
    </row>
    <row r="96" spans="2:15" ht="15" x14ac:dyDescent="0.25">
      <c r="B96" s="529">
        <v>91001</v>
      </c>
      <c r="C96" s="529">
        <v>92</v>
      </c>
      <c r="E96" s="534">
        <v>20</v>
      </c>
      <c r="F96" s="534">
        <v>1840</v>
      </c>
      <c r="G96" s="534">
        <v>1093</v>
      </c>
      <c r="I96" s="534">
        <v>0</v>
      </c>
      <c r="J96" s="534">
        <v>0</v>
      </c>
      <c r="K96" s="534">
        <v>71</v>
      </c>
      <c r="M96" s="617">
        <f t="shared" si="4"/>
        <v>20</v>
      </c>
      <c r="N96" s="617">
        <f t="shared" si="5"/>
        <v>1164</v>
      </c>
      <c r="O96" s="617"/>
    </row>
    <row r="97" spans="2:15" ht="15" x14ac:dyDescent="0.25">
      <c r="B97" s="529">
        <v>92001</v>
      </c>
      <c r="C97" s="529">
        <v>93</v>
      </c>
      <c r="E97" s="534">
        <v>20</v>
      </c>
      <c r="F97" s="534">
        <v>1860</v>
      </c>
      <c r="G97" s="534">
        <v>1073</v>
      </c>
      <c r="I97" s="534">
        <v>0</v>
      </c>
      <c r="J97" s="534">
        <v>0</v>
      </c>
      <c r="K97" s="534">
        <v>71</v>
      </c>
      <c r="M97" s="617">
        <f t="shared" si="4"/>
        <v>20</v>
      </c>
      <c r="N97" s="617">
        <f t="shared" si="5"/>
        <v>1144</v>
      </c>
      <c r="O97" s="617"/>
    </row>
    <row r="98" spans="2:15" ht="15" x14ac:dyDescent="0.25">
      <c r="B98" s="529">
        <v>93001</v>
      </c>
      <c r="C98" s="529">
        <v>94</v>
      </c>
      <c r="E98" s="534">
        <v>12</v>
      </c>
      <c r="F98" s="534">
        <v>1128</v>
      </c>
      <c r="G98" s="534">
        <v>1053</v>
      </c>
      <c r="I98" s="534">
        <v>0</v>
      </c>
      <c r="J98" s="534">
        <v>0</v>
      </c>
      <c r="K98" s="534">
        <v>71</v>
      </c>
      <c r="M98" s="617">
        <f t="shared" si="4"/>
        <v>12</v>
      </c>
      <c r="N98" s="617">
        <f t="shared" si="5"/>
        <v>1124</v>
      </c>
      <c r="O98" s="617"/>
    </row>
    <row r="99" spans="2:15" ht="15" x14ac:dyDescent="0.25">
      <c r="B99" s="529">
        <v>94001</v>
      </c>
      <c r="C99" s="529">
        <v>95</v>
      </c>
      <c r="E99" s="534">
        <v>18</v>
      </c>
      <c r="F99" s="534">
        <v>1710</v>
      </c>
      <c r="G99" s="534">
        <v>1041</v>
      </c>
      <c r="I99" s="534">
        <v>0</v>
      </c>
      <c r="J99" s="534">
        <v>0</v>
      </c>
      <c r="K99" s="534">
        <v>71</v>
      </c>
      <c r="M99" s="617">
        <f t="shared" si="4"/>
        <v>18</v>
      </c>
      <c r="N99" s="617">
        <f t="shared" si="5"/>
        <v>1112</v>
      </c>
      <c r="O99" s="617"/>
    </row>
    <row r="100" spans="2:15" ht="15" x14ac:dyDescent="0.25">
      <c r="B100" s="529">
        <v>95001</v>
      </c>
      <c r="C100" s="529">
        <v>96</v>
      </c>
      <c r="E100" s="534">
        <v>16</v>
      </c>
      <c r="F100" s="534">
        <v>1536</v>
      </c>
      <c r="G100" s="534">
        <v>1023</v>
      </c>
      <c r="I100" s="534">
        <v>0</v>
      </c>
      <c r="J100" s="534">
        <v>0</v>
      </c>
      <c r="K100" s="534">
        <v>71</v>
      </c>
      <c r="M100" s="617">
        <f t="shared" si="4"/>
        <v>16</v>
      </c>
      <c r="N100" s="617">
        <f t="shared" si="5"/>
        <v>1094</v>
      </c>
      <c r="O100" s="617"/>
    </row>
    <row r="101" spans="2:15" ht="15" x14ac:dyDescent="0.25">
      <c r="B101" s="529">
        <v>96001</v>
      </c>
      <c r="C101" s="529">
        <v>97</v>
      </c>
      <c r="E101" s="534">
        <v>17</v>
      </c>
      <c r="F101" s="534">
        <v>1649</v>
      </c>
      <c r="G101" s="534">
        <v>1007</v>
      </c>
      <c r="I101" s="534">
        <v>0</v>
      </c>
      <c r="J101" s="534">
        <v>0</v>
      </c>
      <c r="K101" s="534">
        <v>71</v>
      </c>
      <c r="M101" s="617">
        <f t="shared" si="4"/>
        <v>17</v>
      </c>
      <c r="N101" s="617">
        <f t="shared" si="5"/>
        <v>1078</v>
      </c>
      <c r="O101" s="617"/>
    </row>
    <row r="102" spans="2:15" ht="15" x14ac:dyDescent="0.25">
      <c r="B102" s="529">
        <v>97001</v>
      </c>
      <c r="C102" s="529">
        <v>98</v>
      </c>
      <c r="E102" s="534">
        <v>13</v>
      </c>
      <c r="F102" s="534">
        <v>1274</v>
      </c>
      <c r="G102" s="534">
        <v>990</v>
      </c>
      <c r="I102" s="534">
        <v>0</v>
      </c>
      <c r="J102" s="534">
        <v>0</v>
      </c>
      <c r="K102" s="534">
        <v>71</v>
      </c>
      <c r="M102" s="617">
        <f t="shared" si="4"/>
        <v>13</v>
      </c>
      <c r="N102" s="617">
        <f t="shared" si="5"/>
        <v>1061</v>
      </c>
      <c r="O102" s="617"/>
    </row>
    <row r="103" spans="2:15" ht="15" x14ac:dyDescent="0.25">
      <c r="B103" s="529">
        <v>98001</v>
      </c>
      <c r="C103" s="529">
        <v>99</v>
      </c>
      <c r="E103" s="534">
        <v>7</v>
      </c>
      <c r="F103" s="534">
        <v>693</v>
      </c>
      <c r="G103" s="534">
        <v>977</v>
      </c>
      <c r="I103" s="534">
        <v>0</v>
      </c>
      <c r="J103" s="534">
        <v>0</v>
      </c>
      <c r="K103" s="534">
        <v>71</v>
      </c>
      <c r="M103" s="617">
        <f t="shared" si="4"/>
        <v>7</v>
      </c>
      <c r="N103" s="617">
        <f t="shared" si="5"/>
        <v>1048</v>
      </c>
      <c r="O103" s="617"/>
    </row>
    <row r="104" spans="2:15" ht="15" x14ac:dyDescent="0.25">
      <c r="B104" s="529">
        <v>99001</v>
      </c>
      <c r="C104" s="529">
        <v>100</v>
      </c>
      <c r="E104" s="534">
        <v>10</v>
      </c>
      <c r="F104" s="534">
        <v>1000</v>
      </c>
      <c r="G104" s="534">
        <v>970</v>
      </c>
      <c r="I104" s="534">
        <v>3</v>
      </c>
      <c r="J104" s="534">
        <v>300</v>
      </c>
      <c r="K104" s="534">
        <v>71</v>
      </c>
      <c r="M104" s="617">
        <f t="shared" si="4"/>
        <v>13</v>
      </c>
      <c r="N104" s="617">
        <f t="shared" si="5"/>
        <v>1041</v>
      </c>
      <c r="O104" s="617"/>
    </row>
    <row r="105" spans="2:15" ht="15" x14ac:dyDescent="0.25">
      <c r="B105" s="529">
        <v>100001</v>
      </c>
      <c r="C105" s="529">
        <v>101</v>
      </c>
      <c r="E105" s="534">
        <v>17</v>
      </c>
      <c r="F105" s="534">
        <v>1717</v>
      </c>
      <c r="G105" s="534">
        <v>960</v>
      </c>
      <c r="I105" s="534">
        <v>0</v>
      </c>
      <c r="J105" s="534">
        <v>0</v>
      </c>
      <c r="K105" s="534">
        <v>68</v>
      </c>
      <c r="M105" s="617">
        <f t="shared" si="4"/>
        <v>17</v>
      </c>
      <c r="N105" s="617">
        <f t="shared" si="5"/>
        <v>1028</v>
      </c>
      <c r="O105" s="617"/>
    </row>
    <row r="106" spans="2:15" ht="15" x14ac:dyDescent="0.25">
      <c r="B106" s="529">
        <v>101001</v>
      </c>
      <c r="C106" s="529">
        <v>102</v>
      </c>
      <c r="E106" s="534">
        <v>8</v>
      </c>
      <c r="F106" s="534">
        <v>816</v>
      </c>
      <c r="G106" s="534">
        <v>943</v>
      </c>
      <c r="I106" s="534">
        <v>0</v>
      </c>
      <c r="J106" s="534">
        <v>0</v>
      </c>
      <c r="K106" s="534">
        <v>68</v>
      </c>
      <c r="M106" s="617">
        <f t="shared" si="4"/>
        <v>8</v>
      </c>
      <c r="N106" s="617">
        <f t="shared" si="5"/>
        <v>1011</v>
      </c>
      <c r="O106" s="617"/>
    </row>
    <row r="107" spans="2:15" ht="15" x14ac:dyDescent="0.25">
      <c r="B107" s="529">
        <v>102001</v>
      </c>
      <c r="C107" s="529">
        <v>103</v>
      </c>
      <c r="E107" s="534">
        <v>11</v>
      </c>
      <c r="F107" s="534">
        <v>1133</v>
      </c>
      <c r="G107" s="534">
        <v>935</v>
      </c>
      <c r="I107" s="534">
        <v>1</v>
      </c>
      <c r="J107" s="534">
        <v>103</v>
      </c>
      <c r="K107" s="534">
        <v>68</v>
      </c>
      <c r="M107" s="617">
        <f t="shared" si="4"/>
        <v>12</v>
      </c>
      <c r="N107" s="617">
        <f t="shared" si="5"/>
        <v>1003</v>
      </c>
      <c r="O107" s="617"/>
    </row>
    <row r="108" spans="2:15" ht="15" x14ac:dyDescent="0.25">
      <c r="B108" s="529">
        <v>103001</v>
      </c>
      <c r="C108" s="529">
        <v>104</v>
      </c>
      <c r="E108" s="534">
        <v>9</v>
      </c>
      <c r="F108" s="534">
        <v>936</v>
      </c>
      <c r="G108" s="534">
        <v>924</v>
      </c>
      <c r="I108" s="534">
        <v>1</v>
      </c>
      <c r="J108" s="534">
        <v>104</v>
      </c>
      <c r="K108" s="534">
        <v>67</v>
      </c>
      <c r="M108" s="617">
        <f t="shared" si="4"/>
        <v>10</v>
      </c>
      <c r="N108" s="617">
        <f t="shared" si="5"/>
        <v>991</v>
      </c>
      <c r="O108" s="617"/>
    </row>
    <row r="109" spans="2:15" ht="15" x14ac:dyDescent="0.25">
      <c r="B109" s="529">
        <v>104001</v>
      </c>
      <c r="C109" s="529">
        <v>105</v>
      </c>
      <c r="E109" s="534">
        <v>12</v>
      </c>
      <c r="F109" s="534">
        <v>1260</v>
      </c>
      <c r="G109" s="534">
        <v>915</v>
      </c>
      <c r="I109" s="534">
        <v>1</v>
      </c>
      <c r="J109" s="534">
        <v>105</v>
      </c>
      <c r="K109" s="534">
        <v>66</v>
      </c>
      <c r="M109" s="617">
        <f t="shared" si="4"/>
        <v>13</v>
      </c>
      <c r="N109" s="617">
        <f t="shared" si="5"/>
        <v>981</v>
      </c>
      <c r="O109" s="617"/>
    </row>
    <row r="110" spans="2:15" ht="15" x14ac:dyDescent="0.25">
      <c r="B110" s="529">
        <v>105001</v>
      </c>
      <c r="C110" s="529">
        <v>106</v>
      </c>
      <c r="E110" s="534">
        <v>10</v>
      </c>
      <c r="F110" s="534">
        <v>1060</v>
      </c>
      <c r="G110" s="534">
        <v>903</v>
      </c>
      <c r="I110" s="534">
        <v>1</v>
      </c>
      <c r="J110" s="534">
        <v>106</v>
      </c>
      <c r="K110" s="534">
        <v>65</v>
      </c>
      <c r="M110" s="617">
        <f t="shared" si="4"/>
        <v>11</v>
      </c>
      <c r="N110" s="617">
        <f t="shared" si="5"/>
        <v>968</v>
      </c>
      <c r="O110" s="617"/>
    </row>
    <row r="111" spans="2:15" ht="15" x14ac:dyDescent="0.25">
      <c r="B111" s="529">
        <v>106001</v>
      </c>
      <c r="C111" s="529">
        <v>107</v>
      </c>
      <c r="E111" s="534">
        <v>7</v>
      </c>
      <c r="F111" s="534">
        <v>749</v>
      </c>
      <c r="G111" s="534">
        <v>893</v>
      </c>
      <c r="I111" s="534">
        <v>1</v>
      </c>
      <c r="J111" s="534">
        <v>107</v>
      </c>
      <c r="K111" s="534">
        <v>64</v>
      </c>
      <c r="M111" s="617">
        <f t="shared" si="4"/>
        <v>8</v>
      </c>
      <c r="N111" s="617">
        <f t="shared" si="5"/>
        <v>957</v>
      </c>
      <c r="O111" s="617"/>
    </row>
    <row r="112" spans="2:15" ht="15" x14ac:dyDescent="0.25">
      <c r="B112" s="529">
        <v>107001</v>
      </c>
      <c r="C112" s="529">
        <v>108</v>
      </c>
      <c r="E112" s="534">
        <v>6</v>
      </c>
      <c r="F112" s="534">
        <v>648</v>
      </c>
      <c r="G112" s="534">
        <v>886</v>
      </c>
      <c r="I112" s="534">
        <v>0</v>
      </c>
      <c r="J112" s="534">
        <v>0</v>
      </c>
      <c r="K112" s="534">
        <v>63</v>
      </c>
      <c r="M112" s="617">
        <f t="shared" si="4"/>
        <v>6</v>
      </c>
      <c r="N112" s="617">
        <f t="shared" si="5"/>
        <v>949</v>
      </c>
      <c r="O112" s="617"/>
    </row>
    <row r="113" spans="2:15" ht="15" x14ac:dyDescent="0.25">
      <c r="B113" s="529">
        <v>108001</v>
      </c>
      <c r="C113" s="529">
        <v>109</v>
      </c>
      <c r="E113" s="534">
        <v>4</v>
      </c>
      <c r="F113" s="534">
        <v>436</v>
      </c>
      <c r="G113" s="534">
        <v>880</v>
      </c>
      <c r="I113" s="534">
        <v>0</v>
      </c>
      <c r="J113" s="534">
        <v>0</v>
      </c>
      <c r="K113" s="534">
        <v>63</v>
      </c>
      <c r="M113" s="617">
        <f t="shared" si="4"/>
        <v>4</v>
      </c>
      <c r="N113" s="617">
        <f t="shared" si="5"/>
        <v>943</v>
      </c>
      <c r="O113" s="617"/>
    </row>
    <row r="114" spans="2:15" ht="15" x14ac:dyDescent="0.25">
      <c r="B114" s="529">
        <v>109001</v>
      </c>
      <c r="C114" s="529">
        <v>110</v>
      </c>
      <c r="E114" s="534">
        <v>8</v>
      </c>
      <c r="F114" s="534">
        <v>880</v>
      </c>
      <c r="G114" s="534">
        <v>876</v>
      </c>
      <c r="I114" s="534">
        <v>2</v>
      </c>
      <c r="J114" s="534">
        <v>220</v>
      </c>
      <c r="K114" s="534">
        <v>63</v>
      </c>
      <c r="M114" s="617">
        <f t="shared" si="4"/>
        <v>10</v>
      </c>
      <c r="N114" s="617">
        <f t="shared" si="5"/>
        <v>939</v>
      </c>
      <c r="O114" s="617"/>
    </row>
    <row r="115" spans="2:15" ht="15" x14ac:dyDescent="0.25">
      <c r="B115" s="529">
        <v>110001</v>
      </c>
      <c r="C115" s="529">
        <v>111</v>
      </c>
      <c r="E115" s="534">
        <v>5</v>
      </c>
      <c r="F115" s="534">
        <v>555</v>
      </c>
      <c r="G115" s="534">
        <v>868</v>
      </c>
      <c r="I115" s="534">
        <v>1</v>
      </c>
      <c r="J115" s="534">
        <v>111</v>
      </c>
      <c r="K115" s="534">
        <v>61</v>
      </c>
      <c r="M115" s="617">
        <f t="shared" si="4"/>
        <v>6</v>
      </c>
      <c r="N115" s="617">
        <f t="shared" si="5"/>
        <v>929</v>
      </c>
      <c r="O115" s="617"/>
    </row>
    <row r="116" spans="2:15" ht="15" x14ac:dyDescent="0.25">
      <c r="B116" s="529">
        <v>111001</v>
      </c>
      <c r="C116" s="529">
        <v>112</v>
      </c>
      <c r="E116" s="534">
        <v>10</v>
      </c>
      <c r="F116" s="534">
        <v>1120</v>
      </c>
      <c r="G116" s="534">
        <v>863</v>
      </c>
      <c r="I116" s="534">
        <v>0</v>
      </c>
      <c r="J116" s="534">
        <v>0</v>
      </c>
      <c r="K116" s="534">
        <v>60</v>
      </c>
      <c r="M116" s="617">
        <f t="shared" si="4"/>
        <v>10</v>
      </c>
      <c r="N116" s="617">
        <f t="shared" si="5"/>
        <v>923</v>
      </c>
      <c r="O116" s="617"/>
    </row>
    <row r="117" spans="2:15" ht="15" x14ac:dyDescent="0.25">
      <c r="B117" s="529">
        <v>112001</v>
      </c>
      <c r="C117" s="529">
        <v>113</v>
      </c>
      <c r="E117" s="534">
        <v>11</v>
      </c>
      <c r="F117" s="534">
        <v>1243</v>
      </c>
      <c r="G117" s="534">
        <v>853</v>
      </c>
      <c r="I117" s="534">
        <v>1</v>
      </c>
      <c r="J117" s="534">
        <v>113</v>
      </c>
      <c r="K117" s="534">
        <v>60</v>
      </c>
      <c r="M117" s="617">
        <f t="shared" si="4"/>
        <v>12</v>
      </c>
      <c r="N117" s="617">
        <f t="shared" si="5"/>
        <v>913</v>
      </c>
      <c r="O117" s="617"/>
    </row>
    <row r="118" spans="2:15" ht="15" x14ac:dyDescent="0.25">
      <c r="B118" s="529">
        <v>113001</v>
      </c>
      <c r="C118" s="529">
        <v>114</v>
      </c>
      <c r="E118" s="534">
        <v>8</v>
      </c>
      <c r="F118" s="534">
        <v>912</v>
      </c>
      <c r="G118" s="534">
        <v>842</v>
      </c>
      <c r="I118" s="534">
        <v>1</v>
      </c>
      <c r="J118" s="534">
        <v>114</v>
      </c>
      <c r="K118" s="534">
        <v>59</v>
      </c>
      <c r="M118" s="617">
        <f t="shared" si="4"/>
        <v>9</v>
      </c>
      <c r="N118" s="617">
        <f t="shared" si="5"/>
        <v>901</v>
      </c>
      <c r="O118" s="617"/>
    </row>
    <row r="119" spans="2:15" ht="15" x14ac:dyDescent="0.25">
      <c r="B119" s="529">
        <v>114001</v>
      </c>
      <c r="C119" s="529">
        <v>115</v>
      </c>
      <c r="E119" s="534">
        <v>9</v>
      </c>
      <c r="F119" s="534">
        <v>1035</v>
      </c>
      <c r="G119" s="534">
        <v>834</v>
      </c>
      <c r="I119" s="534">
        <v>0</v>
      </c>
      <c r="J119" s="534">
        <v>0</v>
      </c>
      <c r="K119" s="534">
        <v>58</v>
      </c>
      <c r="M119" s="617">
        <f t="shared" si="4"/>
        <v>9</v>
      </c>
      <c r="N119" s="617">
        <f t="shared" si="5"/>
        <v>892</v>
      </c>
      <c r="O119" s="617"/>
    </row>
    <row r="120" spans="2:15" ht="15" x14ac:dyDescent="0.25">
      <c r="B120" s="529">
        <v>115001</v>
      </c>
      <c r="C120" s="529">
        <v>116</v>
      </c>
      <c r="E120" s="534">
        <v>6</v>
      </c>
      <c r="F120" s="534">
        <v>696</v>
      </c>
      <c r="G120" s="534">
        <v>825</v>
      </c>
      <c r="I120" s="534">
        <v>0</v>
      </c>
      <c r="J120" s="534">
        <v>0</v>
      </c>
      <c r="K120" s="534">
        <v>58</v>
      </c>
      <c r="M120" s="617">
        <f t="shared" si="4"/>
        <v>6</v>
      </c>
      <c r="N120" s="617">
        <f t="shared" si="5"/>
        <v>883</v>
      </c>
      <c r="O120" s="617"/>
    </row>
    <row r="121" spans="2:15" ht="15" x14ac:dyDescent="0.25">
      <c r="B121" s="529">
        <v>116001</v>
      </c>
      <c r="C121" s="529">
        <v>117</v>
      </c>
      <c r="E121" s="534">
        <v>12</v>
      </c>
      <c r="F121" s="534">
        <v>1404</v>
      </c>
      <c r="G121" s="534">
        <v>819</v>
      </c>
      <c r="I121" s="534">
        <v>1</v>
      </c>
      <c r="J121" s="534">
        <v>117</v>
      </c>
      <c r="K121" s="534">
        <v>58</v>
      </c>
      <c r="M121" s="617">
        <f t="shared" si="4"/>
        <v>13</v>
      </c>
      <c r="N121" s="617">
        <f t="shared" si="5"/>
        <v>877</v>
      </c>
      <c r="O121" s="617"/>
    </row>
    <row r="122" spans="2:15" ht="15" x14ac:dyDescent="0.25">
      <c r="B122" s="529">
        <v>117001</v>
      </c>
      <c r="C122" s="529">
        <v>118</v>
      </c>
      <c r="E122" s="534">
        <v>7</v>
      </c>
      <c r="F122" s="534">
        <v>826</v>
      </c>
      <c r="G122" s="534">
        <v>807</v>
      </c>
      <c r="I122" s="534">
        <v>0</v>
      </c>
      <c r="J122" s="534">
        <v>0</v>
      </c>
      <c r="K122" s="534">
        <v>57</v>
      </c>
      <c r="M122" s="617">
        <f t="shared" si="4"/>
        <v>7</v>
      </c>
      <c r="N122" s="617">
        <f t="shared" si="5"/>
        <v>864</v>
      </c>
      <c r="O122" s="617"/>
    </row>
    <row r="123" spans="2:15" ht="15" x14ac:dyDescent="0.25">
      <c r="B123" s="529">
        <v>118001</v>
      </c>
      <c r="C123" s="529">
        <v>119</v>
      </c>
      <c r="E123" s="534">
        <v>7</v>
      </c>
      <c r="F123" s="534">
        <v>833</v>
      </c>
      <c r="G123" s="534">
        <v>800</v>
      </c>
      <c r="I123" s="534">
        <v>0</v>
      </c>
      <c r="J123" s="534">
        <v>0</v>
      </c>
      <c r="K123" s="534">
        <v>57</v>
      </c>
      <c r="M123" s="617">
        <f t="shared" si="4"/>
        <v>7</v>
      </c>
      <c r="N123" s="617">
        <f t="shared" si="5"/>
        <v>857</v>
      </c>
      <c r="O123" s="617"/>
    </row>
    <row r="124" spans="2:15" ht="15" x14ac:dyDescent="0.25">
      <c r="B124" s="529">
        <v>119001</v>
      </c>
      <c r="C124" s="529">
        <v>120</v>
      </c>
      <c r="E124" s="534">
        <v>6</v>
      </c>
      <c r="F124" s="534">
        <v>720</v>
      </c>
      <c r="G124" s="534">
        <v>793</v>
      </c>
      <c r="I124" s="534">
        <v>0</v>
      </c>
      <c r="J124" s="534">
        <v>0</v>
      </c>
      <c r="K124" s="534">
        <v>57</v>
      </c>
      <c r="M124" s="617">
        <f t="shared" si="4"/>
        <v>6</v>
      </c>
      <c r="N124" s="617">
        <f t="shared" si="5"/>
        <v>850</v>
      </c>
      <c r="O124" s="617"/>
    </row>
    <row r="125" spans="2:15" ht="15" x14ac:dyDescent="0.25">
      <c r="B125" s="529">
        <v>120001</v>
      </c>
      <c r="C125" s="529">
        <v>121</v>
      </c>
      <c r="E125" s="534">
        <v>9</v>
      </c>
      <c r="F125" s="534">
        <v>1089</v>
      </c>
      <c r="G125" s="534">
        <v>787</v>
      </c>
      <c r="I125" s="534">
        <v>0</v>
      </c>
      <c r="J125" s="534">
        <v>0</v>
      </c>
      <c r="K125" s="534">
        <v>57</v>
      </c>
      <c r="M125" s="617">
        <f t="shared" si="4"/>
        <v>9</v>
      </c>
      <c r="N125" s="617">
        <f t="shared" si="5"/>
        <v>844</v>
      </c>
      <c r="O125" s="617"/>
    </row>
    <row r="126" spans="2:15" ht="15" x14ac:dyDescent="0.25">
      <c r="B126" s="529">
        <v>121001</v>
      </c>
      <c r="C126" s="529">
        <v>122</v>
      </c>
      <c r="E126" s="534">
        <v>16</v>
      </c>
      <c r="F126" s="534">
        <v>1952</v>
      </c>
      <c r="G126" s="534">
        <v>778</v>
      </c>
      <c r="I126" s="534">
        <v>1</v>
      </c>
      <c r="J126" s="534">
        <v>122</v>
      </c>
      <c r="K126" s="534">
        <v>57</v>
      </c>
      <c r="M126" s="617">
        <f t="shared" si="4"/>
        <v>17</v>
      </c>
      <c r="N126" s="617">
        <f t="shared" si="5"/>
        <v>835</v>
      </c>
      <c r="O126" s="617"/>
    </row>
    <row r="127" spans="2:15" ht="15" x14ac:dyDescent="0.25">
      <c r="B127" s="529">
        <v>122001</v>
      </c>
      <c r="C127" s="529">
        <v>123</v>
      </c>
      <c r="E127" s="534">
        <v>12</v>
      </c>
      <c r="F127" s="534">
        <v>1476</v>
      </c>
      <c r="G127" s="534">
        <v>762</v>
      </c>
      <c r="I127" s="534">
        <v>0</v>
      </c>
      <c r="J127" s="534">
        <v>0</v>
      </c>
      <c r="K127" s="534">
        <v>56</v>
      </c>
      <c r="M127" s="617">
        <f t="shared" si="4"/>
        <v>12</v>
      </c>
      <c r="N127" s="617">
        <f t="shared" si="5"/>
        <v>818</v>
      </c>
      <c r="O127" s="617"/>
    </row>
    <row r="128" spans="2:15" ht="15" x14ac:dyDescent="0.25">
      <c r="B128" s="529">
        <v>123001</v>
      </c>
      <c r="C128" s="529">
        <v>124</v>
      </c>
      <c r="E128" s="534">
        <v>9</v>
      </c>
      <c r="F128" s="534">
        <v>1116</v>
      </c>
      <c r="G128" s="534">
        <v>750</v>
      </c>
      <c r="I128" s="534">
        <v>0</v>
      </c>
      <c r="J128" s="534">
        <v>0</v>
      </c>
      <c r="K128" s="534">
        <v>56</v>
      </c>
      <c r="M128" s="617">
        <f t="shared" si="4"/>
        <v>9</v>
      </c>
      <c r="N128" s="617">
        <f t="shared" si="5"/>
        <v>806</v>
      </c>
      <c r="O128" s="617"/>
    </row>
    <row r="129" spans="2:15" ht="15" x14ac:dyDescent="0.25">
      <c r="B129" s="529">
        <v>124001</v>
      </c>
      <c r="C129" s="529">
        <v>125</v>
      </c>
      <c r="E129" s="534">
        <v>9</v>
      </c>
      <c r="F129" s="534">
        <v>1125</v>
      </c>
      <c r="G129" s="534">
        <v>741</v>
      </c>
      <c r="I129" s="534">
        <v>0</v>
      </c>
      <c r="J129" s="534">
        <v>0</v>
      </c>
      <c r="K129" s="534">
        <v>56</v>
      </c>
      <c r="M129" s="617">
        <f t="shared" si="4"/>
        <v>9</v>
      </c>
      <c r="N129" s="617">
        <f t="shared" si="5"/>
        <v>797</v>
      </c>
      <c r="O129" s="617"/>
    </row>
    <row r="130" spans="2:15" ht="15" x14ac:dyDescent="0.25">
      <c r="B130" s="529">
        <v>125001</v>
      </c>
      <c r="C130" s="529">
        <v>126</v>
      </c>
      <c r="E130" s="534">
        <v>9</v>
      </c>
      <c r="F130" s="534">
        <v>1134</v>
      </c>
      <c r="G130" s="534">
        <v>732</v>
      </c>
      <c r="I130" s="534">
        <v>1</v>
      </c>
      <c r="J130" s="534">
        <v>126</v>
      </c>
      <c r="K130" s="534">
        <v>56</v>
      </c>
      <c r="M130" s="617">
        <f t="shared" si="4"/>
        <v>10</v>
      </c>
      <c r="N130" s="617">
        <f t="shared" si="5"/>
        <v>788</v>
      </c>
      <c r="O130" s="617"/>
    </row>
    <row r="131" spans="2:15" ht="15" x14ac:dyDescent="0.25">
      <c r="B131" s="529">
        <v>126001</v>
      </c>
      <c r="C131" s="529">
        <v>127</v>
      </c>
      <c r="E131" s="534">
        <v>6</v>
      </c>
      <c r="F131" s="534">
        <v>762</v>
      </c>
      <c r="G131" s="534">
        <v>723</v>
      </c>
      <c r="I131" s="534">
        <v>1</v>
      </c>
      <c r="J131" s="534">
        <v>127</v>
      </c>
      <c r="K131" s="534">
        <v>55</v>
      </c>
      <c r="M131" s="617">
        <f t="shared" si="4"/>
        <v>7</v>
      </c>
      <c r="N131" s="617">
        <f t="shared" si="5"/>
        <v>778</v>
      </c>
      <c r="O131" s="617"/>
    </row>
    <row r="132" spans="2:15" ht="15" x14ac:dyDescent="0.25">
      <c r="B132" s="529">
        <v>127001</v>
      </c>
      <c r="C132" s="529">
        <v>128</v>
      </c>
      <c r="E132" s="534">
        <v>7</v>
      </c>
      <c r="F132" s="534">
        <v>896</v>
      </c>
      <c r="G132" s="534">
        <v>717</v>
      </c>
      <c r="I132" s="534">
        <v>0</v>
      </c>
      <c r="J132" s="534">
        <v>0</v>
      </c>
      <c r="K132" s="534">
        <v>54</v>
      </c>
      <c r="M132" s="617">
        <f t="shared" si="4"/>
        <v>7</v>
      </c>
      <c r="N132" s="617">
        <f t="shared" si="5"/>
        <v>771</v>
      </c>
      <c r="O132" s="617"/>
    </row>
    <row r="133" spans="2:15" ht="15" x14ac:dyDescent="0.25">
      <c r="B133" s="529">
        <v>128001</v>
      </c>
      <c r="C133" s="529">
        <v>129</v>
      </c>
      <c r="E133" s="534">
        <v>10</v>
      </c>
      <c r="F133" s="534">
        <v>1290</v>
      </c>
      <c r="G133" s="534">
        <v>710</v>
      </c>
      <c r="I133" s="534">
        <v>0</v>
      </c>
      <c r="J133" s="534">
        <v>0</v>
      </c>
      <c r="K133" s="534">
        <v>54</v>
      </c>
      <c r="M133" s="617">
        <f t="shared" ref="M133:M196" si="6">I133+E133</f>
        <v>10</v>
      </c>
      <c r="N133" s="617">
        <f t="shared" ref="N133:N196" si="7">K133+G133</f>
        <v>764</v>
      </c>
      <c r="O133" s="617"/>
    </row>
    <row r="134" spans="2:15" ht="15" x14ac:dyDescent="0.25">
      <c r="B134" s="529">
        <v>129001</v>
      </c>
      <c r="C134" s="529">
        <v>130</v>
      </c>
      <c r="E134" s="534">
        <v>7</v>
      </c>
      <c r="F134" s="534">
        <v>910</v>
      </c>
      <c r="G134" s="534">
        <v>700</v>
      </c>
      <c r="I134" s="534">
        <v>0</v>
      </c>
      <c r="J134" s="534">
        <v>0</v>
      </c>
      <c r="K134" s="534">
        <v>54</v>
      </c>
      <c r="M134" s="617">
        <f t="shared" si="6"/>
        <v>7</v>
      </c>
      <c r="N134" s="617">
        <f t="shared" si="7"/>
        <v>754</v>
      </c>
      <c r="O134" s="617"/>
    </row>
    <row r="135" spans="2:15" ht="15" x14ac:dyDescent="0.25">
      <c r="B135" s="529">
        <v>130001</v>
      </c>
      <c r="C135" s="529">
        <v>131</v>
      </c>
      <c r="E135" s="534">
        <v>3</v>
      </c>
      <c r="F135" s="534">
        <v>393</v>
      </c>
      <c r="G135" s="534">
        <v>693</v>
      </c>
      <c r="I135" s="534">
        <v>0</v>
      </c>
      <c r="J135" s="534">
        <v>0</v>
      </c>
      <c r="K135" s="534">
        <v>54</v>
      </c>
      <c r="M135" s="617">
        <f t="shared" si="6"/>
        <v>3</v>
      </c>
      <c r="N135" s="617">
        <f t="shared" si="7"/>
        <v>747</v>
      </c>
      <c r="O135" s="617"/>
    </row>
    <row r="136" spans="2:15" ht="15" x14ac:dyDescent="0.25">
      <c r="B136" s="529">
        <v>131001</v>
      </c>
      <c r="C136" s="529">
        <v>132</v>
      </c>
      <c r="E136" s="534">
        <v>8</v>
      </c>
      <c r="F136" s="534">
        <v>1056</v>
      </c>
      <c r="G136" s="534">
        <v>690</v>
      </c>
      <c r="I136" s="534">
        <v>0</v>
      </c>
      <c r="J136" s="534">
        <v>0</v>
      </c>
      <c r="K136" s="534">
        <v>54</v>
      </c>
      <c r="M136" s="617">
        <f t="shared" si="6"/>
        <v>8</v>
      </c>
      <c r="N136" s="617">
        <f t="shared" si="7"/>
        <v>744</v>
      </c>
      <c r="O136" s="617"/>
    </row>
    <row r="137" spans="2:15" ht="15" x14ac:dyDescent="0.25">
      <c r="B137" s="529">
        <v>132001</v>
      </c>
      <c r="C137" s="529">
        <v>133</v>
      </c>
      <c r="E137" s="534">
        <v>5</v>
      </c>
      <c r="F137" s="534">
        <v>665</v>
      </c>
      <c r="G137" s="534">
        <v>682</v>
      </c>
      <c r="I137" s="534">
        <v>0</v>
      </c>
      <c r="J137" s="534">
        <v>0</v>
      </c>
      <c r="K137" s="534">
        <v>54</v>
      </c>
      <c r="M137" s="617">
        <f t="shared" si="6"/>
        <v>5</v>
      </c>
      <c r="N137" s="617">
        <f t="shared" si="7"/>
        <v>736</v>
      </c>
      <c r="O137" s="617"/>
    </row>
    <row r="138" spans="2:15" ht="15" x14ac:dyDescent="0.25">
      <c r="B138" s="529">
        <v>133001</v>
      </c>
      <c r="C138" s="529">
        <v>134</v>
      </c>
      <c r="E138" s="534">
        <v>5</v>
      </c>
      <c r="F138" s="534">
        <v>670</v>
      </c>
      <c r="G138" s="534">
        <v>677</v>
      </c>
      <c r="I138" s="534">
        <v>0</v>
      </c>
      <c r="J138" s="534">
        <v>0</v>
      </c>
      <c r="K138" s="534">
        <v>54</v>
      </c>
      <c r="M138" s="617">
        <f t="shared" si="6"/>
        <v>5</v>
      </c>
      <c r="N138" s="617">
        <f t="shared" si="7"/>
        <v>731</v>
      </c>
      <c r="O138" s="617"/>
    </row>
    <row r="139" spans="2:15" ht="15" x14ac:dyDescent="0.25">
      <c r="B139" s="529">
        <v>134001</v>
      </c>
      <c r="C139" s="529">
        <v>135</v>
      </c>
      <c r="E139" s="534">
        <v>4</v>
      </c>
      <c r="F139" s="534">
        <v>540</v>
      </c>
      <c r="G139" s="534">
        <v>672</v>
      </c>
      <c r="I139" s="534">
        <v>0</v>
      </c>
      <c r="J139" s="534">
        <v>0</v>
      </c>
      <c r="K139" s="534">
        <v>54</v>
      </c>
      <c r="M139" s="617">
        <f t="shared" si="6"/>
        <v>4</v>
      </c>
      <c r="N139" s="617">
        <f t="shared" si="7"/>
        <v>726</v>
      </c>
      <c r="O139" s="617"/>
    </row>
    <row r="140" spans="2:15" ht="15" x14ac:dyDescent="0.25">
      <c r="B140" s="529">
        <v>135001</v>
      </c>
      <c r="C140" s="529">
        <v>136</v>
      </c>
      <c r="E140" s="534">
        <v>9</v>
      </c>
      <c r="F140" s="534">
        <v>1224</v>
      </c>
      <c r="G140" s="534">
        <v>668</v>
      </c>
      <c r="I140" s="534">
        <v>0</v>
      </c>
      <c r="J140" s="534">
        <v>0</v>
      </c>
      <c r="K140" s="534">
        <v>54</v>
      </c>
      <c r="M140" s="617">
        <f t="shared" si="6"/>
        <v>9</v>
      </c>
      <c r="N140" s="617">
        <f t="shared" si="7"/>
        <v>722</v>
      </c>
      <c r="O140" s="617"/>
    </row>
    <row r="141" spans="2:15" ht="15" x14ac:dyDescent="0.25">
      <c r="B141" s="529">
        <v>136001</v>
      </c>
      <c r="C141" s="529">
        <v>137</v>
      </c>
      <c r="E141" s="534">
        <v>4</v>
      </c>
      <c r="F141" s="534">
        <v>548</v>
      </c>
      <c r="G141" s="534">
        <v>659</v>
      </c>
      <c r="I141" s="534">
        <v>0</v>
      </c>
      <c r="J141" s="534">
        <v>0</v>
      </c>
      <c r="K141" s="534">
        <v>54</v>
      </c>
      <c r="M141" s="617">
        <f t="shared" si="6"/>
        <v>4</v>
      </c>
      <c r="N141" s="617">
        <f t="shared" si="7"/>
        <v>713</v>
      </c>
      <c r="O141" s="617"/>
    </row>
    <row r="142" spans="2:15" ht="15" x14ac:dyDescent="0.25">
      <c r="B142" s="529">
        <v>137001</v>
      </c>
      <c r="C142" s="529">
        <v>138</v>
      </c>
      <c r="E142" s="534">
        <v>7</v>
      </c>
      <c r="F142" s="534">
        <v>966</v>
      </c>
      <c r="G142" s="534">
        <v>655</v>
      </c>
      <c r="I142" s="534">
        <v>0</v>
      </c>
      <c r="J142" s="534">
        <v>0</v>
      </c>
      <c r="K142" s="534">
        <v>54</v>
      </c>
      <c r="M142" s="617">
        <f t="shared" si="6"/>
        <v>7</v>
      </c>
      <c r="N142" s="617">
        <f t="shared" si="7"/>
        <v>709</v>
      </c>
      <c r="O142" s="617"/>
    </row>
    <row r="143" spans="2:15" ht="15" x14ac:dyDescent="0.25">
      <c r="B143" s="529">
        <v>138001</v>
      </c>
      <c r="C143" s="529">
        <v>139</v>
      </c>
      <c r="E143" s="534">
        <v>6</v>
      </c>
      <c r="F143" s="534">
        <v>834</v>
      </c>
      <c r="G143" s="534">
        <v>648</v>
      </c>
      <c r="I143" s="534">
        <v>1</v>
      </c>
      <c r="J143" s="534">
        <v>139</v>
      </c>
      <c r="K143" s="534">
        <v>54</v>
      </c>
      <c r="M143" s="617">
        <f t="shared" si="6"/>
        <v>7</v>
      </c>
      <c r="N143" s="617">
        <f t="shared" si="7"/>
        <v>702</v>
      </c>
      <c r="O143" s="617"/>
    </row>
    <row r="144" spans="2:15" ht="15" x14ac:dyDescent="0.25">
      <c r="B144" s="529">
        <v>139001</v>
      </c>
      <c r="C144" s="529">
        <v>140</v>
      </c>
      <c r="E144" s="534">
        <v>9</v>
      </c>
      <c r="F144" s="534">
        <v>1260</v>
      </c>
      <c r="G144" s="534">
        <v>642</v>
      </c>
      <c r="I144" s="534">
        <v>0</v>
      </c>
      <c r="J144" s="534">
        <v>0</v>
      </c>
      <c r="K144" s="534">
        <v>53</v>
      </c>
      <c r="M144" s="617">
        <f t="shared" si="6"/>
        <v>9</v>
      </c>
      <c r="N144" s="617">
        <f t="shared" si="7"/>
        <v>695</v>
      </c>
      <c r="O144" s="617"/>
    </row>
    <row r="145" spans="2:15" ht="15" x14ac:dyDescent="0.25">
      <c r="B145" s="529">
        <v>140001</v>
      </c>
      <c r="C145" s="529">
        <v>141</v>
      </c>
      <c r="E145" s="534">
        <v>6</v>
      </c>
      <c r="F145" s="534">
        <v>846</v>
      </c>
      <c r="G145" s="534">
        <v>633</v>
      </c>
      <c r="I145" s="534">
        <v>0</v>
      </c>
      <c r="J145" s="534">
        <v>0</v>
      </c>
      <c r="K145" s="534">
        <v>53</v>
      </c>
      <c r="M145" s="617">
        <f t="shared" si="6"/>
        <v>6</v>
      </c>
      <c r="N145" s="617">
        <f t="shared" si="7"/>
        <v>686</v>
      </c>
      <c r="O145" s="617"/>
    </row>
    <row r="146" spans="2:15" ht="15" x14ac:dyDescent="0.25">
      <c r="B146" s="529">
        <v>141001</v>
      </c>
      <c r="C146" s="529">
        <v>142</v>
      </c>
      <c r="E146" s="534">
        <v>3</v>
      </c>
      <c r="F146" s="534">
        <v>426</v>
      </c>
      <c r="G146" s="534">
        <v>627</v>
      </c>
      <c r="I146" s="534">
        <v>0</v>
      </c>
      <c r="J146" s="534">
        <v>0</v>
      </c>
      <c r="K146" s="534">
        <v>53</v>
      </c>
      <c r="M146" s="617">
        <f t="shared" si="6"/>
        <v>3</v>
      </c>
      <c r="N146" s="617">
        <f t="shared" si="7"/>
        <v>680</v>
      </c>
      <c r="O146" s="617"/>
    </row>
    <row r="147" spans="2:15" ht="15" x14ac:dyDescent="0.25">
      <c r="B147" s="529">
        <v>142001</v>
      </c>
      <c r="C147" s="529">
        <v>143</v>
      </c>
      <c r="E147" s="534">
        <v>4</v>
      </c>
      <c r="F147" s="534">
        <v>572</v>
      </c>
      <c r="G147" s="534">
        <v>624</v>
      </c>
      <c r="I147" s="534">
        <v>0</v>
      </c>
      <c r="J147" s="534">
        <v>0</v>
      </c>
      <c r="K147" s="534">
        <v>53</v>
      </c>
      <c r="M147" s="617">
        <f t="shared" si="6"/>
        <v>4</v>
      </c>
      <c r="N147" s="617">
        <f t="shared" si="7"/>
        <v>677</v>
      </c>
      <c r="O147" s="617"/>
    </row>
    <row r="148" spans="2:15" ht="15" x14ac:dyDescent="0.25">
      <c r="B148" s="529">
        <v>143001</v>
      </c>
      <c r="C148" s="529">
        <v>144</v>
      </c>
      <c r="E148" s="534">
        <v>3</v>
      </c>
      <c r="F148" s="534">
        <v>432</v>
      </c>
      <c r="G148" s="534">
        <v>620</v>
      </c>
      <c r="I148" s="534">
        <v>0</v>
      </c>
      <c r="J148" s="534">
        <v>0</v>
      </c>
      <c r="K148" s="534">
        <v>53</v>
      </c>
      <c r="M148" s="617">
        <f t="shared" si="6"/>
        <v>3</v>
      </c>
      <c r="N148" s="617">
        <f t="shared" si="7"/>
        <v>673</v>
      </c>
      <c r="O148" s="617"/>
    </row>
    <row r="149" spans="2:15" ht="15" x14ac:dyDescent="0.25">
      <c r="B149" s="529">
        <v>144001</v>
      </c>
      <c r="C149" s="529">
        <v>145</v>
      </c>
      <c r="E149" s="534">
        <v>4</v>
      </c>
      <c r="F149" s="534">
        <v>580</v>
      </c>
      <c r="G149" s="534">
        <v>617</v>
      </c>
      <c r="I149" s="534">
        <v>0</v>
      </c>
      <c r="J149" s="534">
        <v>0</v>
      </c>
      <c r="K149" s="534">
        <v>53</v>
      </c>
      <c r="M149" s="617">
        <f t="shared" si="6"/>
        <v>4</v>
      </c>
      <c r="N149" s="617">
        <f t="shared" si="7"/>
        <v>670</v>
      </c>
      <c r="O149" s="617"/>
    </row>
    <row r="150" spans="2:15" ht="15" x14ac:dyDescent="0.25">
      <c r="B150" s="529">
        <v>145001</v>
      </c>
      <c r="C150" s="529">
        <v>146</v>
      </c>
      <c r="E150" s="534">
        <v>4</v>
      </c>
      <c r="F150" s="534">
        <v>584</v>
      </c>
      <c r="G150" s="534">
        <v>613</v>
      </c>
      <c r="I150" s="534">
        <v>0</v>
      </c>
      <c r="J150" s="534">
        <v>0</v>
      </c>
      <c r="K150" s="534">
        <v>53</v>
      </c>
      <c r="M150" s="617">
        <f t="shared" si="6"/>
        <v>4</v>
      </c>
      <c r="N150" s="617">
        <f t="shared" si="7"/>
        <v>666</v>
      </c>
      <c r="O150" s="617"/>
    </row>
    <row r="151" spans="2:15" ht="15" x14ac:dyDescent="0.25">
      <c r="B151" s="529">
        <v>146001</v>
      </c>
      <c r="C151" s="529">
        <v>147</v>
      </c>
      <c r="E151" s="534">
        <v>7</v>
      </c>
      <c r="F151" s="534">
        <v>1029</v>
      </c>
      <c r="G151" s="534">
        <v>609</v>
      </c>
      <c r="I151" s="534">
        <v>0</v>
      </c>
      <c r="J151" s="534">
        <v>0</v>
      </c>
      <c r="K151" s="534">
        <v>53</v>
      </c>
      <c r="M151" s="617">
        <f t="shared" si="6"/>
        <v>7</v>
      </c>
      <c r="N151" s="617">
        <f t="shared" si="7"/>
        <v>662</v>
      </c>
      <c r="O151" s="617"/>
    </row>
    <row r="152" spans="2:15" ht="15" x14ac:dyDescent="0.25">
      <c r="B152" s="529">
        <v>147001</v>
      </c>
      <c r="C152" s="529">
        <v>148</v>
      </c>
      <c r="E152" s="534">
        <v>3</v>
      </c>
      <c r="F152" s="534">
        <v>444</v>
      </c>
      <c r="G152" s="534">
        <v>602</v>
      </c>
      <c r="I152" s="534">
        <v>0</v>
      </c>
      <c r="J152" s="534">
        <v>0</v>
      </c>
      <c r="K152" s="534">
        <v>53</v>
      </c>
      <c r="M152" s="617">
        <f t="shared" si="6"/>
        <v>3</v>
      </c>
      <c r="N152" s="617">
        <f t="shared" si="7"/>
        <v>655</v>
      </c>
      <c r="O152" s="617"/>
    </row>
    <row r="153" spans="2:15" ht="15" x14ac:dyDescent="0.25">
      <c r="B153" s="529">
        <v>148001</v>
      </c>
      <c r="C153" s="529">
        <v>149</v>
      </c>
      <c r="E153" s="534">
        <v>4</v>
      </c>
      <c r="F153" s="534">
        <v>596</v>
      </c>
      <c r="G153" s="534">
        <v>599</v>
      </c>
      <c r="I153" s="534">
        <v>1</v>
      </c>
      <c r="J153" s="534">
        <v>149</v>
      </c>
      <c r="K153" s="534">
        <v>53</v>
      </c>
      <c r="M153" s="617">
        <f t="shared" si="6"/>
        <v>5</v>
      </c>
      <c r="N153" s="617">
        <f t="shared" si="7"/>
        <v>652</v>
      </c>
      <c r="O153" s="617"/>
    </row>
    <row r="154" spans="2:15" ht="15" x14ac:dyDescent="0.25">
      <c r="B154" s="529">
        <v>149001</v>
      </c>
      <c r="C154" s="529">
        <v>150</v>
      </c>
      <c r="E154" s="534">
        <v>2</v>
      </c>
      <c r="F154" s="534">
        <v>300</v>
      </c>
      <c r="G154" s="534">
        <v>595</v>
      </c>
      <c r="I154" s="534">
        <v>3</v>
      </c>
      <c r="J154" s="534">
        <v>450</v>
      </c>
      <c r="K154" s="534">
        <v>52</v>
      </c>
      <c r="M154" s="617">
        <f t="shared" si="6"/>
        <v>5</v>
      </c>
      <c r="N154" s="617">
        <f t="shared" si="7"/>
        <v>647</v>
      </c>
      <c r="O154" s="617"/>
    </row>
    <row r="155" spans="2:15" ht="15" x14ac:dyDescent="0.25">
      <c r="B155" s="529">
        <v>150001</v>
      </c>
      <c r="C155" s="529">
        <v>151</v>
      </c>
      <c r="E155" s="534">
        <v>3</v>
      </c>
      <c r="F155" s="534">
        <v>453</v>
      </c>
      <c r="G155" s="534">
        <v>593</v>
      </c>
      <c r="I155" s="534">
        <v>1</v>
      </c>
      <c r="J155" s="534">
        <v>151</v>
      </c>
      <c r="K155" s="534">
        <v>49</v>
      </c>
      <c r="M155" s="617">
        <f t="shared" si="6"/>
        <v>4</v>
      </c>
      <c r="N155" s="617">
        <f t="shared" si="7"/>
        <v>642</v>
      </c>
      <c r="O155" s="617"/>
    </row>
    <row r="156" spans="2:15" ht="15" x14ac:dyDescent="0.25">
      <c r="B156" s="529">
        <v>151001</v>
      </c>
      <c r="C156" s="529">
        <v>152</v>
      </c>
      <c r="E156" s="534">
        <v>7</v>
      </c>
      <c r="F156" s="534">
        <v>1064</v>
      </c>
      <c r="G156" s="534">
        <v>590</v>
      </c>
      <c r="I156" s="534">
        <v>1</v>
      </c>
      <c r="J156" s="534">
        <v>152</v>
      </c>
      <c r="K156" s="534">
        <v>48</v>
      </c>
      <c r="M156" s="617">
        <f t="shared" si="6"/>
        <v>8</v>
      </c>
      <c r="N156" s="617">
        <f t="shared" si="7"/>
        <v>638</v>
      </c>
      <c r="O156" s="617"/>
    </row>
    <row r="157" spans="2:15" ht="15" x14ac:dyDescent="0.25">
      <c r="B157" s="529">
        <v>152001</v>
      </c>
      <c r="C157" s="529">
        <v>153</v>
      </c>
      <c r="E157" s="534">
        <v>5</v>
      </c>
      <c r="F157" s="534">
        <v>765</v>
      </c>
      <c r="G157" s="534">
        <v>583</v>
      </c>
      <c r="I157" s="534">
        <v>0</v>
      </c>
      <c r="J157" s="534">
        <v>0</v>
      </c>
      <c r="K157" s="534">
        <v>47</v>
      </c>
      <c r="M157" s="617">
        <f t="shared" si="6"/>
        <v>5</v>
      </c>
      <c r="N157" s="617">
        <f t="shared" si="7"/>
        <v>630</v>
      </c>
      <c r="O157" s="617"/>
    </row>
    <row r="158" spans="2:15" ht="15" x14ac:dyDescent="0.25">
      <c r="B158" s="529">
        <v>153001</v>
      </c>
      <c r="C158" s="529">
        <v>154</v>
      </c>
      <c r="E158" s="534">
        <v>3</v>
      </c>
      <c r="F158" s="534">
        <v>462</v>
      </c>
      <c r="G158" s="534">
        <v>578</v>
      </c>
      <c r="I158" s="534">
        <v>0</v>
      </c>
      <c r="J158" s="534">
        <v>0</v>
      </c>
      <c r="K158" s="534">
        <v>47</v>
      </c>
      <c r="M158" s="617">
        <f t="shared" si="6"/>
        <v>3</v>
      </c>
      <c r="N158" s="617">
        <f t="shared" si="7"/>
        <v>625</v>
      </c>
      <c r="O158" s="617"/>
    </row>
    <row r="159" spans="2:15" ht="15" x14ac:dyDescent="0.25">
      <c r="B159" s="529">
        <v>154001</v>
      </c>
      <c r="C159" s="529">
        <v>155</v>
      </c>
      <c r="E159" s="534">
        <v>5</v>
      </c>
      <c r="F159" s="534">
        <v>775</v>
      </c>
      <c r="G159" s="534">
        <v>575</v>
      </c>
      <c r="I159" s="534">
        <v>0</v>
      </c>
      <c r="J159" s="534">
        <v>0</v>
      </c>
      <c r="K159" s="534">
        <v>47</v>
      </c>
      <c r="M159" s="617">
        <f t="shared" si="6"/>
        <v>5</v>
      </c>
      <c r="N159" s="617">
        <f t="shared" si="7"/>
        <v>622</v>
      </c>
      <c r="O159" s="617"/>
    </row>
    <row r="160" spans="2:15" ht="15" x14ac:dyDescent="0.25">
      <c r="B160" s="529">
        <v>155001</v>
      </c>
      <c r="C160" s="529">
        <v>156</v>
      </c>
      <c r="E160" s="534">
        <v>3</v>
      </c>
      <c r="F160" s="534">
        <v>468</v>
      </c>
      <c r="G160" s="534">
        <v>570</v>
      </c>
      <c r="I160" s="534">
        <v>0</v>
      </c>
      <c r="J160" s="534">
        <v>0</v>
      </c>
      <c r="K160" s="534">
        <v>47</v>
      </c>
      <c r="M160" s="617">
        <f t="shared" si="6"/>
        <v>3</v>
      </c>
      <c r="N160" s="617">
        <f t="shared" si="7"/>
        <v>617</v>
      </c>
      <c r="O160" s="617"/>
    </row>
    <row r="161" spans="2:15" ht="15" x14ac:dyDescent="0.25">
      <c r="B161" s="529">
        <v>156001</v>
      </c>
      <c r="C161" s="529">
        <v>157</v>
      </c>
      <c r="E161" s="534">
        <v>5</v>
      </c>
      <c r="F161" s="534">
        <v>785</v>
      </c>
      <c r="G161" s="534">
        <v>567</v>
      </c>
      <c r="I161" s="534">
        <v>1</v>
      </c>
      <c r="J161" s="534">
        <v>157</v>
      </c>
      <c r="K161" s="534">
        <v>47</v>
      </c>
      <c r="M161" s="617">
        <f t="shared" si="6"/>
        <v>6</v>
      </c>
      <c r="N161" s="617">
        <f t="shared" si="7"/>
        <v>614</v>
      </c>
      <c r="O161" s="617"/>
    </row>
    <row r="162" spans="2:15" ht="15" x14ac:dyDescent="0.25">
      <c r="B162" s="529">
        <v>157001</v>
      </c>
      <c r="C162" s="529">
        <v>158</v>
      </c>
      <c r="E162" s="534">
        <v>3</v>
      </c>
      <c r="F162" s="534">
        <v>474</v>
      </c>
      <c r="G162" s="534">
        <v>562</v>
      </c>
      <c r="I162" s="534">
        <v>0</v>
      </c>
      <c r="J162" s="534">
        <v>0</v>
      </c>
      <c r="K162" s="534">
        <v>46</v>
      </c>
      <c r="M162" s="617">
        <f t="shared" si="6"/>
        <v>3</v>
      </c>
      <c r="N162" s="617">
        <f t="shared" si="7"/>
        <v>608</v>
      </c>
      <c r="O162" s="617"/>
    </row>
    <row r="163" spans="2:15" ht="15" x14ac:dyDescent="0.25">
      <c r="B163" s="529">
        <v>158001</v>
      </c>
      <c r="C163" s="529">
        <v>159</v>
      </c>
      <c r="E163" s="534">
        <v>0</v>
      </c>
      <c r="F163" s="534">
        <v>0</v>
      </c>
      <c r="G163" s="534">
        <v>559</v>
      </c>
      <c r="I163" s="534">
        <v>2</v>
      </c>
      <c r="J163" s="534">
        <v>318</v>
      </c>
      <c r="K163" s="534">
        <v>46</v>
      </c>
      <c r="M163" s="617">
        <f t="shared" si="6"/>
        <v>2</v>
      </c>
      <c r="N163" s="617">
        <f t="shared" si="7"/>
        <v>605</v>
      </c>
      <c r="O163" s="617"/>
    </row>
    <row r="164" spans="2:15" ht="15" x14ac:dyDescent="0.25">
      <c r="B164" s="529">
        <v>159001</v>
      </c>
      <c r="C164" s="529">
        <v>160</v>
      </c>
      <c r="E164" s="534">
        <v>3</v>
      </c>
      <c r="F164" s="534">
        <v>480</v>
      </c>
      <c r="G164" s="534">
        <v>559</v>
      </c>
      <c r="I164" s="534">
        <v>1</v>
      </c>
      <c r="J164" s="534">
        <v>160</v>
      </c>
      <c r="K164" s="534">
        <v>44</v>
      </c>
      <c r="M164" s="617">
        <f t="shared" si="6"/>
        <v>4</v>
      </c>
      <c r="N164" s="617">
        <f t="shared" si="7"/>
        <v>603</v>
      </c>
      <c r="O164" s="617"/>
    </row>
    <row r="165" spans="2:15" ht="15" x14ac:dyDescent="0.25">
      <c r="B165" s="529">
        <v>160001</v>
      </c>
      <c r="C165" s="529">
        <v>161</v>
      </c>
      <c r="E165" s="534">
        <v>3</v>
      </c>
      <c r="F165" s="534">
        <v>483</v>
      </c>
      <c r="G165" s="534">
        <v>556</v>
      </c>
      <c r="I165" s="534">
        <v>0</v>
      </c>
      <c r="J165" s="534">
        <v>0</v>
      </c>
      <c r="K165" s="534">
        <v>43</v>
      </c>
      <c r="M165" s="617">
        <f t="shared" si="6"/>
        <v>3</v>
      </c>
      <c r="N165" s="617">
        <f t="shared" si="7"/>
        <v>599</v>
      </c>
      <c r="O165" s="617"/>
    </row>
    <row r="166" spans="2:15" ht="15" x14ac:dyDescent="0.25">
      <c r="B166" s="529">
        <v>161001</v>
      </c>
      <c r="C166" s="529">
        <v>162</v>
      </c>
      <c r="E166" s="534">
        <v>2</v>
      </c>
      <c r="F166" s="534">
        <v>324</v>
      </c>
      <c r="G166" s="534">
        <v>553</v>
      </c>
      <c r="I166" s="534">
        <v>0</v>
      </c>
      <c r="J166" s="534">
        <v>0</v>
      </c>
      <c r="K166" s="534">
        <v>43</v>
      </c>
      <c r="M166" s="617">
        <f t="shared" si="6"/>
        <v>2</v>
      </c>
      <c r="N166" s="617">
        <f t="shared" si="7"/>
        <v>596</v>
      </c>
      <c r="O166" s="617"/>
    </row>
    <row r="167" spans="2:15" ht="15" x14ac:dyDescent="0.25">
      <c r="B167" s="529">
        <v>162001</v>
      </c>
      <c r="C167" s="529">
        <v>163</v>
      </c>
      <c r="E167" s="534">
        <v>4</v>
      </c>
      <c r="F167" s="534">
        <v>652</v>
      </c>
      <c r="G167" s="534">
        <v>551</v>
      </c>
      <c r="I167" s="534">
        <v>0</v>
      </c>
      <c r="J167" s="534">
        <v>0</v>
      </c>
      <c r="K167" s="534">
        <v>43</v>
      </c>
      <c r="M167" s="617">
        <f t="shared" si="6"/>
        <v>4</v>
      </c>
      <c r="N167" s="617">
        <f t="shared" si="7"/>
        <v>594</v>
      </c>
      <c r="O167" s="617"/>
    </row>
    <row r="168" spans="2:15" ht="15" x14ac:dyDescent="0.25">
      <c r="B168" s="529">
        <v>163001</v>
      </c>
      <c r="C168" s="529">
        <v>164</v>
      </c>
      <c r="E168" s="534">
        <v>5</v>
      </c>
      <c r="F168" s="534">
        <v>820</v>
      </c>
      <c r="G168" s="534">
        <v>547</v>
      </c>
      <c r="I168" s="534">
        <v>0</v>
      </c>
      <c r="J168" s="534">
        <v>0</v>
      </c>
      <c r="K168" s="534">
        <v>43</v>
      </c>
      <c r="M168" s="617">
        <f t="shared" si="6"/>
        <v>5</v>
      </c>
      <c r="N168" s="617">
        <f t="shared" si="7"/>
        <v>590</v>
      </c>
      <c r="O168" s="617"/>
    </row>
    <row r="169" spans="2:15" ht="15" x14ac:dyDescent="0.25">
      <c r="B169" s="529">
        <v>164001</v>
      </c>
      <c r="C169" s="529">
        <v>165</v>
      </c>
      <c r="E169" s="534">
        <v>5</v>
      </c>
      <c r="F169" s="534">
        <v>825</v>
      </c>
      <c r="G169" s="534">
        <v>542</v>
      </c>
      <c r="I169" s="534">
        <v>1</v>
      </c>
      <c r="J169" s="534">
        <v>165</v>
      </c>
      <c r="K169" s="534">
        <v>43</v>
      </c>
      <c r="M169" s="617">
        <f t="shared" si="6"/>
        <v>6</v>
      </c>
      <c r="N169" s="617">
        <f t="shared" si="7"/>
        <v>585</v>
      </c>
      <c r="O169" s="617"/>
    </row>
    <row r="170" spans="2:15" ht="15" x14ac:dyDescent="0.25">
      <c r="B170" s="529">
        <v>165001</v>
      </c>
      <c r="C170" s="529">
        <v>166</v>
      </c>
      <c r="E170" s="534">
        <v>3</v>
      </c>
      <c r="F170" s="534">
        <v>498</v>
      </c>
      <c r="G170" s="534">
        <v>537</v>
      </c>
      <c r="I170" s="534">
        <v>0</v>
      </c>
      <c r="J170" s="534">
        <v>0</v>
      </c>
      <c r="K170" s="534">
        <v>42</v>
      </c>
      <c r="M170" s="617">
        <f t="shared" si="6"/>
        <v>3</v>
      </c>
      <c r="N170" s="617">
        <f t="shared" si="7"/>
        <v>579</v>
      </c>
      <c r="O170" s="617"/>
    </row>
    <row r="171" spans="2:15" ht="15" x14ac:dyDescent="0.25">
      <c r="B171" s="529">
        <v>166001</v>
      </c>
      <c r="C171" s="529">
        <v>167</v>
      </c>
      <c r="E171" s="534">
        <v>6</v>
      </c>
      <c r="F171" s="534">
        <v>1002</v>
      </c>
      <c r="G171" s="534">
        <v>534</v>
      </c>
      <c r="I171" s="534">
        <v>0</v>
      </c>
      <c r="J171" s="534">
        <v>0</v>
      </c>
      <c r="K171" s="534">
        <v>42</v>
      </c>
      <c r="M171" s="617">
        <f t="shared" si="6"/>
        <v>6</v>
      </c>
      <c r="N171" s="617">
        <f t="shared" si="7"/>
        <v>576</v>
      </c>
      <c r="O171" s="617"/>
    </row>
    <row r="172" spans="2:15" ht="15" x14ac:dyDescent="0.25">
      <c r="B172" s="529">
        <v>167001</v>
      </c>
      <c r="C172" s="529">
        <v>168</v>
      </c>
      <c r="E172" s="534">
        <v>4</v>
      </c>
      <c r="F172" s="534">
        <v>672</v>
      </c>
      <c r="G172" s="534">
        <v>528</v>
      </c>
      <c r="I172" s="534">
        <v>2</v>
      </c>
      <c r="J172" s="534">
        <v>336</v>
      </c>
      <c r="K172" s="534">
        <v>42</v>
      </c>
      <c r="M172" s="617">
        <f t="shared" si="6"/>
        <v>6</v>
      </c>
      <c r="N172" s="617">
        <f t="shared" si="7"/>
        <v>570</v>
      </c>
      <c r="O172" s="617"/>
    </row>
    <row r="173" spans="2:15" ht="15" x14ac:dyDescent="0.25">
      <c r="B173" s="529">
        <v>168001</v>
      </c>
      <c r="C173" s="529">
        <v>169</v>
      </c>
      <c r="E173" s="534">
        <v>3</v>
      </c>
      <c r="F173" s="534">
        <v>507</v>
      </c>
      <c r="G173" s="534">
        <v>524</v>
      </c>
      <c r="I173" s="534">
        <v>0</v>
      </c>
      <c r="J173" s="534">
        <v>0</v>
      </c>
      <c r="K173" s="534">
        <v>40</v>
      </c>
      <c r="M173" s="617">
        <f t="shared" si="6"/>
        <v>3</v>
      </c>
      <c r="N173" s="617">
        <f t="shared" si="7"/>
        <v>564</v>
      </c>
      <c r="O173" s="617"/>
    </row>
    <row r="174" spans="2:15" ht="15" x14ac:dyDescent="0.25">
      <c r="B174" s="529">
        <v>169001</v>
      </c>
      <c r="C174" s="529">
        <v>170</v>
      </c>
      <c r="E174" s="534">
        <v>5</v>
      </c>
      <c r="F174" s="534">
        <v>850</v>
      </c>
      <c r="G174" s="534">
        <v>521</v>
      </c>
      <c r="I174" s="534">
        <v>2</v>
      </c>
      <c r="J174" s="534">
        <v>340</v>
      </c>
      <c r="K174" s="534">
        <v>40</v>
      </c>
      <c r="M174" s="617">
        <f t="shared" si="6"/>
        <v>7</v>
      </c>
      <c r="N174" s="617">
        <f t="shared" si="7"/>
        <v>561</v>
      </c>
      <c r="O174" s="617"/>
    </row>
    <row r="175" spans="2:15" ht="15" x14ac:dyDescent="0.25">
      <c r="B175" s="529">
        <v>170001</v>
      </c>
      <c r="C175" s="529">
        <v>171</v>
      </c>
      <c r="E175" s="534">
        <v>2</v>
      </c>
      <c r="F175" s="534">
        <v>342</v>
      </c>
      <c r="G175" s="534">
        <v>516</v>
      </c>
      <c r="I175" s="534">
        <v>0</v>
      </c>
      <c r="J175" s="534">
        <v>0</v>
      </c>
      <c r="K175" s="534">
        <v>38</v>
      </c>
      <c r="M175" s="617">
        <f t="shared" si="6"/>
        <v>2</v>
      </c>
      <c r="N175" s="617">
        <f t="shared" si="7"/>
        <v>554</v>
      </c>
      <c r="O175" s="617"/>
    </row>
    <row r="176" spans="2:15" ht="15" x14ac:dyDescent="0.25">
      <c r="B176" s="529">
        <v>171001</v>
      </c>
      <c r="C176" s="529">
        <v>172</v>
      </c>
      <c r="E176" s="534">
        <v>2</v>
      </c>
      <c r="F176" s="534">
        <v>344</v>
      </c>
      <c r="G176" s="534">
        <v>514</v>
      </c>
      <c r="I176" s="534">
        <v>1</v>
      </c>
      <c r="J176" s="534">
        <v>172</v>
      </c>
      <c r="K176" s="534">
        <v>38</v>
      </c>
      <c r="M176" s="617">
        <f t="shared" si="6"/>
        <v>3</v>
      </c>
      <c r="N176" s="617">
        <f t="shared" si="7"/>
        <v>552</v>
      </c>
      <c r="O176" s="617"/>
    </row>
    <row r="177" spans="2:15" ht="15" x14ac:dyDescent="0.25">
      <c r="B177" s="529">
        <v>172001</v>
      </c>
      <c r="C177" s="529">
        <v>173</v>
      </c>
      <c r="E177" s="534">
        <v>3</v>
      </c>
      <c r="F177" s="534">
        <v>519</v>
      </c>
      <c r="G177" s="534">
        <v>512</v>
      </c>
      <c r="I177" s="534">
        <v>0</v>
      </c>
      <c r="J177" s="534">
        <v>0</v>
      </c>
      <c r="K177" s="534">
        <v>37</v>
      </c>
      <c r="M177" s="617">
        <f t="shared" si="6"/>
        <v>3</v>
      </c>
      <c r="N177" s="617">
        <f t="shared" si="7"/>
        <v>549</v>
      </c>
      <c r="O177" s="617"/>
    </row>
    <row r="178" spans="2:15" ht="15" x14ac:dyDescent="0.25">
      <c r="B178" s="529">
        <v>173001</v>
      </c>
      <c r="C178" s="529">
        <v>174</v>
      </c>
      <c r="E178" s="534">
        <v>3</v>
      </c>
      <c r="F178" s="534">
        <v>522</v>
      </c>
      <c r="G178" s="534">
        <v>509</v>
      </c>
      <c r="I178" s="534">
        <v>1</v>
      </c>
      <c r="J178" s="534">
        <v>174</v>
      </c>
      <c r="K178" s="534">
        <v>37</v>
      </c>
      <c r="M178" s="617">
        <f t="shared" si="6"/>
        <v>4</v>
      </c>
      <c r="N178" s="617">
        <f t="shared" si="7"/>
        <v>546</v>
      </c>
      <c r="O178" s="617"/>
    </row>
    <row r="179" spans="2:15" ht="15" x14ac:dyDescent="0.25">
      <c r="B179" s="529">
        <v>174001</v>
      </c>
      <c r="C179" s="529">
        <v>175</v>
      </c>
      <c r="E179" s="534">
        <v>0</v>
      </c>
      <c r="F179" s="534">
        <v>0</v>
      </c>
      <c r="G179" s="534">
        <v>506</v>
      </c>
      <c r="I179" s="534">
        <v>0</v>
      </c>
      <c r="J179" s="534">
        <v>0</v>
      </c>
      <c r="K179" s="534">
        <v>36</v>
      </c>
      <c r="M179" s="617">
        <f t="shared" si="6"/>
        <v>0</v>
      </c>
      <c r="N179" s="617">
        <f t="shared" si="7"/>
        <v>542</v>
      </c>
      <c r="O179" s="617"/>
    </row>
    <row r="180" spans="2:15" ht="15" x14ac:dyDescent="0.25">
      <c r="B180" s="529">
        <v>175001</v>
      </c>
      <c r="C180" s="529">
        <v>176</v>
      </c>
      <c r="E180" s="534">
        <v>6</v>
      </c>
      <c r="F180" s="534">
        <v>1056</v>
      </c>
      <c r="G180" s="534">
        <v>506</v>
      </c>
      <c r="I180" s="534">
        <v>0</v>
      </c>
      <c r="J180" s="534">
        <v>0</v>
      </c>
      <c r="K180" s="534">
        <v>36</v>
      </c>
      <c r="M180" s="617">
        <f t="shared" si="6"/>
        <v>6</v>
      </c>
      <c r="N180" s="617">
        <f t="shared" si="7"/>
        <v>542</v>
      </c>
      <c r="O180" s="617"/>
    </row>
    <row r="181" spans="2:15" ht="15" x14ac:dyDescent="0.25">
      <c r="B181" s="529">
        <v>176001</v>
      </c>
      <c r="C181" s="529">
        <v>177</v>
      </c>
      <c r="E181" s="534">
        <v>4</v>
      </c>
      <c r="F181" s="534">
        <v>708</v>
      </c>
      <c r="G181" s="534">
        <v>500</v>
      </c>
      <c r="I181" s="534">
        <v>0</v>
      </c>
      <c r="J181" s="534">
        <v>0</v>
      </c>
      <c r="K181" s="534">
        <v>36</v>
      </c>
      <c r="M181" s="617">
        <f t="shared" si="6"/>
        <v>4</v>
      </c>
      <c r="N181" s="617">
        <f t="shared" si="7"/>
        <v>536</v>
      </c>
      <c r="O181" s="617"/>
    </row>
    <row r="182" spans="2:15" ht="15" x14ac:dyDescent="0.25">
      <c r="B182" s="529">
        <v>177001</v>
      </c>
      <c r="C182" s="529">
        <v>178</v>
      </c>
      <c r="E182" s="534">
        <v>3</v>
      </c>
      <c r="F182" s="534">
        <v>534</v>
      </c>
      <c r="G182" s="534">
        <v>496</v>
      </c>
      <c r="I182" s="534">
        <v>0</v>
      </c>
      <c r="J182" s="534">
        <v>0</v>
      </c>
      <c r="K182" s="534">
        <v>36</v>
      </c>
      <c r="M182" s="617">
        <f t="shared" si="6"/>
        <v>3</v>
      </c>
      <c r="N182" s="617">
        <f t="shared" si="7"/>
        <v>532</v>
      </c>
      <c r="O182" s="617"/>
    </row>
    <row r="183" spans="2:15" ht="15" x14ac:dyDescent="0.25">
      <c r="B183" s="529">
        <v>178001</v>
      </c>
      <c r="C183" s="529">
        <v>179</v>
      </c>
      <c r="E183" s="534">
        <v>2</v>
      </c>
      <c r="F183" s="534">
        <v>358</v>
      </c>
      <c r="G183" s="534">
        <v>493</v>
      </c>
      <c r="I183" s="534">
        <v>1</v>
      </c>
      <c r="J183" s="534">
        <v>179</v>
      </c>
      <c r="K183" s="534">
        <v>36</v>
      </c>
      <c r="M183" s="617">
        <f t="shared" si="6"/>
        <v>3</v>
      </c>
      <c r="N183" s="617">
        <f t="shared" si="7"/>
        <v>529</v>
      </c>
      <c r="O183" s="617"/>
    </row>
    <row r="184" spans="2:15" ht="15" x14ac:dyDescent="0.25">
      <c r="B184" s="529">
        <v>179001</v>
      </c>
      <c r="C184" s="529">
        <v>180</v>
      </c>
      <c r="E184" s="534">
        <v>2</v>
      </c>
      <c r="F184" s="534">
        <v>360</v>
      </c>
      <c r="G184" s="534">
        <v>491</v>
      </c>
      <c r="I184" s="534">
        <v>2</v>
      </c>
      <c r="J184" s="534">
        <v>360</v>
      </c>
      <c r="K184" s="534">
        <v>35</v>
      </c>
      <c r="M184" s="617">
        <f t="shared" si="6"/>
        <v>4</v>
      </c>
      <c r="N184" s="617">
        <f t="shared" si="7"/>
        <v>526</v>
      </c>
      <c r="O184" s="617"/>
    </row>
    <row r="185" spans="2:15" ht="15" x14ac:dyDescent="0.25">
      <c r="B185" s="529">
        <v>180001</v>
      </c>
      <c r="C185" s="529">
        <v>181</v>
      </c>
      <c r="E185" s="534">
        <v>3</v>
      </c>
      <c r="F185" s="534">
        <v>543</v>
      </c>
      <c r="G185" s="534">
        <v>489</v>
      </c>
      <c r="I185" s="534">
        <v>0</v>
      </c>
      <c r="J185" s="534">
        <v>0</v>
      </c>
      <c r="K185" s="534">
        <v>33</v>
      </c>
      <c r="M185" s="617">
        <f t="shared" si="6"/>
        <v>3</v>
      </c>
      <c r="N185" s="617">
        <f t="shared" si="7"/>
        <v>522</v>
      </c>
      <c r="O185" s="617"/>
    </row>
    <row r="186" spans="2:15" ht="15" x14ac:dyDescent="0.25">
      <c r="B186" s="529">
        <v>181001</v>
      </c>
      <c r="C186" s="529">
        <v>182</v>
      </c>
      <c r="E186" s="534">
        <v>2</v>
      </c>
      <c r="F186" s="534">
        <v>364</v>
      </c>
      <c r="G186" s="534">
        <v>486</v>
      </c>
      <c r="I186" s="534">
        <v>0</v>
      </c>
      <c r="J186" s="534">
        <v>0</v>
      </c>
      <c r="K186" s="534">
        <v>33</v>
      </c>
      <c r="M186" s="617">
        <f t="shared" si="6"/>
        <v>2</v>
      </c>
      <c r="N186" s="617">
        <f t="shared" si="7"/>
        <v>519</v>
      </c>
      <c r="O186" s="617"/>
    </row>
    <row r="187" spans="2:15" ht="15" x14ac:dyDescent="0.25">
      <c r="B187" s="529">
        <v>182001</v>
      </c>
      <c r="C187" s="529">
        <v>183</v>
      </c>
      <c r="E187" s="534">
        <v>3</v>
      </c>
      <c r="F187" s="534">
        <v>549</v>
      </c>
      <c r="G187" s="534">
        <v>484</v>
      </c>
      <c r="I187" s="534">
        <v>0</v>
      </c>
      <c r="J187" s="534">
        <v>0</v>
      </c>
      <c r="K187" s="534">
        <v>33</v>
      </c>
      <c r="M187" s="617">
        <f t="shared" si="6"/>
        <v>3</v>
      </c>
      <c r="N187" s="617">
        <f t="shared" si="7"/>
        <v>517</v>
      </c>
      <c r="O187" s="617"/>
    </row>
    <row r="188" spans="2:15" ht="15" x14ac:dyDescent="0.25">
      <c r="B188" s="529">
        <v>183001</v>
      </c>
      <c r="C188" s="529">
        <v>184</v>
      </c>
      <c r="E188" s="534">
        <v>2</v>
      </c>
      <c r="F188" s="534">
        <v>368</v>
      </c>
      <c r="G188" s="534">
        <v>481</v>
      </c>
      <c r="I188" s="534">
        <v>0</v>
      </c>
      <c r="J188" s="534">
        <v>0</v>
      </c>
      <c r="K188" s="534">
        <v>33</v>
      </c>
      <c r="M188" s="617">
        <f t="shared" si="6"/>
        <v>2</v>
      </c>
      <c r="N188" s="617">
        <f t="shared" si="7"/>
        <v>514</v>
      </c>
      <c r="O188" s="617"/>
    </row>
    <row r="189" spans="2:15" ht="15" x14ac:dyDescent="0.25">
      <c r="B189" s="529">
        <v>184001</v>
      </c>
      <c r="C189" s="529">
        <v>185</v>
      </c>
      <c r="E189" s="534">
        <v>2</v>
      </c>
      <c r="F189" s="534">
        <v>370</v>
      </c>
      <c r="G189" s="534">
        <v>479</v>
      </c>
      <c r="I189" s="534">
        <v>0</v>
      </c>
      <c r="J189" s="534">
        <v>0</v>
      </c>
      <c r="K189" s="534">
        <v>33</v>
      </c>
      <c r="M189" s="617">
        <f t="shared" si="6"/>
        <v>2</v>
      </c>
      <c r="N189" s="617">
        <f t="shared" si="7"/>
        <v>512</v>
      </c>
      <c r="O189" s="617"/>
    </row>
    <row r="190" spans="2:15" ht="15" x14ac:dyDescent="0.25">
      <c r="B190" s="529">
        <v>185001</v>
      </c>
      <c r="C190" s="529">
        <v>186</v>
      </c>
      <c r="E190" s="534">
        <v>2</v>
      </c>
      <c r="F190" s="534">
        <v>372</v>
      </c>
      <c r="G190" s="534">
        <v>477</v>
      </c>
      <c r="I190" s="534">
        <v>1</v>
      </c>
      <c r="J190" s="534">
        <v>186</v>
      </c>
      <c r="K190" s="534">
        <v>33</v>
      </c>
      <c r="M190" s="617">
        <f t="shared" si="6"/>
        <v>3</v>
      </c>
      <c r="N190" s="617">
        <f t="shared" si="7"/>
        <v>510</v>
      </c>
      <c r="O190" s="617"/>
    </row>
    <row r="191" spans="2:15" ht="15" x14ac:dyDescent="0.25">
      <c r="B191" s="529">
        <v>186001</v>
      </c>
      <c r="C191" s="529">
        <v>187</v>
      </c>
      <c r="E191" s="534">
        <v>1</v>
      </c>
      <c r="F191" s="534">
        <v>187</v>
      </c>
      <c r="G191" s="534">
        <v>475</v>
      </c>
      <c r="I191" s="534">
        <v>0</v>
      </c>
      <c r="J191" s="534">
        <v>0</v>
      </c>
      <c r="K191" s="534">
        <v>32</v>
      </c>
      <c r="M191" s="617">
        <f t="shared" si="6"/>
        <v>1</v>
      </c>
      <c r="N191" s="617">
        <f t="shared" si="7"/>
        <v>507</v>
      </c>
      <c r="O191" s="617"/>
    </row>
    <row r="192" spans="2:15" ht="15" x14ac:dyDescent="0.25">
      <c r="B192" s="529">
        <v>187001</v>
      </c>
      <c r="C192" s="529">
        <v>188</v>
      </c>
      <c r="E192" s="534">
        <v>2</v>
      </c>
      <c r="F192" s="534">
        <v>376</v>
      </c>
      <c r="G192" s="534">
        <v>474</v>
      </c>
      <c r="I192" s="534">
        <v>1</v>
      </c>
      <c r="J192" s="534">
        <v>188</v>
      </c>
      <c r="K192" s="534">
        <v>32</v>
      </c>
      <c r="M192" s="617">
        <f t="shared" si="6"/>
        <v>3</v>
      </c>
      <c r="N192" s="617">
        <f t="shared" si="7"/>
        <v>506</v>
      </c>
      <c r="O192" s="617"/>
    </row>
    <row r="193" spans="2:15" ht="15" x14ac:dyDescent="0.25">
      <c r="B193" s="529">
        <v>188001</v>
      </c>
      <c r="C193" s="529">
        <v>189</v>
      </c>
      <c r="E193" s="534">
        <v>4</v>
      </c>
      <c r="F193" s="534">
        <v>756</v>
      </c>
      <c r="G193" s="534">
        <v>472</v>
      </c>
      <c r="I193" s="534">
        <v>0</v>
      </c>
      <c r="J193" s="534">
        <v>0</v>
      </c>
      <c r="K193" s="534">
        <v>31</v>
      </c>
      <c r="M193" s="617">
        <f t="shared" si="6"/>
        <v>4</v>
      </c>
      <c r="N193" s="617">
        <f t="shared" si="7"/>
        <v>503</v>
      </c>
      <c r="O193" s="617"/>
    </row>
    <row r="194" spans="2:15" ht="15" x14ac:dyDescent="0.25">
      <c r="B194" s="529">
        <v>189001</v>
      </c>
      <c r="C194" s="529">
        <v>190</v>
      </c>
      <c r="E194" s="534">
        <v>2</v>
      </c>
      <c r="F194" s="534">
        <v>380</v>
      </c>
      <c r="G194" s="534">
        <v>468</v>
      </c>
      <c r="I194" s="534">
        <v>0</v>
      </c>
      <c r="J194" s="534">
        <v>0</v>
      </c>
      <c r="K194" s="534">
        <v>31</v>
      </c>
      <c r="M194" s="617">
        <f t="shared" si="6"/>
        <v>2</v>
      </c>
      <c r="N194" s="617">
        <f t="shared" si="7"/>
        <v>499</v>
      </c>
      <c r="O194" s="617"/>
    </row>
    <row r="195" spans="2:15" ht="15" x14ac:dyDescent="0.25">
      <c r="B195" s="529">
        <v>190001</v>
      </c>
      <c r="C195" s="529">
        <v>191</v>
      </c>
      <c r="E195" s="534">
        <v>6</v>
      </c>
      <c r="F195" s="534">
        <v>1146</v>
      </c>
      <c r="G195" s="534">
        <v>466</v>
      </c>
      <c r="I195" s="534">
        <v>0</v>
      </c>
      <c r="J195" s="534">
        <v>0</v>
      </c>
      <c r="K195" s="534">
        <v>31</v>
      </c>
      <c r="M195" s="617">
        <f t="shared" si="6"/>
        <v>6</v>
      </c>
      <c r="N195" s="617">
        <f t="shared" si="7"/>
        <v>497</v>
      </c>
      <c r="O195" s="617"/>
    </row>
    <row r="196" spans="2:15" ht="15" x14ac:dyDescent="0.25">
      <c r="B196" s="529">
        <v>191001</v>
      </c>
      <c r="C196" s="529">
        <v>192</v>
      </c>
      <c r="E196" s="534">
        <v>2</v>
      </c>
      <c r="F196" s="534">
        <v>384</v>
      </c>
      <c r="G196" s="534">
        <v>460</v>
      </c>
      <c r="I196" s="534">
        <v>0</v>
      </c>
      <c r="J196" s="534">
        <v>0</v>
      </c>
      <c r="K196" s="534">
        <v>31</v>
      </c>
      <c r="M196" s="617">
        <f t="shared" si="6"/>
        <v>2</v>
      </c>
      <c r="N196" s="617">
        <f t="shared" si="7"/>
        <v>491</v>
      </c>
      <c r="O196" s="617"/>
    </row>
    <row r="197" spans="2:15" ht="15" x14ac:dyDescent="0.25">
      <c r="B197" s="529">
        <v>192001</v>
      </c>
      <c r="C197" s="529">
        <v>193</v>
      </c>
      <c r="E197" s="534">
        <v>5</v>
      </c>
      <c r="F197" s="534">
        <v>965</v>
      </c>
      <c r="G197" s="534">
        <v>458</v>
      </c>
      <c r="I197" s="534">
        <v>0</v>
      </c>
      <c r="J197" s="534">
        <v>0</v>
      </c>
      <c r="K197" s="534">
        <v>31</v>
      </c>
      <c r="M197" s="617">
        <f t="shared" ref="M197:M260" si="8">I197+E197</f>
        <v>5</v>
      </c>
      <c r="N197" s="617">
        <f t="shared" ref="N197:N260" si="9">K197+G197</f>
        <v>489</v>
      </c>
      <c r="O197" s="617"/>
    </row>
    <row r="198" spans="2:15" ht="15" x14ac:dyDescent="0.25">
      <c r="B198" s="529">
        <v>193001</v>
      </c>
      <c r="C198" s="529">
        <v>194</v>
      </c>
      <c r="E198" s="534">
        <v>3</v>
      </c>
      <c r="F198" s="534">
        <v>582</v>
      </c>
      <c r="G198" s="534">
        <v>453</v>
      </c>
      <c r="I198" s="534">
        <v>1</v>
      </c>
      <c r="J198" s="534">
        <v>194</v>
      </c>
      <c r="K198" s="534">
        <v>31</v>
      </c>
      <c r="M198" s="617">
        <f t="shared" si="8"/>
        <v>4</v>
      </c>
      <c r="N198" s="617">
        <f t="shared" si="9"/>
        <v>484</v>
      </c>
      <c r="O198" s="617"/>
    </row>
    <row r="199" spans="2:15" ht="15" x14ac:dyDescent="0.25">
      <c r="B199" s="529">
        <v>194001</v>
      </c>
      <c r="C199" s="529">
        <v>195</v>
      </c>
      <c r="E199" s="534">
        <v>2</v>
      </c>
      <c r="F199" s="534">
        <v>390</v>
      </c>
      <c r="G199" s="534">
        <v>450</v>
      </c>
      <c r="I199" s="534">
        <v>0</v>
      </c>
      <c r="J199" s="534">
        <v>0</v>
      </c>
      <c r="K199" s="534">
        <v>30</v>
      </c>
      <c r="M199" s="617">
        <f t="shared" si="8"/>
        <v>2</v>
      </c>
      <c r="N199" s="617">
        <f t="shared" si="9"/>
        <v>480</v>
      </c>
      <c r="O199" s="617"/>
    </row>
    <row r="200" spans="2:15" ht="15" x14ac:dyDescent="0.25">
      <c r="B200" s="529">
        <v>195001</v>
      </c>
      <c r="C200" s="529">
        <v>196</v>
      </c>
      <c r="E200" s="534">
        <v>5</v>
      </c>
      <c r="F200" s="534">
        <v>980</v>
      </c>
      <c r="G200" s="534">
        <v>448</v>
      </c>
      <c r="I200" s="534">
        <v>0</v>
      </c>
      <c r="J200" s="534">
        <v>0</v>
      </c>
      <c r="K200" s="534">
        <v>30</v>
      </c>
      <c r="M200" s="617">
        <f t="shared" si="8"/>
        <v>5</v>
      </c>
      <c r="N200" s="617">
        <f t="shared" si="9"/>
        <v>478</v>
      </c>
      <c r="O200" s="617"/>
    </row>
    <row r="201" spans="2:15" ht="15" x14ac:dyDescent="0.25">
      <c r="B201" s="529">
        <v>196001</v>
      </c>
      <c r="C201" s="529">
        <v>197</v>
      </c>
      <c r="E201" s="534">
        <v>2</v>
      </c>
      <c r="F201" s="534">
        <v>394</v>
      </c>
      <c r="G201" s="534">
        <v>443</v>
      </c>
      <c r="I201" s="534">
        <v>0</v>
      </c>
      <c r="J201" s="534">
        <v>0</v>
      </c>
      <c r="K201" s="534">
        <v>30</v>
      </c>
      <c r="M201" s="617">
        <f t="shared" si="8"/>
        <v>2</v>
      </c>
      <c r="N201" s="617">
        <f t="shared" si="9"/>
        <v>473</v>
      </c>
      <c r="O201" s="617"/>
    </row>
    <row r="202" spans="2:15" ht="15" x14ac:dyDescent="0.25">
      <c r="B202" s="529">
        <v>197001</v>
      </c>
      <c r="C202" s="529">
        <v>198</v>
      </c>
      <c r="E202" s="534">
        <v>6</v>
      </c>
      <c r="F202" s="534">
        <v>1188</v>
      </c>
      <c r="G202" s="534">
        <v>441</v>
      </c>
      <c r="I202" s="534">
        <v>0</v>
      </c>
      <c r="J202" s="534">
        <v>0</v>
      </c>
      <c r="K202" s="534">
        <v>30</v>
      </c>
      <c r="M202" s="617">
        <f t="shared" si="8"/>
        <v>6</v>
      </c>
      <c r="N202" s="617">
        <f t="shared" si="9"/>
        <v>471</v>
      </c>
      <c r="O202" s="617"/>
    </row>
    <row r="203" spans="2:15" ht="15" x14ac:dyDescent="0.25">
      <c r="B203" s="529">
        <v>198001</v>
      </c>
      <c r="C203" s="529">
        <v>199</v>
      </c>
      <c r="E203" s="534">
        <v>1</v>
      </c>
      <c r="F203" s="534">
        <v>199</v>
      </c>
      <c r="G203" s="534">
        <v>435</v>
      </c>
      <c r="I203" s="534">
        <v>0</v>
      </c>
      <c r="J203" s="534">
        <v>0</v>
      </c>
      <c r="K203" s="534">
        <v>30</v>
      </c>
      <c r="M203" s="617">
        <f t="shared" si="8"/>
        <v>1</v>
      </c>
      <c r="N203" s="617">
        <f t="shared" si="9"/>
        <v>465</v>
      </c>
      <c r="O203" s="617"/>
    </row>
    <row r="204" spans="2:15" ht="15" x14ac:dyDescent="0.25">
      <c r="B204" s="529">
        <v>199001</v>
      </c>
      <c r="C204" s="529">
        <v>200</v>
      </c>
      <c r="E204" s="534">
        <v>3</v>
      </c>
      <c r="F204" s="534">
        <v>600</v>
      </c>
      <c r="G204" s="534">
        <v>434</v>
      </c>
      <c r="I204" s="534">
        <v>0</v>
      </c>
      <c r="J204" s="534">
        <v>0</v>
      </c>
      <c r="K204" s="534">
        <v>30</v>
      </c>
      <c r="M204" s="617">
        <f t="shared" si="8"/>
        <v>3</v>
      </c>
      <c r="N204" s="617">
        <f t="shared" si="9"/>
        <v>464</v>
      </c>
      <c r="O204" s="617"/>
    </row>
    <row r="205" spans="2:15" ht="15" x14ac:dyDescent="0.25">
      <c r="B205" s="529">
        <v>200001</v>
      </c>
      <c r="C205" s="529">
        <v>201</v>
      </c>
      <c r="E205" s="534">
        <v>3</v>
      </c>
      <c r="F205" s="534">
        <v>603</v>
      </c>
      <c r="G205" s="534">
        <v>431</v>
      </c>
      <c r="I205" s="534">
        <v>0</v>
      </c>
      <c r="J205" s="534">
        <v>0</v>
      </c>
      <c r="K205" s="534">
        <v>30</v>
      </c>
      <c r="M205" s="617">
        <f t="shared" si="8"/>
        <v>3</v>
      </c>
      <c r="N205" s="617">
        <f t="shared" si="9"/>
        <v>461</v>
      </c>
      <c r="O205" s="617"/>
    </row>
    <row r="206" spans="2:15" ht="15" x14ac:dyDescent="0.25">
      <c r="B206" s="529">
        <v>201001</v>
      </c>
      <c r="C206" s="529">
        <v>202</v>
      </c>
      <c r="E206" s="534">
        <v>2</v>
      </c>
      <c r="F206" s="534">
        <v>404</v>
      </c>
      <c r="G206" s="534">
        <v>428</v>
      </c>
      <c r="I206" s="534">
        <v>0</v>
      </c>
      <c r="J206" s="534">
        <v>0</v>
      </c>
      <c r="K206" s="534">
        <v>30</v>
      </c>
      <c r="M206" s="617">
        <f t="shared" si="8"/>
        <v>2</v>
      </c>
      <c r="N206" s="617">
        <f t="shared" si="9"/>
        <v>458</v>
      </c>
      <c r="O206" s="617"/>
    </row>
    <row r="207" spans="2:15" ht="15" x14ac:dyDescent="0.25">
      <c r="B207" s="529">
        <v>202001</v>
      </c>
      <c r="C207" s="529">
        <v>203</v>
      </c>
      <c r="E207" s="534">
        <v>4</v>
      </c>
      <c r="F207" s="534">
        <v>812</v>
      </c>
      <c r="G207" s="534">
        <v>426</v>
      </c>
      <c r="I207" s="534">
        <v>0</v>
      </c>
      <c r="J207" s="534">
        <v>0</v>
      </c>
      <c r="K207" s="534">
        <v>30</v>
      </c>
      <c r="M207" s="617">
        <f t="shared" si="8"/>
        <v>4</v>
      </c>
      <c r="N207" s="617">
        <f t="shared" si="9"/>
        <v>456</v>
      </c>
      <c r="O207" s="617"/>
    </row>
    <row r="208" spans="2:15" ht="15" x14ac:dyDescent="0.25">
      <c r="B208" s="529">
        <v>203001</v>
      </c>
      <c r="C208" s="529">
        <v>204</v>
      </c>
      <c r="E208" s="534">
        <v>4</v>
      </c>
      <c r="F208" s="534">
        <v>816</v>
      </c>
      <c r="G208" s="534">
        <v>422</v>
      </c>
      <c r="I208" s="534">
        <v>1</v>
      </c>
      <c r="J208" s="534">
        <v>204</v>
      </c>
      <c r="K208" s="534">
        <v>30</v>
      </c>
      <c r="M208" s="617">
        <f t="shared" si="8"/>
        <v>5</v>
      </c>
      <c r="N208" s="617">
        <f t="shared" si="9"/>
        <v>452</v>
      </c>
      <c r="O208" s="617"/>
    </row>
    <row r="209" spans="2:15" ht="15" x14ac:dyDescent="0.25">
      <c r="B209" s="529">
        <v>204001</v>
      </c>
      <c r="C209" s="529">
        <v>205</v>
      </c>
      <c r="E209" s="534">
        <v>3</v>
      </c>
      <c r="F209" s="534">
        <v>615</v>
      </c>
      <c r="G209" s="534">
        <v>418</v>
      </c>
      <c r="I209" s="534">
        <v>0</v>
      </c>
      <c r="J209" s="534">
        <v>0</v>
      </c>
      <c r="K209" s="534">
        <v>29</v>
      </c>
      <c r="M209" s="617">
        <f t="shared" si="8"/>
        <v>3</v>
      </c>
      <c r="N209" s="617">
        <f t="shared" si="9"/>
        <v>447</v>
      </c>
      <c r="O209" s="617"/>
    </row>
    <row r="210" spans="2:15" ht="15" x14ac:dyDescent="0.25">
      <c r="B210" s="529">
        <v>205001</v>
      </c>
      <c r="C210" s="529">
        <v>206</v>
      </c>
      <c r="E210" s="534">
        <v>0</v>
      </c>
      <c r="F210" s="534">
        <v>0</v>
      </c>
      <c r="G210" s="534">
        <v>415</v>
      </c>
      <c r="I210" s="534">
        <v>0</v>
      </c>
      <c r="J210" s="534">
        <v>0</v>
      </c>
      <c r="K210" s="534">
        <v>29</v>
      </c>
      <c r="M210" s="617">
        <f t="shared" si="8"/>
        <v>0</v>
      </c>
      <c r="N210" s="617">
        <f t="shared" si="9"/>
        <v>444</v>
      </c>
      <c r="O210" s="617"/>
    </row>
    <row r="211" spans="2:15" ht="15" x14ac:dyDescent="0.25">
      <c r="B211" s="529">
        <v>206001</v>
      </c>
      <c r="C211" s="529">
        <v>207</v>
      </c>
      <c r="E211" s="534">
        <v>1</v>
      </c>
      <c r="F211" s="534">
        <v>207</v>
      </c>
      <c r="G211" s="534">
        <v>415</v>
      </c>
      <c r="I211" s="534">
        <v>0</v>
      </c>
      <c r="J211" s="534">
        <v>0</v>
      </c>
      <c r="K211" s="534">
        <v>29</v>
      </c>
      <c r="M211" s="617">
        <f t="shared" si="8"/>
        <v>1</v>
      </c>
      <c r="N211" s="617">
        <f t="shared" si="9"/>
        <v>444</v>
      </c>
      <c r="O211" s="617"/>
    </row>
    <row r="212" spans="2:15" ht="15" x14ac:dyDescent="0.25">
      <c r="B212" s="529">
        <v>207001</v>
      </c>
      <c r="C212" s="529">
        <v>208</v>
      </c>
      <c r="E212" s="534">
        <v>2</v>
      </c>
      <c r="F212" s="534">
        <v>416</v>
      </c>
      <c r="G212" s="534">
        <v>414</v>
      </c>
      <c r="I212" s="534">
        <v>0</v>
      </c>
      <c r="J212" s="534">
        <v>0</v>
      </c>
      <c r="K212" s="534">
        <v>29</v>
      </c>
      <c r="M212" s="617">
        <f t="shared" si="8"/>
        <v>2</v>
      </c>
      <c r="N212" s="617">
        <f t="shared" si="9"/>
        <v>443</v>
      </c>
      <c r="O212" s="617"/>
    </row>
    <row r="213" spans="2:15" ht="15" x14ac:dyDescent="0.25">
      <c r="B213" s="529">
        <v>208001</v>
      </c>
      <c r="C213" s="529">
        <v>209</v>
      </c>
      <c r="E213" s="534">
        <v>3</v>
      </c>
      <c r="F213" s="534">
        <v>627</v>
      </c>
      <c r="G213" s="534">
        <v>412</v>
      </c>
      <c r="I213" s="534">
        <v>0</v>
      </c>
      <c r="J213" s="534">
        <v>0</v>
      </c>
      <c r="K213" s="534">
        <v>29</v>
      </c>
      <c r="M213" s="617">
        <f t="shared" si="8"/>
        <v>3</v>
      </c>
      <c r="N213" s="617">
        <f t="shared" si="9"/>
        <v>441</v>
      </c>
      <c r="O213" s="617"/>
    </row>
    <row r="214" spans="2:15" ht="15" x14ac:dyDescent="0.25">
      <c r="B214" s="529">
        <v>209001</v>
      </c>
      <c r="C214" s="529">
        <v>210</v>
      </c>
      <c r="E214" s="534">
        <v>4</v>
      </c>
      <c r="F214" s="534">
        <v>840</v>
      </c>
      <c r="G214" s="534">
        <v>409</v>
      </c>
      <c r="I214" s="534">
        <v>0</v>
      </c>
      <c r="J214" s="534">
        <v>0</v>
      </c>
      <c r="K214" s="534">
        <v>29</v>
      </c>
      <c r="M214" s="617">
        <f t="shared" si="8"/>
        <v>4</v>
      </c>
      <c r="N214" s="617">
        <f t="shared" si="9"/>
        <v>438</v>
      </c>
      <c r="O214" s="617"/>
    </row>
    <row r="215" spans="2:15" ht="15" x14ac:dyDescent="0.25">
      <c r="B215" s="529">
        <v>210001</v>
      </c>
      <c r="C215" s="529">
        <v>211</v>
      </c>
      <c r="E215" s="534">
        <v>6</v>
      </c>
      <c r="F215" s="534">
        <v>1266</v>
      </c>
      <c r="G215" s="534">
        <v>405</v>
      </c>
      <c r="I215" s="534">
        <v>0</v>
      </c>
      <c r="J215" s="534">
        <v>0</v>
      </c>
      <c r="K215" s="534">
        <v>29</v>
      </c>
      <c r="M215" s="617">
        <f t="shared" si="8"/>
        <v>6</v>
      </c>
      <c r="N215" s="617">
        <f t="shared" si="9"/>
        <v>434</v>
      </c>
      <c r="O215" s="617"/>
    </row>
    <row r="216" spans="2:15" ht="15" x14ac:dyDescent="0.25">
      <c r="B216" s="529">
        <v>211001</v>
      </c>
      <c r="C216" s="529">
        <v>212</v>
      </c>
      <c r="E216" s="534">
        <v>2</v>
      </c>
      <c r="F216" s="534">
        <v>424</v>
      </c>
      <c r="G216" s="534">
        <v>399</v>
      </c>
      <c r="I216" s="534">
        <v>0</v>
      </c>
      <c r="J216" s="534">
        <v>0</v>
      </c>
      <c r="K216" s="534">
        <v>29</v>
      </c>
      <c r="M216" s="617">
        <f t="shared" si="8"/>
        <v>2</v>
      </c>
      <c r="N216" s="617">
        <f t="shared" si="9"/>
        <v>428</v>
      </c>
      <c r="O216" s="617"/>
    </row>
    <row r="217" spans="2:15" ht="15" x14ac:dyDescent="0.25">
      <c r="B217" s="529">
        <v>212001</v>
      </c>
      <c r="C217" s="529">
        <v>213</v>
      </c>
      <c r="E217" s="534">
        <v>1</v>
      </c>
      <c r="F217" s="534">
        <v>213</v>
      </c>
      <c r="G217" s="534">
        <v>397</v>
      </c>
      <c r="I217" s="534">
        <v>0</v>
      </c>
      <c r="J217" s="534">
        <v>0</v>
      </c>
      <c r="K217" s="534">
        <v>29</v>
      </c>
      <c r="M217" s="617">
        <f t="shared" si="8"/>
        <v>1</v>
      </c>
      <c r="N217" s="617">
        <f t="shared" si="9"/>
        <v>426</v>
      </c>
      <c r="O217" s="617"/>
    </row>
    <row r="218" spans="2:15" ht="15" x14ac:dyDescent="0.25">
      <c r="B218" s="529">
        <v>213001</v>
      </c>
      <c r="C218" s="529">
        <v>214</v>
      </c>
      <c r="E218" s="534">
        <v>2</v>
      </c>
      <c r="F218" s="534">
        <v>428</v>
      </c>
      <c r="G218" s="534">
        <v>396</v>
      </c>
      <c r="I218" s="534">
        <v>0</v>
      </c>
      <c r="J218" s="534">
        <v>0</v>
      </c>
      <c r="K218" s="534">
        <v>29</v>
      </c>
      <c r="M218" s="617">
        <f t="shared" si="8"/>
        <v>2</v>
      </c>
      <c r="N218" s="617">
        <f t="shared" si="9"/>
        <v>425</v>
      </c>
      <c r="O218" s="617"/>
    </row>
    <row r="219" spans="2:15" ht="15" x14ac:dyDescent="0.25">
      <c r="B219" s="529">
        <v>214001</v>
      </c>
      <c r="C219" s="529">
        <v>215</v>
      </c>
      <c r="E219" s="534">
        <v>2</v>
      </c>
      <c r="F219" s="534">
        <v>430</v>
      </c>
      <c r="G219" s="534">
        <v>394</v>
      </c>
      <c r="I219" s="534">
        <v>1</v>
      </c>
      <c r="J219" s="534">
        <v>215</v>
      </c>
      <c r="K219" s="534">
        <v>29</v>
      </c>
      <c r="M219" s="617">
        <f t="shared" si="8"/>
        <v>3</v>
      </c>
      <c r="N219" s="617">
        <f t="shared" si="9"/>
        <v>423</v>
      </c>
      <c r="O219" s="617"/>
    </row>
    <row r="220" spans="2:15" ht="15" x14ac:dyDescent="0.25">
      <c r="B220" s="529">
        <v>215001</v>
      </c>
      <c r="C220" s="529">
        <v>216</v>
      </c>
      <c r="E220" s="534">
        <v>5</v>
      </c>
      <c r="F220" s="534">
        <v>1080</v>
      </c>
      <c r="G220" s="534">
        <v>392</v>
      </c>
      <c r="I220" s="534">
        <v>1</v>
      </c>
      <c r="J220" s="534">
        <v>216</v>
      </c>
      <c r="K220" s="534">
        <v>28</v>
      </c>
      <c r="M220" s="617">
        <f t="shared" si="8"/>
        <v>6</v>
      </c>
      <c r="N220" s="617">
        <f t="shared" si="9"/>
        <v>420</v>
      </c>
      <c r="O220" s="617"/>
    </row>
    <row r="221" spans="2:15" ht="15" x14ac:dyDescent="0.25">
      <c r="B221" s="529">
        <v>216001</v>
      </c>
      <c r="C221" s="529">
        <v>217</v>
      </c>
      <c r="E221" s="534">
        <v>4</v>
      </c>
      <c r="F221" s="534">
        <v>868</v>
      </c>
      <c r="G221" s="534">
        <v>387</v>
      </c>
      <c r="I221" s="534">
        <v>0</v>
      </c>
      <c r="J221" s="534">
        <v>0</v>
      </c>
      <c r="K221" s="534">
        <v>27</v>
      </c>
      <c r="M221" s="617">
        <f t="shared" si="8"/>
        <v>4</v>
      </c>
      <c r="N221" s="617">
        <f t="shared" si="9"/>
        <v>414</v>
      </c>
      <c r="O221" s="617"/>
    </row>
    <row r="222" spans="2:15" ht="15" x14ac:dyDescent="0.25">
      <c r="B222" s="529">
        <v>217001</v>
      </c>
      <c r="C222" s="529">
        <v>218</v>
      </c>
      <c r="E222" s="534">
        <v>4</v>
      </c>
      <c r="F222" s="534">
        <v>872</v>
      </c>
      <c r="G222" s="534">
        <v>383</v>
      </c>
      <c r="I222" s="534">
        <v>0</v>
      </c>
      <c r="J222" s="534">
        <v>0</v>
      </c>
      <c r="K222" s="534">
        <v>27</v>
      </c>
      <c r="M222" s="617">
        <f t="shared" si="8"/>
        <v>4</v>
      </c>
      <c r="N222" s="617">
        <f t="shared" si="9"/>
        <v>410</v>
      </c>
      <c r="O222" s="617"/>
    </row>
    <row r="223" spans="2:15" ht="15" x14ac:dyDescent="0.25">
      <c r="B223" s="529">
        <v>218001</v>
      </c>
      <c r="C223" s="529">
        <v>219</v>
      </c>
      <c r="E223" s="534">
        <v>0</v>
      </c>
      <c r="F223" s="534">
        <v>0</v>
      </c>
      <c r="G223" s="534">
        <v>379</v>
      </c>
      <c r="I223" s="534">
        <v>0</v>
      </c>
      <c r="J223" s="534">
        <v>0</v>
      </c>
      <c r="K223" s="534">
        <v>27</v>
      </c>
      <c r="M223" s="617">
        <f t="shared" si="8"/>
        <v>0</v>
      </c>
      <c r="N223" s="617">
        <f t="shared" si="9"/>
        <v>406</v>
      </c>
      <c r="O223" s="617"/>
    </row>
    <row r="224" spans="2:15" ht="15" x14ac:dyDescent="0.25">
      <c r="B224" s="529">
        <v>219001</v>
      </c>
      <c r="C224" s="529">
        <v>220</v>
      </c>
      <c r="E224" s="534">
        <v>3</v>
      </c>
      <c r="F224" s="534">
        <v>660</v>
      </c>
      <c r="G224" s="534">
        <v>379</v>
      </c>
      <c r="I224" s="534">
        <v>0</v>
      </c>
      <c r="J224" s="534">
        <v>0</v>
      </c>
      <c r="K224" s="534">
        <v>27</v>
      </c>
      <c r="M224" s="617">
        <f t="shared" si="8"/>
        <v>3</v>
      </c>
      <c r="N224" s="617">
        <f t="shared" si="9"/>
        <v>406</v>
      </c>
      <c r="O224" s="617"/>
    </row>
    <row r="225" spans="2:15" ht="15" x14ac:dyDescent="0.25">
      <c r="B225" s="529">
        <v>220001</v>
      </c>
      <c r="C225" s="529">
        <v>221</v>
      </c>
      <c r="E225" s="534">
        <v>1</v>
      </c>
      <c r="F225" s="534">
        <v>221</v>
      </c>
      <c r="G225" s="534">
        <v>376</v>
      </c>
      <c r="I225" s="534">
        <v>0</v>
      </c>
      <c r="J225" s="534">
        <v>0</v>
      </c>
      <c r="K225" s="534">
        <v>27</v>
      </c>
      <c r="M225" s="617">
        <f t="shared" si="8"/>
        <v>1</v>
      </c>
      <c r="N225" s="617">
        <f t="shared" si="9"/>
        <v>403</v>
      </c>
      <c r="O225" s="617"/>
    </row>
    <row r="226" spans="2:15" ht="15" x14ac:dyDescent="0.25">
      <c r="B226" s="529">
        <v>221001</v>
      </c>
      <c r="C226" s="529">
        <v>222</v>
      </c>
      <c r="E226" s="534">
        <v>3</v>
      </c>
      <c r="F226" s="534">
        <v>666</v>
      </c>
      <c r="G226" s="534">
        <v>375</v>
      </c>
      <c r="I226" s="534">
        <v>0</v>
      </c>
      <c r="J226" s="534">
        <v>0</v>
      </c>
      <c r="K226" s="534">
        <v>27</v>
      </c>
      <c r="M226" s="617">
        <f t="shared" si="8"/>
        <v>3</v>
      </c>
      <c r="N226" s="617">
        <f t="shared" si="9"/>
        <v>402</v>
      </c>
      <c r="O226" s="617"/>
    </row>
    <row r="227" spans="2:15" ht="15" x14ac:dyDescent="0.25">
      <c r="B227" s="529">
        <v>222001</v>
      </c>
      <c r="C227" s="529">
        <v>223</v>
      </c>
      <c r="E227" s="534">
        <v>1</v>
      </c>
      <c r="F227" s="534">
        <v>223</v>
      </c>
      <c r="G227" s="534">
        <v>372</v>
      </c>
      <c r="I227" s="534">
        <v>0</v>
      </c>
      <c r="J227" s="534">
        <v>0</v>
      </c>
      <c r="K227" s="534">
        <v>27</v>
      </c>
      <c r="M227" s="617">
        <f t="shared" si="8"/>
        <v>1</v>
      </c>
      <c r="N227" s="617">
        <f t="shared" si="9"/>
        <v>399</v>
      </c>
      <c r="O227" s="617"/>
    </row>
    <row r="228" spans="2:15" ht="15" x14ac:dyDescent="0.25">
      <c r="B228" s="529">
        <v>223001</v>
      </c>
      <c r="C228" s="529">
        <v>224</v>
      </c>
      <c r="E228" s="534">
        <v>3</v>
      </c>
      <c r="F228" s="534">
        <v>672</v>
      </c>
      <c r="G228" s="534">
        <v>371</v>
      </c>
      <c r="I228" s="534">
        <v>1</v>
      </c>
      <c r="J228" s="534">
        <v>224</v>
      </c>
      <c r="K228" s="534">
        <v>27</v>
      </c>
      <c r="M228" s="617">
        <f t="shared" si="8"/>
        <v>4</v>
      </c>
      <c r="N228" s="617">
        <f t="shared" si="9"/>
        <v>398</v>
      </c>
      <c r="O228" s="617"/>
    </row>
    <row r="229" spans="2:15" ht="15" x14ac:dyDescent="0.25">
      <c r="B229" s="529">
        <v>224001</v>
      </c>
      <c r="C229" s="529">
        <v>225</v>
      </c>
      <c r="E229" s="534">
        <v>1</v>
      </c>
      <c r="F229" s="534">
        <v>225</v>
      </c>
      <c r="G229" s="534">
        <v>368</v>
      </c>
      <c r="I229" s="534">
        <v>0</v>
      </c>
      <c r="J229" s="534">
        <v>0</v>
      </c>
      <c r="K229" s="534">
        <v>26</v>
      </c>
      <c r="M229" s="617">
        <f t="shared" si="8"/>
        <v>1</v>
      </c>
      <c r="N229" s="617">
        <f t="shared" si="9"/>
        <v>394</v>
      </c>
      <c r="O229" s="617"/>
    </row>
    <row r="230" spans="2:15" ht="15" x14ac:dyDescent="0.25">
      <c r="B230" s="529">
        <v>225001</v>
      </c>
      <c r="C230" s="529">
        <v>226</v>
      </c>
      <c r="E230" s="534">
        <v>2</v>
      </c>
      <c r="F230" s="534">
        <v>452</v>
      </c>
      <c r="G230" s="534">
        <v>367</v>
      </c>
      <c r="I230" s="534">
        <v>1</v>
      </c>
      <c r="J230" s="534">
        <v>226</v>
      </c>
      <c r="K230" s="534">
        <v>26</v>
      </c>
      <c r="M230" s="617">
        <f t="shared" si="8"/>
        <v>3</v>
      </c>
      <c r="N230" s="617">
        <f t="shared" si="9"/>
        <v>393</v>
      </c>
      <c r="O230" s="617"/>
    </row>
    <row r="231" spans="2:15" ht="15" x14ac:dyDescent="0.25">
      <c r="B231" s="529">
        <v>226001</v>
      </c>
      <c r="C231" s="529">
        <v>227</v>
      </c>
      <c r="E231" s="534">
        <v>4</v>
      </c>
      <c r="F231" s="534">
        <v>908</v>
      </c>
      <c r="G231" s="534">
        <v>365</v>
      </c>
      <c r="I231" s="534">
        <v>0</v>
      </c>
      <c r="J231" s="534">
        <v>0</v>
      </c>
      <c r="K231" s="534">
        <v>25</v>
      </c>
      <c r="M231" s="617">
        <f t="shared" si="8"/>
        <v>4</v>
      </c>
      <c r="N231" s="617">
        <f t="shared" si="9"/>
        <v>390</v>
      </c>
      <c r="O231" s="617"/>
    </row>
    <row r="232" spans="2:15" ht="15" x14ac:dyDescent="0.25">
      <c r="B232" s="529">
        <v>227001</v>
      </c>
      <c r="C232" s="529">
        <v>228</v>
      </c>
      <c r="E232" s="534">
        <v>0</v>
      </c>
      <c r="F232" s="534">
        <v>0</v>
      </c>
      <c r="G232" s="534">
        <v>361</v>
      </c>
      <c r="I232" s="534">
        <v>0</v>
      </c>
      <c r="J232" s="534">
        <v>0</v>
      </c>
      <c r="K232" s="534">
        <v>25</v>
      </c>
      <c r="M232" s="617">
        <f t="shared" si="8"/>
        <v>0</v>
      </c>
      <c r="N232" s="617">
        <f t="shared" si="9"/>
        <v>386</v>
      </c>
      <c r="O232" s="617"/>
    </row>
    <row r="233" spans="2:15" ht="15" x14ac:dyDescent="0.25">
      <c r="B233" s="529">
        <v>228001</v>
      </c>
      <c r="C233" s="529">
        <v>229</v>
      </c>
      <c r="E233" s="534">
        <v>1</v>
      </c>
      <c r="F233" s="534">
        <v>229</v>
      </c>
      <c r="G233" s="534">
        <v>361</v>
      </c>
      <c r="I233" s="534">
        <v>0</v>
      </c>
      <c r="J233" s="534">
        <v>0</v>
      </c>
      <c r="K233" s="534">
        <v>25</v>
      </c>
      <c r="M233" s="617">
        <f t="shared" si="8"/>
        <v>1</v>
      </c>
      <c r="N233" s="617">
        <f t="shared" si="9"/>
        <v>386</v>
      </c>
      <c r="O233" s="617"/>
    </row>
    <row r="234" spans="2:15" ht="15" x14ac:dyDescent="0.25">
      <c r="B234" s="529">
        <v>229001</v>
      </c>
      <c r="C234" s="529">
        <v>230</v>
      </c>
      <c r="E234" s="534">
        <v>2</v>
      </c>
      <c r="F234" s="534">
        <v>460</v>
      </c>
      <c r="G234" s="534">
        <v>360</v>
      </c>
      <c r="I234" s="534">
        <v>0</v>
      </c>
      <c r="J234" s="534">
        <v>0</v>
      </c>
      <c r="K234" s="534">
        <v>25</v>
      </c>
      <c r="M234" s="617">
        <f t="shared" si="8"/>
        <v>2</v>
      </c>
      <c r="N234" s="617">
        <f t="shared" si="9"/>
        <v>385</v>
      </c>
      <c r="O234" s="617"/>
    </row>
    <row r="235" spans="2:15" ht="15" x14ac:dyDescent="0.25">
      <c r="B235" s="529">
        <v>230001</v>
      </c>
      <c r="C235" s="529">
        <v>231</v>
      </c>
      <c r="E235" s="534">
        <v>1</v>
      </c>
      <c r="F235" s="534">
        <v>231</v>
      </c>
      <c r="G235" s="534">
        <v>358</v>
      </c>
      <c r="I235" s="534">
        <v>1</v>
      </c>
      <c r="J235" s="534">
        <v>231</v>
      </c>
      <c r="K235" s="534">
        <v>25</v>
      </c>
      <c r="M235" s="617">
        <f t="shared" si="8"/>
        <v>2</v>
      </c>
      <c r="N235" s="617">
        <f t="shared" si="9"/>
        <v>383</v>
      </c>
      <c r="O235" s="617"/>
    </row>
    <row r="236" spans="2:15" ht="15" x14ac:dyDescent="0.25">
      <c r="B236" s="529">
        <v>231001</v>
      </c>
      <c r="C236" s="529">
        <v>232</v>
      </c>
      <c r="E236" s="534">
        <v>0</v>
      </c>
      <c r="F236" s="534">
        <v>0</v>
      </c>
      <c r="G236" s="534">
        <v>357</v>
      </c>
      <c r="I236" s="534">
        <v>0</v>
      </c>
      <c r="J236" s="534">
        <v>0</v>
      </c>
      <c r="K236" s="534">
        <v>24</v>
      </c>
      <c r="M236" s="617">
        <f t="shared" si="8"/>
        <v>0</v>
      </c>
      <c r="N236" s="617">
        <f t="shared" si="9"/>
        <v>381</v>
      </c>
      <c r="O236" s="617"/>
    </row>
    <row r="237" spans="2:15" ht="15" x14ac:dyDescent="0.25">
      <c r="B237" s="529">
        <v>232001</v>
      </c>
      <c r="C237" s="529">
        <v>233</v>
      </c>
      <c r="E237" s="534">
        <v>1</v>
      </c>
      <c r="F237" s="534">
        <v>233</v>
      </c>
      <c r="G237" s="534">
        <v>357</v>
      </c>
      <c r="I237" s="534">
        <v>0</v>
      </c>
      <c r="J237" s="534">
        <v>0</v>
      </c>
      <c r="K237" s="534">
        <v>24</v>
      </c>
      <c r="M237" s="617">
        <f t="shared" si="8"/>
        <v>1</v>
      </c>
      <c r="N237" s="617">
        <f t="shared" si="9"/>
        <v>381</v>
      </c>
      <c r="O237" s="617"/>
    </row>
    <row r="238" spans="2:15" ht="15" x14ac:dyDescent="0.25">
      <c r="B238" s="529">
        <v>233001</v>
      </c>
      <c r="C238" s="529">
        <v>234</v>
      </c>
      <c r="E238" s="534">
        <v>0</v>
      </c>
      <c r="F238" s="534">
        <v>0</v>
      </c>
      <c r="G238" s="534">
        <v>356</v>
      </c>
      <c r="I238" s="534">
        <v>0</v>
      </c>
      <c r="J238" s="534">
        <v>0</v>
      </c>
      <c r="K238" s="534">
        <v>24</v>
      </c>
      <c r="M238" s="617">
        <f t="shared" si="8"/>
        <v>0</v>
      </c>
      <c r="N238" s="617">
        <f t="shared" si="9"/>
        <v>380</v>
      </c>
      <c r="O238" s="617"/>
    </row>
    <row r="239" spans="2:15" ht="15" x14ac:dyDescent="0.25">
      <c r="B239" s="529">
        <v>234001</v>
      </c>
      <c r="C239" s="529">
        <v>235</v>
      </c>
      <c r="E239" s="534">
        <v>2</v>
      </c>
      <c r="F239" s="534">
        <v>470</v>
      </c>
      <c r="G239" s="534">
        <v>356</v>
      </c>
      <c r="I239" s="534">
        <v>1</v>
      </c>
      <c r="J239" s="534">
        <v>235</v>
      </c>
      <c r="K239" s="534">
        <v>24</v>
      </c>
      <c r="M239" s="617">
        <f t="shared" si="8"/>
        <v>3</v>
      </c>
      <c r="N239" s="617">
        <f t="shared" si="9"/>
        <v>380</v>
      </c>
      <c r="O239" s="617"/>
    </row>
    <row r="240" spans="2:15" ht="15" x14ac:dyDescent="0.25">
      <c r="B240" s="529">
        <v>235001</v>
      </c>
      <c r="C240" s="529">
        <v>236</v>
      </c>
      <c r="E240" s="534">
        <v>3</v>
      </c>
      <c r="F240" s="534">
        <v>708</v>
      </c>
      <c r="G240" s="534">
        <v>354</v>
      </c>
      <c r="I240" s="534">
        <v>0</v>
      </c>
      <c r="J240" s="534">
        <v>0</v>
      </c>
      <c r="K240" s="534">
        <v>23</v>
      </c>
      <c r="M240" s="617">
        <f t="shared" si="8"/>
        <v>3</v>
      </c>
      <c r="N240" s="617">
        <f t="shared" si="9"/>
        <v>377</v>
      </c>
      <c r="O240" s="617"/>
    </row>
    <row r="241" spans="2:15" ht="15" x14ac:dyDescent="0.25">
      <c r="B241" s="529">
        <v>236001</v>
      </c>
      <c r="C241" s="529">
        <v>237</v>
      </c>
      <c r="E241" s="534">
        <v>2</v>
      </c>
      <c r="F241" s="534">
        <v>474</v>
      </c>
      <c r="G241" s="534">
        <v>351</v>
      </c>
      <c r="I241" s="534">
        <v>0</v>
      </c>
      <c r="J241" s="534">
        <v>0</v>
      </c>
      <c r="K241" s="534">
        <v>23</v>
      </c>
      <c r="M241" s="617">
        <f t="shared" si="8"/>
        <v>2</v>
      </c>
      <c r="N241" s="617">
        <f t="shared" si="9"/>
        <v>374</v>
      </c>
      <c r="O241" s="617"/>
    </row>
    <row r="242" spans="2:15" ht="15" x14ac:dyDescent="0.25">
      <c r="B242" s="529">
        <v>237001</v>
      </c>
      <c r="C242" s="529">
        <v>238</v>
      </c>
      <c r="E242" s="534">
        <v>1</v>
      </c>
      <c r="F242" s="534">
        <v>238</v>
      </c>
      <c r="G242" s="534">
        <v>349</v>
      </c>
      <c r="I242" s="534">
        <v>0</v>
      </c>
      <c r="J242" s="534">
        <v>0</v>
      </c>
      <c r="K242" s="534">
        <v>23</v>
      </c>
      <c r="M242" s="617">
        <f t="shared" si="8"/>
        <v>1</v>
      </c>
      <c r="N242" s="617">
        <f t="shared" si="9"/>
        <v>372</v>
      </c>
      <c r="O242" s="617"/>
    </row>
    <row r="243" spans="2:15" ht="15" x14ac:dyDescent="0.25">
      <c r="B243" s="529">
        <v>238001</v>
      </c>
      <c r="C243" s="529">
        <v>239</v>
      </c>
      <c r="E243" s="534">
        <v>2</v>
      </c>
      <c r="F243" s="534">
        <v>478</v>
      </c>
      <c r="G243" s="534">
        <v>348</v>
      </c>
      <c r="I243" s="534">
        <v>1</v>
      </c>
      <c r="J243" s="534">
        <v>239</v>
      </c>
      <c r="K243" s="534">
        <v>23</v>
      </c>
      <c r="M243" s="617">
        <f t="shared" si="8"/>
        <v>3</v>
      </c>
      <c r="N243" s="617">
        <f t="shared" si="9"/>
        <v>371</v>
      </c>
      <c r="O243" s="617"/>
    </row>
    <row r="244" spans="2:15" ht="15" x14ac:dyDescent="0.25">
      <c r="B244" s="529">
        <v>239001</v>
      </c>
      <c r="C244" s="529">
        <v>240</v>
      </c>
      <c r="E244" s="534">
        <v>3</v>
      </c>
      <c r="F244" s="534">
        <v>720</v>
      </c>
      <c r="G244" s="534">
        <v>346</v>
      </c>
      <c r="I244" s="534">
        <v>0</v>
      </c>
      <c r="J244" s="534">
        <v>0</v>
      </c>
      <c r="K244" s="534">
        <v>22</v>
      </c>
      <c r="M244" s="617">
        <f t="shared" si="8"/>
        <v>3</v>
      </c>
      <c r="N244" s="617">
        <f t="shared" si="9"/>
        <v>368</v>
      </c>
      <c r="O244" s="617"/>
    </row>
    <row r="245" spans="2:15" ht="15" x14ac:dyDescent="0.25">
      <c r="B245" s="529">
        <v>240001</v>
      </c>
      <c r="C245" s="529">
        <v>241</v>
      </c>
      <c r="E245" s="534">
        <v>2</v>
      </c>
      <c r="F245" s="534">
        <v>482</v>
      </c>
      <c r="G245" s="534">
        <v>343</v>
      </c>
      <c r="I245" s="534">
        <v>0</v>
      </c>
      <c r="J245" s="534">
        <v>0</v>
      </c>
      <c r="K245" s="534">
        <v>22</v>
      </c>
      <c r="M245" s="617">
        <f t="shared" si="8"/>
        <v>2</v>
      </c>
      <c r="N245" s="617">
        <f t="shared" si="9"/>
        <v>365</v>
      </c>
      <c r="O245" s="617"/>
    </row>
    <row r="246" spans="2:15" ht="15" x14ac:dyDescent="0.25">
      <c r="B246" s="529">
        <v>241001</v>
      </c>
      <c r="C246" s="529">
        <v>242</v>
      </c>
      <c r="E246" s="534">
        <v>4</v>
      </c>
      <c r="F246" s="534">
        <v>968</v>
      </c>
      <c r="G246" s="534">
        <v>341</v>
      </c>
      <c r="I246" s="534">
        <v>0</v>
      </c>
      <c r="J246" s="534">
        <v>0</v>
      </c>
      <c r="K246" s="534">
        <v>22</v>
      </c>
      <c r="M246" s="617">
        <f t="shared" si="8"/>
        <v>4</v>
      </c>
      <c r="N246" s="617">
        <f t="shared" si="9"/>
        <v>363</v>
      </c>
      <c r="O246" s="617"/>
    </row>
    <row r="247" spans="2:15" ht="15" x14ac:dyDescent="0.25">
      <c r="B247" s="529">
        <v>242001</v>
      </c>
      <c r="C247" s="529">
        <v>243</v>
      </c>
      <c r="E247" s="534">
        <v>1</v>
      </c>
      <c r="F247" s="534">
        <v>243</v>
      </c>
      <c r="G247" s="534">
        <v>337</v>
      </c>
      <c r="I247" s="534">
        <v>0</v>
      </c>
      <c r="J247" s="534">
        <v>0</v>
      </c>
      <c r="K247" s="534">
        <v>22</v>
      </c>
      <c r="M247" s="617">
        <f t="shared" si="8"/>
        <v>1</v>
      </c>
      <c r="N247" s="617">
        <f t="shared" si="9"/>
        <v>359</v>
      </c>
      <c r="O247" s="617"/>
    </row>
    <row r="248" spans="2:15" ht="15" x14ac:dyDescent="0.25">
      <c r="B248" s="529">
        <v>243001</v>
      </c>
      <c r="C248" s="529">
        <v>244</v>
      </c>
      <c r="E248" s="534">
        <v>3</v>
      </c>
      <c r="F248" s="534">
        <v>732</v>
      </c>
      <c r="G248" s="534">
        <v>336</v>
      </c>
      <c r="I248" s="534">
        <v>0</v>
      </c>
      <c r="J248" s="534">
        <v>0</v>
      </c>
      <c r="K248" s="534">
        <v>22</v>
      </c>
      <c r="M248" s="617">
        <f t="shared" si="8"/>
        <v>3</v>
      </c>
      <c r="N248" s="617">
        <f t="shared" si="9"/>
        <v>358</v>
      </c>
      <c r="O248" s="617"/>
    </row>
    <row r="249" spans="2:15" ht="15" x14ac:dyDescent="0.25">
      <c r="B249" s="529">
        <v>244001</v>
      </c>
      <c r="C249" s="529">
        <v>245</v>
      </c>
      <c r="E249" s="534">
        <v>1</v>
      </c>
      <c r="F249" s="534">
        <v>245</v>
      </c>
      <c r="G249" s="534">
        <v>333</v>
      </c>
      <c r="I249" s="534">
        <v>0</v>
      </c>
      <c r="J249" s="534">
        <v>0</v>
      </c>
      <c r="K249" s="534">
        <v>22</v>
      </c>
      <c r="M249" s="617">
        <f t="shared" si="8"/>
        <v>1</v>
      </c>
      <c r="N249" s="617">
        <f t="shared" si="9"/>
        <v>355</v>
      </c>
      <c r="O249" s="617"/>
    </row>
    <row r="250" spans="2:15" ht="15" x14ac:dyDescent="0.25">
      <c r="B250" s="529">
        <v>245001</v>
      </c>
      <c r="C250" s="529">
        <v>246</v>
      </c>
      <c r="E250" s="534">
        <v>4</v>
      </c>
      <c r="F250" s="534">
        <v>984</v>
      </c>
      <c r="G250" s="534">
        <v>332</v>
      </c>
      <c r="I250" s="534">
        <v>0</v>
      </c>
      <c r="J250" s="534">
        <v>0</v>
      </c>
      <c r="K250" s="534">
        <v>22</v>
      </c>
      <c r="M250" s="617">
        <f t="shared" si="8"/>
        <v>4</v>
      </c>
      <c r="N250" s="617">
        <f t="shared" si="9"/>
        <v>354</v>
      </c>
      <c r="O250" s="617"/>
    </row>
    <row r="251" spans="2:15" ht="15" x14ac:dyDescent="0.25">
      <c r="B251" s="529">
        <v>246001</v>
      </c>
      <c r="C251" s="529">
        <v>247</v>
      </c>
      <c r="E251" s="534">
        <v>3</v>
      </c>
      <c r="F251" s="534">
        <v>741</v>
      </c>
      <c r="G251" s="534">
        <v>328</v>
      </c>
      <c r="I251" s="534">
        <v>0</v>
      </c>
      <c r="J251" s="534">
        <v>0</v>
      </c>
      <c r="K251" s="534">
        <v>22</v>
      </c>
      <c r="M251" s="617">
        <f t="shared" si="8"/>
        <v>3</v>
      </c>
      <c r="N251" s="617">
        <f t="shared" si="9"/>
        <v>350</v>
      </c>
      <c r="O251" s="617"/>
    </row>
    <row r="252" spans="2:15" ht="15" x14ac:dyDescent="0.25">
      <c r="B252" s="529">
        <v>247001</v>
      </c>
      <c r="C252" s="529">
        <v>248</v>
      </c>
      <c r="E252" s="534">
        <v>0</v>
      </c>
      <c r="F252" s="534">
        <v>0</v>
      </c>
      <c r="G252" s="534">
        <v>325</v>
      </c>
      <c r="I252" s="534">
        <v>0</v>
      </c>
      <c r="J252" s="534">
        <v>0</v>
      </c>
      <c r="K252" s="534">
        <v>22</v>
      </c>
      <c r="M252" s="617">
        <f t="shared" si="8"/>
        <v>0</v>
      </c>
      <c r="N252" s="617">
        <f t="shared" si="9"/>
        <v>347</v>
      </c>
      <c r="O252" s="617"/>
    </row>
    <row r="253" spans="2:15" ht="15" x14ac:dyDescent="0.25">
      <c r="B253" s="529">
        <v>248001</v>
      </c>
      <c r="C253" s="529">
        <v>249</v>
      </c>
      <c r="E253" s="534">
        <v>3</v>
      </c>
      <c r="F253" s="534">
        <v>747</v>
      </c>
      <c r="G253" s="534">
        <v>325</v>
      </c>
      <c r="I253" s="534">
        <v>0</v>
      </c>
      <c r="J253" s="534">
        <v>0</v>
      </c>
      <c r="K253" s="534">
        <v>22</v>
      </c>
      <c r="M253" s="617">
        <f t="shared" si="8"/>
        <v>3</v>
      </c>
      <c r="N253" s="617">
        <f t="shared" si="9"/>
        <v>347</v>
      </c>
      <c r="O253" s="617"/>
    </row>
    <row r="254" spans="2:15" ht="15" x14ac:dyDescent="0.25">
      <c r="B254" s="529">
        <v>249001</v>
      </c>
      <c r="C254" s="529">
        <v>250</v>
      </c>
      <c r="E254" s="534">
        <v>2</v>
      </c>
      <c r="F254" s="534">
        <v>500</v>
      </c>
      <c r="G254" s="534">
        <v>322</v>
      </c>
      <c r="I254" s="534">
        <v>0</v>
      </c>
      <c r="J254" s="534">
        <v>0</v>
      </c>
      <c r="K254" s="534">
        <v>22</v>
      </c>
      <c r="M254" s="617">
        <f t="shared" si="8"/>
        <v>2</v>
      </c>
      <c r="N254" s="617">
        <f t="shared" si="9"/>
        <v>344</v>
      </c>
      <c r="O254" s="617"/>
    </row>
    <row r="255" spans="2:15" ht="15" x14ac:dyDescent="0.25">
      <c r="B255" s="529">
        <v>250001</v>
      </c>
      <c r="C255" s="529">
        <v>251</v>
      </c>
      <c r="E255" s="534">
        <v>0</v>
      </c>
      <c r="F255" s="534">
        <v>0</v>
      </c>
      <c r="G255" s="534">
        <v>320</v>
      </c>
      <c r="I255" s="534">
        <v>0</v>
      </c>
      <c r="J255" s="534">
        <v>0</v>
      </c>
      <c r="K255" s="534">
        <v>22</v>
      </c>
      <c r="M255" s="617">
        <f t="shared" si="8"/>
        <v>0</v>
      </c>
      <c r="N255" s="617">
        <f t="shared" si="9"/>
        <v>342</v>
      </c>
      <c r="O255" s="617"/>
    </row>
    <row r="256" spans="2:15" ht="15" x14ac:dyDescent="0.25">
      <c r="B256" s="529">
        <v>251001</v>
      </c>
      <c r="C256" s="529">
        <v>252</v>
      </c>
      <c r="E256" s="534">
        <v>2</v>
      </c>
      <c r="F256" s="534">
        <v>504</v>
      </c>
      <c r="G256" s="534">
        <v>320</v>
      </c>
      <c r="I256" s="534">
        <v>0</v>
      </c>
      <c r="J256" s="534">
        <v>0</v>
      </c>
      <c r="K256" s="534">
        <v>22</v>
      </c>
      <c r="M256" s="617">
        <f t="shared" si="8"/>
        <v>2</v>
      </c>
      <c r="N256" s="617">
        <f t="shared" si="9"/>
        <v>342</v>
      </c>
      <c r="O256" s="617"/>
    </row>
    <row r="257" spans="2:15" ht="15" x14ac:dyDescent="0.25">
      <c r="B257" s="529">
        <v>252001</v>
      </c>
      <c r="C257" s="529">
        <v>253</v>
      </c>
      <c r="E257" s="534">
        <v>3</v>
      </c>
      <c r="F257" s="534">
        <v>759</v>
      </c>
      <c r="G257" s="534">
        <v>318</v>
      </c>
      <c r="I257" s="534">
        <v>0</v>
      </c>
      <c r="J257" s="534">
        <v>0</v>
      </c>
      <c r="K257" s="534">
        <v>22</v>
      </c>
      <c r="M257" s="617">
        <f t="shared" si="8"/>
        <v>3</v>
      </c>
      <c r="N257" s="617">
        <f t="shared" si="9"/>
        <v>340</v>
      </c>
      <c r="O257" s="617"/>
    </row>
    <row r="258" spans="2:15" ht="15" x14ac:dyDescent="0.25">
      <c r="B258" s="529">
        <v>253001</v>
      </c>
      <c r="C258" s="529">
        <v>254</v>
      </c>
      <c r="E258" s="534">
        <v>1</v>
      </c>
      <c r="F258" s="534">
        <v>254</v>
      </c>
      <c r="G258" s="534">
        <v>315</v>
      </c>
      <c r="I258" s="534">
        <v>0</v>
      </c>
      <c r="J258" s="534">
        <v>0</v>
      </c>
      <c r="K258" s="534">
        <v>22</v>
      </c>
      <c r="M258" s="617">
        <f t="shared" si="8"/>
        <v>1</v>
      </c>
      <c r="N258" s="617">
        <f t="shared" si="9"/>
        <v>337</v>
      </c>
      <c r="O258" s="617"/>
    </row>
    <row r="259" spans="2:15" ht="15" x14ac:dyDescent="0.25">
      <c r="B259" s="529">
        <v>254001</v>
      </c>
      <c r="C259" s="529">
        <v>255</v>
      </c>
      <c r="E259" s="534">
        <v>2</v>
      </c>
      <c r="F259" s="534">
        <v>510</v>
      </c>
      <c r="G259" s="534">
        <v>314</v>
      </c>
      <c r="I259" s="534">
        <v>0</v>
      </c>
      <c r="J259" s="534">
        <v>0</v>
      </c>
      <c r="K259" s="534">
        <v>22</v>
      </c>
      <c r="M259" s="617">
        <f t="shared" si="8"/>
        <v>2</v>
      </c>
      <c r="N259" s="617">
        <f t="shared" si="9"/>
        <v>336</v>
      </c>
      <c r="O259" s="617"/>
    </row>
    <row r="260" spans="2:15" ht="15" x14ac:dyDescent="0.25">
      <c r="B260" s="529">
        <v>255001</v>
      </c>
      <c r="C260" s="529">
        <v>256</v>
      </c>
      <c r="E260" s="534">
        <v>1</v>
      </c>
      <c r="F260" s="534">
        <v>256</v>
      </c>
      <c r="G260" s="534">
        <v>312</v>
      </c>
      <c r="I260" s="534">
        <v>0</v>
      </c>
      <c r="J260" s="534">
        <v>0</v>
      </c>
      <c r="K260" s="534">
        <v>22</v>
      </c>
      <c r="M260" s="617">
        <f t="shared" si="8"/>
        <v>1</v>
      </c>
      <c r="N260" s="617">
        <f t="shared" si="9"/>
        <v>334</v>
      </c>
      <c r="O260" s="617"/>
    </row>
    <row r="261" spans="2:15" ht="15" x14ac:dyDescent="0.25">
      <c r="B261" s="529">
        <v>256001</v>
      </c>
      <c r="C261" s="529">
        <v>257</v>
      </c>
      <c r="E261" s="534">
        <v>0</v>
      </c>
      <c r="F261" s="534">
        <v>0</v>
      </c>
      <c r="G261" s="534">
        <v>311</v>
      </c>
      <c r="I261" s="534">
        <v>0</v>
      </c>
      <c r="J261" s="534">
        <v>0</v>
      </c>
      <c r="K261" s="534">
        <v>22</v>
      </c>
      <c r="M261" s="617">
        <f t="shared" ref="M261:M324" si="10">I261+E261</f>
        <v>0</v>
      </c>
      <c r="N261" s="617">
        <f t="shared" ref="N261:N324" si="11">K261+G261</f>
        <v>333</v>
      </c>
      <c r="O261" s="617"/>
    </row>
    <row r="262" spans="2:15" ht="15" x14ac:dyDescent="0.25">
      <c r="B262" s="529">
        <v>257001</v>
      </c>
      <c r="C262" s="529">
        <v>258</v>
      </c>
      <c r="E262" s="534">
        <v>0</v>
      </c>
      <c r="F262" s="534">
        <v>0</v>
      </c>
      <c r="G262" s="534">
        <v>311</v>
      </c>
      <c r="I262" s="534">
        <v>0</v>
      </c>
      <c r="J262" s="534">
        <v>0</v>
      </c>
      <c r="K262" s="534">
        <v>22</v>
      </c>
      <c r="M262" s="617">
        <f t="shared" si="10"/>
        <v>0</v>
      </c>
      <c r="N262" s="617">
        <f t="shared" si="11"/>
        <v>333</v>
      </c>
      <c r="O262" s="617"/>
    </row>
    <row r="263" spans="2:15" ht="15" x14ac:dyDescent="0.25">
      <c r="B263" s="529">
        <v>258001</v>
      </c>
      <c r="C263" s="529">
        <v>259</v>
      </c>
      <c r="E263" s="534">
        <v>1</v>
      </c>
      <c r="F263" s="534">
        <v>259</v>
      </c>
      <c r="G263" s="534">
        <v>311</v>
      </c>
      <c r="I263" s="534">
        <v>0</v>
      </c>
      <c r="J263" s="534">
        <v>0</v>
      </c>
      <c r="K263" s="534">
        <v>22</v>
      </c>
      <c r="M263" s="617">
        <f t="shared" si="10"/>
        <v>1</v>
      </c>
      <c r="N263" s="617">
        <f t="shared" si="11"/>
        <v>333</v>
      </c>
      <c r="O263" s="617"/>
    </row>
    <row r="264" spans="2:15" ht="15" x14ac:dyDescent="0.25">
      <c r="B264" s="529">
        <v>259001</v>
      </c>
      <c r="C264" s="529">
        <v>260</v>
      </c>
      <c r="E264" s="534">
        <v>3</v>
      </c>
      <c r="F264" s="534">
        <v>780</v>
      </c>
      <c r="G264" s="534">
        <v>310</v>
      </c>
      <c r="I264" s="534">
        <v>0</v>
      </c>
      <c r="J264" s="534">
        <v>0</v>
      </c>
      <c r="K264" s="534">
        <v>22</v>
      </c>
      <c r="M264" s="617">
        <f t="shared" si="10"/>
        <v>3</v>
      </c>
      <c r="N264" s="617">
        <f t="shared" si="11"/>
        <v>332</v>
      </c>
      <c r="O264" s="617"/>
    </row>
    <row r="265" spans="2:15" ht="15" x14ac:dyDescent="0.25">
      <c r="B265" s="529">
        <v>260001</v>
      </c>
      <c r="C265" s="529">
        <v>261</v>
      </c>
      <c r="E265" s="534">
        <v>3</v>
      </c>
      <c r="F265" s="534">
        <v>783</v>
      </c>
      <c r="G265" s="534">
        <v>307</v>
      </c>
      <c r="I265" s="534">
        <v>0</v>
      </c>
      <c r="J265" s="534">
        <v>0</v>
      </c>
      <c r="K265" s="534">
        <v>22</v>
      </c>
      <c r="M265" s="617">
        <f t="shared" si="10"/>
        <v>3</v>
      </c>
      <c r="N265" s="617">
        <f t="shared" si="11"/>
        <v>329</v>
      </c>
      <c r="O265" s="617"/>
    </row>
    <row r="266" spans="2:15" ht="15" x14ac:dyDescent="0.25">
      <c r="B266" s="529">
        <v>261001</v>
      </c>
      <c r="C266" s="529">
        <v>262</v>
      </c>
      <c r="E266" s="534">
        <v>1</v>
      </c>
      <c r="F266" s="534">
        <v>262</v>
      </c>
      <c r="G266" s="534">
        <v>304</v>
      </c>
      <c r="I266" s="534">
        <v>0</v>
      </c>
      <c r="J266" s="534">
        <v>0</v>
      </c>
      <c r="K266" s="534">
        <v>22</v>
      </c>
      <c r="M266" s="617">
        <f t="shared" si="10"/>
        <v>1</v>
      </c>
      <c r="N266" s="617">
        <f t="shared" si="11"/>
        <v>326</v>
      </c>
      <c r="O266" s="617"/>
    </row>
    <row r="267" spans="2:15" ht="15" x14ac:dyDescent="0.25">
      <c r="B267" s="529">
        <v>262001</v>
      </c>
      <c r="C267" s="529">
        <v>263</v>
      </c>
      <c r="E267" s="534">
        <v>0</v>
      </c>
      <c r="F267" s="534">
        <v>0</v>
      </c>
      <c r="G267" s="534">
        <v>303</v>
      </c>
      <c r="I267" s="534">
        <v>0</v>
      </c>
      <c r="J267" s="534">
        <v>0</v>
      </c>
      <c r="K267" s="534">
        <v>22</v>
      </c>
      <c r="M267" s="617">
        <f t="shared" si="10"/>
        <v>0</v>
      </c>
      <c r="N267" s="617">
        <f t="shared" si="11"/>
        <v>325</v>
      </c>
      <c r="O267" s="617"/>
    </row>
    <row r="268" spans="2:15" ht="15" x14ac:dyDescent="0.25">
      <c r="B268" s="529">
        <v>263001</v>
      </c>
      <c r="C268" s="529">
        <v>264</v>
      </c>
      <c r="E268" s="534">
        <v>1</v>
      </c>
      <c r="F268" s="534">
        <v>264</v>
      </c>
      <c r="G268" s="534">
        <v>303</v>
      </c>
      <c r="I268" s="534">
        <v>0</v>
      </c>
      <c r="J268" s="534">
        <v>0</v>
      </c>
      <c r="K268" s="534">
        <v>22</v>
      </c>
      <c r="M268" s="617">
        <f t="shared" si="10"/>
        <v>1</v>
      </c>
      <c r="N268" s="617">
        <f t="shared" si="11"/>
        <v>325</v>
      </c>
      <c r="O268" s="617"/>
    </row>
    <row r="269" spans="2:15" ht="15" x14ac:dyDescent="0.25">
      <c r="B269" s="529">
        <v>264001</v>
      </c>
      <c r="C269" s="529">
        <v>265</v>
      </c>
      <c r="E269" s="534">
        <v>0</v>
      </c>
      <c r="F269" s="534">
        <v>0</v>
      </c>
      <c r="G269" s="534">
        <v>302</v>
      </c>
      <c r="I269" s="534">
        <v>0</v>
      </c>
      <c r="J269" s="534">
        <v>0</v>
      </c>
      <c r="K269" s="534">
        <v>22</v>
      </c>
      <c r="M269" s="617">
        <f t="shared" si="10"/>
        <v>0</v>
      </c>
      <c r="N269" s="617">
        <f t="shared" si="11"/>
        <v>324</v>
      </c>
      <c r="O269" s="617"/>
    </row>
    <row r="270" spans="2:15" ht="15" x14ac:dyDescent="0.25">
      <c r="B270" s="529">
        <v>265001</v>
      </c>
      <c r="C270" s="529">
        <v>266</v>
      </c>
      <c r="E270" s="534">
        <v>4</v>
      </c>
      <c r="F270" s="534">
        <v>1064</v>
      </c>
      <c r="G270" s="534">
        <v>302</v>
      </c>
      <c r="I270" s="534">
        <v>0</v>
      </c>
      <c r="J270" s="534">
        <v>0</v>
      </c>
      <c r="K270" s="534">
        <v>22</v>
      </c>
      <c r="M270" s="617">
        <f t="shared" si="10"/>
        <v>4</v>
      </c>
      <c r="N270" s="617">
        <f t="shared" si="11"/>
        <v>324</v>
      </c>
      <c r="O270" s="617"/>
    </row>
    <row r="271" spans="2:15" ht="15" x14ac:dyDescent="0.25">
      <c r="B271" s="529">
        <v>266001</v>
      </c>
      <c r="C271" s="529">
        <v>267</v>
      </c>
      <c r="E271" s="534">
        <v>4</v>
      </c>
      <c r="F271" s="534">
        <v>1068</v>
      </c>
      <c r="G271" s="534">
        <v>298</v>
      </c>
      <c r="I271" s="534">
        <v>0</v>
      </c>
      <c r="J271" s="534">
        <v>0</v>
      </c>
      <c r="K271" s="534">
        <v>22</v>
      </c>
      <c r="M271" s="617">
        <f t="shared" si="10"/>
        <v>4</v>
      </c>
      <c r="N271" s="617">
        <f t="shared" si="11"/>
        <v>320</v>
      </c>
      <c r="O271" s="617"/>
    </row>
    <row r="272" spans="2:15" ht="15" x14ac:dyDescent="0.25">
      <c r="B272" s="529">
        <v>267001</v>
      </c>
      <c r="C272" s="529">
        <v>268</v>
      </c>
      <c r="E272" s="534">
        <v>1</v>
      </c>
      <c r="F272" s="534">
        <v>268</v>
      </c>
      <c r="G272" s="534">
        <v>294</v>
      </c>
      <c r="I272" s="534">
        <v>0</v>
      </c>
      <c r="J272" s="534">
        <v>0</v>
      </c>
      <c r="K272" s="534">
        <v>22</v>
      </c>
      <c r="M272" s="617">
        <f t="shared" si="10"/>
        <v>1</v>
      </c>
      <c r="N272" s="617">
        <f t="shared" si="11"/>
        <v>316</v>
      </c>
      <c r="O272" s="617"/>
    </row>
    <row r="273" spans="2:15" ht="15" x14ac:dyDescent="0.25">
      <c r="B273" s="529">
        <v>268001</v>
      </c>
      <c r="C273" s="529">
        <v>269</v>
      </c>
      <c r="E273" s="534">
        <v>4</v>
      </c>
      <c r="F273" s="534">
        <v>1076</v>
      </c>
      <c r="G273" s="534">
        <v>293</v>
      </c>
      <c r="I273" s="534">
        <v>0</v>
      </c>
      <c r="J273" s="534">
        <v>0</v>
      </c>
      <c r="K273" s="534">
        <v>22</v>
      </c>
      <c r="M273" s="617">
        <f t="shared" si="10"/>
        <v>4</v>
      </c>
      <c r="N273" s="617">
        <f t="shared" si="11"/>
        <v>315</v>
      </c>
      <c r="O273" s="617"/>
    </row>
    <row r="274" spans="2:15" ht="15" x14ac:dyDescent="0.25">
      <c r="B274" s="529">
        <v>269001</v>
      </c>
      <c r="C274" s="529">
        <v>270</v>
      </c>
      <c r="E274" s="534">
        <v>3</v>
      </c>
      <c r="F274" s="534">
        <v>810</v>
      </c>
      <c r="G274" s="534">
        <v>289</v>
      </c>
      <c r="I274" s="534">
        <v>0</v>
      </c>
      <c r="J274" s="534">
        <v>0</v>
      </c>
      <c r="K274" s="534">
        <v>22</v>
      </c>
      <c r="M274" s="617">
        <f t="shared" si="10"/>
        <v>3</v>
      </c>
      <c r="N274" s="617">
        <f t="shared" si="11"/>
        <v>311</v>
      </c>
      <c r="O274" s="617"/>
    </row>
    <row r="275" spans="2:15" ht="15" x14ac:dyDescent="0.25">
      <c r="B275" s="529">
        <v>270001</v>
      </c>
      <c r="C275" s="529">
        <v>271</v>
      </c>
      <c r="E275" s="534">
        <v>1</v>
      </c>
      <c r="F275" s="534">
        <v>271</v>
      </c>
      <c r="G275" s="534">
        <v>286</v>
      </c>
      <c r="I275" s="534">
        <v>0</v>
      </c>
      <c r="J275" s="534">
        <v>0</v>
      </c>
      <c r="K275" s="534">
        <v>22</v>
      </c>
      <c r="M275" s="617">
        <f t="shared" si="10"/>
        <v>1</v>
      </c>
      <c r="N275" s="617">
        <f t="shared" si="11"/>
        <v>308</v>
      </c>
      <c r="O275" s="617"/>
    </row>
    <row r="276" spans="2:15" ht="15" x14ac:dyDescent="0.25">
      <c r="B276" s="529">
        <v>271001</v>
      </c>
      <c r="C276" s="529">
        <v>272</v>
      </c>
      <c r="E276" s="534">
        <v>0</v>
      </c>
      <c r="F276" s="534">
        <v>0</v>
      </c>
      <c r="G276" s="534">
        <v>285</v>
      </c>
      <c r="I276" s="534">
        <v>0</v>
      </c>
      <c r="J276" s="534">
        <v>0</v>
      </c>
      <c r="K276" s="534">
        <v>22</v>
      </c>
      <c r="M276" s="617">
        <f t="shared" si="10"/>
        <v>0</v>
      </c>
      <c r="N276" s="617">
        <f t="shared" si="11"/>
        <v>307</v>
      </c>
      <c r="O276" s="617"/>
    </row>
    <row r="277" spans="2:15" ht="15" x14ac:dyDescent="0.25">
      <c r="B277" s="529">
        <v>272001</v>
      </c>
      <c r="C277" s="529">
        <v>273</v>
      </c>
      <c r="E277" s="534">
        <v>1</v>
      </c>
      <c r="F277" s="534">
        <v>273</v>
      </c>
      <c r="G277" s="534">
        <v>285</v>
      </c>
      <c r="I277" s="534">
        <v>0</v>
      </c>
      <c r="J277" s="534">
        <v>0</v>
      </c>
      <c r="K277" s="534">
        <v>22</v>
      </c>
      <c r="M277" s="617">
        <f t="shared" si="10"/>
        <v>1</v>
      </c>
      <c r="N277" s="617">
        <f t="shared" si="11"/>
        <v>307</v>
      </c>
      <c r="O277" s="617"/>
    </row>
    <row r="278" spans="2:15" ht="15" x14ac:dyDescent="0.25">
      <c r="B278" s="529">
        <v>273001</v>
      </c>
      <c r="C278" s="529">
        <v>274</v>
      </c>
      <c r="E278" s="534">
        <v>2</v>
      </c>
      <c r="F278" s="534">
        <v>548</v>
      </c>
      <c r="G278" s="534">
        <v>284</v>
      </c>
      <c r="I278" s="534">
        <v>0</v>
      </c>
      <c r="J278" s="534">
        <v>0</v>
      </c>
      <c r="K278" s="534">
        <v>22</v>
      </c>
      <c r="M278" s="617">
        <f t="shared" si="10"/>
        <v>2</v>
      </c>
      <c r="N278" s="617">
        <f t="shared" si="11"/>
        <v>306</v>
      </c>
      <c r="O278" s="617"/>
    </row>
    <row r="279" spans="2:15" ht="15" x14ac:dyDescent="0.25">
      <c r="B279" s="529">
        <v>274001</v>
      </c>
      <c r="C279" s="529">
        <v>275</v>
      </c>
      <c r="E279" s="534">
        <v>0</v>
      </c>
      <c r="F279" s="534">
        <v>0</v>
      </c>
      <c r="G279" s="534">
        <v>282</v>
      </c>
      <c r="I279" s="534">
        <v>0</v>
      </c>
      <c r="J279" s="534">
        <v>0</v>
      </c>
      <c r="K279" s="534">
        <v>22</v>
      </c>
      <c r="M279" s="617">
        <f t="shared" si="10"/>
        <v>0</v>
      </c>
      <c r="N279" s="617">
        <f t="shared" si="11"/>
        <v>304</v>
      </c>
      <c r="O279" s="617"/>
    </row>
    <row r="280" spans="2:15" ht="15" x14ac:dyDescent="0.25">
      <c r="B280" s="529">
        <v>275001</v>
      </c>
      <c r="C280" s="529">
        <v>276</v>
      </c>
      <c r="E280" s="534">
        <v>1</v>
      </c>
      <c r="F280" s="534">
        <v>276</v>
      </c>
      <c r="G280" s="534">
        <v>282</v>
      </c>
      <c r="I280" s="534">
        <v>0</v>
      </c>
      <c r="J280" s="534">
        <v>0</v>
      </c>
      <c r="K280" s="534">
        <v>22</v>
      </c>
      <c r="M280" s="617">
        <f t="shared" si="10"/>
        <v>1</v>
      </c>
      <c r="N280" s="617">
        <f t="shared" si="11"/>
        <v>304</v>
      </c>
      <c r="O280" s="617"/>
    </row>
    <row r="281" spans="2:15" ht="15" x14ac:dyDescent="0.25">
      <c r="B281" s="529">
        <v>276001</v>
      </c>
      <c r="C281" s="529">
        <v>277</v>
      </c>
      <c r="E281" s="534">
        <v>3</v>
      </c>
      <c r="F281" s="534">
        <v>831</v>
      </c>
      <c r="G281" s="534">
        <v>281</v>
      </c>
      <c r="I281" s="534">
        <v>0</v>
      </c>
      <c r="J281" s="534">
        <v>0</v>
      </c>
      <c r="K281" s="534">
        <v>22</v>
      </c>
      <c r="M281" s="617">
        <f t="shared" si="10"/>
        <v>3</v>
      </c>
      <c r="N281" s="617">
        <f t="shared" si="11"/>
        <v>303</v>
      </c>
      <c r="O281" s="617"/>
    </row>
    <row r="282" spans="2:15" ht="15" x14ac:dyDescent="0.25">
      <c r="B282" s="529">
        <v>277001</v>
      </c>
      <c r="C282" s="529">
        <v>278</v>
      </c>
      <c r="E282" s="534">
        <v>0</v>
      </c>
      <c r="F282" s="534">
        <v>0</v>
      </c>
      <c r="G282" s="534">
        <v>278</v>
      </c>
      <c r="I282" s="534">
        <v>0</v>
      </c>
      <c r="J282" s="534">
        <v>0</v>
      </c>
      <c r="K282" s="534">
        <v>22</v>
      </c>
      <c r="M282" s="617">
        <f t="shared" si="10"/>
        <v>0</v>
      </c>
      <c r="N282" s="617">
        <f t="shared" si="11"/>
        <v>300</v>
      </c>
      <c r="O282" s="617"/>
    </row>
    <row r="283" spans="2:15" ht="15" x14ac:dyDescent="0.25">
      <c r="B283" s="529">
        <v>278001</v>
      </c>
      <c r="C283" s="529">
        <v>279</v>
      </c>
      <c r="E283" s="534">
        <v>3</v>
      </c>
      <c r="F283" s="534">
        <v>837</v>
      </c>
      <c r="G283" s="534">
        <v>278</v>
      </c>
      <c r="I283" s="534">
        <v>0</v>
      </c>
      <c r="J283" s="534">
        <v>0</v>
      </c>
      <c r="K283" s="534">
        <v>22</v>
      </c>
      <c r="M283" s="617">
        <f t="shared" si="10"/>
        <v>3</v>
      </c>
      <c r="N283" s="617">
        <f t="shared" si="11"/>
        <v>300</v>
      </c>
      <c r="O283" s="617"/>
    </row>
    <row r="284" spans="2:15" ht="15" x14ac:dyDescent="0.25">
      <c r="B284" s="529">
        <v>279001</v>
      </c>
      <c r="C284" s="529">
        <v>280</v>
      </c>
      <c r="E284" s="534">
        <v>2</v>
      </c>
      <c r="F284" s="534">
        <v>560</v>
      </c>
      <c r="G284" s="534">
        <v>275</v>
      </c>
      <c r="I284" s="534">
        <v>0</v>
      </c>
      <c r="J284" s="534">
        <v>0</v>
      </c>
      <c r="K284" s="534">
        <v>22</v>
      </c>
      <c r="M284" s="617">
        <f t="shared" si="10"/>
        <v>2</v>
      </c>
      <c r="N284" s="617">
        <f t="shared" si="11"/>
        <v>297</v>
      </c>
      <c r="O284" s="617"/>
    </row>
    <row r="285" spans="2:15" ht="15" x14ac:dyDescent="0.25">
      <c r="B285" s="529">
        <v>280001</v>
      </c>
      <c r="C285" s="529">
        <v>281</v>
      </c>
      <c r="E285" s="534">
        <v>3</v>
      </c>
      <c r="F285" s="534">
        <v>843</v>
      </c>
      <c r="G285" s="534">
        <v>273</v>
      </c>
      <c r="I285" s="534">
        <v>0</v>
      </c>
      <c r="J285" s="534">
        <v>0</v>
      </c>
      <c r="K285" s="534">
        <v>22</v>
      </c>
      <c r="M285" s="617">
        <f t="shared" si="10"/>
        <v>3</v>
      </c>
      <c r="N285" s="617">
        <f t="shared" si="11"/>
        <v>295</v>
      </c>
      <c r="O285" s="617"/>
    </row>
    <row r="286" spans="2:15" ht="15" x14ac:dyDescent="0.25">
      <c r="B286" s="529">
        <v>281001</v>
      </c>
      <c r="C286" s="529">
        <v>282</v>
      </c>
      <c r="E286" s="534">
        <v>0</v>
      </c>
      <c r="F286" s="534">
        <v>0</v>
      </c>
      <c r="G286" s="534">
        <v>270</v>
      </c>
      <c r="I286" s="534">
        <v>0</v>
      </c>
      <c r="J286" s="534">
        <v>0</v>
      </c>
      <c r="K286" s="534">
        <v>22</v>
      </c>
      <c r="M286" s="617">
        <f t="shared" si="10"/>
        <v>0</v>
      </c>
      <c r="N286" s="617">
        <f t="shared" si="11"/>
        <v>292</v>
      </c>
      <c r="O286" s="617"/>
    </row>
    <row r="287" spans="2:15" ht="15" x14ac:dyDescent="0.25">
      <c r="B287" s="529">
        <v>282001</v>
      </c>
      <c r="C287" s="529">
        <v>283</v>
      </c>
      <c r="E287" s="534">
        <v>2</v>
      </c>
      <c r="F287" s="534">
        <v>566</v>
      </c>
      <c r="G287" s="534">
        <v>270</v>
      </c>
      <c r="I287" s="534">
        <v>0</v>
      </c>
      <c r="J287" s="534">
        <v>0</v>
      </c>
      <c r="K287" s="534">
        <v>22</v>
      </c>
      <c r="M287" s="617">
        <f t="shared" si="10"/>
        <v>2</v>
      </c>
      <c r="N287" s="617">
        <f t="shared" si="11"/>
        <v>292</v>
      </c>
      <c r="O287" s="617"/>
    </row>
    <row r="288" spans="2:15" ht="15" x14ac:dyDescent="0.25">
      <c r="B288" s="529">
        <v>283001</v>
      </c>
      <c r="C288" s="529">
        <v>284</v>
      </c>
      <c r="E288" s="534">
        <v>1</v>
      </c>
      <c r="F288" s="534">
        <v>284</v>
      </c>
      <c r="G288" s="534">
        <v>268</v>
      </c>
      <c r="I288" s="534">
        <v>1</v>
      </c>
      <c r="J288" s="534">
        <v>284</v>
      </c>
      <c r="K288" s="534">
        <v>22</v>
      </c>
      <c r="M288" s="617">
        <f t="shared" si="10"/>
        <v>2</v>
      </c>
      <c r="N288" s="617">
        <f t="shared" si="11"/>
        <v>290</v>
      </c>
      <c r="O288" s="617"/>
    </row>
    <row r="289" spans="2:15" ht="15" x14ac:dyDescent="0.25">
      <c r="B289" s="529">
        <v>284001</v>
      </c>
      <c r="C289" s="529">
        <v>285</v>
      </c>
      <c r="E289" s="534">
        <v>2</v>
      </c>
      <c r="F289" s="534">
        <v>570</v>
      </c>
      <c r="G289" s="534">
        <v>267</v>
      </c>
      <c r="I289" s="534">
        <v>0</v>
      </c>
      <c r="J289" s="534">
        <v>0</v>
      </c>
      <c r="K289" s="534">
        <v>21</v>
      </c>
      <c r="M289" s="617">
        <f t="shared" si="10"/>
        <v>2</v>
      </c>
      <c r="N289" s="617">
        <f t="shared" si="11"/>
        <v>288</v>
      </c>
      <c r="O289" s="617"/>
    </row>
    <row r="290" spans="2:15" ht="15" x14ac:dyDescent="0.25">
      <c r="B290" s="529">
        <v>285001</v>
      </c>
      <c r="C290" s="529">
        <v>286</v>
      </c>
      <c r="E290" s="534">
        <v>0</v>
      </c>
      <c r="F290" s="534">
        <v>0</v>
      </c>
      <c r="G290" s="534">
        <v>265</v>
      </c>
      <c r="I290" s="534">
        <v>0</v>
      </c>
      <c r="J290" s="534">
        <v>0</v>
      </c>
      <c r="K290" s="534">
        <v>21</v>
      </c>
      <c r="M290" s="617">
        <f t="shared" si="10"/>
        <v>0</v>
      </c>
      <c r="N290" s="617">
        <f t="shared" si="11"/>
        <v>286</v>
      </c>
      <c r="O290" s="617"/>
    </row>
    <row r="291" spans="2:15" ht="15" x14ac:dyDescent="0.25">
      <c r="B291" s="529">
        <v>286001</v>
      </c>
      <c r="C291" s="529">
        <v>287</v>
      </c>
      <c r="E291" s="534">
        <v>1</v>
      </c>
      <c r="F291" s="534">
        <v>287</v>
      </c>
      <c r="G291" s="534">
        <v>265</v>
      </c>
      <c r="I291" s="534">
        <v>0</v>
      </c>
      <c r="J291" s="534">
        <v>0</v>
      </c>
      <c r="K291" s="534">
        <v>21</v>
      </c>
      <c r="M291" s="617">
        <f t="shared" si="10"/>
        <v>1</v>
      </c>
      <c r="N291" s="617">
        <f t="shared" si="11"/>
        <v>286</v>
      </c>
      <c r="O291" s="617"/>
    </row>
    <row r="292" spans="2:15" ht="15" x14ac:dyDescent="0.25">
      <c r="B292" s="529">
        <v>287001</v>
      </c>
      <c r="C292" s="529">
        <v>288</v>
      </c>
      <c r="E292" s="534">
        <v>2</v>
      </c>
      <c r="F292" s="534">
        <v>576</v>
      </c>
      <c r="G292" s="534">
        <v>264</v>
      </c>
      <c r="I292" s="534">
        <v>0</v>
      </c>
      <c r="J292" s="534">
        <v>0</v>
      </c>
      <c r="K292" s="534">
        <v>21</v>
      </c>
      <c r="M292" s="617">
        <f t="shared" si="10"/>
        <v>2</v>
      </c>
      <c r="N292" s="617">
        <f t="shared" si="11"/>
        <v>285</v>
      </c>
      <c r="O292" s="617"/>
    </row>
    <row r="293" spans="2:15" ht="15" x14ac:dyDescent="0.25">
      <c r="B293" s="529">
        <v>288001</v>
      </c>
      <c r="C293" s="529">
        <v>289</v>
      </c>
      <c r="E293" s="534">
        <v>1</v>
      </c>
      <c r="F293" s="534">
        <v>289</v>
      </c>
      <c r="G293" s="534">
        <v>262</v>
      </c>
      <c r="I293" s="534">
        <v>0</v>
      </c>
      <c r="J293" s="534">
        <v>0</v>
      </c>
      <c r="K293" s="534">
        <v>21</v>
      </c>
      <c r="M293" s="617">
        <f t="shared" si="10"/>
        <v>1</v>
      </c>
      <c r="N293" s="617">
        <f t="shared" si="11"/>
        <v>283</v>
      </c>
      <c r="O293" s="617"/>
    </row>
    <row r="294" spans="2:15" ht="15" x14ac:dyDescent="0.25">
      <c r="B294" s="529">
        <v>289001</v>
      </c>
      <c r="C294" s="529">
        <v>290</v>
      </c>
      <c r="E294" s="534">
        <v>1</v>
      </c>
      <c r="F294" s="534">
        <v>290</v>
      </c>
      <c r="G294" s="534">
        <v>261</v>
      </c>
      <c r="I294" s="534">
        <v>0</v>
      </c>
      <c r="J294" s="534">
        <v>0</v>
      </c>
      <c r="K294" s="534">
        <v>21</v>
      </c>
      <c r="M294" s="617">
        <f t="shared" si="10"/>
        <v>1</v>
      </c>
      <c r="N294" s="617">
        <f t="shared" si="11"/>
        <v>282</v>
      </c>
      <c r="O294" s="617"/>
    </row>
    <row r="295" spans="2:15" ht="15" x14ac:dyDescent="0.25">
      <c r="B295" s="529">
        <v>290001</v>
      </c>
      <c r="C295" s="529">
        <v>291</v>
      </c>
      <c r="E295" s="534">
        <v>1</v>
      </c>
      <c r="F295" s="534">
        <v>291</v>
      </c>
      <c r="G295" s="534">
        <v>260</v>
      </c>
      <c r="I295" s="534">
        <v>1</v>
      </c>
      <c r="J295" s="534">
        <v>291</v>
      </c>
      <c r="K295" s="534">
        <v>21</v>
      </c>
      <c r="M295" s="617">
        <f t="shared" si="10"/>
        <v>2</v>
      </c>
      <c r="N295" s="617">
        <f t="shared" si="11"/>
        <v>281</v>
      </c>
      <c r="O295" s="617"/>
    </row>
    <row r="296" spans="2:15" ht="15" x14ac:dyDescent="0.25">
      <c r="B296" s="529">
        <v>291001</v>
      </c>
      <c r="C296" s="529">
        <v>292</v>
      </c>
      <c r="E296" s="534">
        <v>2</v>
      </c>
      <c r="F296" s="534">
        <v>584</v>
      </c>
      <c r="G296" s="534">
        <v>259</v>
      </c>
      <c r="I296" s="534">
        <v>0</v>
      </c>
      <c r="J296" s="534">
        <v>0</v>
      </c>
      <c r="K296" s="534">
        <v>20</v>
      </c>
      <c r="M296" s="617">
        <f t="shared" si="10"/>
        <v>2</v>
      </c>
      <c r="N296" s="617">
        <f t="shared" si="11"/>
        <v>279</v>
      </c>
      <c r="O296" s="617"/>
    </row>
    <row r="297" spans="2:15" ht="15" x14ac:dyDescent="0.25">
      <c r="B297" s="529">
        <v>292001</v>
      </c>
      <c r="C297" s="529">
        <v>293</v>
      </c>
      <c r="E297" s="534">
        <v>0</v>
      </c>
      <c r="F297" s="534">
        <v>0</v>
      </c>
      <c r="G297" s="534">
        <v>257</v>
      </c>
      <c r="I297" s="534">
        <v>0</v>
      </c>
      <c r="J297" s="534">
        <v>0</v>
      </c>
      <c r="K297" s="534">
        <v>20</v>
      </c>
      <c r="M297" s="617">
        <f t="shared" si="10"/>
        <v>0</v>
      </c>
      <c r="N297" s="617">
        <f t="shared" si="11"/>
        <v>277</v>
      </c>
      <c r="O297" s="617"/>
    </row>
    <row r="298" spans="2:15" ht="15" x14ac:dyDescent="0.25">
      <c r="B298" s="529">
        <v>293001</v>
      </c>
      <c r="C298" s="529">
        <v>294</v>
      </c>
      <c r="E298" s="534">
        <v>0</v>
      </c>
      <c r="F298" s="534">
        <v>0</v>
      </c>
      <c r="G298" s="534">
        <v>257</v>
      </c>
      <c r="I298" s="534">
        <v>0</v>
      </c>
      <c r="J298" s="534">
        <v>0</v>
      </c>
      <c r="K298" s="534">
        <v>20</v>
      </c>
      <c r="M298" s="617">
        <f t="shared" si="10"/>
        <v>0</v>
      </c>
      <c r="N298" s="617">
        <f t="shared" si="11"/>
        <v>277</v>
      </c>
      <c r="O298" s="617"/>
    </row>
    <row r="299" spans="2:15" ht="15" x14ac:dyDescent="0.25">
      <c r="B299" s="529">
        <v>294001</v>
      </c>
      <c r="C299" s="529">
        <v>295</v>
      </c>
      <c r="E299" s="534">
        <v>3</v>
      </c>
      <c r="F299" s="534">
        <v>885</v>
      </c>
      <c r="G299" s="534">
        <v>257</v>
      </c>
      <c r="I299" s="534">
        <v>0</v>
      </c>
      <c r="J299" s="534">
        <v>0</v>
      </c>
      <c r="K299" s="534">
        <v>20</v>
      </c>
      <c r="M299" s="617">
        <f t="shared" si="10"/>
        <v>3</v>
      </c>
      <c r="N299" s="617">
        <f t="shared" si="11"/>
        <v>277</v>
      </c>
      <c r="O299" s="617"/>
    </row>
    <row r="300" spans="2:15" ht="15" x14ac:dyDescent="0.25">
      <c r="B300" s="529">
        <v>295001</v>
      </c>
      <c r="C300" s="529">
        <v>296</v>
      </c>
      <c r="E300" s="534">
        <v>2</v>
      </c>
      <c r="F300" s="534">
        <v>592</v>
      </c>
      <c r="G300" s="534">
        <v>254</v>
      </c>
      <c r="I300" s="534">
        <v>0</v>
      </c>
      <c r="J300" s="534">
        <v>0</v>
      </c>
      <c r="K300" s="534">
        <v>20</v>
      </c>
      <c r="M300" s="617">
        <f t="shared" si="10"/>
        <v>2</v>
      </c>
      <c r="N300" s="617">
        <f t="shared" si="11"/>
        <v>274</v>
      </c>
      <c r="O300" s="617"/>
    </row>
    <row r="301" spans="2:15" ht="15" x14ac:dyDescent="0.25">
      <c r="B301" s="529">
        <v>296001</v>
      </c>
      <c r="C301" s="529">
        <v>297</v>
      </c>
      <c r="E301" s="534">
        <v>1</v>
      </c>
      <c r="F301" s="534">
        <v>297</v>
      </c>
      <c r="G301" s="534">
        <v>252</v>
      </c>
      <c r="I301" s="534">
        <v>0</v>
      </c>
      <c r="J301" s="534">
        <v>0</v>
      </c>
      <c r="K301" s="534">
        <v>20</v>
      </c>
      <c r="M301" s="617">
        <f t="shared" si="10"/>
        <v>1</v>
      </c>
      <c r="N301" s="617">
        <f t="shared" si="11"/>
        <v>272</v>
      </c>
      <c r="O301" s="617"/>
    </row>
    <row r="302" spans="2:15" ht="15" x14ac:dyDescent="0.25">
      <c r="B302" s="529">
        <v>297001</v>
      </c>
      <c r="C302" s="529">
        <v>298</v>
      </c>
      <c r="E302" s="534">
        <v>1</v>
      </c>
      <c r="F302" s="534">
        <v>298</v>
      </c>
      <c r="G302" s="534">
        <v>251</v>
      </c>
      <c r="I302" s="534">
        <v>0</v>
      </c>
      <c r="J302" s="534">
        <v>0</v>
      </c>
      <c r="K302" s="534">
        <v>20</v>
      </c>
      <c r="M302" s="617">
        <f t="shared" si="10"/>
        <v>1</v>
      </c>
      <c r="N302" s="617">
        <f t="shared" si="11"/>
        <v>271</v>
      </c>
      <c r="O302" s="617"/>
    </row>
    <row r="303" spans="2:15" ht="15" x14ac:dyDescent="0.25">
      <c r="B303" s="529">
        <v>298001</v>
      </c>
      <c r="C303" s="529">
        <v>299</v>
      </c>
      <c r="E303" s="534">
        <v>1</v>
      </c>
      <c r="F303" s="534">
        <v>299</v>
      </c>
      <c r="G303" s="534">
        <v>250</v>
      </c>
      <c r="I303" s="534">
        <v>0</v>
      </c>
      <c r="J303" s="534">
        <v>0</v>
      </c>
      <c r="K303" s="534">
        <v>20</v>
      </c>
      <c r="M303" s="617">
        <f t="shared" si="10"/>
        <v>1</v>
      </c>
      <c r="N303" s="617">
        <f t="shared" si="11"/>
        <v>270</v>
      </c>
      <c r="O303" s="617"/>
    </row>
    <row r="304" spans="2:15" ht="15" x14ac:dyDescent="0.25">
      <c r="B304" s="529">
        <v>299001</v>
      </c>
      <c r="C304" s="529">
        <v>300</v>
      </c>
      <c r="E304" s="534">
        <v>0</v>
      </c>
      <c r="F304" s="534">
        <v>0</v>
      </c>
      <c r="G304" s="534">
        <v>249</v>
      </c>
      <c r="I304" s="534">
        <v>0</v>
      </c>
      <c r="J304" s="534">
        <v>0</v>
      </c>
      <c r="K304" s="534">
        <v>20</v>
      </c>
      <c r="M304" s="617">
        <f t="shared" si="10"/>
        <v>0</v>
      </c>
      <c r="N304" s="617">
        <f t="shared" si="11"/>
        <v>269</v>
      </c>
      <c r="O304" s="617"/>
    </row>
    <row r="305" spans="2:15" ht="15" x14ac:dyDescent="0.25">
      <c r="B305" s="529">
        <v>300001</v>
      </c>
      <c r="C305" s="529">
        <v>301</v>
      </c>
      <c r="E305" s="534">
        <v>0</v>
      </c>
      <c r="F305" s="534">
        <v>0</v>
      </c>
      <c r="G305" s="534">
        <v>249</v>
      </c>
      <c r="I305" s="534">
        <v>0</v>
      </c>
      <c r="J305" s="534">
        <v>0</v>
      </c>
      <c r="K305" s="534">
        <v>20</v>
      </c>
      <c r="M305" s="617">
        <f t="shared" si="10"/>
        <v>0</v>
      </c>
      <c r="N305" s="617">
        <f t="shared" si="11"/>
        <v>269</v>
      </c>
      <c r="O305" s="617"/>
    </row>
    <row r="306" spans="2:15" ht="15" x14ac:dyDescent="0.25">
      <c r="B306" s="529">
        <v>301001</v>
      </c>
      <c r="C306" s="529">
        <v>302</v>
      </c>
      <c r="E306" s="534">
        <v>1</v>
      </c>
      <c r="F306" s="534">
        <v>302</v>
      </c>
      <c r="G306" s="534">
        <v>249</v>
      </c>
      <c r="I306" s="534">
        <v>0</v>
      </c>
      <c r="J306" s="534">
        <v>0</v>
      </c>
      <c r="K306" s="534">
        <v>20</v>
      </c>
      <c r="M306" s="617">
        <f t="shared" si="10"/>
        <v>1</v>
      </c>
      <c r="N306" s="617">
        <f t="shared" si="11"/>
        <v>269</v>
      </c>
      <c r="O306" s="617"/>
    </row>
    <row r="307" spans="2:15" ht="15" x14ac:dyDescent="0.25">
      <c r="B307" s="529">
        <v>302001</v>
      </c>
      <c r="C307" s="529">
        <v>303</v>
      </c>
      <c r="E307" s="534">
        <v>2</v>
      </c>
      <c r="F307" s="534">
        <v>606</v>
      </c>
      <c r="G307" s="534">
        <v>248</v>
      </c>
      <c r="I307" s="534">
        <v>0</v>
      </c>
      <c r="J307" s="534">
        <v>0</v>
      </c>
      <c r="K307" s="534">
        <v>20</v>
      </c>
      <c r="M307" s="617">
        <f t="shared" si="10"/>
        <v>2</v>
      </c>
      <c r="N307" s="617">
        <f t="shared" si="11"/>
        <v>268</v>
      </c>
      <c r="O307" s="617"/>
    </row>
    <row r="308" spans="2:15" ht="15" x14ac:dyDescent="0.25">
      <c r="B308" s="529">
        <v>303001</v>
      </c>
      <c r="C308" s="529">
        <v>304</v>
      </c>
      <c r="E308" s="534">
        <v>1</v>
      </c>
      <c r="F308" s="534">
        <v>304</v>
      </c>
      <c r="G308" s="534">
        <v>246</v>
      </c>
      <c r="I308" s="534">
        <v>0</v>
      </c>
      <c r="J308" s="534">
        <v>0</v>
      </c>
      <c r="K308" s="534">
        <v>20</v>
      </c>
      <c r="M308" s="617">
        <f t="shared" si="10"/>
        <v>1</v>
      </c>
      <c r="N308" s="617">
        <f t="shared" si="11"/>
        <v>266</v>
      </c>
      <c r="O308" s="617"/>
    </row>
    <row r="309" spans="2:15" ht="15" x14ac:dyDescent="0.25">
      <c r="B309" s="529">
        <v>304001</v>
      </c>
      <c r="C309" s="529">
        <v>305</v>
      </c>
      <c r="E309" s="534">
        <v>1</v>
      </c>
      <c r="F309" s="534">
        <v>305</v>
      </c>
      <c r="G309" s="534">
        <v>245</v>
      </c>
      <c r="I309" s="534">
        <v>0</v>
      </c>
      <c r="J309" s="534">
        <v>0</v>
      </c>
      <c r="K309" s="534">
        <v>20</v>
      </c>
      <c r="M309" s="617">
        <f t="shared" si="10"/>
        <v>1</v>
      </c>
      <c r="N309" s="617">
        <f t="shared" si="11"/>
        <v>265</v>
      </c>
      <c r="O309" s="617"/>
    </row>
    <row r="310" spans="2:15" ht="15" x14ac:dyDescent="0.25">
      <c r="B310" s="529">
        <v>305001</v>
      </c>
      <c r="C310" s="529">
        <v>306</v>
      </c>
      <c r="E310" s="534">
        <v>1</v>
      </c>
      <c r="F310" s="534">
        <v>306</v>
      </c>
      <c r="G310" s="534">
        <v>244</v>
      </c>
      <c r="I310" s="534">
        <v>0</v>
      </c>
      <c r="J310" s="534">
        <v>0</v>
      </c>
      <c r="K310" s="534">
        <v>20</v>
      </c>
      <c r="M310" s="617">
        <f t="shared" si="10"/>
        <v>1</v>
      </c>
      <c r="N310" s="617">
        <f t="shared" si="11"/>
        <v>264</v>
      </c>
      <c r="O310" s="617"/>
    </row>
    <row r="311" spans="2:15" ht="15" x14ac:dyDescent="0.25">
      <c r="B311" s="529">
        <v>306001</v>
      </c>
      <c r="C311" s="529">
        <v>307</v>
      </c>
      <c r="E311" s="534">
        <v>3</v>
      </c>
      <c r="F311" s="534">
        <v>921</v>
      </c>
      <c r="G311" s="534">
        <v>243</v>
      </c>
      <c r="I311" s="534">
        <v>0</v>
      </c>
      <c r="J311" s="534">
        <v>0</v>
      </c>
      <c r="K311" s="534">
        <v>20</v>
      </c>
      <c r="M311" s="617">
        <f t="shared" si="10"/>
        <v>3</v>
      </c>
      <c r="N311" s="617">
        <f t="shared" si="11"/>
        <v>263</v>
      </c>
      <c r="O311" s="617"/>
    </row>
    <row r="312" spans="2:15" ht="15" x14ac:dyDescent="0.25">
      <c r="B312" s="529">
        <v>307001</v>
      </c>
      <c r="C312" s="529">
        <v>308</v>
      </c>
      <c r="E312" s="534">
        <v>0</v>
      </c>
      <c r="F312" s="534">
        <v>0</v>
      </c>
      <c r="G312" s="534">
        <v>240</v>
      </c>
      <c r="I312" s="534">
        <v>1</v>
      </c>
      <c r="J312" s="534">
        <v>308</v>
      </c>
      <c r="K312" s="534">
        <v>20</v>
      </c>
      <c r="M312" s="617">
        <f t="shared" si="10"/>
        <v>1</v>
      </c>
      <c r="N312" s="617">
        <f t="shared" si="11"/>
        <v>260</v>
      </c>
      <c r="O312" s="617"/>
    </row>
    <row r="313" spans="2:15" ht="15" x14ac:dyDescent="0.25">
      <c r="B313" s="529">
        <v>308001</v>
      </c>
      <c r="C313" s="529">
        <v>309</v>
      </c>
      <c r="E313" s="534">
        <v>2</v>
      </c>
      <c r="F313" s="534">
        <v>618</v>
      </c>
      <c r="G313" s="534">
        <v>240</v>
      </c>
      <c r="I313" s="534">
        <v>0</v>
      </c>
      <c r="J313" s="534">
        <v>0</v>
      </c>
      <c r="K313" s="534">
        <v>19</v>
      </c>
      <c r="M313" s="617">
        <f t="shared" si="10"/>
        <v>2</v>
      </c>
      <c r="N313" s="617">
        <f t="shared" si="11"/>
        <v>259</v>
      </c>
      <c r="O313" s="617"/>
    </row>
    <row r="314" spans="2:15" ht="15" x14ac:dyDescent="0.25">
      <c r="B314" s="529">
        <v>309001</v>
      </c>
      <c r="C314" s="529">
        <v>310</v>
      </c>
      <c r="E314" s="534">
        <v>1</v>
      </c>
      <c r="F314" s="534">
        <v>310</v>
      </c>
      <c r="G314" s="534">
        <v>238</v>
      </c>
      <c r="I314" s="534">
        <v>0</v>
      </c>
      <c r="J314" s="534">
        <v>0</v>
      </c>
      <c r="K314" s="534">
        <v>19</v>
      </c>
      <c r="M314" s="617">
        <f t="shared" si="10"/>
        <v>1</v>
      </c>
      <c r="N314" s="617">
        <f t="shared" si="11"/>
        <v>257</v>
      </c>
      <c r="O314" s="617"/>
    </row>
    <row r="315" spans="2:15" ht="15" x14ac:dyDescent="0.25">
      <c r="B315" s="529">
        <v>310001</v>
      </c>
      <c r="C315" s="529">
        <v>311</v>
      </c>
      <c r="E315" s="534">
        <v>0</v>
      </c>
      <c r="F315" s="534">
        <v>0</v>
      </c>
      <c r="G315" s="534">
        <v>237</v>
      </c>
      <c r="I315" s="534">
        <v>0</v>
      </c>
      <c r="J315" s="534">
        <v>0</v>
      </c>
      <c r="K315" s="534">
        <v>19</v>
      </c>
      <c r="M315" s="617">
        <f t="shared" si="10"/>
        <v>0</v>
      </c>
      <c r="N315" s="617">
        <f t="shared" si="11"/>
        <v>256</v>
      </c>
      <c r="O315" s="617"/>
    </row>
    <row r="316" spans="2:15" ht="15" x14ac:dyDescent="0.25">
      <c r="B316" s="529">
        <v>311001</v>
      </c>
      <c r="C316" s="529">
        <v>312</v>
      </c>
      <c r="E316" s="534">
        <v>0</v>
      </c>
      <c r="F316" s="534">
        <v>0</v>
      </c>
      <c r="G316" s="534">
        <v>237</v>
      </c>
      <c r="I316" s="534">
        <v>0</v>
      </c>
      <c r="J316" s="534">
        <v>0</v>
      </c>
      <c r="K316" s="534">
        <v>19</v>
      </c>
      <c r="M316" s="617">
        <f t="shared" si="10"/>
        <v>0</v>
      </c>
      <c r="N316" s="617">
        <f t="shared" si="11"/>
        <v>256</v>
      </c>
      <c r="O316" s="617"/>
    </row>
    <row r="317" spans="2:15" ht="15" x14ac:dyDescent="0.25">
      <c r="B317" s="529">
        <v>312001</v>
      </c>
      <c r="C317" s="529">
        <v>313</v>
      </c>
      <c r="E317" s="534">
        <v>1</v>
      </c>
      <c r="F317" s="534">
        <v>313</v>
      </c>
      <c r="G317" s="534">
        <v>237</v>
      </c>
      <c r="I317" s="534">
        <v>0</v>
      </c>
      <c r="J317" s="534">
        <v>0</v>
      </c>
      <c r="K317" s="534">
        <v>19</v>
      </c>
      <c r="M317" s="617">
        <f t="shared" si="10"/>
        <v>1</v>
      </c>
      <c r="N317" s="617">
        <f t="shared" si="11"/>
        <v>256</v>
      </c>
      <c r="O317" s="617"/>
    </row>
    <row r="318" spans="2:15" ht="15" x14ac:dyDescent="0.25">
      <c r="B318" s="529">
        <v>313001</v>
      </c>
      <c r="C318" s="529">
        <v>314</v>
      </c>
      <c r="E318" s="534">
        <v>2</v>
      </c>
      <c r="F318" s="534">
        <v>628</v>
      </c>
      <c r="G318" s="534">
        <v>236</v>
      </c>
      <c r="I318" s="534">
        <v>0</v>
      </c>
      <c r="J318" s="534">
        <v>0</v>
      </c>
      <c r="K318" s="534">
        <v>19</v>
      </c>
      <c r="M318" s="617">
        <f t="shared" si="10"/>
        <v>2</v>
      </c>
      <c r="N318" s="617">
        <f t="shared" si="11"/>
        <v>255</v>
      </c>
      <c r="O318" s="617"/>
    </row>
    <row r="319" spans="2:15" ht="15" x14ac:dyDescent="0.25">
      <c r="B319" s="529">
        <v>314001</v>
      </c>
      <c r="C319" s="529">
        <v>315</v>
      </c>
      <c r="E319" s="534">
        <v>3</v>
      </c>
      <c r="F319" s="534">
        <v>945</v>
      </c>
      <c r="G319" s="534">
        <v>234</v>
      </c>
      <c r="I319" s="534">
        <v>0</v>
      </c>
      <c r="J319" s="534">
        <v>0</v>
      </c>
      <c r="K319" s="534">
        <v>19</v>
      </c>
      <c r="M319" s="617">
        <f t="shared" si="10"/>
        <v>3</v>
      </c>
      <c r="N319" s="617">
        <f t="shared" si="11"/>
        <v>253</v>
      </c>
      <c r="O319" s="617"/>
    </row>
    <row r="320" spans="2:15" ht="15" x14ac:dyDescent="0.25">
      <c r="B320" s="529">
        <v>315001</v>
      </c>
      <c r="C320" s="529">
        <v>316</v>
      </c>
      <c r="E320" s="534">
        <v>0</v>
      </c>
      <c r="F320" s="534">
        <v>0</v>
      </c>
      <c r="G320" s="534">
        <v>231</v>
      </c>
      <c r="I320" s="534">
        <v>0</v>
      </c>
      <c r="J320" s="534">
        <v>0</v>
      </c>
      <c r="K320" s="534">
        <v>19</v>
      </c>
      <c r="M320" s="617">
        <f t="shared" si="10"/>
        <v>0</v>
      </c>
      <c r="N320" s="617">
        <f t="shared" si="11"/>
        <v>250</v>
      </c>
      <c r="O320" s="617"/>
    </row>
    <row r="321" spans="2:15" ht="15" x14ac:dyDescent="0.25">
      <c r="B321" s="529">
        <v>316001</v>
      </c>
      <c r="C321" s="529">
        <v>317</v>
      </c>
      <c r="E321" s="534">
        <v>1</v>
      </c>
      <c r="F321" s="534">
        <v>317</v>
      </c>
      <c r="G321" s="534">
        <v>231</v>
      </c>
      <c r="I321" s="534">
        <v>0</v>
      </c>
      <c r="J321" s="534">
        <v>0</v>
      </c>
      <c r="K321" s="534">
        <v>19</v>
      </c>
      <c r="M321" s="617">
        <f t="shared" si="10"/>
        <v>1</v>
      </c>
      <c r="N321" s="617">
        <f t="shared" si="11"/>
        <v>250</v>
      </c>
      <c r="O321" s="617"/>
    </row>
    <row r="322" spans="2:15" ht="15" x14ac:dyDescent="0.25">
      <c r="B322" s="529">
        <v>317001</v>
      </c>
      <c r="C322" s="529">
        <v>318</v>
      </c>
      <c r="E322" s="534">
        <v>0</v>
      </c>
      <c r="F322" s="534">
        <v>0</v>
      </c>
      <c r="G322" s="534">
        <v>230</v>
      </c>
      <c r="I322" s="534">
        <v>0</v>
      </c>
      <c r="J322" s="534">
        <v>0</v>
      </c>
      <c r="K322" s="534">
        <v>19</v>
      </c>
      <c r="M322" s="617">
        <f t="shared" si="10"/>
        <v>0</v>
      </c>
      <c r="N322" s="617">
        <f t="shared" si="11"/>
        <v>249</v>
      </c>
      <c r="O322" s="617"/>
    </row>
    <row r="323" spans="2:15" ht="15" x14ac:dyDescent="0.25">
      <c r="B323" s="529">
        <v>318001</v>
      </c>
      <c r="C323" s="529">
        <v>319</v>
      </c>
      <c r="E323" s="534">
        <v>1</v>
      </c>
      <c r="F323" s="534">
        <v>319</v>
      </c>
      <c r="G323" s="534">
        <v>230</v>
      </c>
      <c r="I323" s="534">
        <v>0</v>
      </c>
      <c r="J323" s="534">
        <v>0</v>
      </c>
      <c r="K323" s="534">
        <v>19</v>
      </c>
      <c r="M323" s="617">
        <f t="shared" si="10"/>
        <v>1</v>
      </c>
      <c r="N323" s="617">
        <f t="shared" si="11"/>
        <v>249</v>
      </c>
      <c r="O323" s="617"/>
    </row>
    <row r="324" spans="2:15" ht="15" x14ac:dyDescent="0.25">
      <c r="B324" s="529">
        <v>319001</v>
      </c>
      <c r="C324" s="529">
        <v>320</v>
      </c>
      <c r="E324" s="534">
        <v>1</v>
      </c>
      <c r="F324" s="534">
        <v>320</v>
      </c>
      <c r="G324" s="534">
        <v>229</v>
      </c>
      <c r="I324" s="534">
        <v>0</v>
      </c>
      <c r="J324" s="534">
        <v>0</v>
      </c>
      <c r="K324" s="534">
        <v>19</v>
      </c>
      <c r="M324" s="617">
        <f t="shared" si="10"/>
        <v>1</v>
      </c>
      <c r="N324" s="617">
        <f t="shared" si="11"/>
        <v>248</v>
      </c>
      <c r="O324" s="617"/>
    </row>
    <row r="325" spans="2:15" ht="15" x14ac:dyDescent="0.25">
      <c r="B325" s="529">
        <v>320001</v>
      </c>
      <c r="C325" s="529">
        <v>321</v>
      </c>
      <c r="E325" s="534">
        <v>0</v>
      </c>
      <c r="F325" s="534">
        <v>0</v>
      </c>
      <c r="G325" s="534">
        <v>228</v>
      </c>
      <c r="I325" s="534">
        <v>0</v>
      </c>
      <c r="J325" s="534">
        <v>0</v>
      </c>
      <c r="K325" s="534">
        <v>19</v>
      </c>
      <c r="M325" s="617">
        <f t="shared" ref="M325:M388" si="12">I325+E325</f>
        <v>0</v>
      </c>
      <c r="N325" s="617">
        <f t="shared" ref="N325:N388" si="13">K325+G325</f>
        <v>247</v>
      </c>
      <c r="O325" s="617"/>
    </row>
    <row r="326" spans="2:15" ht="15" x14ac:dyDescent="0.25">
      <c r="B326" s="529">
        <v>321001</v>
      </c>
      <c r="C326" s="529">
        <v>322</v>
      </c>
      <c r="E326" s="534">
        <v>4</v>
      </c>
      <c r="F326" s="534">
        <v>1288</v>
      </c>
      <c r="G326" s="534">
        <v>228</v>
      </c>
      <c r="I326" s="534">
        <v>0</v>
      </c>
      <c r="J326" s="534">
        <v>0</v>
      </c>
      <c r="K326" s="534">
        <v>19</v>
      </c>
      <c r="M326" s="617">
        <f t="shared" si="12"/>
        <v>4</v>
      </c>
      <c r="N326" s="617">
        <f t="shared" si="13"/>
        <v>247</v>
      </c>
      <c r="O326" s="617"/>
    </row>
    <row r="327" spans="2:15" ht="15" x14ac:dyDescent="0.25">
      <c r="B327" s="529">
        <v>322001</v>
      </c>
      <c r="C327" s="529">
        <v>323</v>
      </c>
      <c r="E327" s="534">
        <v>1</v>
      </c>
      <c r="F327" s="534">
        <v>323</v>
      </c>
      <c r="G327" s="534">
        <v>224</v>
      </c>
      <c r="I327" s="534">
        <v>0</v>
      </c>
      <c r="J327" s="534">
        <v>0</v>
      </c>
      <c r="K327" s="534">
        <v>19</v>
      </c>
      <c r="M327" s="617">
        <f t="shared" si="12"/>
        <v>1</v>
      </c>
      <c r="N327" s="617">
        <f t="shared" si="13"/>
        <v>243</v>
      </c>
      <c r="O327" s="617"/>
    </row>
    <row r="328" spans="2:15" ht="15" x14ac:dyDescent="0.25">
      <c r="B328" s="529">
        <v>323001</v>
      </c>
      <c r="C328" s="529">
        <v>324</v>
      </c>
      <c r="E328" s="534">
        <v>0</v>
      </c>
      <c r="F328" s="534">
        <v>0</v>
      </c>
      <c r="G328" s="534">
        <v>223</v>
      </c>
      <c r="I328" s="534">
        <v>0</v>
      </c>
      <c r="J328" s="534">
        <v>0</v>
      </c>
      <c r="K328" s="534">
        <v>19</v>
      </c>
      <c r="M328" s="617">
        <f t="shared" si="12"/>
        <v>0</v>
      </c>
      <c r="N328" s="617">
        <f t="shared" si="13"/>
        <v>242</v>
      </c>
      <c r="O328" s="617"/>
    </row>
    <row r="329" spans="2:15" ht="15" x14ac:dyDescent="0.25">
      <c r="B329" s="529">
        <v>324001</v>
      </c>
      <c r="C329" s="529">
        <v>325</v>
      </c>
      <c r="E329" s="534">
        <v>0</v>
      </c>
      <c r="F329" s="534">
        <v>0</v>
      </c>
      <c r="G329" s="534">
        <v>223</v>
      </c>
      <c r="I329" s="534">
        <v>0</v>
      </c>
      <c r="J329" s="534">
        <v>0</v>
      </c>
      <c r="K329" s="534">
        <v>19</v>
      </c>
      <c r="M329" s="617">
        <f t="shared" si="12"/>
        <v>0</v>
      </c>
      <c r="N329" s="617">
        <f t="shared" si="13"/>
        <v>242</v>
      </c>
      <c r="O329" s="617"/>
    </row>
    <row r="330" spans="2:15" ht="15" x14ac:dyDescent="0.25">
      <c r="B330" s="529">
        <v>325001</v>
      </c>
      <c r="C330" s="529">
        <v>326</v>
      </c>
      <c r="E330" s="534">
        <v>0</v>
      </c>
      <c r="F330" s="534">
        <v>0</v>
      </c>
      <c r="G330" s="534">
        <v>223</v>
      </c>
      <c r="I330" s="534">
        <v>0</v>
      </c>
      <c r="J330" s="534">
        <v>0</v>
      </c>
      <c r="K330" s="534">
        <v>19</v>
      </c>
      <c r="M330" s="617">
        <f t="shared" si="12"/>
        <v>0</v>
      </c>
      <c r="N330" s="617">
        <f t="shared" si="13"/>
        <v>242</v>
      </c>
      <c r="O330" s="617"/>
    </row>
    <row r="331" spans="2:15" ht="15" x14ac:dyDescent="0.25">
      <c r="B331" s="529">
        <v>326001</v>
      </c>
      <c r="C331" s="529">
        <v>327</v>
      </c>
      <c r="E331" s="534">
        <v>0</v>
      </c>
      <c r="F331" s="534">
        <v>0</v>
      </c>
      <c r="G331" s="534">
        <v>223</v>
      </c>
      <c r="I331" s="534">
        <v>0</v>
      </c>
      <c r="J331" s="534">
        <v>0</v>
      </c>
      <c r="K331" s="534">
        <v>19</v>
      </c>
      <c r="M331" s="617">
        <f t="shared" si="12"/>
        <v>0</v>
      </c>
      <c r="N331" s="617">
        <f t="shared" si="13"/>
        <v>242</v>
      </c>
      <c r="O331" s="617"/>
    </row>
    <row r="332" spans="2:15" ht="15" x14ac:dyDescent="0.25">
      <c r="B332" s="529">
        <v>327001</v>
      </c>
      <c r="C332" s="529">
        <v>328</v>
      </c>
      <c r="E332" s="534">
        <v>0</v>
      </c>
      <c r="F332" s="534">
        <v>0</v>
      </c>
      <c r="G332" s="534">
        <v>223</v>
      </c>
      <c r="I332" s="534">
        <v>0</v>
      </c>
      <c r="J332" s="534">
        <v>0</v>
      </c>
      <c r="K332" s="534">
        <v>19</v>
      </c>
      <c r="M332" s="617">
        <f t="shared" si="12"/>
        <v>0</v>
      </c>
      <c r="N332" s="617">
        <f t="shared" si="13"/>
        <v>242</v>
      </c>
      <c r="O332" s="617"/>
    </row>
    <row r="333" spans="2:15" ht="15" x14ac:dyDescent="0.25">
      <c r="B333" s="529">
        <v>328001</v>
      </c>
      <c r="C333" s="529">
        <v>329</v>
      </c>
      <c r="E333" s="534">
        <v>0</v>
      </c>
      <c r="F333" s="534">
        <v>0</v>
      </c>
      <c r="G333" s="534">
        <v>223</v>
      </c>
      <c r="I333" s="534">
        <v>0</v>
      </c>
      <c r="J333" s="534">
        <v>0</v>
      </c>
      <c r="K333" s="534">
        <v>19</v>
      </c>
      <c r="M333" s="617">
        <f t="shared" si="12"/>
        <v>0</v>
      </c>
      <c r="N333" s="617">
        <f t="shared" si="13"/>
        <v>242</v>
      </c>
      <c r="O333" s="617"/>
    </row>
    <row r="334" spans="2:15" ht="15" x14ac:dyDescent="0.25">
      <c r="B334" s="529">
        <v>329001</v>
      </c>
      <c r="C334" s="529">
        <v>330</v>
      </c>
      <c r="E334" s="534">
        <v>1</v>
      </c>
      <c r="F334" s="534">
        <v>330</v>
      </c>
      <c r="G334" s="534">
        <v>223</v>
      </c>
      <c r="I334" s="534">
        <v>0</v>
      </c>
      <c r="J334" s="534">
        <v>0</v>
      </c>
      <c r="K334" s="534">
        <v>19</v>
      </c>
      <c r="M334" s="617">
        <f t="shared" si="12"/>
        <v>1</v>
      </c>
      <c r="N334" s="617">
        <f t="shared" si="13"/>
        <v>242</v>
      </c>
      <c r="O334" s="617"/>
    </row>
    <row r="335" spans="2:15" ht="15" x14ac:dyDescent="0.25">
      <c r="B335" s="529">
        <v>330001</v>
      </c>
      <c r="C335" s="529">
        <v>331</v>
      </c>
      <c r="E335" s="534">
        <v>1</v>
      </c>
      <c r="F335" s="534">
        <v>331</v>
      </c>
      <c r="G335" s="534">
        <v>222</v>
      </c>
      <c r="I335" s="534">
        <v>0</v>
      </c>
      <c r="J335" s="534">
        <v>0</v>
      </c>
      <c r="K335" s="534">
        <v>19</v>
      </c>
      <c r="M335" s="617">
        <f t="shared" si="12"/>
        <v>1</v>
      </c>
      <c r="N335" s="617">
        <f t="shared" si="13"/>
        <v>241</v>
      </c>
      <c r="O335" s="617"/>
    </row>
    <row r="336" spans="2:15" ht="15" x14ac:dyDescent="0.25">
      <c r="B336" s="529">
        <v>331001</v>
      </c>
      <c r="C336" s="529">
        <v>332</v>
      </c>
      <c r="E336" s="534">
        <v>0</v>
      </c>
      <c r="F336" s="534">
        <v>0</v>
      </c>
      <c r="G336" s="534">
        <v>221</v>
      </c>
      <c r="I336" s="534">
        <v>0</v>
      </c>
      <c r="J336" s="534">
        <v>0</v>
      </c>
      <c r="K336" s="534">
        <v>19</v>
      </c>
      <c r="M336" s="617">
        <f t="shared" si="12"/>
        <v>0</v>
      </c>
      <c r="N336" s="617">
        <f t="shared" si="13"/>
        <v>240</v>
      </c>
      <c r="O336" s="617"/>
    </row>
    <row r="337" spans="2:15" ht="15" x14ac:dyDescent="0.25">
      <c r="B337" s="529">
        <v>332001</v>
      </c>
      <c r="C337" s="529">
        <v>333</v>
      </c>
      <c r="E337" s="534">
        <v>0</v>
      </c>
      <c r="F337" s="534">
        <v>0</v>
      </c>
      <c r="G337" s="534">
        <v>221</v>
      </c>
      <c r="I337" s="534">
        <v>0</v>
      </c>
      <c r="J337" s="534">
        <v>0</v>
      </c>
      <c r="K337" s="534">
        <v>19</v>
      </c>
      <c r="M337" s="617">
        <f t="shared" si="12"/>
        <v>0</v>
      </c>
      <c r="N337" s="617">
        <f t="shared" si="13"/>
        <v>240</v>
      </c>
      <c r="O337" s="617"/>
    </row>
    <row r="338" spans="2:15" ht="15" x14ac:dyDescent="0.25">
      <c r="B338" s="529">
        <v>333001</v>
      </c>
      <c r="C338" s="529">
        <v>334</v>
      </c>
      <c r="E338" s="534">
        <v>0</v>
      </c>
      <c r="F338" s="534">
        <v>0</v>
      </c>
      <c r="G338" s="534">
        <v>221</v>
      </c>
      <c r="I338" s="534">
        <v>0</v>
      </c>
      <c r="J338" s="534">
        <v>0</v>
      </c>
      <c r="K338" s="534">
        <v>19</v>
      </c>
      <c r="M338" s="617">
        <f t="shared" si="12"/>
        <v>0</v>
      </c>
      <c r="N338" s="617">
        <f t="shared" si="13"/>
        <v>240</v>
      </c>
      <c r="O338" s="617"/>
    </row>
    <row r="339" spans="2:15" ht="15" x14ac:dyDescent="0.25">
      <c r="B339" s="529">
        <v>334001</v>
      </c>
      <c r="C339" s="529">
        <v>335</v>
      </c>
      <c r="E339" s="534">
        <v>0</v>
      </c>
      <c r="F339" s="534">
        <v>0</v>
      </c>
      <c r="G339" s="534">
        <v>221</v>
      </c>
      <c r="I339" s="534">
        <v>1</v>
      </c>
      <c r="J339" s="534">
        <v>335</v>
      </c>
      <c r="K339" s="534">
        <v>19</v>
      </c>
      <c r="M339" s="617">
        <f t="shared" si="12"/>
        <v>1</v>
      </c>
      <c r="N339" s="617">
        <f t="shared" si="13"/>
        <v>240</v>
      </c>
      <c r="O339" s="617"/>
    </row>
    <row r="340" spans="2:15" ht="15" x14ac:dyDescent="0.25">
      <c r="B340" s="529">
        <v>335001</v>
      </c>
      <c r="C340" s="529">
        <v>336</v>
      </c>
      <c r="E340" s="534">
        <v>0</v>
      </c>
      <c r="F340" s="534">
        <v>0</v>
      </c>
      <c r="G340" s="534">
        <v>221</v>
      </c>
      <c r="I340" s="534">
        <v>0</v>
      </c>
      <c r="J340" s="534">
        <v>0</v>
      </c>
      <c r="K340" s="534">
        <v>18</v>
      </c>
      <c r="M340" s="617">
        <f t="shared" si="12"/>
        <v>0</v>
      </c>
      <c r="N340" s="617">
        <f t="shared" si="13"/>
        <v>239</v>
      </c>
      <c r="O340" s="617"/>
    </row>
    <row r="341" spans="2:15" ht="15" x14ac:dyDescent="0.25">
      <c r="B341" s="529">
        <v>336001</v>
      </c>
      <c r="C341" s="529">
        <v>337</v>
      </c>
      <c r="E341" s="534">
        <v>2</v>
      </c>
      <c r="F341" s="534">
        <v>674</v>
      </c>
      <c r="G341" s="534">
        <v>221</v>
      </c>
      <c r="I341" s="534">
        <v>0</v>
      </c>
      <c r="J341" s="534">
        <v>0</v>
      </c>
      <c r="K341" s="534">
        <v>18</v>
      </c>
      <c r="M341" s="617">
        <f t="shared" si="12"/>
        <v>2</v>
      </c>
      <c r="N341" s="617">
        <f t="shared" si="13"/>
        <v>239</v>
      </c>
      <c r="O341" s="617"/>
    </row>
    <row r="342" spans="2:15" ht="15" x14ac:dyDescent="0.25">
      <c r="B342" s="529">
        <v>337001</v>
      </c>
      <c r="C342" s="529">
        <v>338</v>
      </c>
      <c r="E342" s="534">
        <v>3</v>
      </c>
      <c r="F342" s="534">
        <v>1014</v>
      </c>
      <c r="G342" s="534">
        <v>219</v>
      </c>
      <c r="I342" s="534">
        <v>0</v>
      </c>
      <c r="J342" s="534">
        <v>0</v>
      </c>
      <c r="K342" s="534">
        <v>18</v>
      </c>
      <c r="M342" s="617">
        <f t="shared" si="12"/>
        <v>3</v>
      </c>
      <c r="N342" s="617">
        <f t="shared" si="13"/>
        <v>237</v>
      </c>
      <c r="O342" s="617"/>
    </row>
    <row r="343" spans="2:15" ht="15" x14ac:dyDescent="0.25">
      <c r="B343" s="529">
        <v>338001</v>
      </c>
      <c r="C343" s="529">
        <v>339</v>
      </c>
      <c r="E343" s="534">
        <v>3</v>
      </c>
      <c r="F343" s="534">
        <v>1017</v>
      </c>
      <c r="G343" s="534">
        <v>216</v>
      </c>
      <c r="I343" s="534">
        <v>0</v>
      </c>
      <c r="J343" s="534">
        <v>0</v>
      </c>
      <c r="K343" s="534">
        <v>18</v>
      </c>
      <c r="M343" s="617">
        <f t="shared" si="12"/>
        <v>3</v>
      </c>
      <c r="N343" s="617">
        <f t="shared" si="13"/>
        <v>234</v>
      </c>
      <c r="O343" s="617"/>
    </row>
    <row r="344" spans="2:15" ht="15" x14ac:dyDescent="0.25">
      <c r="B344" s="529">
        <v>339001</v>
      </c>
      <c r="C344" s="529">
        <v>340</v>
      </c>
      <c r="E344" s="534">
        <v>2</v>
      </c>
      <c r="F344" s="534">
        <v>680</v>
      </c>
      <c r="G344" s="534">
        <v>213</v>
      </c>
      <c r="I344" s="534">
        <v>0</v>
      </c>
      <c r="J344" s="534">
        <v>0</v>
      </c>
      <c r="K344" s="534">
        <v>18</v>
      </c>
      <c r="M344" s="617">
        <f t="shared" si="12"/>
        <v>2</v>
      </c>
      <c r="N344" s="617">
        <f t="shared" si="13"/>
        <v>231</v>
      </c>
      <c r="O344" s="617"/>
    </row>
    <row r="345" spans="2:15" ht="15" x14ac:dyDescent="0.25">
      <c r="B345" s="529">
        <v>340001</v>
      </c>
      <c r="C345" s="529">
        <v>341</v>
      </c>
      <c r="E345" s="534">
        <v>1</v>
      </c>
      <c r="F345" s="534">
        <v>341</v>
      </c>
      <c r="G345" s="534">
        <v>211</v>
      </c>
      <c r="I345" s="534">
        <v>0</v>
      </c>
      <c r="J345" s="534">
        <v>0</v>
      </c>
      <c r="K345" s="534">
        <v>18</v>
      </c>
      <c r="M345" s="617">
        <f t="shared" si="12"/>
        <v>1</v>
      </c>
      <c r="N345" s="617">
        <f t="shared" si="13"/>
        <v>229</v>
      </c>
      <c r="O345" s="617"/>
    </row>
    <row r="346" spans="2:15" ht="15" x14ac:dyDescent="0.25">
      <c r="B346" s="529">
        <v>341001</v>
      </c>
      <c r="C346" s="529">
        <v>342</v>
      </c>
      <c r="E346" s="534">
        <v>2</v>
      </c>
      <c r="F346" s="534">
        <v>684</v>
      </c>
      <c r="G346" s="534">
        <v>210</v>
      </c>
      <c r="I346" s="534">
        <v>0</v>
      </c>
      <c r="J346" s="534">
        <v>0</v>
      </c>
      <c r="K346" s="534">
        <v>18</v>
      </c>
      <c r="M346" s="617">
        <f t="shared" si="12"/>
        <v>2</v>
      </c>
      <c r="N346" s="617">
        <f t="shared" si="13"/>
        <v>228</v>
      </c>
      <c r="O346" s="617"/>
    </row>
    <row r="347" spans="2:15" ht="15" x14ac:dyDescent="0.25">
      <c r="B347" s="529">
        <v>342001</v>
      </c>
      <c r="C347" s="529">
        <v>343</v>
      </c>
      <c r="E347" s="534">
        <v>2</v>
      </c>
      <c r="F347" s="534">
        <v>686</v>
      </c>
      <c r="G347" s="534">
        <v>208</v>
      </c>
      <c r="I347" s="534">
        <v>1</v>
      </c>
      <c r="J347" s="534">
        <v>343</v>
      </c>
      <c r="K347" s="534">
        <v>18</v>
      </c>
      <c r="M347" s="617">
        <f t="shared" si="12"/>
        <v>3</v>
      </c>
      <c r="N347" s="617">
        <f t="shared" si="13"/>
        <v>226</v>
      </c>
      <c r="O347" s="617"/>
    </row>
    <row r="348" spans="2:15" ht="15" x14ac:dyDescent="0.25">
      <c r="B348" s="529">
        <v>343001</v>
      </c>
      <c r="C348" s="529">
        <v>344</v>
      </c>
      <c r="E348" s="534">
        <v>0</v>
      </c>
      <c r="F348" s="534">
        <v>0</v>
      </c>
      <c r="G348" s="534">
        <v>206</v>
      </c>
      <c r="I348" s="534">
        <v>1</v>
      </c>
      <c r="J348" s="534">
        <v>344</v>
      </c>
      <c r="K348" s="534">
        <v>17</v>
      </c>
      <c r="M348" s="617">
        <f t="shared" si="12"/>
        <v>1</v>
      </c>
      <c r="N348" s="617">
        <f t="shared" si="13"/>
        <v>223</v>
      </c>
      <c r="O348" s="617"/>
    </row>
    <row r="349" spans="2:15" ht="15" x14ac:dyDescent="0.25">
      <c r="B349" s="529">
        <v>344001</v>
      </c>
      <c r="C349" s="529">
        <v>345</v>
      </c>
      <c r="E349" s="534">
        <v>0</v>
      </c>
      <c r="F349" s="534">
        <v>0</v>
      </c>
      <c r="G349" s="534">
        <v>206</v>
      </c>
      <c r="I349" s="534">
        <v>0</v>
      </c>
      <c r="J349" s="534">
        <v>0</v>
      </c>
      <c r="K349" s="534">
        <v>16</v>
      </c>
      <c r="M349" s="617">
        <f t="shared" si="12"/>
        <v>0</v>
      </c>
      <c r="N349" s="617">
        <f t="shared" si="13"/>
        <v>222</v>
      </c>
      <c r="O349" s="617"/>
    </row>
    <row r="350" spans="2:15" ht="15" x14ac:dyDescent="0.25">
      <c r="B350" s="529">
        <v>345001</v>
      </c>
      <c r="C350" s="529">
        <v>346</v>
      </c>
      <c r="E350" s="534">
        <v>0</v>
      </c>
      <c r="F350" s="534">
        <v>0</v>
      </c>
      <c r="G350" s="534">
        <v>206</v>
      </c>
      <c r="I350" s="534">
        <v>0</v>
      </c>
      <c r="J350" s="534">
        <v>0</v>
      </c>
      <c r="K350" s="534">
        <v>16</v>
      </c>
      <c r="M350" s="617">
        <f t="shared" si="12"/>
        <v>0</v>
      </c>
      <c r="N350" s="617">
        <f t="shared" si="13"/>
        <v>222</v>
      </c>
      <c r="O350" s="617"/>
    </row>
    <row r="351" spans="2:15" ht="15" x14ac:dyDescent="0.25">
      <c r="B351" s="529">
        <v>346001</v>
      </c>
      <c r="C351" s="529">
        <v>347</v>
      </c>
      <c r="E351" s="534">
        <v>2</v>
      </c>
      <c r="F351" s="534">
        <v>694</v>
      </c>
      <c r="G351" s="534">
        <v>206</v>
      </c>
      <c r="I351" s="534">
        <v>0</v>
      </c>
      <c r="J351" s="534">
        <v>0</v>
      </c>
      <c r="K351" s="534">
        <v>16</v>
      </c>
      <c r="M351" s="617">
        <f t="shared" si="12"/>
        <v>2</v>
      </c>
      <c r="N351" s="617">
        <f t="shared" si="13"/>
        <v>222</v>
      </c>
      <c r="O351" s="617"/>
    </row>
    <row r="352" spans="2:15" ht="15" x14ac:dyDescent="0.25">
      <c r="B352" s="529">
        <v>347001</v>
      </c>
      <c r="C352" s="529">
        <v>348</v>
      </c>
      <c r="E352" s="534">
        <v>3</v>
      </c>
      <c r="F352" s="534">
        <v>1044</v>
      </c>
      <c r="G352" s="534">
        <v>204</v>
      </c>
      <c r="I352" s="534">
        <v>0</v>
      </c>
      <c r="J352" s="534">
        <v>0</v>
      </c>
      <c r="K352" s="534">
        <v>16</v>
      </c>
      <c r="M352" s="617">
        <f t="shared" si="12"/>
        <v>3</v>
      </c>
      <c r="N352" s="617">
        <f t="shared" si="13"/>
        <v>220</v>
      </c>
      <c r="O352" s="617"/>
    </row>
    <row r="353" spans="2:15" ht="15" x14ac:dyDescent="0.25">
      <c r="B353" s="529">
        <v>348001</v>
      </c>
      <c r="C353" s="529">
        <v>349</v>
      </c>
      <c r="E353" s="534">
        <v>1</v>
      </c>
      <c r="F353" s="534">
        <v>349</v>
      </c>
      <c r="G353" s="534">
        <v>201</v>
      </c>
      <c r="I353" s="534">
        <v>0</v>
      </c>
      <c r="J353" s="534">
        <v>0</v>
      </c>
      <c r="K353" s="534">
        <v>16</v>
      </c>
      <c r="M353" s="617">
        <f t="shared" si="12"/>
        <v>1</v>
      </c>
      <c r="N353" s="617">
        <f t="shared" si="13"/>
        <v>217</v>
      </c>
      <c r="O353" s="617"/>
    </row>
    <row r="354" spans="2:15" ht="15" x14ac:dyDescent="0.25">
      <c r="B354" s="529">
        <v>349001</v>
      </c>
      <c r="C354" s="529">
        <v>350</v>
      </c>
      <c r="E354" s="534">
        <v>0</v>
      </c>
      <c r="F354" s="534">
        <v>0</v>
      </c>
      <c r="G354" s="534">
        <v>200</v>
      </c>
      <c r="I354" s="534">
        <v>0</v>
      </c>
      <c r="J354" s="534">
        <v>0</v>
      </c>
      <c r="K354" s="534">
        <v>16</v>
      </c>
      <c r="M354" s="617">
        <f t="shared" si="12"/>
        <v>0</v>
      </c>
      <c r="N354" s="617">
        <f t="shared" si="13"/>
        <v>216</v>
      </c>
      <c r="O354" s="617"/>
    </row>
    <row r="355" spans="2:15" ht="15" x14ac:dyDescent="0.25">
      <c r="B355" s="529">
        <v>350001</v>
      </c>
      <c r="C355" s="529">
        <v>351</v>
      </c>
      <c r="E355" s="534">
        <v>1</v>
      </c>
      <c r="F355" s="534">
        <v>351</v>
      </c>
      <c r="G355" s="534">
        <v>200</v>
      </c>
      <c r="I355" s="534">
        <v>0</v>
      </c>
      <c r="J355" s="534">
        <v>0</v>
      </c>
      <c r="K355" s="534">
        <v>16</v>
      </c>
      <c r="M355" s="617">
        <f t="shared" si="12"/>
        <v>1</v>
      </c>
      <c r="N355" s="617">
        <f t="shared" si="13"/>
        <v>216</v>
      </c>
      <c r="O355" s="617"/>
    </row>
    <row r="356" spans="2:15" ht="15" x14ac:dyDescent="0.25">
      <c r="B356" s="529">
        <v>351001</v>
      </c>
      <c r="C356" s="529">
        <v>352</v>
      </c>
      <c r="E356" s="534">
        <v>1</v>
      </c>
      <c r="F356" s="534">
        <v>352</v>
      </c>
      <c r="G356" s="534">
        <v>199</v>
      </c>
      <c r="I356" s="534">
        <v>1</v>
      </c>
      <c r="J356" s="534">
        <v>352</v>
      </c>
      <c r="K356" s="534">
        <v>16</v>
      </c>
      <c r="M356" s="617">
        <f t="shared" si="12"/>
        <v>2</v>
      </c>
      <c r="N356" s="617">
        <f t="shared" si="13"/>
        <v>215</v>
      </c>
      <c r="O356" s="617"/>
    </row>
    <row r="357" spans="2:15" ht="15" x14ac:dyDescent="0.25">
      <c r="B357" s="529">
        <v>352001</v>
      </c>
      <c r="C357" s="529">
        <v>353</v>
      </c>
      <c r="E357" s="534">
        <v>0</v>
      </c>
      <c r="F357" s="534">
        <v>0</v>
      </c>
      <c r="G357" s="534">
        <v>198</v>
      </c>
      <c r="I357" s="534">
        <v>0</v>
      </c>
      <c r="J357" s="534">
        <v>0</v>
      </c>
      <c r="K357" s="534">
        <v>15</v>
      </c>
      <c r="M357" s="617">
        <f t="shared" si="12"/>
        <v>0</v>
      </c>
      <c r="N357" s="617">
        <f t="shared" si="13"/>
        <v>213</v>
      </c>
      <c r="O357" s="617"/>
    </row>
    <row r="358" spans="2:15" ht="15" x14ac:dyDescent="0.25">
      <c r="B358" s="529">
        <v>353001</v>
      </c>
      <c r="C358" s="529">
        <v>354</v>
      </c>
      <c r="E358" s="534">
        <v>2</v>
      </c>
      <c r="F358" s="534">
        <v>708</v>
      </c>
      <c r="G358" s="534">
        <v>198</v>
      </c>
      <c r="I358" s="534">
        <v>0</v>
      </c>
      <c r="J358" s="534">
        <v>0</v>
      </c>
      <c r="K358" s="534">
        <v>15</v>
      </c>
      <c r="M358" s="617">
        <f t="shared" si="12"/>
        <v>2</v>
      </c>
      <c r="N358" s="617">
        <f t="shared" si="13"/>
        <v>213</v>
      </c>
      <c r="O358" s="617"/>
    </row>
    <row r="359" spans="2:15" ht="15" x14ac:dyDescent="0.25">
      <c r="B359" s="529">
        <v>354001</v>
      </c>
      <c r="C359" s="529">
        <v>355</v>
      </c>
      <c r="E359" s="534">
        <v>1</v>
      </c>
      <c r="F359" s="534">
        <v>355</v>
      </c>
      <c r="G359" s="534">
        <v>196</v>
      </c>
      <c r="I359" s="534">
        <v>0</v>
      </c>
      <c r="J359" s="534">
        <v>0</v>
      </c>
      <c r="K359" s="534">
        <v>15</v>
      </c>
      <c r="M359" s="617">
        <f t="shared" si="12"/>
        <v>1</v>
      </c>
      <c r="N359" s="617">
        <f t="shared" si="13"/>
        <v>211</v>
      </c>
      <c r="O359" s="617"/>
    </row>
    <row r="360" spans="2:15" ht="15" x14ac:dyDescent="0.25">
      <c r="B360" s="529">
        <v>355001</v>
      </c>
      <c r="C360" s="529">
        <v>356</v>
      </c>
      <c r="E360" s="534">
        <v>0</v>
      </c>
      <c r="F360" s="534">
        <v>0</v>
      </c>
      <c r="G360" s="534">
        <v>195</v>
      </c>
      <c r="I360" s="534">
        <v>0</v>
      </c>
      <c r="J360" s="534">
        <v>0</v>
      </c>
      <c r="K360" s="534">
        <v>15</v>
      </c>
      <c r="M360" s="617">
        <f t="shared" si="12"/>
        <v>0</v>
      </c>
      <c r="N360" s="617">
        <f t="shared" si="13"/>
        <v>210</v>
      </c>
      <c r="O360" s="617"/>
    </row>
    <row r="361" spans="2:15" ht="15" x14ac:dyDescent="0.25">
      <c r="B361" s="529">
        <v>356001</v>
      </c>
      <c r="C361" s="529">
        <v>357</v>
      </c>
      <c r="E361" s="534">
        <v>3</v>
      </c>
      <c r="F361" s="534">
        <v>1071</v>
      </c>
      <c r="G361" s="534">
        <v>195</v>
      </c>
      <c r="I361" s="534">
        <v>0</v>
      </c>
      <c r="J361" s="534">
        <v>0</v>
      </c>
      <c r="K361" s="534">
        <v>15</v>
      </c>
      <c r="M361" s="617">
        <f t="shared" si="12"/>
        <v>3</v>
      </c>
      <c r="N361" s="617">
        <f t="shared" si="13"/>
        <v>210</v>
      </c>
      <c r="O361" s="617"/>
    </row>
    <row r="362" spans="2:15" ht="15" x14ac:dyDescent="0.25">
      <c r="B362" s="529">
        <v>357001</v>
      </c>
      <c r="C362" s="529">
        <v>358</v>
      </c>
      <c r="E362" s="534">
        <v>0</v>
      </c>
      <c r="F362" s="534">
        <v>0</v>
      </c>
      <c r="G362" s="534">
        <v>192</v>
      </c>
      <c r="I362" s="534">
        <v>0</v>
      </c>
      <c r="J362" s="534">
        <v>0</v>
      </c>
      <c r="K362" s="534">
        <v>15</v>
      </c>
      <c r="M362" s="617">
        <f t="shared" si="12"/>
        <v>0</v>
      </c>
      <c r="N362" s="617">
        <f t="shared" si="13"/>
        <v>207</v>
      </c>
      <c r="O362" s="617"/>
    </row>
    <row r="363" spans="2:15" ht="15" x14ac:dyDescent="0.25">
      <c r="B363" s="529">
        <v>358001</v>
      </c>
      <c r="C363" s="529">
        <v>359</v>
      </c>
      <c r="E363" s="534">
        <v>1</v>
      </c>
      <c r="F363" s="534">
        <v>359</v>
      </c>
      <c r="G363" s="534">
        <v>192</v>
      </c>
      <c r="I363" s="534">
        <v>0</v>
      </c>
      <c r="J363" s="534">
        <v>0</v>
      </c>
      <c r="K363" s="534">
        <v>15</v>
      </c>
      <c r="M363" s="617">
        <f t="shared" si="12"/>
        <v>1</v>
      </c>
      <c r="N363" s="617">
        <f t="shared" si="13"/>
        <v>207</v>
      </c>
      <c r="O363" s="617"/>
    </row>
    <row r="364" spans="2:15" ht="15" x14ac:dyDescent="0.25">
      <c r="B364" s="529">
        <v>359001</v>
      </c>
      <c r="C364" s="529">
        <v>360</v>
      </c>
      <c r="E364" s="534">
        <v>0</v>
      </c>
      <c r="F364" s="534">
        <v>0</v>
      </c>
      <c r="G364" s="534">
        <v>191</v>
      </c>
      <c r="I364" s="534">
        <v>0</v>
      </c>
      <c r="J364" s="534">
        <v>0</v>
      </c>
      <c r="K364" s="534">
        <v>15</v>
      </c>
      <c r="M364" s="617">
        <f t="shared" si="12"/>
        <v>0</v>
      </c>
      <c r="N364" s="617">
        <f t="shared" si="13"/>
        <v>206</v>
      </c>
      <c r="O364" s="617"/>
    </row>
    <row r="365" spans="2:15" ht="15" x14ac:dyDescent="0.25">
      <c r="B365" s="529">
        <v>360001</v>
      </c>
      <c r="C365" s="529">
        <v>361</v>
      </c>
      <c r="E365" s="534">
        <v>1</v>
      </c>
      <c r="F365" s="534">
        <v>361</v>
      </c>
      <c r="G365" s="534">
        <v>191</v>
      </c>
      <c r="I365" s="534">
        <v>0</v>
      </c>
      <c r="J365" s="534">
        <v>0</v>
      </c>
      <c r="K365" s="534">
        <v>15</v>
      </c>
      <c r="M365" s="617">
        <f t="shared" si="12"/>
        <v>1</v>
      </c>
      <c r="N365" s="617">
        <f t="shared" si="13"/>
        <v>206</v>
      </c>
      <c r="O365" s="617"/>
    </row>
    <row r="366" spans="2:15" ht="15" x14ac:dyDescent="0.25">
      <c r="B366" s="529">
        <v>361001</v>
      </c>
      <c r="C366" s="529">
        <v>362</v>
      </c>
      <c r="E366" s="534">
        <v>0</v>
      </c>
      <c r="F366" s="534">
        <v>0</v>
      </c>
      <c r="G366" s="534">
        <v>190</v>
      </c>
      <c r="I366" s="534">
        <v>0</v>
      </c>
      <c r="J366" s="534">
        <v>0</v>
      </c>
      <c r="K366" s="534">
        <v>15</v>
      </c>
      <c r="M366" s="617">
        <f t="shared" si="12"/>
        <v>0</v>
      </c>
      <c r="N366" s="617">
        <f t="shared" si="13"/>
        <v>205</v>
      </c>
      <c r="O366" s="617"/>
    </row>
    <row r="367" spans="2:15" ht="15" x14ac:dyDescent="0.25">
      <c r="B367" s="529">
        <v>362001</v>
      </c>
      <c r="C367" s="529">
        <v>363</v>
      </c>
      <c r="E367" s="534">
        <v>1</v>
      </c>
      <c r="F367" s="534">
        <v>363</v>
      </c>
      <c r="G367" s="534">
        <v>190</v>
      </c>
      <c r="I367" s="534">
        <v>0</v>
      </c>
      <c r="J367" s="534">
        <v>0</v>
      </c>
      <c r="K367" s="534">
        <v>15</v>
      </c>
      <c r="M367" s="617">
        <f t="shared" si="12"/>
        <v>1</v>
      </c>
      <c r="N367" s="617">
        <f t="shared" si="13"/>
        <v>205</v>
      </c>
      <c r="O367" s="617"/>
    </row>
    <row r="368" spans="2:15" ht="15" x14ac:dyDescent="0.25">
      <c r="B368" s="529">
        <v>363001</v>
      </c>
      <c r="C368" s="529">
        <v>364</v>
      </c>
      <c r="E368" s="534">
        <v>0</v>
      </c>
      <c r="F368" s="534">
        <v>0</v>
      </c>
      <c r="G368" s="534">
        <v>189</v>
      </c>
      <c r="I368" s="534">
        <v>0</v>
      </c>
      <c r="J368" s="534">
        <v>0</v>
      </c>
      <c r="K368" s="534">
        <v>15</v>
      </c>
      <c r="M368" s="617">
        <f t="shared" si="12"/>
        <v>0</v>
      </c>
      <c r="N368" s="617">
        <f t="shared" si="13"/>
        <v>204</v>
      </c>
      <c r="O368" s="617"/>
    </row>
    <row r="369" spans="2:15" ht="15" x14ac:dyDescent="0.25">
      <c r="B369" s="529">
        <v>364001</v>
      </c>
      <c r="C369" s="529">
        <v>365</v>
      </c>
      <c r="E369" s="534">
        <v>0</v>
      </c>
      <c r="F369" s="534">
        <v>0</v>
      </c>
      <c r="G369" s="534">
        <v>189</v>
      </c>
      <c r="I369" s="534">
        <v>0</v>
      </c>
      <c r="J369" s="534">
        <v>0</v>
      </c>
      <c r="K369" s="534">
        <v>15</v>
      </c>
      <c r="M369" s="617">
        <f t="shared" si="12"/>
        <v>0</v>
      </c>
      <c r="N369" s="617">
        <f t="shared" si="13"/>
        <v>204</v>
      </c>
      <c r="O369" s="617"/>
    </row>
    <row r="370" spans="2:15" ht="15" x14ac:dyDescent="0.25">
      <c r="B370" s="529">
        <v>365001</v>
      </c>
      <c r="C370" s="529">
        <v>366</v>
      </c>
      <c r="E370" s="534">
        <v>0</v>
      </c>
      <c r="F370" s="534">
        <v>0</v>
      </c>
      <c r="G370" s="534">
        <v>189</v>
      </c>
      <c r="I370" s="534">
        <v>0</v>
      </c>
      <c r="J370" s="534">
        <v>0</v>
      </c>
      <c r="K370" s="534">
        <v>15</v>
      </c>
      <c r="M370" s="617">
        <f t="shared" si="12"/>
        <v>0</v>
      </c>
      <c r="N370" s="617">
        <f t="shared" si="13"/>
        <v>204</v>
      </c>
      <c r="O370" s="617"/>
    </row>
    <row r="371" spans="2:15" ht="15" x14ac:dyDescent="0.25">
      <c r="B371" s="529">
        <v>366001</v>
      </c>
      <c r="C371" s="529">
        <v>367</v>
      </c>
      <c r="E371" s="534">
        <v>2</v>
      </c>
      <c r="F371" s="534">
        <v>734</v>
      </c>
      <c r="G371" s="534">
        <v>189</v>
      </c>
      <c r="I371" s="534">
        <v>0</v>
      </c>
      <c r="J371" s="534">
        <v>0</v>
      </c>
      <c r="K371" s="534">
        <v>15</v>
      </c>
      <c r="M371" s="617">
        <f t="shared" si="12"/>
        <v>2</v>
      </c>
      <c r="N371" s="617">
        <f t="shared" si="13"/>
        <v>204</v>
      </c>
      <c r="O371" s="617"/>
    </row>
    <row r="372" spans="2:15" ht="15" x14ac:dyDescent="0.25">
      <c r="B372" s="529">
        <v>367001</v>
      </c>
      <c r="C372" s="529">
        <v>368</v>
      </c>
      <c r="E372" s="534">
        <v>0</v>
      </c>
      <c r="F372" s="534">
        <v>0</v>
      </c>
      <c r="G372" s="534">
        <v>187</v>
      </c>
      <c r="I372" s="534">
        <v>0</v>
      </c>
      <c r="J372" s="534">
        <v>0</v>
      </c>
      <c r="K372" s="534">
        <v>15</v>
      </c>
      <c r="M372" s="617">
        <f t="shared" si="12"/>
        <v>0</v>
      </c>
      <c r="N372" s="617">
        <f t="shared" si="13"/>
        <v>202</v>
      </c>
      <c r="O372" s="617"/>
    </row>
    <row r="373" spans="2:15" ht="15" x14ac:dyDescent="0.25">
      <c r="B373" s="529">
        <v>368001</v>
      </c>
      <c r="C373" s="529">
        <v>369</v>
      </c>
      <c r="E373" s="534">
        <v>0</v>
      </c>
      <c r="F373" s="534">
        <v>0</v>
      </c>
      <c r="G373" s="534">
        <v>187</v>
      </c>
      <c r="I373" s="534">
        <v>0</v>
      </c>
      <c r="J373" s="534">
        <v>0</v>
      </c>
      <c r="K373" s="534">
        <v>15</v>
      </c>
      <c r="M373" s="617">
        <f t="shared" si="12"/>
        <v>0</v>
      </c>
      <c r="N373" s="617">
        <f t="shared" si="13"/>
        <v>202</v>
      </c>
      <c r="O373" s="617"/>
    </row>
    <row r="374" spans="2:15" ht="15" x14ac:dyDescent="0.25">
      <c r="B374" s="529">
        <v>369001</v>
      </c>
      <c r="C374" s="529">
        <v>370</v>
      </c>
      <c r="E374" s="534">
        <v>2</v>
      </c>
      <c r="F374" s="534">
        <v>740</v>
      </c>
      <c r="G374" s="534">
        <v>187</v>
      </c>
      <c r="I374" s="534">
        <v>0</v>
      </c>
      <c r="J374" s="534">
        <v>0</v>
      </c>
      <c r="K374" s="534">
        <v>15</v>
      </c>
      <c r="M374" s="617">
        <f t="shared" si="12"/>
        <v>2</v>
      </c>
      <c r="N374" s="617">
        <f t="shared" si="13"/>
        <v>202</v>
      </c>
      <c r="O374" s="617"/>
    </row>
    <row r="375" spans="2:15" ht="15" x14ac:dyDescent="0.25">
      <c r="B375" s="529">
        <v>370001</v>
      </c>
      <c r="C375" s="529">
        <v>371</v>
      </c>
      <c r="E375" s="534">
        <v>1</v>
      </c>
      <c r="F375" s="534">
        <v>371</v>
      </c>
      <c r="G375" s="534">
        <v>185</v>
      </c>
      <c r="I375" s="534">
        <v>0</v>
      </c>
      <c r="J375" s="534">
        <v>0</v>
      </c>
      <c r="K375" s="534">
        <v>15</v>
      </c>
      <c r="M375" s="617">
        <f t="shared" si="12"/>
        <v>1</v>
      </c>
      <c r="N375" s="617">
        <f t="shared" si="13"/>
        <v>200</v>
      </c>
      <c r="O375" s="617"/>
    </row>
    <row r="376" spans="2:15" ht="15" x14ac:dyDescent="0.25">
      <c r="B376" s="529">
        <v>371001</v>
      </c>
      <c r="C376" s="529">
        <v>372</v>
      </c>
      <c r="E376" s="534">
        <v>0</v>
      </c>
      <c r="F376" s="534">
        <v>0</v>
      </c>
      <c r="G376" s="534">
        <v>184</v>
      </c>
      <c r="I376" s="534">
        <v>0</v>
      </c>
      <c r="J376" s="534">
        <v>0</v>
      </c>
      <c r="K376" s="534">
        <v>15</v>
      </c>
      <c r="M376" s="617">
        <f t="shared" si="12"/>
        <v>0</v>
      </c>
      <c r="N376" s="617">
        <f t="shared" si="13"/>
        <v>199</v>
      </c>
      <c r="O376" s="617"/>
    </row>
    <row r="377" spans="2:15" ht="15" x14ac:dyDescent="0.25">
      <c r="B377" s="529">
        <v>372001</v>
      </c>
      <c r="C377" s="529">
        <v>373</v>
      </c>
      <c r="E377" s="534">
        <v>1</v>
      </c>
      <c r="F377" s="534">
        <v>373</v>
      </c>
      <c r="G377" s="534">
        <v>184</v>
      </c>
      <c r="I377" s="534">
        <v>0</v>
      </c>
      <c r="J377" s="534">
        <v>0</v>
      </c>
      <c r="K377" s="534">
        <v>15</v>
      </c>
      <c r="M377" s="617">
        <f t="shared" si="12"/>
        <v>1</v>
      </c>
      <c r="N377" s="617">
        <f t="shared" si="13"/>
        <v>199</v>
      </c>
      <c r="O377" s="617"/>
    </row>
    <row r="378" spans="2:15" ht="15" x14ac:dyDescent="0.25">
      <c r="B378" s="529">
        <v>373001</v>
      </c>
      <c r="C378" s="529">
        <v>374</v>
      </c>
      <c r="E378" s="534">
        <v>4</v>
      </c>
      <c r="F378" s="534">
        <v>1496</v>
      </c>
      <c r="G378" s="534">
        <v>183</v>
      </c>
      <c r="I378" s="534">
        <v>1</v>
      </c>
      <c r="J378" s="534">
        <v>374</v>
      </c>
      <c r="K378" s="534">
        <v>15</v>
      </c>
      <c r="M378" s="617">
        <f t="shared" si="12"/>
        <v>5</v>
      </c>
      <c r="N378" s="617">
        <f t="shared" si="13"/>
        <v>198</v>
      </c>
      <c r="O378" s="617"/>
    </row>
    <row r="379" spans="2:15" ht="15" x14ac:dyDescent="0.25">
      <c r="B379" s="529">
        <v>374001</v>
      </c>
      <c r="C379" s="529">
        <v>375</v>
      </c>
      <c r="E379" s="534">
        <v>1</v>
      </c>
      <c r="F379" s="534">
        <v>375</v>
      </c>
      <c r="G379" s="534">
        <v>179</v>
      </c>
      <c r="I379" s="534">
        <v>0</v>
      </c>
      <c r="J379" s="534">
        <v>0</v>
      </c>
      <c r="K379" s="534">
        <v>14</v>
      </c>
      <c r="M379" s="617">
        <f t="shared" si="12"/>
        <v>1</v>
      </c>
      <c r="N379" s="617">
        <f t="shared" si="13"/>
        <v>193</v>
      </c>
      <c r="O379" s="617"/>
    </row>
    <row r="380" spans="2:15" ht="15" x14ac:dyDescent="0.25">
      <c r="B380" s="529">
        <v>375001</v>
      </c>
      <c r="C380" s="529">
        <v>376</v>
      </c>
      <c r="E380" s="534">
        <v>2</v>
      </c>
      <c r="F380" s="534">
        <v>752</v>
      </c>
      <c r="G380" s="534">
        <v>178</v>
      </c>
      <c r="I380" s="534">
        <v>0</v>
      </c>
      <c r="J380" s="534">
        <v>0</v>
      </c>
      <c r="K380" s="534">
        <v>14</v>
      </c>
      <c r="M380" s="617">
        <f t="shared" si="12"/>
        <v>2</v>
      </c>
      <c r="N380" s="617">
        <f t="shared" si="13"/>
        <v>192</v>
      </c>
      <c r="O380" s="617"/>
    </row>
    <row r="381" spans="2:15" ht="15" x14ac:dyDescent="0.25">
      <c r="B381" s="529">
        <v>376001</v>
      </c>
      <c r="C381" s="529">
        <v>377</v>
      </c>
      <c r="E381" s="534">
        <v>2</v>
      </c>
      <c r="F381" s="534">
        <v>754</v>
      </c>
      <c r="G381" s="534">
        <v>176</v>
      </c>
      <c r="I381" s="534">
        <v>0</v>
      </c>
      <c r="J381" s="534">
        <v>0</v>
      </c>
      <c r="K381" s="534">
        <v>14</v>
      </c>
      <c r="M381" s="617">
        <f t="shared" si="12"/>
        <v>2</v>
      </c>
      <c r="N381" s="617">
        <f t="shared" si="13"/>
        <v>190</v>
      </c>
      <c r="O381" s="617"/>
    </row>
    <row r="382" spans="2:15" ht="15" x14ac:dyDescent="0.25">
      <c r="B382" s="529">
        <v>377001</v>
      </c>
      <c r="C382" s="529">
        <v>378</v>
      </c>
      <c r="E382" s="534">
        <v>1</v>
      </c>
      <c r="F382" s="534">
        <v>378</v>
      </c>
      <c r="G382" s="534">
        <v>174</v>
      </c>
      <c r="I382" s="534">
        <v>0</v>
      </c>
      <c r="J382" s="534">
        <v>0</v>
      </c>
      <c r="K382" s="534">
        <v>14</v>
      </c>
      <c r="M382" s="617">
        <f t="shared" si="12"/>
        <v>1</v>
      </c>
      <c r="N382" s="617">
        <f t="shared" si="13"/>
        <v>188</v>
      </c>
      <c r="O382" s="617"/>
    </row>
    <row r="383" spans="2:15" ht="15" x14ac:dyDescent="0.25">
      <c r="B383" s="529">
        <v>378001</v>
      </c>
      <c r="C383" s="529">
        <v>379</v>
      </c>
      <c r="E383" s="534">
        <v>0</v>
      </c>
      <c r="F383" s="534">
        <v>0</v>
      </c>
      <c r="G383" s="534">
        <v>173</v>
      </c>
      <c r="I383" s="534">
        <v>0</v>
      </c>
      <c r="J383" s="534">
        <v>0</v>
      </c>
      <c r="K383" s="534">
        <v>14</v>
      </c>
      <c r="M383" s="617">
        <f t="shared" si="12"/>
        <v>0</v>
      </c>
      <c r="N383" s="617">
        <f t="shared" si="13"/>
        <v>187</v>
      </c>
      <c r="O383" s="617"/>
    </row>
    <row r="384" spans="2:15" ht="15" x14ac:dyDescent="0.25">
      <c r="B384" s="529">
        <v>379001</v>
      </c>
      <c r="C384" s="529">
        <v>380</v>
      </c>
      <c r="E384" s="534">
        <v>2</v>
      </c>
      <c r="F384" s="534">
        <v>760</v>
      </c>
      <c r="G384" s="534">
        <v>173</v>
      </c>
      <c r="I384" s="534">
        <v>0</v>
      </c>
      <c r="J384" s="534">
        <v>0</v>
      </c>
      <c r="K384" s="534">
        <v>14</v>
      </c>
      <c r="M384" s="617">
        <f t="shared" si="12"/>
        <v>2</v>
      </c>
      <c r="N384" s="617">
        <f t="shared" si="13"/>
        <v>187</v>
      </c>
      <c r="O384" s="617"/>
    </row>
    <row r="385" spans="2:15" ht="15" x14ac:dyDescent="0.25">
      <c r="B385" s="529">
        <v>380001</v>
      </c>
      <c r="C385" s="529">
        <v>381</v>
      </c>
      <c r="E385" s="534">
        <v>3</v>
      </c>
      <c r="F385" s="534">
        <v>1143</v>
      </c>
      <c r="G385" s="534">
        <v>171</v>
      </c>
      <c r="I385" s="534">
        <v>0</v>
      </c>
      <c r="J385" s="534">
        <v>0</v>
      </c>
      <c r="K385" s="534">
        <v>14</v>
      </c>
      <c r="M385" s="617">
        <f t="shared" si="12"/>
        <v>3</v>
      </c>
      <c r="N385" s="617">
        <f t="shared" si="13"/>
        <v>185</v>
      </c>
      <c r="O385" s="617"/>
    </row>
    <row r="386" spans="2:15" ht="15" x14ac:dyDescent="0.25">
      <c r="B386" s="529">
        <v>381001</v>
      </c>
      <c r="C386" s="529">
        <v>382</v>
      </c>
      <c r="E386" s="534">
        <v>0</v>
      </c>
      <c r="F386" s="534">
        <v>0</v>
      </c>
      <c r="G386" s="534">
        <v>168</v>
      </c>
      <c r="I386" s="534">
        <v>0</v>
      </c>
      <c r="J386" s="534">
        <v>0</v>
      </c>
      <c r="K386" s="534">
        <v>14</v>
      </c>
      <c r="M386" s="617">
        <f t="shared" si="12"/>
        <v>0</v>
      </c>
      <c r="N386" s="617">
        <f t="shared" si="13"/>
        <v>182</v>
      </c>
      <c r="O386" s="617"/>
    </row>
    <row r="387" spans="2:15" ht="15" x14ac:dyDescent="0.25">
      <c r="B387" s="529">
        <v>382001</v>
      </c>
      <c r="C387" s="529">
        <v>383</v>
      </c>
      <c r="E387" s="534">
        <v>1</v>
      </c>
      <c r="F387" s="534">
        <v>383</v>
      </c>
      <c r="G387" s="534">
        <v>168</v>
      </c>
      <c r="I387" s="534">
        <v>0</v>
      </c>
      <c r="J387" s="534">
        <v>0</v>
      </c>
      <c r="K387" s="534">
        <v>14</v>
      </c>
      <c r="M387" s="617">
        <f t="shared" si="12"/>
        <v>1</v>
      </c>
      <c r="N387" s="617">
        <f t="shared" si="13"/>
        <v>182</v>
      </c>
      <c r="O387" s="617"/>
    </row>
    <row r="388" spans="2:15" ht="15" x14ac:dyDescent="0.25">
      <c r="B388" s="529">
        <v>383001</v>
      </c>
      <c r="C388" s="529">
        <v>384</v>
      </c>
      <c r="E388" s="534">
        <v>1</v>
      </c>
      <c r="F388" s="534">
        <v>384</v>
      </c>
      <c r="G388" s="534">
        <v>167</v>
      </c>
      <c r="I388" s="534">
        <v>0</v>
      </c>
      <c r="J388" s="534">
        <v>0</v>
      </c>
      <c r="K388" s="534">
        <v>14</v>
      </c>
      <c r="M388" s="617">
        <f t="shared" si="12"/>
        <v>1</v>
      </c>
      <c r="N388" s="617">
        <f t="shared" si="13"/>
        <v>181</v>
      </c>
      <c r="O388" s="617"/>
    </row>
    <row r="389" spans="2:15" ht="15" x14ac:dyDescent="0.25">
      <c r="B389" s="529">
        <v>384001</v>
      </c>
      <c r="C389" s="529">
        <v>385</v>
      </c>
      <c r="E389" s="534">
        <v>2</v>
      </c>
      <c r="F389" s="534">
        <v>770</v>
      </c>
      <c r="G389" s="534">
        <v>166</v>
      </c>
      <c r="I389" s="534">
        <v>0</v>
      </c>
      <c r="J389" s="534">
        <v>0</v>
      </c>
      <c r="K389" s="534">
        <v>14</v>
      </c>
      <c r="M389" s="617">
        <f t="shared" ref="M389:M452" si="14">I389+E389</f>
        <v>2</v>
      </c>
      <c r="N389" s="617">
        <f t="shared" ref="N389:N452" si="15">K389+G389</f>
        <v>180</v>
      </c>
      <c r="O389" s="617"/>
    </row>
    <row r="390" spans="2:15" ht="15" x14ac:dyDescent="0.25">
      <c r="B390" s="529">
        <v>385001</v>
      </c>
      <c r="C390" s="529">
        <v>386</v>
      </c>
      <c r="E390" s="534">
        <v>2</v>
      </c>
      <c r="F390" s="534">
        <v>772</v>
      </c>
      <c r="G390" s="534">
        <v>164</v>
      </c>
      <c r="I390" s="534">
        <v>0</v>
      </c>
      <c r="J390" s="534">
        <v>0</v>
      </c>
      <c r="K390" s="534">
        <v>14</v>
      </c>
      <c r="M390" s="617">
        <f t="shared" si="14"/>
        <v>2</v>
      </c>
      <c r="N390" s="617">
        <f t="shared" si="15"/>
        <v>178</v>
      </c>
      <c r="O390" s="617"/>
    </row>
    <row r="391" spans="2:15" ht="15" x14ac:dyDescent="0.25">
      <c r="B391" s="529">
        <v>386001</v>
      </c>
      <c r="C391" s="529">
        <v>387</v>
      </c>
      <c r="E391" s="534">
        <v>1</v>
      </c>
      <c r="F391" s="534">
        <v>387</v>
      </c>
      <c r="G391" s="534">
        <v>162</v>
      </c>
      <c r="I391" s="534">
        <v>0</v>
      </c>
      <c r="J391" s="534">
        <v>0</v>
      </c>
      <c r="K391" s="534">
        <v>14</v>
      </c>
      <c r="M391" s="617">
        <f t="shared" si="14"/>
        <v>1</v>
      </c>
      <c r="N391" s="617">
        <f t="shared" si="15"/>
        <v>176</v>
      </c>
      <c r="O391" s="617"/>
    </row>
    <row r="392" spans="2:15" ht="15" x14ac:dyDescent="0.25">
      <c r="B392" s="529">
        <v>387001</v>
      </c>
      <c r="C392" s="529">
        <v>388</v>
      </c>
      <c r="E392" s="534">
        <v>2</v>
      </c>
      <c r="F392" s="534">
        <v>776</v>
      </c>
      <c r="G392" s="534">
        <v>161</v>
      </c>
      <c r="I392" s="534">
        <v>0</v>
      </c>
      <c r="J392" s="534">
        <v>0</v>
      </c>
      <c r="K392" s="534">
        <v>14</v>
      </c>
      <c r="M392" s="617">
        <f t="shared" si="14"/>
        <v>2</v>
      </c>
      <c r="N392" s="617">
        <f t="shared" si="15"/>
        <v>175</v>
      </c>
      <c r="O392" s="617"/>
    </row>
    <row r="393" spans="2:15" ht="15" x14ac:dyDescent="0.25">
      <c r="B393" s="529">
        <v>388001</v>
      </c>
      <c r="C393" s="529">
        <v>389</v>
      </c>
      <c r="E393" s="534">
        <v>0</v>
      </c>
      <c r="F393" s="534">
        <v>0</v>
      </c>
      <c r="G393" s="534">
        <v>159</v>
      </c>
      <c r="I393" s="534">
        <v>0</v>
      </c>
      <c r="J393" s="534">
        <v>0</v>
      </c>
      <c r="K393" s="534">
        <v>14</v>
      </c>
      <c r="M393" s="617">
        <f t="shared" si="14"/>
        <v>0</v>
      </c>
      <c r="N393" s="617">
        <f t="shared" si="15"/>
        <v>173</v>
      </c>
      <c r="O393" s="617"/>
    </row>
    <row r="394" spans="2:15" ht="15" x14ac:dyDescent="0.25">
      <c r="B394" s="529">
        <v>389001</v>
      </c>
      <c r="C394" s="529">
        <v>390</v>
      </c>
      <c r="E394" s="534">
        <v>1</v>
      </c>
      <c r="F394" s="534">
        <v>390</v>
      </c>
      <c r="G394" s="534">
        <v>159</v>
      </c>
      <c r="I394" s="534">
        <v>0</v>
      </c>
      <c r="J394" s="534">
        <v>0</v>
      </c>
      <c r="K394" s="534">
        <v>14</v>
      </c>
      <c r="M394" s="617">
        <f t="shared" si="14"/>
        <v>1</v>
      </c>
      <c r="N394" s="617">
        <f t="shared" si="15"/>
        <v>173</v>
      </c>
      <c r="O394" s="617"/>
    </row>
    <row r="395" spans="2:15" ht="15" x14ac:dyDescent="0.25">
      <c r="B395" s="529">
        <v>390001</v>
      </c>
      <c r="C395" s="529">
        <v>391</v>
      </c>
      <c r="E395" s="534">
        <v>0</v>
      </c>
      <c r="F395" s="534">
        <v>0</v>
      </c>
      <c r="G395" s="534">
        <v>158</v>
      </c>
      <c r="I395" s="534">
        <v>0</v>
      </c>
      <c r="J395" s="534">
        <v>0</v>
      </c>
      <c r="K395" s="534">
        <v>14</v>
      </c>
      <c r="M395" s="617">
        <f t="shared" si="14"/>
        <v>0</v>
      </c>
      <c r="N395" s="617">
        <f t="shared" si="15"/>
        <v>172</v>
      </c>
      <c r="O395" s="617"/>
    </row>
    <row r="396" spans="2:15" ht="15" x14ac:dyDescent="0.25">
      <c r="B396" s="529">
        <v>391001</v>
      </c>
      <c r="C396" s="529">
        <v>392</v>
      </c>
      <c r="E396" s="534">
        <v>0</v>
      </c>
      <c r="F396" s="534">
        <v>0</v>
      </c>
      <c r="G396" s="534">
        <v>158</v>
      </c>
      <c r="I396" s="534">
        <v>0</v>
      </c>
      <c r="J396" s="534">
        <v>0</v>
      </c>
      <c r="K396" s="534">
        <v>14</v>
      </c>
      <c r="M396" s="617">
        <f t="shared" si="14"/>
        <v>0</v>
      </c>
      <c r="N396" s="617">
        <f t="shared" si="15"/>
        <v>172</v>
      </c>
      <c r="O396" s="617"/>
    </row>
    <row r="397" spans="2:15" ht="15" x14ac:dyDescent="0.25">
      <c r="B397" s="529">
        <v>392001</v>
      </c>
      <c r="C397" s="529">
        <v>393</v>
      </c>
      <c r="E397" s="534">
        <v>0</v>
      </c>
      <c r="F397" s="534">
        <v>0</v>
      </c>
      <c r="G397" s="534">
        <v>158</v>
      </c>
      <c r="I397" s="534">
        <v>0</v>
      </c>
      <c r="J397" s="534">
        <v>0</v>
      </c>
      <c r="K397" s="534">
        <v>14</v>
      </c>
      <c r="M397" s="617">
        <f t="shared" si="14"/>
        <v>0</v>
      </c>
      <c r="N397" s="617">
        <f t="shared" si="15"/>
        <v>172</v>
      </c>
      <c r="O397" s="617"/>
    </row>
    <row r="398" spans="2:15" ht="15" x14ac:dyDescent="0.25">
      <c r="B398" s="529">
        <v>393001</v>
      </c>
      <c r="C398" s="529">
        <v>394</v>
      </c>
      <c r="E398" s="534">
        <v>0</v>
      </c>
      <c r="F398" s="534">
        <v>0</v>
      </c>
      <c r="G398" s="534">
        <v>158</v>
      </c>
      <c r="I398" s="534">
        <v>0</v>
      </c>
      <c r="J398" s="534">
        <v>0</v>
      </c>
      <c r="K398" s="534">
        <v>14</v>
      </c>
      <c r="M398" s="617">
        <f t="shared" si="14"/>
        <v>0</v>
      </c>
      <c r="N398" s="617">
        <f t="shared" si="15"/>
        <v>172</v>
      </c>
      <c r="O398" s="617"/>
    </row>
    <row r="399" spans="2:15" ht="15" x14ac:dyDescent="0.25">
      <c r="B399" s="529">
        <v>394001</v>
      </c>
      <c r="C399" s="529">
        <v>395</v>
      </c>
      <c r="E399" s="534">
        <v>1</v>
      </c>
      <c r="F399" s="534">
        <v>395</v>
      </c>
      <c r="G399" s="534">
        <v>158</v>
      </c>
      <c r="I399" s="534">
        <v>0</v>
      </c>
      <c r="J399" s="534">
        <v>0</v>
      </c>
      <c r="K399" s="534">
        <v>14</v>
      </c>
      <c r="M399" s="617">
        <f t="shared" si="14"/>
        <v>1</v>
      </c>
      <c r="N399" s="617">
        <f t="shared" si="15"/>
        <v>172</v>
      </c>
      <c r="O399" s="617"/>
    </row>
    <row r="400" spans="2:15" ht="15" x14ac:dyDescent="0.25">
      <c r="B400" s="529">
        <v>395001</v>
      </c>
      <c r="C400" s="529">
        <v>396</v>
      </c>
      <c r="E400" s="534">
        <v>1</v>
      </c>
      <c r="F400" s="534">
        <v>396</v>
      </c>
      <c r="G400" s="534">
        <v>157</v>
      </c>
      <c r="I400" s="534">
        <v>0</v>
      </c>
      <c r="J400" s="534">
        <v>0</v>
      </c>
      <c r="K400" s="534">
        <v>14</v>
      </c>
      <c r="M400" s="617">
        <f t="shared" si="14"/>
        <v>1</v>
      </c>
      <c r="N400" s="617">
        <f t="shared" si="15"/>
        <v>171</v>
      </c>
      <c r="O400" s="617"/>
    </row>
    <row r="401" spans="2:15" ht="15" x14ac:dyDescent="0.25">
      <c r="B401" s="529">
        <v>396001</v>
      </c>
      <c r="C401" s="529">
        <v>397</v>
      </c>
      <c r="E401" s="534">
        <v>1</v>
      </c>
      <c r="F401" s="534">
        <v>397</v>
      </c>
      <c r="G401" s="534">
        <v>156</v>
      </c>
      <c r="I401" s="534">
        <v>0</v>
      </c>
      <c r="J401" s="534">
        <v>0</v>
      </c>
      <c r="K401" s="534">
        <v>14</v>
      </c>
      <c r="M401" s="617">
        <f t="shared" si="14"/>
        <v>1</v>
      </c>
      <c r="N401" s="617">
        <f t="shared" si="15"/>
        <v>170</v>
      </c>
      <c r="O401" s="617"/>
    </row>
    <row r="402" spans="2:15" ht="15" x14ac:dyDescent="0.25">
      <c r="B402" s="529">
        <v>397001</v>
      </c>
      <c r="C402" s="529">
        <v>398</v>
      </c>
      <c r="E402" s="534">
        <v>2</v>
      </c>
      <c r="F402" s="534">
        <v>796</v>
      </c>
      <c r="G402" s="534">
        <v>155</v>
      </c>
      <c r="I402" s="534">
        <v>0</v>
      </c>
      <c r="J402" s="534">
        <v>0</v>
      </c>
      <c r="K402" s="534">
        <v>14</v>
      </c>
      <c r="M402" s="617">
        <f t="shared" si="14"/>
        <v>2</v>
      </c>
      <c r="N402" s="617">
        <f t="shared" si="15"/>
        <v>169</v>
      </c>
      <c r="O402" s="617"/>
    </row>
    <row r="403" spans="2:15" ht="15" x14ac:dyDescent="0.25">
      <c r="B403" s="529">
        <v>398001</v>
      </c>
      <c r="C403" s="529">
        <v>399</v>
      </c>
      <c r="E403" s="534">
        <v>0</v>
      </c>
      <c r="F403" s="534">
        <v>0</v>
      </c>
      <c r="G403" s="534">
        <v>153</v>
      </c>
      <c r="I403" s="534">
        <v>0</v>
      </c>
      <c r="J403" s="534">
        <v>0</v>
      </c>
      <c r="K403" s="534">
        <v>14</v>
      </c>
      <c r="M403" s="617">
        <f t="shared" si="14"/>
        <v>0</v>
      </c>
      <c r="N403" s="617">
        <f t="shared" si="15"/>
        <v>167</v>
      </c>
      <c r="O403" s="617"/>
    </row>
    <row r="404" spans="2:15" ht="15" x14ac:dyDescent="0.25">
      <c r="B404" s="529">
        <v>399001</v>
      </c>
      <c r="C404" s="529">
        <v>400</v>
      </c>
      <c r="E404" s="534">
        <v>0</v>
      </c>
      <c r="F404" s="534">
        <v>0</v>
      </c>
      <c r="G404" s="534">
        <v>153</v>
      </c>
      <c r="I404" s="534">
        <v>0</v>
      </c>
      <c r="J404" s="534">
        <v>0</v>
      </c>
      <c r="K404" s="534">
        <v>14</v>
      </c>
      <c r="M404" s="617">
        <f t="shared" si="14"/>
        <v>0</v>
      </c>
      <c r="N404" s="617">
        <f t="shared" si="15"/>
        <v>167</v>
      </c>
      <c r="O404" s="617"/>
    </row>
    <row r="405" spans="2:15" ht="15" x14ac:dyDescent="0.25">
      <c r="B405" s="529">
        <v>400001</v>
      </c>
      <c r="C405" s="529">
        <v>401</v>
      </c>
      <c r="E405" s="534">
        <v>4</v>
      </c>
      <c r="F405" s="534">
        <v>1604</v>
      </c>
      <c r="G405" s="534">
        <v>153</v>
      </c>
      <c r="I405" s="534">
        <v>0</v>
      </c>
      <c r="J405" s="534">
        <v>0</v>
      </c>
      <c r="K405" s="534">
        <v>14</v>
      </c>
      <c r="M405" s="617">
        <f t="shared" si="14"/>
        <v>4</v>
      </c>
      <c r="N405" s="617">
        <f t="shared" si="15"/>
        <v>167</v>
      </c>
      <c r="O405" s="617"/>
    </row>
    <row r="406" spans="2:15" ht="15" x14ac:dyDescent="0.25">
      <c r="B406" s="529">
        <v>401001</v>
      </c>
      <c r="C406" s="529">
        <v>402</v>
      </c>
      <c r="E406" s="534">
        <v>1</v>
      </c>
      <c r="F406" s="534">
        <v>402</v>
      </c>
      <c r="G406" s="534">
        <v>149</v>
      </c>
      <c r="I406" s="534">
        <v>0</v>
      </c>
      <c r="J406" s="534">
        <v>0</v>
      </c>
      <c r="K406" s="534">
        <v>14</v>
      </c>
      <c r="M406" s="617">
        <f t="shared" si="14"/>
        <v>1</v>
      </c>
      <c r="N406" s="617">
        <f t="shared" si="15"/>
        <v>163</v>
      </c>
      <c r="O406" s="617"/>
    </row>
    <row r="407" spans="2:15" ht="15" x14ac:dyDescent="0.25">
      <c r="B407" s="529">
        <v>402001</v>
      </c>
      <c r="C407" s="529">
        <v>403</v>
      </c>
      <c r="E407" s="534">
        <v>1</v>
      </c>
      <c r="F407" s="534">
        <v>403</v>
      </c>
      <c r="G407" s="534">
        <v>148</v>
      </c>
      <c r="I407" s="534">
        <v>0</v>
      </c>
      <c r="J407" s="534">
        <v>0</v>
      </c>
      <c r="K407" s="534">
        <v>14</v>
      </c>
      <c r="M407" s="617">
        <f t="shared" si="14"/>
        <v>1</v>
      </c>
      <c r="N407" s="617">
        <f t="shared" si="15"/>
        <v>162</v>
      </c>
      <c r="O407" s="617"/>
    </row>
    <row r="408" spans="2:15" ht="15" x14ac:dyDescent="0.25">
      <c r="B408" s="529">
        <v>403001</v>
      </c>
      <c r="C408" s="529">
        <v>404</v>
      </c>
      <c r="E408" s="534">
        <v>1</v>
      </c>
      <c r="F408" s="534">
        <v>404</v>
      </c>
      <c r="G408" s="534">
        <v>147</v>
      </c>
      <c r="I408" s="534">
        <v>0</v>
      </c>
      <c r="J408" s="534">
        <v>0</v>
      </c>
      <c r="K408" s="534">
        <v>14</v>
      </c>
      <c r="M408" s="617">
        <f t="shared" si="14"/>
        <v>1</v>
      </c>
      <c r="N408" s="617">
        <f t="shared" si="15"/>
        <v>161</v>
      </c>
      <c r="O408" s="617"/>
    </row>
    <row r="409" spans="2:15" ht="15" x14ac:dyDescent="0.25">
      <c r="B409" s="529">
        <v>404001</v>
      </c>
      <c r="C409" s="529">
        <v>405</v>
      </c>
      <c r="E409" s="534">
        <v>1</v>
      </c>
      <c r="F409" s="534">
        <v>405</v>
      </c>
      <c r="G409" s="534">
        <v>146</v>
      </c>
      <c r="I409" s="534">
        <v>0</v>
      </c>
      <c r="J409" s="534">
        <v>0</v>
      </c>
      <c r="K409" s="534">
        <v>14</v>
      </c>
      <c r="M409" s="617">
        <f t="shared" si="14"/>
        <v>1</v>
      </c>
      <c r="N409" s="617">
        <f t="shared" si="15"/>
        <v>160</v>
      </c>
      <c r="O409" s="617"/>
    </row>
    <row r="410" spans="2:15" ht="15" x14ac:dyDescent="0.25">
      <c r="B410" s="529">
        <v>405001</v>
      </c>
      <c r="C410" s="529">
        <v>406</v>
      </c>
      <c r="E410" s="534">
        <v>0</v>
      </c>
      <c r="F410" s="534">
        <v>0</v>
      </c>
      <c r="G410" s="534">
        <v>145</v>
      </c>
      <c r="I410" s="534">
        <v>0</v>
      </c>
      <c r="J410" s="534">
        <v>0</v>
      </c>
      <c r="K410" s="534">
        <v>14</v>
      </c>
      <c r="M410" s="617">
        <f t="shared" si="14"/>
        <v>0</v>
      </c>
      <c r="N410" s="617">
        <f t="shared" si="15"/>
        <v>159</v>
      </c>
      <c r="O410" s="617"/>
    </row>
    <row r="411" spans="2:15" ht="15" x14ac:dyDescent="0.25">
      <c r="B411" s="529">
        <v>406001</v>
      </c>
      <c r="C411" s="529">
        <v>407</v>
      </c>
      <c r="E411" s="534">
        <v>0</v>
      </c>
      <c r="F411" s="534">
        <v>0</v>
      </c>
      <c r="G411" s="534">
        <v>145</v>
      </c>
      <c r="I411" s="534">
        <v>0</v>
      </c>
      <c r="J411" s="534">
        <v>0</v>
      </c>
      <c r="K411" s="534">
        <v>14</v>
      </c>
      <c r="M411" s="617">
        <f t="shared" si="14"/>
        <v>0</v>
      </c>
      <c r="N411" s="617">
        <f t="shared" si="15"/>
        <v>159</v>
      </c>
      <c r="O411" s="617"/>
    </row>
    <row r="412" spans="2:15" ht="15" x14ac:dyDescent="0.25">
      <c r="B412" s="529">
        <v>407001</v>
      </c>
      <c r="C412" s="529">
        <v>408</v>
      </c>
      <c r="E412" s="534">
        <v>0</v>
      </c>
      <c r="F412" s="534">
        <v>0</v>
      </c>
      <c r="G412" s="534">
        <v>145</v>
      </c>
      <c r="I412" s="534">
        <v>0</v>
      </c>
      <c r="J412" s="534">
        <v>0</v>
      </c>
      <c r="K412" s="534">
        <v>14</v>
      </c>
      <c r="M412" s="617">
        <f t="shared" si="14"/>
        <v>0</v>
      </c>
      <c r="N412" s="617">
        <f t="shared" si="15"/>
        <v>159</v>
      </c>
      <c r="O412" s="617"/>
    </row>
    <row r="413" spans="2:15" ht="15" x14ac:dyDescent="0.25">
      <c r="B413" s="529">
        <v>408001</v>
      </c>
      <c r="C413" s="529">
        <v>409</v>
      </c>
      <c r="E413" s="534">
        <v>0</v>
      </c>
      <c r="F413" s="534">
        <v>0</v>
      </c>
      <c r="G413" s="534">
        <v>145</v>
      </c>
      <c r="I413" s="534">
        <v>0</v>
      </c>
      <c r="J413" s="534">
        <v>0</v>
      </c>
      <c r="K413" s="534">
        <v>14</v>
      </c>
      <c r="M413" s="617">
        <f t="shared" si="14"/>
        <v>0</v>
      </c>
      <c r="N413" s="617">
        <f t="shared" si="15"/>
        <v>159</v>
      </c>
      <c r="O413" s="617"/>
    </row>
    <row r="414" spans="2:15" ht="15" x14ac:dyDescent="0.25">
      <c r="B414" s="529">
        <v>409001</v>
      </c>
      <c r="C414" s="529">
        <v>410</v>
      </c>
      <c r="E414" s="534">
        <v>0</v>
      </c>
      <c r="F414" s="534">
        <v>0</v>
      </c>
      <c r="G414" s="534">
        <v>145</v>
      </c>
      <c r="I414" s="534">
        <v>0</v>
      </c>
      <c r="J414" s="534">
        <v>0</v>
      </c>
      <c r="K414" s="534">
        <v>14</v>
      </c>
      <c r="M414" s="617">
        <f t="shared" si="14"/>
        <v>0</v>
      </c>
      <c r="N414" s="617">
        <f t="shared" si="15"/>
        <v>159</v>
      </c>
      <c r="O414" s="617"/>
    </row>
    <row r="415" spans="2:15" ht="15" x14ac:dyDescent="0.25">
      <c r="B415" s="529">
        <v>410001</v>
      </c>
      <c r="C415" s="529">
        <v>411</v>
      </c>
      <c r="E415" s="534">
        <v>0</v>
      </c>
      <c r="F415" s="534">
        <v>0</v>
      </c>
      <c r="G415" s="534">
        <v>145</v>
      </c>
      <c r="I415" s="534">
        <v>1</v>
      </c>
      <c r="J415" s="534">
        <v>411</v>
      </c>
      <c r="K415" s="534">
        <v>14</v>
      </c>
      <c r="M415" s="617">
        <f t="shared" si="14"/>
        <v>1</v>
      </c>
      <c r="N415" s="617">
        <f t="shared" si="15"/>
        <v>159</v>
      </c>
      <c r="O415" s="617"/>
    </row>
    <row r="416" spans="2:15" ht="15" x14ac:dyDescent="0.25">
      <c r="B416" s="529">
        <v>411001</v>
      </c>
      <c r="C416" s="529">
        <v>412</v>
      </c>
      <c r="E416" s="534">
        <v>1</v>
      </c>
      <c r="F416" s="534">
        <v>412</v>
      </c>
      <c r="G416" s="534">
        <v>145</v>
      </c>
      <c r="I416" s="534">
        <v>0</v>
      </c>
      <c r="J416" s="534">
        <v>0</v>
      </c>
      <c r="K416" s="534">
        <v>13</v>
      </c>
      <c r="M416" s="617">
        <f t="shared" si="14"/>
        <v>1</v>
      </c>
      <c r="N416" s="617">
        <f t="shared" si="15"/>
        <v>158</v>
      </c>
      <c r="O416" s="617"/>
    </row>
    <row r="417" spans="2:15" ht="15" x14ac:dyDescent="0.25">
      <c r="B417" s="529">
        <v>412001</v>
      </c>
      <c r="C417" s="529">
        <v>413</v>
      </c>
      <c r="E417" s="534">
        <v>1</v>
      </c>
      <c r="F417" s="534">
        <v>413</v>
      </c>
      <c r="G417" s="534">
        <v>144</v>
      </c>
      <c r="I417" s="534">
        <v>0</v>
      </c>
      <c r="J417" s="534">
        <v>0</v>
      </c>
      <c r="K417" s="534">
        <v>13</v>
      </c>
      <c r="M417" s="617">
        <f t="shared" si="14"/>
        <v>1</v>
      </c>
      <c r="N417" s="617">
        <f t="shared" si="15"/>
        <v>157</v>
      </c>
      <c r="O417" s="617"/>
    </row>
    <row r="418" spans="2:15" ht="15" x14ac:dyDescent="0.25">
      <c r="B418" s="529">
        <v>413001</v>
      </c>
      <c r="C418" s="529">
        <v>414</v>
      </c>
      <c r="E418" s="534">
        <v>2</v>
      </c>
      <c r="F418" s="534">
        <v>828</v>
      </c>
      <c r="G418" s="534">
        <v>143</v>
      </c>
      <c r="I418" s="534">
        <v>0</v>
      </c>
      <c r="J418" s="534">
        <v>0</v>
      </c>
      <c r="K418" s="534">
        <v>13</v>
      </c>
      <c r="M418" s="617">
        <f t="shared" si="14"/>
        <v>2</v>
      </c>
      <c r="N418" s="617">
        <f t="shared" si="15"/>
        <v>156</v>
      </c>
      <c r="O418" s="617"/>
    </row>
    <row r="419" spans="2:15" ht="15" x14ac:dyDescent="0.25">
      <c r="B419" s="529">
        <v>414001</v>
      </c>
      <c r="C419" s="529">
        <v>415</v>
      </c>
      <c r="E419" s="534">
        <v>2</v>
      </c>
      <c r="F419" s="534">
        <v>830</v>
      </c>
      <c r="G419" s="534">
        <v>141</v>
      </c>
      <c r="I419" s="534">
        <v>0</v>
      </c>
      <c r="J419" s="534">
        <v>0</v>
      </c>
      <c r="K419" s="534">
        <v>13</v>
      </c>
      <c r="M419" s="617">
        <f t="shared" si="14"/>
        <v>2</v>
      </c>
      <c r="N419" s="617">
        <f t="shared" si="15"/>
        <v>154</v>
      </c>
      <c r="O419" s="617"/>
    </row>
    <row r="420" spans="2:15" ht="15" x14ac:dyDescent="0.25">
      <c r="B420" s="529">
        <v>415001</v>
      </c>
      <c r="C420" s="529">
        <v>416</v>
      </c>
      <c r="E420" s="534">
        <v>1</v>
      </c>
      <c r="F420" s="534">
        <v>416</v>
      </c>
      <c r="G420" s="534">
        <v>139</v>
      </c>
      <c r="I420" s="534">
        <v>0</v>
      </c>
      <c r="J420" s="534">
        <v>0</v>
      </c>
      <c r="K420" s="534">
        <v>13</v>
      </c>
      <c r="M420" s="617">
        <f t="shared" si="14"/>
        <v>1</v>
      </c>
      <c r="N420" s="617">
        <f t="shared" si="15"/>
        <v>152</v>
      </c>
      <c r="O420" s="617"/>
    </row>
    <row r="421" spans="2:15" ht="15" x14ac:dyDescent="0.25">
      <c r="B421" s="529">
        <v>416001</v>
      </c>
      <c r="C421" s="529">
        <v>417</v>
      </c>
      <c r="E421" s="534">
        <v>0</v>
      </c>
      <c r="F421" s="534">
        <v>0</v>
      </c>
      <c r="G421" s="534">
        <v>138</v>
      </c>
      <c r="I421" s="534">
        <v>0</v>
      </c>
      <c r="J421" s="534">
        <v>0</v>
      </c>
      <c r="K421" s="534">
        <v>13</v>
      </c>
      <c r="M421" s="617">
        <f t="shared" si="14"/>
        <v>0</v>
      </c>
      <c r="N421" s="617">
        <f t="shared" si="15"/>
        <v>151</v>
      </c>
      <c r="O421" s="617"/>
    </row>
    <row r="422" spans="2:15" ht="15" x14ac:dyDescent="0.25">
      <c r="B422" s="529">
        <v>417001</v>
      </c>
      <c r="C422" s="529">
        <v>418</v>
      </c>
      <c r="E422" s="534">
        <v>2</v>
      </c>
      <c r="F422" s="534">
        <v>836</v>
      </c>
      <c r="G422" s="534">
        <v>138</v>
      </c>
      <c r="I422" s="534">
        <v>0</v>
      </c>
      <c r="J422" s="534">
        <v>0</v>
      </c>
      <c r="K422" s="534">
        <v>13</v>
      </c>
      <c r="M422" s="617">
        <f t="shared" si="14"/>
        <v>2</v>
      </c>
      <c r="N422" s="617">
        <f t="shared" si="15"/>
        <v>151</v>
      </c>
      <c r="O422" s="617"/>
    </row>
    <row r="423" spans="2:15" ht="15" x14ac:dyDescent="0.25">
      <c r="B423" s="529">
        <v>418001</v>
      </c>
      <c r="C423" s="529">
        <v>419</v>
      </c>
      <c r="E423" s="534">
        <v>0</v>
      </c>
      <c r="F423" s="534">
        <v>0</v>
      </c>
      <c r="G423" s="534">
        <v>136</v>
      </c>
      <c r="I423" s="534">
        <v>0</v>
      </c>
      <c r="J423" s="534">
        <v>0</v>
      </c>
      <c r="K423" s="534">
        <v>13</v>
      </c>
      <c r="M423" s="617">
        <f t="shared" si="14"/>
        <v>0</v>
      </c>
      <c r="N423" s="617">
        <f t="shared" si="15"/>
        <v>149</v>
      </c>
      <c r="O423" s="617"/>
    </row>
    <row r="424" spans="2:15" ht="15" x14ac:dyDescent="0.25">
      <c r="B424" s="529">
        <v>419001</v>
      </c>
      <c r="C424" s="529">
        <v>420</v>
      </c>
      <c r="E424" s="534">
        <v>1</v>
      </c>
      <c r="F424" s="534">
        <v>420</v>
      </c>
      <c r="G424" s="534">
        <v>136</v>
      </c>
      <c r="I424" s="534">
        <v>0</v>
      </c>
      <c r="J424" s="534">
        <v>0</v>
      </c>
      <c r="K424" s="534">
        <v>13</v>
      </c>
      <c r="M424" s="617">
        <f t="shared" si="14"/>
        <v>1</v>
      </c>
      <c r="N424" s="617">
        <f t="shared" si="15"/>
        <v>149</v>
      </c>
      <c r="O424" s="617"/>
    </row>
    <row r="425" spans="2:15" ht="15" x14ac:dyDescent="0.25">
      <c r="B425" s="529">
        <v>420001</v>
      </c>
      <c r="C425" s="529">
        <v>421</v>
      </c>
      <c r="E425" s="534">
        <v>0</v>
      </c>
      <c r="F425" s="534">
        <v>0</v>
      </c>
      <c r="G425" s="534">
        <v>135</v>
      </c>
      <c r="I425" s="534">
        <v>0</v>
      </c>
      <c r="J425" s="534">
        <v>0</v>
      </c>
      <c r="K425" s="534">
        <v>13</v>
      </c>
      <c r="M425" s="617">
        <f t="shared" si="14"/>
        <v>0</v>
      </c>
      <c r="N425" s="617">
        <f t="shared" si="15"/>
        <v>148</v>
      </c>
      <c r="O425" s="617"/>
    </row>
    <row r="426" spans="2:15" ht="15" x14ac:dyDescent="0.25">
      <c r="B426" s="529">
        <v>421001</v>
      </c>
      <c r="C426" s="529">
        <v>422</v>
      </c>
      <c r="E426" s="534">
        <v>1</v>
      </c>
      <c r="F426" s="534">
        <v>422</v>
      </c>
      <c r="G426" s="534">
        <v>135</v>
      </c>
      <c r="I426" s="534">
        <v>0</v>
      </c>
      <c r="J426" s="534">
        <v>0</v>
      </c>
      <c r="K426" s="534">
        <v>13</v>
      </c>
      <c r="M426" s="617">
        <f t="shared" si="14"/>
        <v>1</v>
      </c>
      <c r="N426" s="617">
        <f t="shared" si="15"/>
        <v>148</v>
      </c>
      <c r="O426" s="617"/>
    </row>
    <row r="427" spans="2:15" ht="15" x14ac:dyDescent="0.25">
      <c r="B427" s="529">
        <v>422001</v>
      </c>
      <c r="C427" s="529">
        <v>423</v>
      </c>
      <c r="E427" s="534">
        <v>0</v>
      </c>
      <c r="F427" s="534">
        <v>0</v>
      </c>
      <c r="G427" s="534">
        <v>134</v>
      </c>
      <c r="I427" s="534">
        <v>0</v>
      </c>
      <c r="J427" s="534">
        <v>0</v>
      </c>
      <c r="K427" s="534">
        <v>13</v>
      </c>
      <c r="M427" s="617">
        <f t="shared" si="14"/>
        <v>0</v>
      </c>
      <c r="N427" s="617">
        <f t="shared" si="15"/>
        <v>147</v>
      </c>
      <c r="O427" s="617"/>
    </row>
    <row r="428" spans="2:15" ht="15" x14ac:dyDescent="0.25">
      <c r="B428" s="529">
        <v>423001</v>
      </c>
      <c r="C428" s="529">
        <v>424</v>
      </c>
      <c r="E428" s="534">
        <v>0</v>
      </c>
      <c r="F428" s="534">
        <v>0</v>
      </c>
      <c r="G428" s="534">
        <v>134</v>
      </c>
      <c r="I428" s="534">
        <v>0</v>
      </c>
      <c r="J428" s="534">
        <v>0</v>
      </c>
      <c r="K428" s="534">
        <v>13</v>
      </c>
      <c r="M428" s="617">
        <f t="shared" si="14"/>
        <v>0</v>
      </c>
      <c r="N428" s="617">
        <f t="shared" si="15"/>
        <v>147</v>
      </c>
      <c r="O428" s="617"/>
    </row>
    <row r="429" spans="2:15" ht="15" x14ac:dyDescent="0.25">
      <c r="B429" s="529">
        <v>424001</v>
      </c>
      <c r="C429" s="529">
        <v>425</v>
      </c>
      <c r="E429" s="534">
        <v>1</v>
      </c>
      <c r="F429" s="534">
        <v>425</v>
      </c>
      <c r="G429" s="534">
        <v>134</v>
      </c>
      <c r="I429" s="534">
        <v>1</v>
      </c>
      <c r="J429" s="534">
        <v>425</v>
      </c>
      <c r="K429" s="534">
        <v>13</v>
      </c>
      <c r="M429" s="617">
        <f t="shared" si="14"/>
        <v>2</v>
      </c>
      <c r="N429" s="617">
        <f t="shared" si="15"/>
        <v>147</v>
      </c>
      <c r="O429" s="617"/>
    </row>
    <row r="430" spans="2:15" ht="15" x14ac:dyDescent="0.25">
      <c r="B430" s="529">
        <v>425001</v>
      </c>
      <c r="C430" s="529">
        <v>426</v>
      </c>
      <c r="E430" s="534">
        <v>1</v>
      </c>
      <c r="F430" s="534">
        <v>426</v>
      </c>
      <c r="G430" s="534">
        <v>133</v>
      </c>
      <c r="I430" s="534">
        <v>0</v>
      </c>
      <c r="J430" s="534">
        <v>0</v>
      </c>
      <c r="K430" s="534">
        <v>12</v>
      </c>
      <c r="M430" s="617">
        <f t="shared" si="14"/>
        <v>1</v>
      </c>
      <c r="N430" s="617">
        <f t="shared" si="15"/>
        <v>145</v>
      </c>
      <c r="O430" s="617"/>
    </row>
    <row r="431" spans="2:15" ht="15" x14ac:dyDescent="0.25">
      <c r="B431" s="529">
        <v>426001</v>
      </c>
      <c r="C431" s="529">
        <v>427</v>
      </c>
      <c r="E431" s="534">
        <v>0</v>
      </c>
      <c r="F431" s="534">
        <v>0</v>
      </c>
      <c r="G431" s="534">
        <v>132</v>
      </c>
      <c r="I431" s="534">
        <v>0</v>
      </c>
      <c r="J431" s="534">
        <v>0</v>
      </c>
      <c r="K431" s="534">
        <v>12</v>
      </c>
      <c r="M431" s="617">
        <f t="shared" si="14"/>
        <v>0</v>
      </c>
      <c r="N431" s="617">
        <f t="shared" si="15"/>
        <v>144</v>
      </c>
      <c r="O431" s="617"/>
    </row>
    <row r="432" spans="2:15" ht="15" x14ac:dyDescent="0.25">
      <c r="B432" s="529">
        <v>427001</v>
      </c>
      <c r="C432" s="529">
        <v>428</v>
      </c>
      <c r="E432" s="534">
        <v>0</v>
      </c>
      <c r="F432" s="534">
        <v>0</v>
      </c>
      <c r="G432" s="534">
        <v>132</v>
      </c>
      <c r="I432" s="534">
        <v>0</v>
      </c>
      <c r="J432" s="534">
        <v>0</v>
      </c>
      <c r="K432" s="534">
        <v>12</v>
      </c>
      <c r="M432" s="617">
        <f t="shared" si="14"/>
        <v>0</v>
      </c>
      <c r="N432" s="617">
        <f t="shared" si="15"/>
        <v>144</v>
      </c>
      <c r="O432" s="617"/>
    </row>
    <row r="433" spans="2:15" ht="15" x14ac:dyDescent="0.25">
      <c r="B433" s="529">
        <v>428001</v>
      </c>
      <c r="C433" s="529">
        <v>429</v>
      </c>
      <c r="E433" s="534">
        <v>0</v>
      </c>
      <c r="F433" s="534">
        <v>0</v>
      </c>
      <c r="G433" s="534">
        <v>132</v>
      </c>
      <c r="I433" s="534">
        <v>0</v>
      </c>
      <c r="J433" s="534">
        <v>0</v>
      </c>
      <c r="K433" s="534">
        <v>12</v>
      </c>
      <c r="M433" s="617">
        <f t="shared" si="14"/>
        <v>0</v>
      </c>
      <c r="N433" s="617">
        <f t="shared" si="15"/>
        <v>144</v>
      </c>
      <c r="O433" s="617"/>
    </row>
    <row r="434" spans="2:15" ht="15" x14ac:dyDescent="0.25">
      <c r="B434" s="529">
        <v>429001</v>
      </c>
      <c r="C434" s="529">
        <v>430</v>
      </c>
      <c r="E434" s="534">
        <v>2</v>
      </c>
      <c r="F434" s="534">
        <v>860</v>
      </c>
      <c r="G434" s="534">
        <v>132</v>
      </c>
      <c r="I434" s="534">
        <v>0</v>
      </c>
      <c r="J434" s="534">
        <v>0</v>
      </c>
      <c r="K434" s="534">
        <v>12</v>
      </c>
      <c r="M434" s="617">
        <f t="shared" si="14"/>
        <v>2</v>
      </c>
      <c r="N434" s="617">
        <f t="shared" si="15"/>
        <v>144</v>
      </c>
      <c r="O434" s="617"/>
    </row>
    <row r="435" spans="2:15" ht="15" x14ac:dyDescent="0.25">
      <c r="B435" s="529">
        <v>430001</v>
      </c>
      <c r="C435" s="529">
        <v>431</v>
      </c>
      <c r="E435" s="534">
        <v>0</v>
      </c>
      <c r="F435" s="534">
        <v>0</v>
      </c>
      <c r="G435" s="534">
        <v>130</v>
      </c>
      <c r="I435" s="534">
        <v>0</v>
      </c>
      <c r="J435" s="534">
        <v>0</v>
      </c>
      <c r="K435" s="534">
        <v>12</v>
      </c>
      <c r="M435" s="617">
        <f t="shared" si="14"/>
        <v>0</v>
      </c>
      <c r="N435" s="617">
        <f t="shared" si="15"/>
        <v>142</v>
      </c>
      <c r="O435" s="617"/>
    </row>
    <row r="436" spans="2:15" ht="15" x14ac:dyDescent="0.25">
      <c r="B436" s="529">
        <v>431001</v>
      </c>
      <c r="C436" s="529">
        <v>432</v>
      </c>
      <c r="E436" s="534">
        <v>0</v>
      </c>
      <c r="F436" s="534">
        <v>0</v>
      </c>
      <c r="G436" s="534">
        <v>130</v>
      </c>
      <c r="I436" s="534">
        <v>0</v>
      </c>
      <c r="J436" s="534">
        <v>0</v>
      </c>
      <c r="K436" s="534">
        <v>12</v>
      </c>
      <c r="M436" s="617">
        <f t="shared" si="14"/>
        <v>0</v>
      </c>
      <c r="N436" s="617">
        <f t="shared" si="15"/>
        <v>142</v>
      </c>
      <c r="O436" s="617"/>
    </row>
    <row r="437" spans="2:15" ht="15" x14ac:dyDescent="0.25">
      <c r="B437" s="529">
        <v>432001</v>
      </c>
      <c r="C437" s="529">
        <v>433</v>
      </c>
      <c r="E437" s="534">
        <v>1</v>
      </c>
      <c r="F437" s="534">
        <v>433</v>
      </c>
      <c r="G437" s="534">
        <v>130</v>
      </c>
      <c r="I437" s="534">
        <v>0</v>
      </c>
      <c r="J437" s="534">
        <v>0</v>
      </c>
      <c r="K437" s="534">
        <v>12</v>
      </c>
      <c r="M437" s="617">
        <f t="shared" si="14"/>
        <v>1</v>
      </c>
      <c r="N437" s="617">
        <f t="shared" si="15"/>
        <v>142</v>
      </c>
      <c r="O437" s="617"/>
    </row>
    <row r="438" spans="2:15" ht="15" x14ac:dyDescent="0.25">
      <c r="B438" s="529">
        <v>433001</v>
      </c>
      <c r="C438" s="529">
        <v>434</v>
      </c>
      <c r="E438" s="534">
        <v>2</v>
      </c>
      <c r="F438" s="534">
        <v>868</v>
      </c>
      <c r="G438" s="534">
        <v>129</v>
      </c>
      <c r="I438" s="534">
        <v>0</v>
      </c>
      <c r="J438" s="534">
        <v>0</v>
      </c>
      <c r="K438" s="534">
        <v>12</v>
      </c>
      <c r="M438" s="617">
        <f t="shared" si="14"/>
        <v>2</v>
      </c>
      <c r="N438" s="617">
        <f t="shared" si="15"/>
        <v>141</v>
      </c>
      <c r="O438" s="617"/>
    </row>
    <row r="439" spans="2:15" ht="15" x14ac:dyDescent="0.25">
      <c r="B439" s="529">
        <v>434001</v>
      </c>
      <c r="C439" s="529">
        <v>435</v>
      </c>
      <c r="E439" s="534">
        <v>2</v>
      </c>
      <c r="F439" s="534">
        <v>870</v>
      </c>
      <c r="G439" s="534">
        <v>127</v>
      </c>
      <c r="I439" s="534">
        <v>0</v>
      </c>
      <c r="J439" s="534">
        <v>0</v>
      </c>
      <c r="K439" s="534">
        <v>12</v>
      </c>
      <c r="M439" s="617">
        <f t="shared" si="14"/>
        <v>2</v>
      </c>
      <c r="N439" s="617">
        <f t="shared" si="15"/>
        <v>139</v>
      </c>
      <c r="O439" s="617"/>
    </row>
    <row r="440" spans="2:15" ht="15" x14ac:dyDescent="0.25">
      <c r="B440" s="529">
        <v>435001</v>
      </c>
      <c r="C440" s="529">
        <v>436</v>
      </c>
      <c r="E440" s="534">
        <v>1</v>
      </c>
      <c r="F440" s="534">
        <v>436</v>
      </c>
      <c r="G440" s="534">
        <v>125</v>
      </c>
      <c r="I440" s="534">
        <v>1</v>
      </c>
      <c r="J440" s="534">
        <v>436</v>
      </c>
      <c r="K440" s="534">
        <v>12</v>
      </c>
      <c r="M440" s="617">
        <f t="shared" si="14"/>
        <v>2</v>
      </c>
      <c r="N440" s="617">
        <f t="shared" si="15"/>
        <v>137</v>
      </c>
      <c r="O440" s="617"/>
    </row>
    <row r="441" spans="2:15" ht="15" x14ac:dyDescent="0.25">
      <c r="B441" s="529">
        <v>436001</v>
      </c>
      <c r="C441" s="529">
        <v>437</v>
      </c>
      <c r="E441" s="534">
        <v>0</v>
      </c>
      <c r="F441" s="534">
        <v>0</v>
      </c>
      <c r="G441" s="534">
        <v>124</v>
      </c>
      <c r="I441" s="534">
        <v>0</v>
      </c>
      <c r="J441" s="534">
        <v>0</v>
      </c>
      <c r="K441" s="534">
        <v>11</v>
      </c>
      <c r="M441" s="617">
        <f t="shared" si="14"/>
        <v>0</v>
      </c>
      <c r="N441" s="617">
        <f t="shared" si="15"/>
        <v>135</v>
      </c>
      <c r="O441" s="617"/>
    </row>
    <row r="442" spans="2:15" ht="15" x14ac:dyDescent="0.25">
      <c r="B442" s="529">
        <v>437001</v>
      </c>
      <c r="C442" s="529">
        <v>438</v>
      </c>
      <c r="E442" s="534">
        <v>0</v>
      </c>
      <c r="F442" s="534">
        <v>0</v>
      </c>
      <c r="G442" s="534">
        <v>124</v>
      </c>
      <c r="I442" s="534">
        <v>0</v>
      </c>
      <c r="J442" s="534">
        <v>0</v>
      </c>
      <c r="K442" s="534">
        <v>11</v>
      </c>
      <c r="M442" s="617">
        <f t="shared" si="14"/>
        <v>0</v>
      </c>
      <c r="N442" s="617">
        <f t="shared" si="15"/>
        <v>135</v>
      </c>
      <c r="O442" s="617"/>
    </row>
    <row r="443" spans="2:15" ht="15" x14ac:dyDescent="0.25">
      <c r="B443" s="529">
        <v>438001</v>
      </c>
      <c r="C443" s="529">
        <v>439</v>
      </c>
      <c r="E443" s="534">
        <v>0</v>
      </c>
      <c r="F443" s="534">
        <v>0</v>
      </c>
      <c r="G443" s="534">
        <v>124</v>
      </c>
      <c r="I443" s="534">
        <v>1</v>
      </c>
      <c r="J443" s="534">
        <v>439</v>
      </c>
      <c r="K443" s="534">
        <v>11</v>
      </c>
      <c r="M443" s="617">
        <f t="shared" si="14"/>
        <v>1</v>
      </c>
      <c r="N443" s="617">
        <f t="shared" si="15"/>
        <v>135</v>
      </c>
      <c r="O443" s="617"/>
    </row>
    <row r="444" spans="2:15" ht="15" x14ac:dyDescent="0.25">
      <c r="B444" s="529">
        <v>439001</v>
      </c>
      <c r="C444" s="529">
        <v>440</v>
      </c>
      <c r="E444" s="534">
        <v>0</v>
      </c>
      <c r="F444" s="534">
        <v>0</v>
      </c>
      <c r="G444" s="534">
        <v>124</v>
      </c>
      <c r="I444" s="534">
        <v>0</v>
      </c>
      <c r="J444" s="534">
        <v>0</v>
      </c>
      <c r="K444" s="534">
        <v>10</v>
      </c>
      <c r="M444" s="617">
        <f t="shared" si="14"/>
        <v>0</v>
      </c>
      <c r="N444" s="617">
        <f t="shared" si="15"/>
        <v>134</v>
      </c>
      <c r="O444" s="617"/>
    </row>
    <row r="445" spans="2:15" ht="15" x14ac:dyDescent="0.25">
      <c r="B445" s="529">
        <v>440001</v>
      </c>
      <c r="C445" s="529">
        <v>441</v>
      </c>
      <c r="E445" s="534">
        <v>0</v>
      </c>
      <c r="F445" s="534">
        <v>0</v>
      </c>
      <c r="G445" s="534">
        <v>124</v>
      </c>
      <c r="I445" s="534">
        <v>0</v>
      </c>
      <c r="J445" s="534">
        <v>0</v>
      </c>
      <c r="K445" s="534">
        <v>10</v>
      </c>
      <c r="M445" s="617">
        <f t="shared" si="14"/>
        <v>0</v>
      </c>
      <c r="N445" s="617">
        <f t="shared" si="15"/>
        <v>134</v>
      </c>
      <c r="O445" s="617"/>
    </row>
    <row r="446" spans="2:15" ht="15" x14ac:dyDescent="0.25">
      <c r="B446" s="529">
        <v>441001</v>
      </c>
      <c r="C446" s="529">
        <v>442</v>
      </c>
      <c r="E446" s="534">
        <v>2</v>
      </c>
      <c r="F446" s="534">
        <v>884</v>
      </c>
      <c r="G446" s="534">
        <v>124</v>
      </c>
      <c r="I446" s="534">
        <v>0</v>
      </c>
      <c r="J446" s="534">
        <v>0</v>
      </c>
      <c r="K446" s="534">
        <v>10</v>
      </c>
      <c r="M446" s="617">
        <f t="shared" si="14"/>
        <v>2</v>
      </c>
      <c r="N446" s="617">
        <f t="shared" si="15"/>
        <v>134</v>
      </c>
      <c r="O446" s="617"/>
    </row>
    <row r="447" spans="2:15" ht="15" x14ac:dyDescent="0.25">
      <c r="B447" s="529">
        <v>442001</v>
      </c>
      <c r="C447" s="529">
        <v>443</v>
      </c>
      <c r="E447" s="534">
        <v>0</v>
      </c>
      <c r="F447" s="534">
        <v>0</v>
      </c>
      <c r="G447" s="534">
        <v>122</v>
      </c>
      <c r="I447" s="534">
        <v>0</v>
      </c>
      <c r="J447" s="534">
        <v>0</v>
      </c>
      <c r="K447" s="534">
        <v>10</v>
      </c>
      <c r="M447" s="617">
        <f t="shared" si="14"/>
        <v>0</v>
      </c>
      <c r="N447" s="617">
        <f t="shared" si="15"/>
        <v>132</v>
      </c>
      <c r="O447" s="617"/>
    </row>
    <row r="448" spans="2:15" ht="15" x14ac:dyDescent="0.25">
      <c r="B448" s="529">
        <v>443001</v>
      </c>
      <c r="C448" s="529">
        <v>444</v>
      </c>
      <c r="E448" s="534">
        <v>0</v>
      </c>
      <c r="F448" s="534">
        <v>0</v>
      </c>
      <c r="G448" s="534">
        <v>122</v>
      </c>
      <c r="I448" s="534">
        <v>0</v>
      </c>
      <c r="J448" s="534">
        <v>0</v>
      </c>
      <c r="K448" s="534">
        <v>10</v>
      </c>
      <c r="M448" s="617">
        <f t="shared" si="14"/>
        <v>0</v>
      </c>
      <c r="N448" s="617">
        <f t="shared" si="15"/>
        <v>132</v>
      </c>
      <c r="O448" s="617"/>
    </row>
    <row r="449" spans="2:15" ht="15" x14ac:dyDescent="0.25">
      <c r="B449" s="529">
        <v>444001</v>
      </c>
      <c r="C449" s="529">
        <v>445</v>
      </c>
      <c r="E449" s="534">
        <v>0</v>
      </c>
      <c r="F449" s="534">
        <v>0</v>
      </c>
      <c r="G449" s="534">
        <v>122</v>
      </c>
      <c r="I449" s="534">
        <v>0</v>
      </c>
      <c r="J449" s="534">
        <v>0</v>
      </c>
      <c r="K449" s="534">
        <v>10</v>
      </c>
      <c r="M449" s="617">
        <f t="shared" si="14"/>
        <v>0</v>
      </c>
      <c r="N449" s="617">
        <f t="shared" si="15"/>
        <v>132</v>
      </c>
      <c r="O449" s="617"/>
    </row>
    <row r="450" spans="2:15" ht="15" x14ac:dyDescent="0.25">
      <c r="B450" s="529">
        <v>445001</v>
      </c>
      <c r="C450" s="529">
        <v>446</v>
      </c>
      <c r="E450" s="534">
        <v>0</v>
      </c>
      <c r="F450" s="534">
        <v>0</v>
      </c>
      <c r="G450" s="534">
        <v>122</v>
      </c>
      <c r="I450" s="534">
        <v>0</v>
      </c>
      <c r="J450" s="534">
        <v>0</v>
      </c>
      <c r="K450" s="534">
        <v>10</v>
      </c>
      <c r="M450" s="617">
        <f t="shared" si="14"/>
        <v>0</v>
      </c>
      <c r="N450" s="617">
        <f t="shared" si="15"/>
        <v>132</v>
      </c>
      <c r="O450" s="617"/>
    </row>
    <row r="451" spans="2:15" ht="15" x14ac:dyDescent="0.25">
      <c r="B451" s="529">
        <v>446001</v>
      </c>
      <c r="C451" s="529">
        <v>447</v>
      </c>
      <c r="E451" s="534">
        <v>0</v>
      </c>
      <c r="F451" s="534">
        <v>0</v>
      </c>
      <c r="G451" s="534">
        <v>122</v>
      </c>
      <c r="I451" s="534">
        <v>0</v>
      </c>
      <c r="J451" s="534">
        <v>0</v>
      </c>
      <c r="K451" s="534">
        <v>10</v>
      </c>
      <c r="M451" s="617">
        <f t="shared" si="14"/>
        <v>0</v>
      </c>
      <c r="N451" s="617">
        <f t="shared" si="15"/>
        <v>132</v>
      </c>
      <c r="O451" s="617"/>
    </row>
    <row r="452" spans="2:15" ht="15" x14ac:dyDescent="0.25">
      <c r="B452" s="529">
        <v>447001</v>
      </c>
      <c r="C452" s="529">
        <v>448</v>
      </c>
      <c r="E452" s="534">
        <v>0</v>
      </c>
      <c r="F452" s="534">
        <v>0</v>
      </c>
      <c r="G452" s="534">
        <v>122</v>
      </c>
      <c r="I452" s="534">
        <v>0</v>
      </c>
      <c r="J452" s="534">
        <v>0</v>
      </c>
      <c r="K452" s="534">
        <v>10</v>
      </c>
      <c r="M452" s="617">
        <f t="shared" si="14"/>
        <v>0</v>
      </c>
      <c r="N452" s="617">
        <f t="shared" si="15"/>
        <v>132</v>
      </c>
      <c r="O452" s="617"/>
    </row>
    <row r="453" spans="2:15" ht="15" x14ac:dyDescent="0.25">
      <c r="B453" s="529">
        <v>448001</v>
      </c>
      <c r="C453" s="529">
        <v>449</v>
      </c>
      <c r="E453" s="534">
        <v>0</v>
      </c>
      <c r="F453" s="534">
        <v>0</v>
      </c>
      <c r="G453" s="534">
        <v>122</v>
      </c>
      <c r="I453" s="534">
        <v>0</v>
      </c>
      <c r="J453" s="534">
        <v>0</v>
      </c>
      <c r="K453" s="534">
        <v>10</v>
      </c>
      <c r="M453" s="617">
        <f t="shared" ref="M453:M516" si="16">I453+E453</f>
        <v>0</v>
      </c>
      <c r="N453" s="617">
        <f t="shared" ref="N453:N516" si="17">K453+G453</f>
        <v>132</v>
      </c>
      <c r="O453" s="617"/>
    </row>
    <row r="454" spans="2:15" ht="15" x14ac:dyDescent="0.25">
      <c r="B454" s="529">
        <v>449001</v>
      </c>
      <c r="C454" s="529">
        <v>450</v>
      </c>
      <c r="E454" s="534">
        <v>1</v>
      </c>
      <c r="F454" s="534">
        <v>450</v>
      </c>
      <c r="G454" s="534">
        <v>122</v>
      </c>
      <c r="I454" s="534">
        <v>0</v>
      </c>
      <c r="J454" s="534">
        <v>0</v>
      </c>
      <c r="K454" s="534">
        <v>10</v>
      </c>
      <c r="M454" s="617">
        <f t="shared" si="16"/>
        <v>1</v>
      </c>
      <c r="N454" s="617">
        <f t="shared" si="17"/>
        <v>132</v>
      </c>
      <c r="O454" s="617"/>
    </row>
    <row r="455" spans="2:15" ht="15" x14ac:dyDescent="0.25">
      <c r="B455" s="529">
        <v>450001</v>
      </c>
      <c r="C455" s="529">
        <v>451</v>
      </c>
      <c r="E455" s="534">
        <v>0</v>
      </c>
      <c r="F455" s="534">
        <v>0</v>
      </c>
      <c r="G455" s="534">
        <v>121</v>
      </c>
      <c r="I455" s="534">
        <v>0</v>
      </c>
      <c r="J455" s="534">
        <v>0</v>
      </c>
      <c r="K455" s="534">
        <v>10</v>
      </c>
      <c r="M455" s="617">
        <f t="shared" si="16"/>
        <v>0</v>
      </c>
      <c r="N455" s="617">
        <f t="shared" si="17"/>
        <v>131</v>
      </c>
      <c r="O455" s="617"/>
    </row>
    <row r="456" spans="2:15" ht="15" x14ac:dyDescent="0.25">
      <c r="B456" s="529">
        <v>451001</v>
      </c>
      <c r="C456" s="529">
        <v>452</v>
      </c>
      <c r="E456" s="534">
        <v>1</v>
      </c>
      <c r="F456" s="534">
        <v>452</v>
      </c>
      <c r="G456" s="534">
        <v>121</v>
      </c>
      <c r="I456" s="534">
        <v>0</v>
      </c>
      <c r="J456" s="534">
        <v>0</v>
      </c>
      <c r="K456" s="534">
        <v>10</v>
      </c>
      <c r="M456" s="617">
        <f t="shared" si="16"/>
        <v>1</v>
      </c>
      <c r="N456" s="617">
        <f t="shared" si="17"/>
        <v>131</v>
      </c>
      <c r="O456" s="617"/>
    </row>
    <row r="457" spans="2:15" ht="15" x14ac:dyDescent="0.25">
      <c r="B457" s="529">
        <v>452001</v>
      </c>
      <c r="C457" s="529">
        <v>453</v>
      </c>
      <c r="E457" s="534">
        <v>1</v>
      </c>
      <c r="F457" s="534">
        <v>453</v>
      </c>
      <c r="G457" s="534">
        <v>120</v>
      </c>
      <c r="I457" s="534">
        <v>0</v>
      </c>
      <c r="J457" s="534">
        <v>0</v>
      </c>
      <c r="K457" s="534">
        <v>10</v>
      </c>
      <c r="M457" s="617">
        <f t="shared" si="16"/>
        <v>1</v>
      </c>
      <c r="N457" s="617">
        <f t="shared" si="17"/>
        <v>130</v>
      </c>
      <c r="O457" s="617"/>
    </row>
    <row r="458" spans="2:15" ht="15" x14ac:dyDescent="0.25">
      <c r="B458" s="529">
        <v>453001</v>
      </c>
      <c r="C458" s="529">
        <v>454</v>
      </c>
      <c r="E458" s="534">
        <v>0</v>
      </c>
      <c r="F458" s="534">
        <v>0</v>
      </c>
      <c r="G458" s="534">
        <v>119</v>
      </c>
      <c r="I458" s="534">
        <v>0</v>
      </c>
      <c r="J458" s="534">
        <v>0</v>
      </c>
      <c r="K458" s="534">
        <v>10</v>
      </c>
      <c r="M458" s="617">
        <f t="shared" si="16"/>
        <v>0</v>
      </c>
      <c r="N458" s="617">
        <f t="shared" si="17"/>
        <v>129</v>
      </c>
      <c r="O458" s="617"/>
    </row>
    <row r="459" spans="2:15" ht="15" x14ac:dyDescent="0.25">
      <c r="B459" s="529">
        <v>454001</v>
      </c>
      <c r="C459" s="529">
        <v>455</v>
      </c>
      <c r="E459" s="534">
        <v>3</v>
      </c>
      <c r="F459" s="534">
        <v>1365</v>
      </c>
      <c r="G459" s="534">
        <v>119</v>
      </c>
      <c r="I459" s="534">
        <v>0</v>
      </c>
      <c r="J459" s="534">
        <v>0</v>
      </c>
      <c r="K459" s="534">
        <v>10</v>
      </c>
      <c r="M459" s="617">
        <f t="shared" si="16"/>
        <v>3</v>
      </c>
      <c r="N459" s="617">
        <f t="shared" si="17"/>
        <v>129</v>
      </c>
      <c r="O459" s="617"/>
    </row>
    <row r="460" spans="2:15" ht="15" x14ac:dyDescent="0.25">
      <c r="B460" s="529">
        <v>455001</v>
      </c>
      <c r="C460" s="529">
        <v>456</v>
      </c>
      <c r="E460" s="534">
        <v>0</v>
      </c>
      <c r="F460" s="534">
        <v>0</v>
      </c>
      <c r="G460" s="534">
        <v>116</v>
      </c>
      <c r="I460" s="534">
        <v>0</v>
      </c>
      <c r="J460" s="534">
        <v>0</v>
      </c>
      <c r="K460" s="534">
        <v>10</v>
      </c>
      <c r="M460" s="617">
        <f t="shared" si="16"/>
        <v>0</v>
      </c>
      <c r="N460" s="617">
        <f t="shared" si="17"/>
        <v>126</v>
      </c>
      <c r="O460" s="617"/>
    </row>
    <row r="461" spans="2:15" ht="15" x14ac:dyDescent="0.25">
      <c r="B461" s="529">
        <v>456001</v>
      </c>
      <c r="C461" s="529">
        <v>457</v>
      </c>
      <c r="E461" s="534">
        <v>0</v>
      </c>
      <c r="F461" s="534">
        <v>0</v>
      </c>
      <c r="G461" s="534">
        <v>116</v>
      </c>
      <c r="I461" s="534">
        <v>0</v>
      </c>
      <c r="J461" s="534">
        <v>0</v>
      </c>
      <c r="K461" s="534">
        <v>10</v>
      </c>
      <c r="M461" s="617">
        <f t="shared" si="16"/>
        <v>0</v>
      </c>
      <c r="N461" s="617">
        <f t="shared" si="17"/>
        <v>126</v>
      </c>
      <c r="O461" s="617"/>
    </row>
    <row r="462" spans="2:15" ht="15" x14ac:dyDescent="0.25">
      <c r="B462" s="529">
        <v>457001</v>
      </c>
      <c r="C462" s="529">
        <v>458</v>
      </c>
      <c r="E462" s="534">
        <v>0</v>
      </c>
      <c r="F462" s="534">
        <v>0</v>
      </c>
      <c r="G462" s="534">
        <v>116</v>
      </c>
      <c r="I462" s="534">
        <v>0</v>
      </c>
      <c r="J462" s="534">
        <v>0</v>
      </c>
      <c r="K462" s="534">
        <v>10</v>
      </c>
      <c r="M462" s="617">
        <f t="shared" si="16"/>
        <v>0</v>
      </c>
      <c r="N462" s="617">
        <f t="shared" si="17"/>
        <v>126</v>
      </c>
      <c r="O462" s="617"/>
    </row>
    <row r="463" spans="2:15" ht="15" x14ac:dyDescent="0.25">
      <c r="B463" s="529">
        <v>458001</v>
      </c>
      <c r="C463" s="529">
        <v>459</v>
      </c>
      <c r="E463" s="534">
        <v>0</v>
      </c>
      <c r="F463" s="534">
        <v>0</v>
      </c>
      <c r="G463" s="534">
        <v>116</v>
      </c>
      <c r="I463" s="534">
        <v>0</v>
      </c>
      <c r="J463" s="534">
        <v>0</v>
      </c>
      <c r="K463" s="534">
        <v>10</v>
      </c>
      <c r="M463" s="617">
        <f t="shared" si="16"/>
        <v>0</v>
      </c>
      <c r="N463" s="617">
        <f t="shared" si="17"/>
        <v>126</v>
      </c>
      <c r="O463" s="617"/>
    </row>
    <row r="464" spans="2:15" ht="15" x14ac:dyDescent="0.25">
      <c r="B464" s="529">
        <v>459001</v>
      </c>
      <c r="C464" s="529">
        <v>460</v>
      </c>
      <c r="E464" s="534">
        <v>2</v>
      </c>
      <c r="F464" s="534">
        <v>920</v>
      </c>
      <c r="G464" s="534">
        <v>116</v>
      </c>
      <c r="I464" s="534">
        <v>1</v>
      </c>
      <c r="J464" s="534">
        <v>460</v>
      </c>
      <c r="K464" s="534">
        <v>10</v>
      </c>
      <c r="M464" s="617">
        <f t="shared" si="16"/>
        <v>3</v>
      </c>
      <c r="N464" s="617">
        <f t="shared" si="17"/>
        <v>126</v>
      </c>
      <c r="O464" s="617"/>
    </row>
    <row r="465" spans="2:15" ht="15" x14ac:dyDescent="0.25">
      <c r="B465" s="529">
        <v>460001</v>
      </c>
      <c r="C465" s="529">
        <v>461</v>
      </c>
      <c r="E465" s="534">
        <v>2</v>
      </c>
      <c r="F465" s="534">
        <v>922</v>
      </c>
      <c r="G465" s="534">
        <v>114</v>
      </c>
      <c r="I465" s="534">
        <v>0</v>
      </c>
      <c r="J465" s="534">
        <v>0</v>
      </c>
      <c r="K465" s="534">
        <v>9</v>
      </c>
      <c r="M465" s="617">
        <f t="shared" si="16"/>
        <v>2</v>
      </c>
      <c r="N465" s="617">
        <f t="shared" si="17"/>
        <v>123</v>
      </c>
      <c r="O465" s="617"/>
    </row>
    <row r="466" spans="2:15" ht="15" x14ac:dyDescent="0.25">
      <c r="B466" s="529">
        <v>461001</v>
      </c>
      <c r="C466" s="529">
        <v>462</v>
      </c>
      <c r="E466" s="534">
        <v>0</v>
      </c>
      <c r="F466" s="534">
        <v>0</v>
      </c>
      <c r="G466" s="534">
        <v>112</v>
      </c>
      <c r="I466" s="534">
        <v>0</v>
      </c>
      <c r="J466" s="534">
        <v>0</v>
      </c>
      <c r="K466" s="534">
        <v>9</v>
      </c>
      <c r="M466" s="617">
        <f t="shared" si="16"/>
        <v>0</v>
      </c>
      <c r="N466" s="617">
        <f t="shared" si="17"/>
        <v>121</v>
      </c>
      <c r="O466" s="617"/>
    </row>
    <row r="467" spans="2:15" ht="15" x14ac:dyDescent="0.25">
      <c r="B467" s="529">
        <v>462001</v>
      </c>
      <c r="C467" s="529">
        <v>463</v>
      </c>
      <c r="E467" s="534">
        <v>2</v>
      </c>
      <c r="F467" s="534">
        <v>926</v>
      </c>
      <c r="G467" s="534">
        <v>112</v>
      </c>
      <c r="I467" s="534">
        <v>0</v>
      </c>
      <c r="J467" s="534">
        <v>0</v>
      </c>
      <c r="K467" s="534">
        <v>9</v>
      </c>
      <c r="M467" s="617">
        <f t="shared" si="16"/>
        <v>2</v>
      </c>
      <c r="N467" s="617">
        <f t="shared" si="17"/>
        <v>121</v>
      </c>
      <c r="O467" s="617"/>
    </row>
    <row r="468" spans="2:15" ht="15" x14ac:dyDescent="0.25">
      <c r="B468" s="529">
        <v>463001</v>
      </c>
      <c r="C468" s="529">
        <v>464</v>
      </c>
      <c r="E468" s="534">
        <v>0</v>
      </c>
      <c r="F468" s="534">
        <v>0</v>
      </c>
      <c r="G468" s="534">
        <v>110</v>
      </c>
      <c r="I468" s="534">
        <v>0</v>
      </c>
      <c r="J468" s="534">
        <v>0</v>
      </c>
      <c r="K468" s="534">
        <v>9</v>
      </c>
      <c r="M468" s="617">
        <f t="shared" si="16"/>
        <v>0</v>
      </c>
      <c r="N468" s="617">
        <f t="shared" si="17"/>
        <v>119</v>
      </c>
      <c r="O468" s="617"/>
    </row>
    <row r="469" spans="2:15" ht="15" x14ac:dyDescent="0.25">
      <c r="B469" s="529">
        <v>464001</v>
      </c>
      <c r="C469" s="529">
        <v>465</v>
      </c>
      <c r="E469" s="534">
        <v>0</v>
      </c>
      <c r="F469" s="534">
        <v>0</v>
      </c>
      <c r="G469" s="534">
        <v>110</v>
      </c>
      <c r="I469" s="534">
        <v>1</v>
      </c>
      <c r="J469" s="534">
        <v>465</v>
      </c>
      <c r="K469" s="534">
        <v>9</v>
      </c>
      <c r="M469" s="617">
        <f t="shared" si="16"/>
        <v>1</v>
      </c>
      <c r="N469" s="617">
        <f t="shared" si="17"/>
        <v>119</v>
      </c>
      <c r="O469" s="617"/>
    </row>
    <row r="470" spans="2:15" ht="15" x14ac:dyDescent="0.25">
      <c r="B470" s="529">
        <v>465001</v>
      </c>
      <c r="C470" s="529">
        <v>466</v>
      </c>
      <c r="E470" s="534">
        <v>1</v>
      </c>
      <c r="F470" s="534">
        <v>466</v>
      </c>
      <c r="G470" s="534">
        <v>110</v>
      </c>
      <c r="I470" s="534">
        <v>0</v>
      </c>
      <c r="J470" s="534">
        <v>0</v>
      </c>
      <c r="K470" s="534">
        <v>8</v>
      </c>
      <c r="M470" s="617">
        <f t="shared" si="16"/>
        <v>1</v>
      </c>
      <c r="N470" s="617">
        <f t="shared" si="17"/>
        <v>118</v>
      </c>
      <c r="O470" s="617"/>
    </row>
    <row r="471" spans="2:15" ht="15" x14ac:dyDescent="0.25">
      <c r="B471" s="529">
        <v>466001</v>
      </c>
      <c r="C471" s="529">
        <v>467</v>
      </c>
      <c r="E471" s="534">
        <v>0</v>
      </c>
      <c r="F471" s="534">
        <v>0</v>
      </c>
      <c r="G471" s="534">
        <v>109</v>
      </c>
      <c r="I471" s="534">
        <v>0</v>
      </c>
      <c r="J471" s="534">
        <v>0</v>
      </c>
      <c r="K471" s="534">
        <v>8</v>
      </c>
      <c r="M471" s="617">
        <f t="shared" si="16"/>
        <v>0</v>
      </c>
      <c r="N471" s="617">
        <f t="shared" si="17"/>
        <v>117</v>
      </c>
      <c r="O471" s="617"/>
    </row>
    <row r="472" spans="2:15" ht="15" x14ac:dyDescent="0.25">
      <c r="B472" s="529">
        <v>467001</v>
      </c>
      <c r="C472" s="529">
        <v>468</v>
      </c>
      <c r="E472" s="534">
        <v>1</v>
      </c>
      <c r="F472" s="534">
        <v>468</v>
      </c>
      <c r="G472" s="534">
        <v>109</v>
      </c>
      <c r="I472" s="534">
        <v>0</v>
      </c>
      <c r="J472" s="534">
        <v>0</v>
      </c>
      <c r="K472" s="534">
        <v>8</v>
      </c>
      <c r="M472" s="617">
        <f t="shared" si="16"/>
        <v>1</v>
      </c>
      <c r="N472" s="617">
        <f t="shared" si="17"/>
        <v>117</v>
      </c>
      <c r="O472" s="617"/>
    </row>
    <row r="473" spans="2:15" ht="15" x14ac:dyDescent="0.25">
      <c r="B473" s="529">
        <v>468001</v>
      </c>
      <c r="C473" s="529">
        <v>469</v>
      </c>
      <c r="E473" s="534">
        <v>1</v>
      </c>
      <c r="F473" s="534">
        <v>469</v>
      </c>
      <c r="G473" s="534">
        <v>108</v>
      </c>
      <c r="I473" s="534">
        <v>0</v>
      </c>
      <c r="J473" s="534">
        <v>0</v>
      </c>
      <c r="K473" s="534">
        <v>8</v>
      </c>
      <c r="M473" s="617">
        <f t="shared" si="16"/>
        <v>1</v>
      </c>
      <c r="N473" s="617">
        <f t="shared" si="17"/>
        <v>116</v>
      </c>
      <c r="O473" s="617"/>
    </row>
    <row r="474" spans="2:15" ht="15" x14ac:dyDescent="0.25">
      <c r="B474" s="529">
        <v>469001</v>
      </c>
      <c r="C474" s="529">
        <v>470</v>
      </c>
      <c r="E474" s="534">
        <v>0</v>
      </c>
      <c r="F474" s="534">
        <v>0</v>
      </c>
      <c r="G474" s="534">
        <v>107</v>
      </c>
      <c r="I474" s="534">
        <v>0</v>
      </c>
      <c r="J474" s="534">
        <v>0</v>
      </c>
      <c r="K474" s="534">
        <v>8</v>
      </c>
      <c r="M474" s="617">
        <f t="shared" si="16"/>
        <v>0</v>
      </c>
      <c r="N474" s="617">
        <f t="shared" si="17"/>
        <v>115</v>
      </c>
      <c r="O474" s="617"/>
    </row>
    <row r="475" spans="2:15" ht="15" x14ac:dyDescent="0.25">
      <c r="B475" s="529">
        <v>470001</v>
      </c>
      <c r="C475" s="529">
        <v>471</v>
      </c>
      <c r="E475" s="534">
        <v>0</v>
      </c>
      <c r="F475" s="534">
        <v>0</v>
      </c>
      <c r="G475" s="534">
        <v>107</v>
      </c>
      <c r="I475" s="534">
        <v>0</v>
      </c>
      <c r="J475" s="534">
        <v>0</v>
      </c>
      <c r="K475" s="534">
        <v>8</v>
      </c>
      <c r="M475" s="617">
        <f t="shared" si="16"/>
        <v>0</v>
      </c>
      <c r="N475" s="617">
        <f t="shared" si="17"/>
        <v>115</v>
      </c>
      <c r="O475" s="617"/>
    </row>
    <row r="476" spans="2:15" ht="15" x14ac:dyDescent="0.25">
      <c r="B476" s="529">
        <v>471001</v>
      </c>
      <c r="C476" s="529">
        <v>472</v>
      </c>
      <c r="E476" s="534">
        <v>0</v>
      </c>
      <c r="F476" s="534">
        <v>0</v>
      </c>
      <c r="G476" s="534">
        <v>107</v>
      </c>
      <c r="I476" s="534">
        <v>0</v>
      </c>
      <c r="J476" s="534">
        <v>0</v>
      </c>
      <c r="K476" s="534">
        <v>8</v>
      </c>
      <c r="M476" s="617">
        <f t="shared" si="16"/>
        <v>0</v>
      </c>
      <c r="N476" s="617">
        <f t="shared" si="17"/>
        <v>115</v>
      </c>
      <c r="O476" s="617"/>
    </row>
    <row r="477" spans="2:15" ht="15" x14ac:dyDescent="0.25">
      <c r="B477" s="529">
        <v>472001</v>
      </c>
      <c r="C477" s="529">
        <v>473</v>
      </c>
      <c r="E477" s="534">
        <v>0</v>
      </c>
      <c r="F477" s="534">
        <v>0</v>
      </c>
      <c r="G477" s="534">
        <v>107</v>
      </c>
      <c r="I477" s="534">
        <v>0</v>
      </c>
      <c r="J477" s="534">
        <v>0</v>
      </c>
      <c r="K477" s="534">
        <v>8</v>
      </c>
      <c r="M477" s="617">
        <f t="shared" si="16"/>
        <v>0</v>
      </c>
      <c r="N477" s="617">
        <f t="shared" si="17"/>
        <v>115</v>
      </c>
      <c r="O477" s="617"/>
    </row>
    <row r="478" spans="2:15" ht="15" x14ac:dyDescent="0.25">
      <c r="B478" s="529">
        <v>473001</v>
      </c>
      <c r="C478" s="529">
        <v>474</v>
      </c>
      <c r="E478" s="534">
        <v>2</v>
      </c>
      <c r="F478" s="534">
        <v>948</v>
      </c>
      <c r="G478" s="534">
        <v>107</v>
      </c>
      <c r="I478" s="534">
        <v>0</v>
      </c>
      <c r="J478" s="534">
        <v>0</v>
      </c>
      <c r="K478" s="534">
        <v>8</v>
      </c>
      <c r="M478" s="617">
        <f t="shared" si="16"/>
        <v>2</v>
      </c>
      <c r="N478" s="617">
        <f t="shared" si="17"/>
        <v>115</v>
      </c>
      <c r="O478" s="617"/>
    </row>
    <row r="479" spans="2:15" ht="15" x14ac:dyDescent="0.25">
      <c r="B479" s="529">
        <v>474001</v>
      </c>
      <c r="C479" s="529">
        <v>475</v>
      </c>
      <c r="E479" s="534">
        <v>0</v>
      </c>
      <c r="F479" s="534">
        <v>0</v>
      </c>
      <c r="G479" s="534">
        <v>105</v>
      </c>
      <c r="I479" s="534">
        <v>0</v>
      </c>
      <c r="J479" s="534">
        <v>0</v>
      </c>
      <c r="K479" s="534">
        <v>8</v>
      </c>
      <c r="M479" s="617">
        <f t="shared" si="16"/>
        <v>0</v>
      </c>
      <c r="N479" s="617">
        <f t="shared" si="17"/>
        <v>113</v>
      </c>
      <c r="O479" s="617"/>
    </row>
    <row r="480" spans="2:15" ht="15" x14ac:dyDescent="0.25">
      <c r="B480" s="529">
        <v>475001</v>
      </c>
      <c r="C480" s="529">
        <v>476</v>
      </c>
      <c r="E480" s="534">
        <v>2</v>
      </c>
      <c r="F480" s="534">
        <v>952</v>
      </c>
      <c r="G480" s="534">
        <v>105</v>
      </c>
      <c r="I480" s="534">
        <v>0</v>
      </c>
      <c r="J480" s="534">
        <v>0</v>
      </c>
      <c r="K480" s="534">
        <v>8</v>
      </c>
      <c r="M480" s="617">
        <f t="shared" si="16"/>
        <v>2</v>
      </c>
      <c r="N480" s="617">
        <f t="shared" si="17"/>
        <v>113</v>
      </c>
      <c r="O480" s="617"/>
    </row>
    <row r="481" spans="2:15" ht="15" x14ac:dyDescent="0.25">
      <c r="B481" s="529">
        <v>476001</v>
      </c>
      <c r="C481" s="529">
        <v>477</v>
      </c>
      <c r="E481" s="534">
        <v>1</v>
      </c>
      <c r="F481" s="534">
        <v>477</v>
      </c>
      <c r="G481" s="534">
        <v>103</v>
      </c>
      <c r="I481" s="534">
        <v>0</v>
      </c>
      <c r="J481" s="534">
        <v>0</v>
      </c>
      <c r="K481" s="534">
        <v>8</v>
      </c>
      <c r="M481" s="617">
        <f t="shared" si="16"/>
        <v>1</v>
      </c>
      <c r="N481" s="617">
        <f t="shared" si="17"/>
        <v>111</v>
      </c>
      <c r="O481" s="617"/>
    </row>
    <row r="482" spans="2:15" ht="15" x14ac:dyDescent="0.25">
      <c r="B482" s="529">
        <v>477001</v>
      </c>
      <c r="C482" s="529">
        <v>478</v>
      </c>
      <c r="E482" s="534">
        <v>1</v>
      </c>
      <c r="F482" s="534">
        <v>478</v>
      </c>
      <c r="G482" s="534">
        <v>102</v>
      </c>
      <c r="I482" s="534">
        <v>0</v>
      </c>
      <c r="J482" s="534">
        <v>0</v>
      </c>
      <c r="K482" s="534">
        <v>8</v>
      </c>
      <c r="M482" s="617">
        <f t="shared" si="16"/>
        <v>1</v>
      </c>
      <c r="N482" s="617">
        <f t="shared" si="17"/>
        <v>110</v>
      </c>
      <c r="O482" s="617"/>
    </row>
    <row r="483" spans="2:15" ht="15" x14ac:dyDescent="0.25">
      <c r="B483" s="529">
        <v>478001</v>
      </c>
      <c r="C483" s="529">
        <v>479</v>
      </c>
      <c r="E483" s="534">
        <v>0</v>
      </c>
      <c r="F483" s="534">
        <v>0</v>
      </c>
      <c r="G483" s="534">
        <v>101</v>
      </c>
      <c r="I483" s="534">
        <v>0</v>
      </c>
      <c r="J483" s="534">
        <v>0</v>
      </c>
      <c r="K483" s="534">
        <v>8</v>
      </c>
      <c r="M483" s="617">
        <f t="shared" si="16"/>
        <v>0</v>
      </c>
      <c r="N483" s="617">
        <f t="shared" si="17"/>
        <v>109</v>
      </c>
      <c r="O483" s="617"/>
    </row>
    <row r="484" spans="2:15" ht="15" x14ac:dyDescent="0.25">
      <c r="B484" s="529">
        <v>479001</v>
      </c>
      <c r="C484" s="529">
        <v>480</v>
      </c>
      <c r="E484" s="534">
        <v>0</v>
      </c>
      <c r="F484" s="534">
        <v>0</v>
      </c>
      <c r="G484" s="534">
        <v>101</v>
      </c>
      <c r="I484" s="534">
        <v>0</v>
      </c>
      <c r="J484" s="534">
        <v>0</v>
      </c>
      <c r="K484" s="534">
        <v>8</v>
      </c>
      <c r="M484" s="617">
        <f t="shared" si="16"/>
        <v>0</v>
      </c>
      <c r="N484" s="617">
        <f t="shared" si="17"/>
        <v>109</v>
      </c>
      <c r="O484" s="617"/>
    </row>
    <row r="485" spans="2:15" ht="15" x14ac:dyDescent="0.25">
      <c r="B485" s="529">
        <v>480001</v>
      </c>
      <c r="C485" s="529">
        <v>481</v>
      </c>
      <c r="E485" s="534">
        <v>1</v>
      </c>
      <c r="F485" s="534">
        <v>481</v>
      </c>
      <c r="G485" s="534">
        <v>101</v>
      </c>
      <c r="I485" s="534">
        <v>0</v>
      </c>
      <c r="J485" s="534">
        <v>0</v>
      </c>
      <c r="K485" s="534">
        <v>8</v>
      </c>
      <c r="M485" s="617">
        <f t="shared" si="16"/>
        <v>1</v>
      </c>
      <c r="N485" s="617">
        <f t="shared" si="17"/>
        <v>109</v>
      </c>
      <c r="O485" s="617"/>
    </row>
    <row r="486" spans="2:15" ht="15" x14ac:dyDescent="0.25">
      <c r="B486" s="529">
        <v>481001</v>
      </c>
      <c r="C486" s="529">
        <v>482</v>
      </c>
      <c r="E486" s="534">
        <v>0</v>
      </c>
      <c r="F486" s="534">
        <v>0</v>
      </c>
      <c r="G486" s="534">
        <v>100</v>
      </c>
      <c r="I486" s="534">
        <v>0</v>
      </c>
      <c r="J486" s="534">
        <v>0</v>
      </c>
      <c r="K486" s="534">
        <v>8</v>
      </c>
      <c r="M486" s="617">
        <f t="shared" si="16"/>
        <v>0</v>
      </c>
      <c r="N486" s="617">
        <f t="shared" si="17"/>
        <v>108</v>
      </c>
      <c r="O486" s="617"/>
    </row>
    <row r="487" spans="2:15" ht="15" x14ac:dyDescent="0.25">
      <c r="B487" s="529">
        <v>482001</v>
      </c>
      <c r="C487" s="529">
        <v>483</v>
      </c>
      <c r="E487" s="534">
        <v>0</v>
      </c>
      <c r="F487" s="534">
        <v>0</v>
      </c>
      <c r="G487" s="534">
        <v>100</v>
      </c>
      <c r="I487" s="534">
        <v>0</v>
      </c>
      <c r="J487" s="534">
        <v>0</v>
      </c>
      <c r="K487" s="534">
        <v>8</v>
      </c>
      <c r="M487" s="617">
        <f t="shared" si="16"/>
        <v>0</v>
      </c>
      <c r="N487" s="617">
        <f t="shared" si="17"/>
        <v>108</v>
      </c>
      <c r="O487" s="617"/>
    </row>
    <row r="488" spans="2:15" ht="15" x14ac:dyDescent="0.25">
      <c r="B488" s="529">
        <v>483001</v>
      </c>
      <c r="C488" s="529">
        <v>484</v>
      </c>
      <c r="E488" s="534">
        <v>0</v>
      </c>
      <c r="F488" s="534">
        <v>0</v>
      </c>
      <c r="G488" s="534">
        <v>100</v>
      </c>
      <c r="I488" s="534">
        <v>0</v>
      </c>
      <c r="J488" s="534">
        <v>0</v>
      </c>
      <c r="K488" s="534">
        <v>8</v>
      </c>
      <c r="M488" s="617">
        <f t="shared" si="16"/>
        <v>0</v>
      </c>
      <c r="N488" s="617">
        <f t="shared" si="17"/>
        <v>108</v>
      </c>
      <c r="O488" s="617"/>
    </row>
    <row r="489" spans="2:15" ht="15" x14ac:dyDescent="0.25">
      <c r="B489" s="529">
        <v>484001</v>
      </c>
      <c r="C489" s="529">
        <v>485</v>
      </c>
      <c r="E489" s="534">
        <v>0</v>
      </c>
      <c r="F489" s="534">
        <v>0</v>
      </c>
      <c r="G489" s="534">
        <v>100</v>
      </c>
      <c r="I489" s="534">
        <v>0</v>
      </c>
      <c r="J489" s="534">
        <v>0</v>
      </c>
      <c r="K489" s="534">
        <v>8</v>
      </c>
      <c r="M489" s="617">
        <f t="shared" si="16"/>
        <v>0</v>
      </c>
      <c r="N489" s="617">
        <f t="shared" si="17"/>
        <v>108</v>
      </c>
      <c r="O489" s="617"/>
    </row>
    <row r="490" spans="2:15" ht="15" x14ac:dyDescent="0.25">
      <c r="B490" s="529">
        <v>485001</v>
      </c>
      <c r="C490" s="529">
        <v>486</v>
      </c>
      <c r="E490" s="534">
        <v>0</v>
      </c>
      <c r="F490" s="534">
        <v>0</v>
      </c>
      <c r="G490" s="534">
        <v>100</v>
      </c>
      <c r="I490" s="534">
        <v>0</v>
      </c>
      <c r="J490" s="534">
        <v>0</v>
      </c>
      <c r="K490" s="534">
        <v>8</v>
      </c>
      <c r="M490" s="617">
        <f t="shared" si="16"/>
        <v>0</v>
      </c>
      <c r="N490" s="617">
        <f t="shared" si="17"/>
        <v>108</v>
      </c>
      <c r="O490" s="617"/>
    </row>
    <row r="491" spans="2:15" ht="15" x14ac:dyDescent="0.25">
      <c r="B491" s="529">
        <v>486001</v>
      </c>
      <c r="C491" s="529">
        <v>487</v>
      </c>
      <c r="E491" s="534">
        <v>0</v>
      </c>
      <c r="F491" s="534">
        <v>0</v>
      </c>
      <c r="G491" s="534">
        <v>100</v>
      </c>
      <c r="I491" s="534">
        <v>0</v>
      </c>
      <c r="J491" s="534">
        <v>0</v>
      </c>
      <c r="K491" s="534">
        <v>8</v>
      </c>
      <c r="M491" s="617">
        <f t="shared" si="16"/>
        <v>0</v>
      </c>
      <c r="N491" s="617">
        <f t="shared" si="17"/>
        <v>108</v>
      </c>
      <c r="O491" s="617"/>
    </row>
    <row r="492" spans="2:15" ht="15" x14ac:dyDescent="0.25">
      <c r="B492" s="529">
        <v>487001</v>
      </c>
      <c r="C492" s="529">
        <v>488</v>
      </c>
      <c r="E492" s="534">
        <v>0</v>
      </c>
      <c r="F492" s="534">
        <v>0</v>
      </c>
      <c r="G492" s="534">
        <v>100</v>
      </c>
      <c r="I492" s="534">
        <v>0</v>
      </c>
      <c r="J492" s="534">
        <v>0</v>
      </c>
      <c r="K492" s="534">
        <v>8</v>
      </c>
      <c r="M492" s="617">
        <f t="shared" si="16"/>
        <v>0</v>
      </c>
      <c r="N492" s="617">
        <f t="shared" si="17"/>
        <v>108</v>
      </c>
      <c r="O492" s="617"/>
    </row>
    <row r="493" spans="2:15" ht="15" x14ac:dyDescent="0.25">
      <c r="B493" s="529">
        <v>488001</v>
      </c>
      <c r="C493" s="529">
        <v>489</v>
      </c>
      <c r="E493" s="534">
        <v>1</v>
      </c>
      <c r="F493" s="534">
        <v>489</v>
      </c>
      <c r="G493" s="534">
        <v>100</v>
      </c>
      <c r="I493" s="534">
        <v>0</v>
      </c>
      <c r="J493" s="534">
        <v>0</v>
      </c>
      <c r="K493" s="534">
        <v>8</v>
      </c>
      <c r="M493" s="617">
        <f t="shared" si="16"/>
        <v>1</v>
      </c>
      <c r="N493" s="617">
        <f t="shared" si="17"/>
        <v>108</v>
      </c>
      <c r="O493" s="617"/>
    </row>
    <row r="494" spans="2:15" ht="15" x14ac:dyDescent="0.25">
      <c r="B494" s="529">
        <v>489001</v>
      </c>
      <c r="C494" s="529">
        <v>490</v>
      </c>
      <c r="E494" s="534">
        <v>0</v>
      </c>
      <c r="F494" s="534">
        <v>0</v>
      </c>
      <c r="G494" s="534">
        <v>99</v>
      </c>
      <c r="I494" s="534">
        <v>0</v>
      </c>
      <c r="J494" s="534">
        <v>0</v>
      </c>
      <c r="K494" s="534">
        <v>8</v>
      </c>
      <c r="M494" s="617">
        <f t="shared" si="16"/>
        <v>0</v>
      </c>
      <c r="N494" s="617">
        <f t="shared" si="17"/>
        <v>107</v>
      </c>
      <c r="O494" s="617"/>
    </row>
    <row r="495" spans="2:15" ht="15" x14ac:dyDescent="0.25">
      <c r="B495" s="529">
        <v>490001</v>
      </c>
      <c r="C495" s="529">
        <v>491</v>
      </c>
      <c r="E495" s="534">
        <v>0</v>
      </c>
      <c r="F495" s="534">
        <v>0</v>
      </c>
      <c r="G495" s="534">
        <v>99</v>
      </c>
      <c r="I495" s="534">
        <v>0</v>
      </c>
      <c r="J495" s="534">
        <v>0</v>
      </c>
      <c r="K495" s="534">
        <v>8</v>
      </c>
      <c r="M495" s="617">
        <f t="shared" si="16"/>
        <v>0</v>
      </c>
      <c r="N495" s="617">
        <f t="shared" si="17"/>
        <v>107</v>
      </c>
      <c r="O495" s="617"/>
    </row>
    <row r="496" spans="2:15" ht="15" x14ac:dyDescent="0.25">
      <c r="B496" s="529">
        <v>491001</v>
      </c>
      <c r="C496" s="529">
        <v>492</v>
      </c>
      <c r="E496" s="534">
        <v>0</v>
      </c>
      <c r="F496" s="534">
        <v>0</v>
      </c>
      <c r="G496" s="534">
        <v>99</v>
      </c>
      <c r="I496" s="534">
        <v>0</v>
      </c>
      <c r="J496" s="534">
        <v>0</v>
      </c>
      <c r="K496" s="534">
        <v>8</v>
      </c>
      <c r="M496" s="617">
        <f t="shared" si="16"/>
        <v>0</v>
      </c>
      <c r="N496" s="617">
        <f t="shared" si="17"/>
        <v>107</v>
      </c>
      <c r="O496" s="617"/>
    </row>
    <row r="497" spans="2:15" ht="15" x14ac:dyDescent="0.25">
      <c r="B497" s="529">
        <v>492001</v>
      </c>
      <c r="C497" s="529">
        <v>493</v>
      </c>
      <c r="E497" s="534">
        <v>0</v>
      </c>
      <c r="F497" s="534">
        <v>0</v>
      </c>
      <c r="G497" s="534">
        <v>99</v>
      </c>
      <c r="I497" s="534">
        <v>0</v>
      </c>
      <c r="J497" s="534">
        <v>0</v>
      </c>
      <c r="K497" s="534">
        <v>8</v>
      </c>
      <c r="M497" s="617">
        <f t="shared" si="16"/>
        <v>0</v>
      </c>
      <c r="N497" s="617">
        <f t="shared" si="17"/>
        <v>107</v>
      </c>
      <c r="O497" s="617"/>
    </row>
    <row r="498" spans="2:15" ht="15" x14ac:dyDescent="0.25">
      <c r="B498" s="529">
        <v>493001</v>
      </c>
      <c r="C498" s="529">
        <v>494</v>
      </c>
      <c r="E498" s="534">
        <v>1</v>
      </c>
      <c r="F498" s="534">
        <v>494</v>
      </c>
      <c r="G498" s="534">
        <v>99</v>
      </c>
      <c r="I498" s="534">
        <v>0</v>
      </c>
      <c r="J498" s="534">
        <v>0</v>
      </c>
      <c r="K498" s="534">
        <v>8</v>
      </c>
      <c r="M498" s="617">
        <f t="shared" si="16"/>
        <v>1</v>
      </c>
      <c r="N498" s="617">
        <f t="shared" si="17"/>
        <v>107</v>
      </c>
      <c r="O498" s="617"/>
    </row>
    <row r="499" spans="2:15" ht="15" x14ac:dyDescent="0.25">
      <c r="B499" s="529">
        <v>494001</v>
      </c>
      <c r="C499" s="529">
        <v>495</v>
      </c>
      <c r="E499" s="534">
        <v>0</v>
      </c>
      <c r="F499" s="534">
        <v>0</v>
      </c>
      <c r="G499" s="534">
        <v>98</v>
      </c>
      <c r="I499" s="534">
        <v>0</v>
      </c>
      <c r="J499" s="534">
        <v>0</v>
      </c>
      <c r="K499" s="534">
        <v>8</v>
      </c>
      <c r="M499" s="617">
        <f t="shared" si="16"/>
        <v>0</v>
      </c>
      <c r="N499" s="617">
        <f t="shared" si="17"/>
        <v>106</v>
      </c>
      <c r="O499" s="617"/>
    </row>
    <row r="500" spans="2:15" ht="15" x14ac:dyDescent="0.25">
      <c r="B500" s="529">
        <v>495001</v>
      </c>
      <c r="C500" s="529">
        <v>496</v>
      </c>
      <c r="E500" s="534">
        <v>0</v>
      </c>
      <c r="F500" s="534">
        <v>0</v>
      </c>
      <c r="G500" s="534">
        <v>98</v>
      </c>
      <c r="I500" s="534">
        <v>0</v>
      </c>
      <c r="J500" s="534">
        <v>0</v>
      </c>
      <c r="K500" s="534">
        <v>8</v>
      </c>
      <c r="M500" s="617">
        <f t="shared" si="16"/>
        <v>0</v>
      </c>
      <c r="N500" s="617">
        <f t="shared" si="17"/>
        <v>106</v>
      </c>
      <c r="O500" s="617"/>
    </row>
    <row r="501" spans="2:15" ht="15" x14ac:dyDescent="0.25">
      <c r="B501" s="529">
        <v>496001</v>
      </c>
      <c r="C501" s="529">
        <v>497</v>
      </c>
      <c r="E501" s="534">
        <v>0</v>
      </c>
      <c r="F501" s="534">
        <v>0</v>
      </c>
      <c r="G501" s="534">
        <v>98</v>
      </c>
      <c r="I501" s="534">
        <v>0</v>
      </c>
      <c r="J501" s="534">
        <v>0</v>
      </c>
      <c r="K501" s="534">
        <v>8</v>
      </c>
      <c r="M501" s="617">
        <f t="shared" si="16"/>
        <v>0</v>
      </c>
      <c r="N501" s="617">
        <f t="shared" si="17"/>
        <v>106</v>
      </c>
      <c r="O501" s="617"/>
    </row>
    <row r="502" spans="2:15" ht="15" x14ac:dyDescent="0.25">
      <c r="B502" s="529">
        <v>497001</v>
      </c>
      <c r="C502" s="529">
        <v>498</v>
      </c>
      <c r="E502" s="534">
        <v>0</v>
      </c>
      <c r="F502" s="534">
        <v>0</v>
      </c>
      <c r="G502" s="534">
        <v>98</v>
      </c>
      <c r="I502" s="534">
        <v>0</v>
      </c>
      <c r="J502" s="534">
        <v>0</v>
      </c>
      <c r="K502" s="534">
        <v>8</v>
      </c>
      <c r="M502" s="617">
        <f t="shared" si="16"/>
        <v>0</v>
      </c>
      <c r="N502" s="617">
        <f t="shared" si="17"/>
        <v>106</v>
      </c>
      <c r="O502" s="617"/>
    </row>
    <row r="503" spans="2:15" ht="15" x14ac:dyDescent="0.25">
      <c r="B503" s="529">
        <v>498001</v>
      </c>
      <c r="C503" s="529">
        <v>499</v>
      </c>
      <c r="E503" s="534">
        <v>0</v>
      </c>
      <c r="F503" s="534">
        <v>0</v>
      </c>
      <c r="G503" s="534">
        <v>98</v>
      </c>
      <c r="I503" s="534">
        <v>1</v>
      </c>
      <c r="J503" s="534">
        <v>499</v>
      </c>
      <c r="K503" s="534">
        <v>8</v>
      </c>
      <c r="M503" s="617">
        <f t="shared" si="16"/>
        <v>1</v>
      </c>
      <c r="N503" s="617">
        <f t="shared" si="17"/>
        <v>106</v>
      </c>
      <c r="O503" s="617"/>
    </row>
    <row r="504" spans="2:15" ht="15" x14ac:dyDescent="0.25">
      <c r="B504" s="529">
        <v>499001</v>
      </c>
      <c r="C504" s="529">
        <v>500</v>
      </c>
      <c r="E504" s="534">
        <v>0</v>
      </c>
      <c r="F504" s="534">
        <v>0</v>
      </c>
      <c r="G504" s="534">
        <v>98</v>
      </c>
      <c r="I504" s="534">
        <v>0</v>
      </c>
      <c r="J504" s="534">
        <v>0</v>
      </c>
      <c r="K504" s="534">
        <v>7</v>
      </c>
      <c r="M504" s="617">
        <f t="shared" si="16"/>
        <v>0</v>
      </c>
      <c r="N504" s="617">
        <f t="shared" si="17"/>
        <v>105</v>
      </c>
      <c r="O504" s="617"/>
    </row>
    <row r="505" spans="2:15" ht="15" x14ac:dyDescent="0.25">
      <c r="B505" s="529">
        <v>500001</v>
      </c>
      <c r="C505" s="529">
        <v>501</v>
      </c>
      <c r="E505" s="534">
        <v>0</v>
      </c>
      <c r="F505" s="534">
        <v>0</v>
      </c>
      <c r="G505" s="534">
        <v>98</v>
      </c>
      <c r="I505" s="534">
        <v>0</v>
      </c>
      <c r="J505" s="534">
        <v>0</v>
      </c>
      <c r="K505" s="534">
        <v>7</v>
      </c>
      <c r="M505" s="617">
        <f t="shared" si="16"/>
        <v>0</v>
      </c>
      <c r="N505" s="617">
        <f t="shared" si="17"/>
        <v>105</v>
      </c>
      <c r="O505" s="617"/>
    </row>
    <row r="506" spans="2:15" ht="15" x14ac:dyDescent="0.25">
      <c r="B506" s="529">
        <v>501001</v>
      </c>
      <c r="C506" s="529">
        <v>502</v>
      </c>
      <c r="E506" s="534">
        <v>0</v>
      </c>
      <c r="F506" s="534">
        <v>0</v>
      </c>
      <c r="G506" s="534">
        <v>98</v>
      </c>
      <c r="I506" s="534">
        <v>0</v>
      </c>
      <c r="J506" s="534">
        <v>0</v>
      </c>
      <c r="K506" s="534">
        <v>7</v>
      </c>
      <c r="M506" s="617">
        <f t="shared" si="16"/>
        <v>0</v>
      </c>
      <c r="N506" s="617">
        <f t="shared" si="17"/>
        <v>105</v>
      </c>
      <c r="O506" s="617"/>
    </row>
    <row r="507" spans="2:15" ht="15" x14ac:dyDescent="0.25">
      <c r="B507" s="529">
        <v>502001</v>
      </c>
      <c r="C507" s="529">
        <v>503</v>
      </c>
      <c r="E507" s="534">
        <v>1</v>
      </c>
      <c r="F507" s="534">
        <v>503</v>
      </c>
      <c r="G507" s="534">
        <v>98</v>
      </c>
      <c r="I507" s="534">
        <v>0</v>
      </c>
      <c r="J507" s="534">
        <v>0</v>
      </c>
      <c r="K507" s="534">
        <v>7</v>
      </c>
      <c r="M507" s="617">
        <f t="shared" si="16"/>
        <v>1</v>
      </c>
      <c r="N507" s="617">
        <f t="shared" si="17"/>
        <v>105</v>
      </c>
      <c r="O507" s="617"/>
    </row>
    <row r="508" spans="2:15" ht="15" x14ac:dyDescent="0.25">
      <c r="B508" s="529">
        <v>503001</v>
      </c>
      <c r="C508" s="529">
        <v>504</v>
      </c>
      <c r="E508" s="534">
        <v>0</v>
      </c>
      <c r="F508" s="534">
        <v>0</v>
      </c>
      <c r="G508" s="534">
        <v>97</v>
      </c>
      <c r="I508" s="534">
        <v>0</v>
      </c>
      <c r="J508" s="534">
        <v>0</v>
      </c>
      <c r="K508" s="534">
        <v>7</v>
      </c>
      <c r="M508" s="617">
        <f t="shared" si="16"/>
        <v>0</v>
      </c>
      <c r="N508" s="617">
        <f t="shared" si="17"/>
        <v>104</v>
      </c>
      <c r="O508" s="617"/>
    </row>
    <row r="509" spans="2:15" ht="15" x14ac:dyDescent="0.25">
      <c r="B509" s="529">
        <v>504001</v>
      </c>
      <c r="C509" s="529">
        <v>505</v>
      </c>
      <c r="E509" s="534">
        <v>0</v>
      </c>
      <c r="F509" s="534">
        <v>0</v>
      </c>
      <c r="G509" s="534">
        <v>97</v>
      </c>
      <c r="I509" s="534">
        <v>0</v>
      </c>
      <c r="J509" s="534">
        <v>0</v>
      </c>
      <c r="K509" s="534">
        <v>7</v>
      </c>
      <c r="M509" s="617">
        <f t="shared" si="16"/>
        <v>0</v>
      </c>
      <c r="N509" s="617">
        <f t="shared" si="17"/>
        <v>104</v>
      </c>
      <c r="O509" s="617"/>
    </row>
    <row r="510" spans="2:15" ht="15" x14ac:dyDescent="0.25">
      <c r="B510" s="529">
        <v>505001</v>
      </c>
      <c r="C510" s="529">
        <v>506</v>
      </c>
      <c r="E510" s="534">
        <v>0</v>
      </c>
      <c r="F510" s="534">
        <v>0</v>
      </c>
      <c r="G510" s="534">
        <v>97</v>
      </c>
      <c r="I510" s="534">
        <v>0</v>
      </c>
      <c r="J510" s="534">
        <v>0</v>
      </c>
      <c r="K510" s="534">
        <v>7</v>
      </c>
      <c r="M510" s="617">
        <f t="shared" si="16"/>
        <v>0</v>
      </c>
      <c r="N510" s="617">
        <f t="shared" si="17"/>
        <v>104</v>
      </c>
      <c r="O510" s="617"/>
    </row>
    <row r="511" spans="2:15" ht="15" x14ac:dyDescent="0.25">
      <c r="B511" s="529">
        <v>506001</v>
      </c>
      <c r="C511" s="529">
        <v>507</v>
      </c>
      <c r="E511" s="534">
        <v>0</v>
      </c>
      <c r="F511" s="534">
        <v>0</v>
      </c>
      <c r="G511" s="534">
        <v>97</v>
      </c>
      <c r="I511" s="534">
        <v>0</v>
      </c>
      <c r="J511" s="534">
        <v>0</v>
      </c>
      <c r="K511" s="534">
        <v>7</v>
      </c>
      <c r="M511" s="617">
        <f t="shared" si="16"/>
        <v>0</v>
      </c>
      <c r="N511" s="617">
        <f t="shared" si="17"/>
        <v>104</v>
      </c>
      <c r="O511" s="617"/>
    </row>
    <row r="512" spans="2:15" ht="15" x14ac:dyDescent="0.25">
      <c r="B512" s="529">
        <v>507001</v>
      </c>
      <c r="C512" s="529">
        <v>508</v>
      </c>
      <c r="E512" s="534">
        <v>0</v>
      </c>
      <c r="F512" s="534">
        <v>0</v>
      </c>
      <c r="G512" s="534">
        <v>97</v>
      </c>
      <c r="I512" s="534">
        <v>0</v>
      </c>
      <c r="J512" s="534">
        <v>0</v>
      </c>
      <c r="K512" s="534">
        <v>7</v>
      </c>
      <c r="M512" s="617">
        <f t="shared" si="16"/>
        <v>0</v>
      </c>
      <c r="N512" s="617">
        <f t="shared" si="17"/>
        <v>104</v>
      </c>
      <c r="O512" s="617"/>
    </row>
    <row r="513" spans="2:15" ht="15" x14ac:dyDescent="0.25">
      <c r="B513" s="529">
        <v>508001</v>
      </c>
      <c r="C513" s="529">
        <v>509</v>
      </c>
      <c r="E513" s="534">
        <v>1</v>
      </c>
      <c r="F513" s="534">
        <v>509</v>
      </c>
      <c r="G513" s="534">
        <v>97</v>
      </c>
      <c r="I513" s="534">
        <v>0</v>
      </c>
      <c r="J513" s="534">
        <v>0</v>
      </c>
      <c r="K513" s="534">
        <v>7</v>
      </c>
      <c r="M513" s="617">
        <f t="shared" si="16"/>
        <v>1</v>
      </c>
      <c r="N513" s="617">
        <f t="shared" si="17"/>
        <v>104</v>
      </c>
      <c r="O513" s="617"/>
    </row>
    <row r="514" spans="2:15" ht="15" x14ac:dyDescent="0.25">
      <c r="B514" s="529">
        <v>509001</v>
      </c>
      <c r="C514" s="529">
        <v>510</v>
      </c>
      <c r="E514" s="534">
        <v>1</v>
      </c>
      <c r="F514" s="534">
        <v>510</v>
      </c>
      <c r="G514" s="534">
        <v>96</v>
      </c>
      <c r="I514" s="534">
        <v>0</v>
      </c>
      <c r="J514" s="534">
        <v>0</v>
      </c>
      <c r="K514" s="534">
        <v>7</v>
      </c>
      <c r="M514" s="617">
        <f t="shared" si="16"/>
        <v>1</v>
      </c>
      <c r="N514" s="617">
        <f t="shared" si="17"/>
        <v>103</v>
      </c>
      <c r="O514" s="617"/>
    </row>
    <row r="515" spans="2:15" ht="15" x14ac:dyDescent="0.25">
      <c r="B515" s="529">
        <v>510001</v>
      </c>
      <c r="C515" s="529">
        <v>511</v>
      </c>
      <c r="E515" s="534">
        <v>0</v>
      </c>
      <c r="F515" s="534">
        <v>0</v>
      </c>
      <c r="G515" s="534">
        <v>95</v>
      </c>
      <c r="I515" s="534">
        <v>0</v>
      </c>
      <c r="J515" s="534">
        <v>0</v>
      </c>
      <c r="K515" s="534">
        <v>7</v>
      </c>
      <c r="M515" s="617">
        <f t="shared" si="16"/>
        <v>0</v>
      </c>
      <c r="N515" s="617">
        <f t="shared" si="17"/>
        <v>102</v>
      </c>
      <c r="O515" s="617"/>
    </row>
    <row r="516" spans="2:15" ht="15" x14ac:dyDescent="0.25">
      <c r="B516" s="529">
        <v>511001</v>
      </c>
      <c r="C516" s="529">
        <v>512</v>
      </c>
      <c r="E516" s="534">
        <v>1</v>
      </c>
      <c r="F516" s="534">
        <v>512</v>
      </c>
      <c r="G516" s="534">
        <v>95</v>
      </c>
      <c r="I516" s="534">
        <v>0</v>
      </c>
      <c r="J516" s="534">
        <v>0</v>
      </c>
      <c r="K516" s="534">
        <v>7</v>
      </c>
      <c r="M516" s="617">
        <f t="shared" si="16"/>
        <v>1</v>
      </c>
      <c r="N516" s="617">
        <f t="shared" si="17"/>
        <v>102</v>
      </c>
      <c r="O516" s="617"/>
    </row>
    <row r="517" spans="2:15" ht="15" x14ac:dyDescent="0.25">
      <c r="B517" s="529">
        <v>512001</v>
      </c>
      <c r="C517" s="529">
        <v>513</v>
      </c>
      <c r="E517" s="534">
        <v>1</v>
      </c>
      <c r="F517" s="534">
        <v>513</v>
      </c>
      <c r="G517" s="534">
        <v>94</v>
      </c>
      <c r="I517" s="534">
        <v>1</v>
      </c>
      <c r="J517" s="534">
        <v>513</v>
      </c>
      <c r="K517" s="534">
        <v>7</v>
      </c>
      <c r="M517" s="617">
        <f t="shared" ref="M517:M580" si="18">I517+E517</f>
        <v>2</v>
      </c>
      <c r="N517" s="617">
        <f t="shared" ref="N517:N580" si="19">K517+G517</f>
        <v>101</v>
      </c>
      <c r="O517" s="617"/>
    </row>
    <row r="518" spans="2:15" ht="15" x14ac:dyDescent="0.25">
      <c r="B518" s="529">
        <v>513001</v>
      </c>
      <c r="C518" s="529">
        <v>514</v>
      </c>
      <c r="E518" s="534">
        <v>1</v>
      </c>
      <c r="F518" s="534">
        <v>514</v>
      </c>
      <c r="G518" s="534">
        <v>93</v>
      </c>
      <c r="I518" s="534">
        <v>0</v>
      </c>
      <c r="J518" s="534">
        <v>0</v>
      </c>
      <c r="K518" s="534">
        <v>6</v>
      </c>
      <c r="M518" s="617">
        <f t="shared" si="18"/>
        <v>1</v>
      </c>
      <c r="N518" s="617">
        <f t="shared" si="19"/>
        <v>99</v>
      </c>
      <c r="O518" s="617"/>
    </row>
    <row r="519" spans="2:15" ht="15" x14ac:dyDescent="0.25">
      <c r="B519" s="529">
        <v>514001</v>
      </c>
      <c r="C519" s="529">
        <v>515</v>
      </c>
      <c r="E519" s="534">
        <v>0</v>
      </c>
      <c r="F519" s="534">
        <v>0</v>
      </c>
      <c r="G519" s="534">
        <v>92</v>
      </c>
      <c r="I519" s="534">
        <v>0</v>
      </c>
      <c r="J519" s="534">
        <v>0</v>
      </c>
      <c r="K519" s="534">
        <v>6</v>
      </c>
      <c r="M519" s="617">
        <f t="shared" si="18"/>
        <v>0</v>
      </c>
      <c r="N519" s="617">
        <f t="shared" si="19"/>
        <v>98</v>
      </c>
      <c r="O519" s="617"/>
    </row>
    <row r="520" spans="2:15" ht="15" x14ac:dyDescent="0.25">
      <c r="B520" s="529">
        <v>515001</v>
      </c>
      <c r="C520" s="529">
        <v>516</v>
      </c>
      <c r="E520" s="534">
        <v>0</v>
      </c>
      <c r="F520" s="534">
        <v>0</v>
      </c>
      <c r="G520" s="534">
        <v>92</v>
      </c>
      <c r="I520" s="534">
        <v>0</v>
      </c>
      <c r="J520" s="534">
        <v>0</v>
      </c>
      <c r="K520" s="534">
        <v>6</v>
      </c>
      <c r="M520" s="617">
        <f t="shared" si="18"/>
        <v>0</v>
      </c>
      <c r="N520" s="617">
        <f t="shared" si="19"/>
        <v>98</v>
      </c>
      <c r="O520" s="617"/>
    </row>
    <row r="521" spans="2:15" ht="15" x14ac:dyDescent="0.25">
      <c r="B521" s="529">
        <v>516001</v>
      </c>
      <c r="C521" s="529">
        <v>517</v>
      </c>
      <c r="E521" s="534">
        <v>2</v>
      </c>
      <c r="F521" s="534">
        <v>1034</v>
      </c>
      <c r="G521" s="534">
        <v>92</v>
      </c>
      <c r="I521" s="534">
        <v>0</v>
      </c>
      <c r="J521" s="534">
        <v>0</v>
      </c>
      <c r="K521" s="534">
        <v>6</v>
      </c>
      <c r="M521" s="617">
        <f t="shared" si="18"/>
        <v>2</v>
      </c>
      <c r="N521" s="617">
        <f t="shared" si="19"/>
        <v>98</v>
      </c>
      <c r="O521" s="617"/>
    </row>
    <row r="522" spans="2:15" ht="15" x14ac:dyDescent="0.25">
      <c r="B522" s="529">
        <v>517001</v>
      </c>
      <c r="C522" s="529">
        <v>518</v>
      </c>
      <c r="E522" s="534">
        <v>0</v>
      </c>
      <c r="F522" s="534">
        <v>0</v>
      </c>
      <c r="G522" s="534">
        <v>90</v>
      </c>
      <c r="I522" s="534">
        <v>0</v>
      </c>
      <c r="J522" s="534">
        <v>0</v>
      </c>
      <c r="K522" s="534">
        <v>6</v>
      </c>
      <c r="M522" s="617">
        <f t="shared" si="18"/>
        <v>0</v>
      </c>
      <c r="N522" s="617">
        <f t="shared" si="19"/>
        <v>96</v>
      </c>
      <c r="O522" s="617"/>
    </row>
    <row r="523" spans="2:15" ht="15" x14ac:dyDescent="0.25">
      <c r="B523" s="529">
        <v>518001</v>
      </c>
      <c r="C523" s="529">
        <v>519</v>
      </c>
      <c r="E523" s="534">
        <v>0</v>
      </c>
      <c r="F523" s="534">
        <v>0</v>
      </c>
      <c r="G523" s="534">
        <v>90</v>
      </c>
      <c r="I523" s="534">
        <v>0</v>
      </c>
      <c r="J523" s="534">
        <v>0</v>
      </c>
      <c r="K523" s="534">
        <v>6</v>
      </c>
      <c r="M523" s="617">
        <f t="shared" si="18"/>
        <v>0</v>
      </c>
      <c r="N523" s="617">
        <f t="shared" si="19"/>
        <v>96</v>
      </c>
      <c r="O523" s="617"/>
    </row>
    <row r="524" spans="2:15" ht="15" x14ac:dyDescent="0.25">
      <c r="B524" s="529">
        <v>519001</v>
      </c>
      <c r="C524" s="529">
        <v>520</v>
      </c>
      <c r="E524" s="534">
        <v>0</v>
      </c>
      <c r="F524" s="534">
        <v>0</v>
      </c>
      <c r="G524" s="534">
        <v>90</v>
      </c>
      <c r="I524" s="534">
        <v>1</v>
      </c>
      <c r="J524" s="534">
        <v>520</v>
      </c>
      <c r="K524" s="534">
        <v>6</v>
      </c>
      <c r="M524" s="617">
        <f t="shared" si="18"/>
        <v>1</v>
      </c>
      <c r="N524" s="617">
        <f t="shared" si="19"/>
        <v>96</v>
      </c>
      <c r="O524" s="617"/>
    </row>
    <row r="525" spans="2:15" ht="15" x14ac:dyDescent="0.25">
      <c r="B525" s="529">
        <v>520001</v>
      </c>
      <c r="C525" s="529">
        <v>521</v>
      </c>
      <c r="E525" s="534">
        <v>1</v>
      </c>
      <c r="F525" s="534">
        <v>521</v>
      </c>
      <c r="G525" s="534">
        <v>90</v>
      </c>
      <c r="I525" s="534">
        <v>0</v>
      </c>
      <c r="J525" s="534">
        <v>0</v>
      </c>
      <c r="K525" s="534">
        <v>5</v>
      </c>
      <c r="M525" s="617">
        <f t="shared" si="18"/>
        <v>1</v>
      </c>
      <c r="N525" s="617">
        <f t="shared" si="19"/>
        <v>95</v>
      </c>
      <c r="O525" s="617"/>
    </row>
    <row r="526" spans="2:15" ht="15" x14ac:dyDescent="0.25">
      <c r="B526" s="529">
        <v>521001</v>
      </c>
      <c r="C526" s="529">
        <v>522</v>
      </c>
      <c r="E526" s="534">
        <v>0</v>
      </c>
      <c r="F526" s="534">
        <v>0</v>
      </c>
      <c r="G526" s="534">
        <v>89</v>
      </c>
      <c r="I526" s="534">
        <v>0</v>
      </c>
      <c r="J526" s="534">
        <v>0</v>
      </c>
      <c r="K526" s="534">
        <v>5</v>
      </c>
      <c r="M526" s="617">
        <f t="shared" si="18"/>
        <v>0</v>
      </c>
      <c r="N526" s="617">
        <f t="shared" si="19"/>
        <v>94</v>
      </c>
      <c r="O526" s="617"/>
    </row>
    <row r="527" spans="2:15" ht="15" x14ac:dyDescent="0.25">
      <c r="B527" s="529">
        <v>522001</v>
      </c>
      <c r="C527" s="529">
        <v>523</v>
      </c>
      <c r="E527" s="534">
        <v>0</v>
      </c>
      <c r="F527" s="534">
        <v>0</v>
      </c>
      <c r="G527" s="534">
        <v>89</v>
      </c>
      <c r="I527" s="534">
        <v>0</v>
      </c>
      <c r="J527" s="534">
        <v>0</v>
      </c>
      <c r="K527" s="534">
        <v>5</v>
      </c>
      <c r="M527" s="617">
        <f t="shared" si="18"/>
        <v>0</v>
      </c>
      <c r="N527" s="617">
        <f t="shared" si="19"/>
        <v>94</v>
      </c>
      <c r="O527" s="617"/>
    </row>
    <row r="528" spans="2:15" ht="15" x14ac:dyDescent="0.25">
      <c r="B528" s="529">
        <v>523001</v>
      </c>
      <c r="C528" s="529">
        <v>524</v>
      </c>
      <c r="E528" s="534">
        <v>0</v>
      </c>
      <c r="F528" s="534">
        <v>0</v>
      </c>
      <c r="G528" s="534">
        <v>89</v>
      </c>
      <c r="I528" s="534">
        <v>0</v>
      </c>
      <c r="J528" s="534">
        <v>0</v>
      </c>
      <c r="K528" s="534">
        <v>5</v>
      </c>
      <c r="M528" s="617">
        <f t="shared" si="18"/>
        <v>0</v>
      </c>
      <c r="N528" s="617">
        <f t="shared" si="19"/>
        <v>94</v>
      </c>
      <c r="O528" s="617"/>
    </row>
    <row r="529" spans="2:15" ht="15" x14ac:dyDescent="0.25">
      <c r="B529" s="529">
        <v>524001</v>
      </c>
      <c r="C529" s="529">
        <v>525</v>
      </c>
      <c r="E529" s="534">
        <v>0</v>
      </c>
      <c r="F529" s="534">
        <v>0</v>
      </c>
      <c r="G529" s="534">
        <v>89</v>
      </c>
      <c r="I529" s="534">
        <v>0</v>
      </c>
      <c r="J529" s="534">
        <v>0</v>
      </c>
      <c r="K529" s="534">
        <v>5</v>
      </c>
      <c r="M529" s="617">
        <f t="shared" si="18"/>
        <v>0</v>
      </c>
      <c r="N529" s="617">
        <f t="shared" si="19"/>
        <v>94</v>
      </c>
      <c r="O529" s="617"/>
    </row>
    <row r="530" spans="2:15" ht="15" x14ac:dyDescent="0.25">
      <c r="B530" s="529">
        <v>525001</v>
      </c>
      <c r="C530" s="529">
        <v>526</v>
      </c>
      <c r="E530" s="534">
        <v>0</v>
      </c>
      <c r="F530" s="534">
        <v>0</v>
      </c>
      <c r="G530" s="534">
        <v>89</v>
      </c>
      <c r="I530" s="534">
        <v>0</v>
      </c>
      <c r="J530" s="534">
        <v>0</v>
      </c>
      <c r="K530" s="534">
        <v>5</v>
      </c>
      <c r="M530" s="617">
        <f t="shared" si="18"/>
        <v>0</v>
      </c>
      <c r="N530" s="617">
        <f t="shared" si="19"/>
        <v>94</v>
      </c>
      <c r="O530" s="617"/>
    </row>
    <row r="531" spans="2:15" ht="15" x14ac:dyDescent="0.25">
      <c r="B531" s="529">
        <v>526001</v>
      </c>
      <c r="C531" s="529">
        <v>527</v>
      </c>
      <c r="E531" s="534">
        <v>0</v>
      </c>
      <c r="F531" s="534">
        <v>0</v>
      </c>
      <c r="G531" s="534">
        <v>89</v>
      </c>
      <c r="I531" s="534">
        <v>0</v>
      </c>
      <c r="J531" s="534">
        <v>0</v>
      </c>
      <c r="K531" s="534">
        <v>5</v>
      </c>
      <c r="M531" s="617">
        <f t="shared" si="18"/>
        <v>0</v>
      </c>
      <c r="N531" s="617">
        <f t="shared" si="19"/>
        <v>94</v>
      </c>
      <c r="O531" s="617"/>
    </row>
    <row r="532" spans="2:15" ht="15" x14ac:dyDescent="0.25">
      <c r="B532" s="529">
        <v>527001</v>
      </c>
      <c r="C532" s="529">
        <v>528</v>
      </c>
      <c r="E532" s="534">
        <v>1</v>
      </c>
      <c r="F532" s="534">
        <v>528</v>
      </c>
      <c r="G532" s="534">
        <v>89</v>
      </c>
      <c r="I532" s="534">
        <v>0</v>
      </c>
      <c r="J532" s="534">
        <v>0</v>
      </c>
      <c r="K532" s="534">
        <v>5</v>
      </c>
      <c r="M532" s="617">
        <f t="shared" si="18"/>
        <v>1</v>
      </c>
      <c r="N532" s="617">
        <f t="shared" si="19"/>
        <v>94</v>
      </c>
      <c r="O532" s="617"/>
    </row>
    <row r="533" spans="2:15" ht="15" x14ac:dyDescent="0.25">
      <c r="B533" s="529">
        <v>528001</v>
      </c>
      <c r="C533" s="529">
        <v>529</v>
      </c>
      <c r="E533" s="534">
        <v>1</v>
      </c>
      <c r="F533" s="534">
        <v>529</v>
      </c>
      <c r="G533" s="534">
        <v>88</v>
      </c>
      <c r="I533" s="534">
        <v>0</v>
      </c>
      <c r="J533" s="534">
        <v>0</v>
      </c>
      <c r="K533" s="534">
        <v>5</v>
      </c>
      <c r="M533" s="617">
        <f t="shared" si="18"/>
        <v>1</v>
      </c>
      <c r="N533" s="617">
        <f t="shared" si="19"/>
        <v>93</v>
      </c>
      <c r="O533" s="617"/>
    </row>
    <row r="534" spans="2:15" ht="15" x14ac:dyDescent="0.25">
      <c r="B534" s="529">
        <v>529001</v>
      </c>
      <c r="C534" s="529">
        <v>530</v>
      </c>
      <c r="E534" s="534">
        <v>1</v>
      </c>
      <c r="F534" s="534">
        <v>530</v>
      </c>
      <c r="G534" s="534">
        <v>87</v>
      </c>
      <c r="I534" s="534">
        <v>0</v>
      </c>
      <c r="J534" s="534">
        <v>0</v>
      </c>
      <c r="K534" s="534">
        <v>5</v>
      </c>
      <c r="M534" s="617">
        <f t="shared" si="18"/>
        <v>1</v>
      </c>
      <c r="N534" s="617">
        <f t="shared" si="19"/>
        <v>92</v>
      </c>
      <c r="O534" s="617"/>
    </row>
    <row r="535" spans="2:15" ht="15" x14ac:dyDescent="0.25">
      <c r="B535" s="529">
        <v>530001</v>
      </c>
      <c r="C535" s="529">
        <v>531</v>
      </c>
      <c r="E535" s="534">
        <v>0</v>
      </c>
      <c r="F535" s="534">
        <v>0</v>
      </c>
      <c r="G535" s="534">
        <v>86</v>
      </c>
      <c r="I535" s="534">
        <v>0</v>
      </c>
      <c r="J535" s="534">
        <v>0</v>
      </c>
      <c r="K535" s="534">
        <v>5</v>
      </c>
      <c r="M535" s="617">
        <f t="shared" si="18"/>
        <v>0</v>
      </c>
      <c r="N535" s="617">
        <f t="shared" si="19"/>
        <v>91</v>
      </c>
      <c r="O535" s="617"/>
    </row>
    <row r="536" spans="2:15" ht="15" x14ac:dyDescent="0.25">
      <c r="B536" s="529">
        <v>531001</v>
      </c>
      <c r="C536" s="529">
        <v>532</v>
      </c>
      <c r="E536" s="534">
        <v>1</v>
      </c>
      <c r="F536" s="534">
        <v>532</v>
      </c>
      <c r="G536" s="534">
        <v>86</v>
      </c>
      <c r="I536" s="534">
        <v>0</v>
      </c>
      <c r="J536" s="534">
        <v>0</v>
      </c>
      <c r="K536" s="534">
        <v>5</v>
      </c>
      <c r="M536" s="617">
        <f t="shared" si="18"/>
        <v>1</v>
      </c>
      <c r="N536" s="617">
        <f t="shared" si="19"/>
        <v>91</v>
      </c>
      <c r="O536" s="617"/>
    </row>
    <row r="537" spans="2:15" ht="15" x14ac:dyDescent="0.25">
      <c r="B537" s="529">
        <v>532001</v>
      </c>
      <c r="C537" s="529">
        <v>533</v>
      </c>
      <c r="E537" s="534">
        <v>2</v>
      </c>
      <c r="F537" s="534">
        <v>1066</v>
      </c>
      <c r="G537" s="534">
        <v>85</v>
      </c>
      <c r="I537" s="534">
        <v>0</v>
      </c>
      <c r="J537" s="534">
        <v>0</v>
      </c>
      <c r="K537" s="534">
        <v>5</v>
      </c>
      <c r="M537" s="617">
        <f t="shared" si="18"/>
        <v>2</v>
      </c>
      <c r="N537" s="617">
        <f t="shared" si="19"/>
        <v>90</v>
      </c>
      <c r="O537" s="617"/>
    </row>
    <row r="538" spans="2:15" ht="15" x14ac:dyDescent="0.25">
      <c r="B538" s="529">
        <v>533001</v>
      </c>
      <c r="C538" s="529">
        <v>534</v>
      </c>
      <c r="E538" s="534">
        <v>0</v>
      </c>
      <c r="F538" s="534">
        <v>0</v>
      </c>
      <c r="G538" s="534">
        <v>83</v>
      </c>
      <c r="I538" s="534">
        <v>0</v>
      </c>
      <c r="J538" s="534">
        <v>0</v>
      </c>
      <c r="K538" s="534">
        <v>5</v>
      </c>
      <c r="M538" s="617">
        <f t="shared" si="18"/>
        <v>0</v>
      </c>
      <c r="N538" s="617">
        <f t="shared" si="19"/>
        <v>88</v>
      </c>
      <c r="O538" s="617"/>
    </row>
    <row r="539" spans="2:15" ht="15" x14ac:dyDescent="0.25">
      <c r="B539" s="529">
        <v>534001</v>
      </c>
      <c r="C539" s="529">
        <v>535</v>
      </c>
      <c r="E539" s="534">
        <v>0</v>
      </c>
      <c r="F539" s="534">
        <v>0</v>
      </c>
      <c r="G539" s="534">
        <v>83</v>
      </c>
      <c r="I539" s="534">
        <v>0</v>
      </c>
      <c r="J539" s="534">
        <v>0</v>
      </c>
      <c r="K539" s="534">
        <v>5</v>
      </c>
      <c r="M539" s="617">
        <f t="shared" si="18"/>
        <v>0</v>
      </c>
      <c r="N539" s="617">
        <f t="shared" si="19"/>
        <v>88</v>
      </c>
      <c r="O539" s="617"/>
    </row>
    <row r="540" spans="2:15" ht="15" x14ac:dyDescent="0.25">
      <c r="B540" s="529">
        <v>535001</v>
      </c>
      <c r="C540" s="529">
        <v>536</v>
      </c>
      <c r="E540" s="534">
        <v>0</v>
      </c>
      <c r="F540" s="534">
        <v>0</v>
      </c>
      <c r="G540" s="534">
        <v>83</v>
      </c>
      <c r="I540" s="534">
        <v>0</v>
      </c>
      <c r="J540" s="534">
        <v>0</v>
      </c>
      <c r="K540" s="534">
        <v>5</v>
      </c>
      <c r="M540" s="617">
        <f t="shared" si="18"/>
        <v>0</v>
      </c>
      <c r="N540" s="617">
        <f t="shared" si="19"/>
        <v>88</v>
      </c>
      <c r="O540" s="617"/>
    </row>
    <row r="541" spans="2:15" ht="15" x14ac:dyDescent="0.25">
      <c r="B541" s="529">
        <v>536001</v>
      </c>
      <c r="C541" s="529">
        <v>537</v>
      </c>
      <c r="E541" s="534">
        <v>0</v>
      </c>
      <c r="F541" s="534">
        <v>0</v>
      </c>
      <c r="G541" s="534">
        <v>83</v>
      </c>
      <c r="I541" s="534">
        <v>0</v>
      </c>
      <c r="J541" s="534">
        <v>0</v>
      </c>
      <c r="K541" s="534">
        <v>5</v>
      </c>
      <c r="M541" s="617">
        <f t="shared" si="18"/>
        <v>0</v>
      </c>
      <c r="N541" s="617">
        <f t="shared" si="19"/>
        <v>88</v>
      </c>
      <c r="O541" s="617"/>
    </row>
    <row r="542" spans="2:15" ht="15" x14ac:dyDescent="0.25">
      <c r="B542" s="529">
        <v>537001</v>
      </c>
      <c r="C542" s="529">
        <v>538</v>
      </c>
      <c r="E542" s="534">
        <v>0</v>
      </c>
      <c r="F542" s="534">
        <v>0</v>
      </c>
      <c r="G542" s="534">
        <v>83</v>
      </c>
      <c r="I542" s="534">
        <v>0</v>
      </c>
      <c r="J542" s="534">
        <v>0</v>
      </c>
      <c r="K542" s="534">
        <v>5</v>
      </c>
      <c r="M542" s="617">
        <f t="shared" si="18"/>
        <v>0</v>
      </c>
      <c r="N542" s="617">
        <f t="shared" si="19"/>
        <v>88</v>
      </c>
      <c r="O542" s="617"/>
    </row>
    <row r="543" spans="2:15" ht="15" x14ac:dyDescent="0.25">
      <c r="B543" s="529">
        <v>538001</v>
      </c>
      <c r="C543" s="529">
        <v>539</v>
      </c>
      <c r="E543" s="534">
        <v>0</v>
      </c>
      <c r="F543" s="534">
        <v>0</v>
      </c>
      <c r="G543" s="534">
        <v>83</v>
      </c>
      <c r="I543" s="534">
        <v>0</v>
      </c>
      <c r="J543" s="534">
        <v>0</v>
      </c>
      <c r="K543" s="534">
        <v>5</v>
      </c>
      <c r="M543" s="617">
        <f t="shared" si="18"/>
        <v>0</v>
      </c>
      <c r="N543" s="617">
        <f t="shared" si="19"/>
        <v>88</v>
      </c>
      <c r="O543" s="617"/>
    </row>
    <row r="544" spans="2:15" ht="15" x14ac:dyDescent="0.25">
      <c r="B544" s="529">
        <v>539001</v>
      </c>
      <c r="C544" s="529">
        <v>540</v>
      </c>
      <c r="E544" s="534">
        <v>1</v>
      </c>
      <c r="F544" s="534">
        <v>540</v>
      </c>
      <c r="G544" s="534">
        <v>83</v>
      </c>
      <c r="I544" s="534">
        <v>0</v>
      </c>
      <c r="J544" s="534">
        <v>0</v>
      </c>
      <c r="K544" s="534">
        <v>5</v>
      </c>
      <c r="M544" s="617">
        <f t="shared" si="18"/>
        <v>1</v>
      </c>
      <c r="N544" s="617">
        <f t="shared" si="19"/>
        <v>88</v>
      </c>
      <c r="O544" s="617"/>
    </row>
    <row r="545" spans="2:15" ht="15" x14ac:dyDescent="0.25">
      <c r="B545" s="529">
        <v>540001</v>
      </c>
      <c r="C545" s="529">
        <v>541</v>
      </c>
      <c r="E545" s="534">
        <v>0</v>
      </c>
      <c r="F545" s="534">
        <v>0</v>
      </c>
      <c r="G545" s="534">
        <v>82</v>
      </c>
      <c r="I545" s="534">
        <v>0</v>
      </c>
      <c r="J545" s="534">
        <v>0</v>
      </c>
      <c r="K545" s="534">
        <v>5</v>
      </c>
      <c r="M545" s="617">
        <f t="shared" si="18"/>
        <v>0</v>
      </c>
      <c r="N545" s="617">
        <f t="shared" si="19"/>
        <v>87</v>
      </c>
      <c r="O545" s="617"/>
    </row>
    <row r="546" spans="2:15" ht="15" x14ac:dyDescent="0.25">
      <c r="B546" s="529">
        <v>541001</v>
      </c>
      <c r="C546" s="529">
        <v>542</v>
      </c>
      <c r="E546" s="534">
        <v>1</v>
      </c>
      <c r="F546" s="534">
        <v>542</v>
      </c>
      <c r="G546" s="534">
        <v>82</v>
      </c>
      <c r="I546" s="534">
        <v>0</v>
      </c>
      <c r="J546" s="534">
        <v>0</v>
      </c>
      <c r="K546" s="534">
        <v>5</v>
      </c>
      <c r="M546" s="617">
        <f t="shared" si="18"/>
        <v>1</v>
      </c>
      <c r="N546" s="617">
        <f t="shared" si="19"/>
        <v>87</v>
      </c>
      <c r="O546" s="617"/>
    </row>
    <row r="547" spans="2:15" ht="15" x14ac:dyDescent="0.25">
      <c r="B547" s="529">
        <v>542001</v>
      </c>
      <c r="C547" s="529">
        <v>543</v>
      </c>
      <c r="E547" s="534">
        <v>0</v>
      </c>
      <c r="F547" s="534">
        <v>0</v>
      </c>
      <c r="G547" s="534">
        <v>81</v>
      </c>
      <c r="I547" s="534">
        <v>0</v>
      </c>
      <c r="J547" s="534">
        <v>0</v>
      </c>
      <c r="K547" s="534">
        <v>5</v>
      </c>
      <c r="M547" s="617">
        <f t="shared" si="18"/>
        <v>0</v>
      </c>
      <c r="N547" s="617">
        <f t="shared" si="19"/>
        <v>86</v>
      </c>
      <c r="O547" s="617"/>
    </row>
    <row r="548" spans="2:15" ht="15" x14ac:dyDescent="0.25">
      <c r="B548" s="529">
        <v>543001</v>
      </c>
      <c r="C548" s="529">
        <v>544</v>
      </c>
      <c r="E548" s="534">
        <v>0</v>
      </c>
      <c r="F548" s="534">
        <v>0</v>
      </c>
      <c r="G548" s="534">
        <v>81</v>
      </c>
      <c r="I548" s="534">
        <v>0</v>
      </c>
      <c r="J548" s="534">
        <v>0</v>
      </c>
      <c r="K548" s="534">
        <v>5</v>
      </c>
      <c r="M548" s="617">
        <f t="shared" si="18"/>
        <v>0</v>
      </c>
      <c r="N548" s="617">
        <f t="shared" si="19"/>
        <v>86</v>
      </c>
      <c r="O548" s="617"/>
    </row>
    <row r="549" spans="2:15" ht="15" x14ac:dyDescent="0.25">
      <c r="B549" s="529">
        <v>544001</v>
      </c>
      <c r="C549" s="529">
        <v>545</v>
      </c>
      <c r="E549" s="534">
        <v>0</v>
      </c>
      <c r="F549" s="534">
        <v>0</v>
      </c>
      <c r="G549" s="534">
        <v>81</v>
      </c>
      <c r="I549" s="534">
        <v>0</v>
      </c>
      <c r="J549" s="534">
        <v>0</v>
      </c>
      <c r="K549" s="534">
        <v>5</v>
      </c>
      <c r="M549" s="617">
        <f t="shared" si="18"/>
        <v>0</v>
      </c>
      <c r="N549" s="617">
        <f t="shared" si="19"/>
        <v>86</v>
      </c>
      <c r="O549" s="617"/>
    </row>
    <row r="550" spans="2:15" ht="15" x14ac:dyDescent="0.25">
      <c r="B550" s="529">
        <v>545001</v>
      </c>
      <c r="C550" s="529">
        <v>546</v>
      </c>
      <c r="E550" s="534">
        <v>0</v>
      </c>
      <c r="F550" s="534">
        <v>0</v>
      </c>
      <c r="G550" s="534">
        <v>81</v>
      </c>
      <c r="I550" s="534">
        <v>0</v>
      </c>
      <c r="J550" s="534">
        <v>0</v>
      </c>
      <c r="K550" s="534">
        <v>5</v>
      </c>
      <c r="M550" s="617">
        <f t="shared" si="18"/>
        <v>0</v>
      </c>
      <c r="N550" s="617">
        <f t="shared" si="19"/>
        <v>86</v>
      </c>
      <c r="O550" s="617"/>
    </row>
    <row r="551" spans="2:15" ht="15" x14ac:dyDescent="0.25">
      <c r="B551" s="529">
        <v>546001</v>
      </c>
      <c r="C551" s="529">
        <v>547</v>
      </c>
      <c r="E551" s="534">
        <v>2</v>
      </c>
      <c r="F551" s="534">
        <v>1094</v>
      </c>
      <c r="G551" s="534">
        <v>81</v>
      </c>
      <c r="I551" s="534">
        <v>0</v>
      </c>
      <c r="J551" s="534">
        <v>0</v>
      </c>
      <c r="K551" s="534">
        <v>5</v>
      </c>
      <c r="M551" s="617">
        <f t="shared" si="18"/>
        <v>2</v>
      </c>
      <c r="N551" s="617">
        <f t="shared" si="19"/>
        <v>86</v>
      </c>
      <c r="O551" s="617"/>
    </row>
    <row r="552" spans="2:15" ht="15" x14ac:dyDescent="0.25">
      <c r="B552" s="529">
        <v>547001</v>
      </c>
      <c r="C552" s="529">
        <v>548</v>
      </c>
      <c r="E552" s="534">
        <v>0</v>
      </c>
      <c r="F552" s="534">
        <v>0</v>
      </c>
      <c r="G552" s="534">
        <v>79</v>
      </c>
      <c r="I552" s="534">
        <v>0</v>
      </c>
      <c r="J552" s="534">
        <v>0</v>
      </c>
      <c r="K552" s="534">
        <v>5</v>
      </c>
      <c r="M552" s="617">
        <f t="shared" si="18"/>
        <v>0</v>
      </c>
      <c r="N552" s="617">
        <f t="shared" si="19"/>
        <v>84</v>
      </c>
      <c r="O552" s="617"/>
    </row>
    <row r="553" spans="2:15" ht="15" x14ac:dyDescent="0.25">
      <c r="B553" s="529">
        <v>548001</v>
      </c>
      <c r="C553" s="529">
        <v>549</v>
      </c>
      <c r="E553" s="534">
        <v>0</v>
      </c>
      <c r="F553" s="534">
        <v>0</v>
      </c>
      <c r="G553" s="534">
        <v>79</v>
      </c>
      <c r="I553" s="534">
        <v>0</v>
      </c>
      <c r="J553" s="534">
        <v>0</v>
      </c>
      <c r="K553" s="534">
        <v>5</v>
      </c>
      <c r="M553" s="617">
        <f t="shared" si="18"/>
        <v>0</v>
      </c>
      <c r="N553" s="617">
        <f t="shared" si="19"/>
        <v>84</v>
      </c>
      <c r="O553" s="617"/>
    </row>
    <row r="554" spans="2:15" ht="15" x14ac:dyDescent="0.25">
      <c r="B554" s="529">
        <v>549001</v>
      </c>
      <c r="C554" s="529">
        <v>550</v>
      </c>
      <c r="E554" s="534">
        <v>0</v>
      </c>
      <c r="F554" s="534">
        <v>0</v>
      </c>
      <c r="G554" s="534">
        <v>79</v>
      </c>
      <c r="I554" s="534">
        <v>0</v>
      </c>
      <c r="J554" s="534">
        <v>0</v>
      </c>
      <c r="K554" s="534">
        <v>5</v>
      </c>
      <c r="M554" s="617">
        <f t="shared" si="18"/>
        <v>0</v>
      </c>
      <c r="N554" s="617">
        <f t="shared" si="19"/>
        <v>84</v>
      </c>
      <c r="O554" s="617"/>
    </row>
    <row r="555" spans="2:15" ht="15" x14ac:dyDescent="0.25">
      <c r="B555" s="529">
        <v>550001</v>
      </c>
      <c r="C555" s="529">
        <v>551</v>
      </c>
      <c r="E555" s="534">
        <v>0</v>
      </c>
      <c r="F555" s="534">
        <v>0</v>
      </c>
      <c r="G555" s="534">
        <v>79</v>
      </c>
      <c r="I555" s="534">
        <v>0</v>
      </c>
      <c r="J555" s="534">
        <v>0</v>
      </c>
      <c r="K555" s="534">
        <v>5</v>
      </c>
      <c r="M555" s="617">
        <f t="shared" si="18"/>
        <v>0</v>
      </c>
      <c r="N555" s="617">
        <f t="shared" si="19"/>
        <v>84</v>
      </c>
      <c r="O555" s="617"/>
    </row>
    <row r="556" spans="2:15" ht="15" x14ac:dyDescent="0.25">
      <c r="B556" s="529">
        <v>551001</v>
      </c>
      <c r="C556" s="529">
        <v>552</v>
      </c>
      <c r="E556" s="534">
        <v>0</v>
      </c>
      <c r="F556" s="534">
        <v>0</v>
      </c>
      <c r="G556" s="534">
        <v>79</v>
      </c>
      <c r="I556" s="534">
        <v>0</v>
      </c>
      <c r="J556" s="534">
        <v>0</v>
      </c>
      <c r="K556" s="534">
        <v>5</v>
      </c>
      <c r="M556" s="617">
        <f t="shared" si="18"/>
        <v>0</v>
      </c>
      <c r="N556" s="617">
        <f t="shared" si="19"/>
        <v>84</v>
      </c>
      <c r="O556" s="617"/>
    </row>
    <row r="557" spans="2:15" ht="15" x14ac:dyDescent="0.25">
      <c r="B557" s="529">
        <v>552001</v>
      </c>
      <c r="C557" s="529">
        <v>553</v>
      </c>
      <c r="E557" s="534">
        <v>0</v>
      </c>
      <c r="F557" s="534">
        <v>0</v>
      </c>
      <c r="G557" s="534">
        <v>79</v>
      </c>
      <c r="I557" s="534">
        <v>0</v>
      </c>
      <c r="J557" s="534">
        <v>0</v>
      </c>
      <c r="K557" s="534">
        <v>5</v>
      </c>
      <c r="M557" s="617">
        <f t="shared" si="18"/>
        <v>0</v>
      </c>
      <c r="N557" s="617">
        <f t="shared" si="19"/>
        <v>84</v>
      </c>
      <c r="O557" s="617"/>
    </row>
    <row r="558" spans="2:15" ht="15" x14ac:dyDescent="0.25">
      <c r="B558" s="529">
        <v>553001</v>
      </c>
      <c r="C558" s="529">
        <v>554</v>
      </c>
      <c r="E558" s="534">
        <v>0</v>
      </c>
      <c r="F558" s="534">
        <v>0</v>
      </c>
      <c r="G558" s="534">
        <v>79</v>
      </c>
      <c r="I558" s="534">
        <v>0</v>
      </c>
      <c r="J558" s="534">
        <v>0</v>
      </c>
      <c r="K558" s="534">
        <v>5</v>
      </c>
      <c r="M558" s="617">
        <f t="shared" si="18"/>
        <v>0</v>
      </c>
      <c r="N558" s="617">
        <f t="shared" si="19"/>
        <v>84</v>
      </c>
      <c r="O558" s="617"/>
    </row>
    <row r="559" spans="2:15" ht="15" x14ac:dyDescent="0.25">
      <c r="B559" s="529">
        <v>554001</v>
      </c>
      <c r="C559" s="529">
        <v>555</v>
      </c>
      <c r="E559" s="534">
        <v>0</v>
      </c>
      <c r="F559" s="534">
        <v>0</v>
      </c>
      <c r="G559" s="534">
        <v>79</v>
      </c>
      <c r="I559" s="534">
        <v>0</v>
      </c>
      <c r="J559" s="534">
        <v>0</v>
      </c>
      <c r="K559" s="534">
        <v>5</v>
      </c>
      <c r="M559" s="617">
        <f t="shared" si="18"/>
        <v>0</v>
      </c>
      <c r="N559" s="617">
        <f t="shared" si="19"/>
        <v>84</v>
      </c>
      <c r="O559" s="617"/>
    </row>
    <row r="560" spans="2:15" ht="15" x14ac:dyDescent="0.25">
      <c r="B560" s="529">
        <v>555001</v>
      </c>
      <c r="C560" s="529">
        <v>556</v>
      </c>
      <c r="E560" s="534">
        <v>0</v>
      </c>
      <c r="F560" s="534">
        <v>0</v>
      </c>
      <c r="G560" s="534">
        <v>79</v>
      </c>
      <c r="I560" s="534">
        <v>0</v>
      </c>
      <c r="J560" s="534">
        <v>0</v>
      </c>
      <c r="K560" s="534">
        <v>5</v>
      </c>
      <c r="M560" s="617">
        <f t="shared" si="18"/>
        <v>0</v>
      </c>
      <c r="N560" s="617">
        <f t="shared" si="19"/>
        <v>84</v>
      </c>
      <c r="O560" s="617"/>
    </row>
    <row r="561" spans="2:15" ht="15" x14ac:dyDescent="0.25">
      <c r="B561" s="529">
        <v>556001</v>
      </c>
      <c r="C561" s="529">
        <v>557</v>
      </c>
      <c r="E561" s="534">
        <v>0</v>
      </c>
      <c r="F561" s="534">
        <v>0</v>
      </c>
      <c r="G561" s="534">
        <v>79</v>
      </c>
      <c r="I561" s="534">
        <v>0</v>
      </c>
      <c r="J561" s="534">
        <v>0</v>
      </c>
      <c r="K561" s="534">
        <v>5</v>
      </c>
      <c r="M561" s="617">
        <f t="shared" si="18"/>
        <v>0</v>
      </c>
      <c r="N561" s="617">
        <f t="shared" si="19"/>
        <v>84</v>
      </c>
      <c r="O561" s="617"/>
    </row>
    <row r="562" spans="2:15" ht="15" x14ac:dyDescent="0.25">
      <c r="B562" s="529">
        <v>557001</v>
      </c>
      <c r="C562" s="529">
        <v>558</v>
      </c>
      <c r="E562" s="534">
        <v>0</v>
      </c>
      <c r="F562" s="534">
        <v>0</v>
      </c>
      <c r="G562" s="534">
        <v>79</v>
      </c>
      <c r="I562" s="534">
        <v>0</v>
      </c>
      <c r="J562" s="534">
        <v>0</v>
      </c>
      <c r="K562" s="534">
        <v>5</v>
      </c>
      <c r="M562" s="617">
        <f t="shared" si="18"/>
        <v>0</v>
      </c>
      <c r="N562" s="617">
        <f t="shared" si="19"/>
        <v>84</v>
      </c>
      <c r="O562" s="617"/>
    </row>
    <row r="563" spans="2:15" ht="15" x14ac:dyDescent="0.25">
      <c r="B563" s="529">
        <v>558001</v>
      </c>
      <c r="C563" s="529">
        <v>559</v>
      </c>
      <c r="E563" s="534">
        <v>0</v>
      </c>
      <c r="F563" s="534">
        <v>0</v>
      </c>
      <c r="G563" s="534">
        <v>79</v>
      </c>
      <c r="I563" s="534">
        <v>0</v>
      </c>
      <c r="J563" s="534">
        <v>0</v>
      </c>
      <c r="K563" s="534">
        <v>5</v>
      </c>
      <c r="M563" s="617">
        <f t="shared" si="18"/>
        <v>0</v>
      </c>
      <c r="N563" s="617">
        <f t="shared" si="19"/>
        <v>84</v>
      </c>
      <c r="O563" s="617"/>
    </row>
    <row r="564" spans="2:15" ht="15" x14ac:dyDescent="0.25">
      <c r="B564" s="529">
        <v>559001</v>
      </c>
      <c r="C564" s="529">
        <v>560</v>
      </c>
      <c r="E564" s="534">
        <v>0</v>
      </c>
      <c r="F564" s="534">
        <v>0</v>
      </c>
      <c r="G564" s="534">
        <v>79</v>
      </c>
      <c r="I564" s="534">
        <v>1</v>
      </c>
      <c r="J564" s="534">
        <v>560</v>
      </c>
      <c r="K564" s="534">
        <v>5</v>
      </c>
      <c r="M564" s="617">
        <f t="shared" si="18"/>
        <v>1</v>
      </c>
      <c r="N564" s="617">
        <f t="shared" si="19"/>
        <v>84</v>
      </c>
      <c r="O564" s="617"/>
    </row>
    <row r="565" spans="2:15" ht="15" x14ac:dyDescent="0.25">
      <c r="B565" s="529">
        <v>560001</v>
      </c>
      <c r="C565" s="529">
        <v>561</v>
      </c>
      <c r="E565" s="534">
        <v>0</v>
      </c>
      <c r="F565" s="534">
        <v>0</v>
      </c>
      <c r="G565" s="534">
        <v>79</v>
      </c>
      <c r="I565" s="534">
        <v>0</v>
      </c>
      <c r="J565" s="534">
        <v>0</v>
      </c>
      <c r="K565" s="534">
        <v>4</v>
      </c>
      <c r="M565" s="617">
        <f t="shared" si="18"/>
        <v>0</v>
      </c>
      <c r="N565" s="617">
        <f t="shared" si="19"/>
        <v>83</v>
      </c>
      <c r="O565" s="617"/>
    </row>
    <row r="566" spans="2:15" ht="15" x14ac:dyDescent="0.25">
      <c r="B566" s="529">
        <v>561001</v>
      </c>
      <c r="C566" s="529">
        <v>562</v>
      </c>
      <c r="E566" s="534">
        <v>1</v>
      </c>
      <c r="F566" s="534">
        <v>562</v>
      </c>
      <c r="G566" s="534">
        <v>79</v>
      </c>
      <c r="I566" s="534">
        <v>0</v>
      </c>
      <c r="J566" s="534">
        <v>0</v>
      </c>
      <c r="K566" s="534">
        <v>4</v>
      </c>
      <c r="M566" s="617">
        <f t="shared" si="18"/>
        <v>1</v>
      </c>
      <c r="N566" s="617">
        <f t="shared" si="19"/>
        <v>83</v>
      </c>
      <c r="O566" s="617"/>
    </row>
    <row r="567" spans="2:15" ht="15" x14ac:dyDescent="0.25">
      <c r="B567" s="529">
        <v>562001</v>
      </c>
      <c r="C567" s="529">
        <v>563</v>
      </c>
      <c r="E567" s="534">
        <v>0</v>
      </c>
      <c r="F567" s="534">
        <v>0</v>
      </c>
      <c r="G567" s="534">
        <v>78</v>
      </c>
      <c r="I567" s="534">
        <v>0</v>
      </c>
      <c r="J567" s="534">
        <v>0</v>
      </c>
      <c r="K567" s="534">
        <v>4</v>
      </c>
      <c r="M567" s="617">
        <f t="shared" si="18"/>
        <v>0</v>
      </c>
      <c r="N567" s="617">
        <f t="shared" si="19"/>
        <v>82</v>
      </c>
      <c r="O567" s="617"/>
    </row>
    <row r="568" spans="2:15" ht="15" x14ac:dyDescent="0.25">
      <c r="B568" s="529">
        <v>563001</v>
      </c>
      <c r="C568" s="529">
        <v>564</v>
      </c>
      <c r="E568" s="534">
        <v>0</v>
      </c>
      <c r="F568" s="534">
        <v>0</v>
      </c>
      <c r="G568" s="534">
        <v>78</v>
      </c>
      <c r="I568" s="534">
        <v>0</v>
      </c>
      <c r="J568" s="534">
        <v>0</v>
      </c>
      <c r="K568" s="534">
        <v>4</v>
      </c>
      <c r="M568" s="617">
        <f t="shared" si="18"/>
        <v>0</v>
      </c>
      <c r="N568" s="617">
        <f t="shared" si="19"/>
        <v>82</v>
      </c>
      <c r="O568" s="617"/>
    </row>
    <row r="569" spans="2:15" ht="15" x14ac:dyDescent="0.25">
      <c r="B569" s="529">
        <v>564001</v>
      </c>
      <c r="C569" s="529">
        <v>565</v>
      </c>
      <c r="E569" s="534">
        <v>1</v>
      </c>
      <c r="F569" s="534">
        <v>565</v>
      </c>
      <c r="G569" s="534">
        <v>78</v>
      </c>
      <c r="I569" s="534">
        <v>0</v>
      </c>
      <c r="J569" s="534">
        <v>0</v>
      </c>
      <c r="K569" s="534">
        <v>4</v>
      </c>
      <c r="M569" s="617">
        <f t="shared" si="18"/>
        <v>1</v>
      </c>
      <c r="N569" s="617">
        <f t="shared" si="19"/>
        <v>82</v>
      </c>
      <c r="O569" s="617"/>
    </row>
    <row r="570" spans="2:15" ht="15" x14ac:dyDescent="0.25">
      <c r="B570" s="529">
        <v>565001</v>
      </c>
      <c r="C570" s="529">
        <v>566</v>
      </c>
      <c r="E570" s="534">
        <v>0</v>
      </c>
      <c r="F570" s="534">
        <v>0</v>
      </c>
      <c r="G570" s="534">
        <v>77</v>
      </c>
      <c r="I570" s="534">
        <v>0</v>
      </c>
      <c r="J570" s="534">
        <v>0</v>
      </c>
      <c r="K570" s="534">
        <v>4</v>
      </c>
      <c r="M570" s="617">
        <f t="shared" si="18"/>
        <v>0</v>
      </c>
      <c r="N570" s="617">
        <f t="shared" si="19"/>
        <v>81</v>
      </c>
      <c r="O570" s="617"/>
    </row>
    <row r="571" spans="2:15" ht="15" x14ac:dyDescent="0.25">
      <c r="B571" s="529">
        <v>566001</v>
      </c>
      <c r="C571" s="529">
        <v>567</v>
      </c>
      <c r="E571" s="534">
        <v>0</v>
      </c>
      <c r="F571" s="534">
        <v>0</v>
      </c>
      <c r="G571" s="534">
        <v>77</v>
      </c>
      <c r="I571" s="534">
        <v>0</v>
      </c>
      <c r="J571" s="534">
        <v>0</v>
      </c>
      <c r="K571" s="534">
        <v>4</v>
      </c>
      <c r="M571" s="617">
        <f t="shared" si="18"/>
        <v>0</v>
      </c>
      <c r="N571" s="617">
        <f t="shared" si="19"/>
        <v>81</v>
      </c>
      <c r="O571" s="617"/>
    </row>
    <row r="572" spans="2:15" ht="15" x14ac:dyDescent="0.25">
      <c r="B572" s="529">
        <v>567001</v>
      </c>
      <c r="C572" s="529">
        <v>568</v>
      </c>
      <c r="E572" s="534">
        <v>0</v>
      </c>
      <c r="F572" s="534">
        <v>0</v>
      </c>
      <c r="G572" s="534">
        <v>77</v>
      </c>
      <c r="I572" s="534">
        <v>0</v>
      </c>
      <c r="J572" s="534">
        <v>0</v>
      </c>
      <c r="K572" s="534">
        <v>4</v>
      </c>
      <c r="M572" s="617">
        <f t="shared" si="18"/>
        <v>0</v>
      </c>
      <c r="N572" s="617">
        <f t="shared" si="19"/>
        <v>81</v>
      </c>
      <c r="O572" s="617"/>
    </row>
    <row r="573" spans="2:15" ht="15" x14ac:dyDescent="0.25">
      <c r="B573" s="529">
        <v>568001</v>
      </c>
      <c r="C573" s="529">
        <v>569</v>
      </c>
      <c r="E573" s="534">
        <v>1</v>
      </c>
      <c r="F573" s="534">
        <v>569</v>
      </c>
      <c r="G573" s="534">
        <v>77</v>
      </c>
      <c r="I573" s="534">
        <v>0</v>
      </c>
      <c r="J573" s="534">
        <v>0</v>
      </c>
      <c r="K573" s="534">
        <v>4</v>
      </c>
      <c r="M573" s="617">
        <f t="shared" si="18"/>
        <v>1</v>
      </c>
      <c r="N573" s="617">
        <f t="shared" si="19"/>
        <v>81</v>
      </c>
      <c r="O573" s="617"/>
    </row>
    <row r="574" spans="2:15" ht="15" x14ac:dyDescent="0.25">
      <c r="B574" s="529">
        <v>569001</v>
      </c>
      <c r="C574" s="529">
        <v>570</v>
      </c>
      <c r="E574" s="534">
        <v>0</v>
      </c>
      <c r="F574" s="534">
        <v>0</v>
      </c>
      <c r="G574" s="534">
        <v>76</v>
      </c>
      <c r="I574" s="534">
        <v>1</v>
      </c>
      <c r="J574" s="534">
        <v>570</v>
      </c>
      <c r="K574" s="534">
        <v>4</v>
      </c>
      <c r="M574" s="617">
        <f t="shared" si="18"/>
        <v>1</v>
      </c>
      <c r="N574" s="617">
        <f t="shared" si="19"/>
        <v>80</v>
      </c>
      <c r="O574" s="617"/>
    </row>
    <row r="575" spans="2:15" ht="15" x14ac:dyDescent="0.25">
      <c r="B575" s="529">
        <v>570001</v>
      </c>
      <c r="C575" s="529">
        <v>571</v>
      </c>
      <c r="E575" s="534">
        <v>0</v>
      </c>
      <c r="F575" s="534">
        <v>0</v>
      </c>
      <c r="G575" s="534">
        <v>76</v>
      </c>
      <c r="I575" s="534">
        <v>0</v>
      </c>
      <c r="J575" s="534">
        <v>0</v>
      </c>
      <c r="K575" s="534">
        <v>3</v>
      </c>
      <c r="M575" s="617">
        <f t="shared" si="18"/>
        <v>0</v>
      </c>
      <c r="N575" s="617">
        <f t="shared" si="19"/>
        <v>79</v>
      </c>
      <c r="O575" s="617"/>
    </row>
    <row r="576" spans="2:15" ht="15" x14ac:dyDescent="0.25">
      <c r="B576" s="529">
        <v>571001</v>
      </c>
      <c r="C576" s="529">
        <v>572</v>
      </c>
      <c r="E576" s="534">
        <v>0</v>
      </c>
      <c r="F576" s="534">
        <v>0</v>
      </c>
      <c r="G576" s="534">
        <v>76</v>
      </c>
      <c r="I576" s="534">
        <v>0</v>
      </c>
      <c r="J576" s="534">
        <v>0</v>
      </c>
      <c r="K576" s="534">
        <v>3</v>
      </c>
      <c r="M576" s="617">
        <f t="shared" si="18"/>
        <v>0</v>
      </c>
      <c r="N576" s="617">
        <f t="shared" si="19"/>
        <v>79</v>
      </c>
      <c r="O576" s="617"/>
    </row>
    <row r="577" spans="2:15" ht="15" x14ac:dyDescent="0.25">
      <c r="B577" s="529">
        <v>572001</v>
      </c>
      <c r="C577" s="529">
        <v>573</v>
      </c>
      <c r="E577" s="534">
        <v>0</v>
      </c>
      <c r="F577" s="534">
        <v>0</v>
      </c>
      <c r="G577" s="534">
        <v>76</v>
      </c>
      <c r="I577" s="534">
        <v>0</v>
      </c>
      <c r="J577" s="534">
        <v>0</v>
      </c>
      <c r="K577" s="534">
        <v>3</v>
      </c>
      <c r="M577" s="617">
        <f t="shared" si="18"/>
        <v>0</v>
      </c>
      <c r="N577" s="617">
        <f t="shared" si="19"/>
        <v>79</v>
      </c>
      <c r="O577" s="617"/>
    </row>
    <row r="578" spans="2:15" ht="15" x14ac:dyDescent="0.25">
      <c r="B578" s="529">
        <v>573001</v>
      </c>
      <c r="C578" s="529">
        <v>574</v>
      </c>
      <c r="E578" s="534">
        <v>0</v>
      </c>
      <c r="F578" s="534">
        <v>0</v>
      </c>
      <c r="G578" s="534">
        <v>76</v>
      </c>
      <c r="I578" s="534">
        <v>0</v>
      </c>
      <c r="J578" s="534">
        <v>0</v>
      </c>
      <c r="K578" s="534">
        <v>3</v>
      </c>
      <c r="M578" s="617">
        <f t="shared" si="18"/>
        <v>0</v>
      </c>
      <c r="N578" s="617">
        <f t="shared" si="19"/>
        <v>79</v>
      </c>
      <c r="O578" s="617"/>
    </row>
    <row r="579" spans="2:15" ht="15" x14ac:dyDescent="0.25">
      <c r="B579" s="529">
        <v>574001</v>
      </c>
      <c r="C579" s="529">
        <v>575</v>
      </c>
      <c r="E579" s="534">
        <v>0</v>
      </c>
      <c r="F579" s="534">
        <v>0</v>
      </c>
      <c r="G579" s="534">
        <v>76</v>
      </c>
      <c r="I579" s="534">
        <v>0</v>
      </c>
      <c r="J579" s="534">
        <v>0</v>
      </c>
      <c r="K579" s="534">
        <v>3</v>
      </c>
      <c r="M579" s="617">
        <f t="shared" si="18"/>
        <v>0</v>
      </c>
      <c r="N579" s="617">
        <f t="shared" si="19"/>
        <v>79</v>
      </c>
      <c r="O579" s="617"/>
    </row>
    <row r="580" spans="2:15" ht="15" x14ac:dyDescent="0.25">
      <c r="B580" s="529">
        <v>575001</v>
      </c>
      <c r="C580" s="529">
        <v>576</v>
      </c>
      <c r="E580" s="534">
        <v>0</v>
      </c>
      <c r="F580" s="534">
        <v>0</v>
      </c>
      <c r="G580" s="534">
        <v>76</v>
      </c>
      <c r="I580" s="534">
        <v>0</v>
      </c>
      <c r="J580" s="534">
        <v>0</v>
      </c>
      <c r="K580" s="534">
        <v>3</v>
      </c>
      <c r="M580" s="617">
        <f t="shared" si="18"/>
        <v>0</v>
      </c>
      <c r="N580" s="617">
        <f t="shared" si="19"/>
        <v>79</v>
      </c>
      <c r="O580" s="617"/>
    </row>
    <row r="581" spans="2:15" ht="15" x14ac:dyDescent="0.25">
      <c r="B581" s="529">
        <v>576001</v>
      </c>
      <c r="C581" s="529">
        <v>577</v>
      </c>
      <c r="E581" s="534">
        <v>0</v>
      </c>
      <c r="F581" s="534">
        <v>0</v>
      </c>
      <c r="G581" s="534">
        <v>76</v>
      </c>
      <c r="I581" s="534">
        <v>0</v>
      </c>
      <c r="J581" s="534">
        <v>0</v>
      </c>
      <c r="K581" s="534">
        <v>3</v>
      </c>
      <c r="M581" s="617">
        <f t="shared" ref="M581:M644" si="20">I581+E581</f>
        <v>0</v>
      </c>
      <c r="N581" s="617">
        <f t="shared" ref="N581:N644" si="21">K581+G581</f>
        <v>79</v>
      </c>
      <c r="O581" s="617"/>
    </row>
    <row r="582" spans="2:15" ht="15" x14ac:dyDescent="0.25">
      <c r="B582" s="529">
        <v>577001</v>
      </c>
      <c r="C582" s="529">
        <v>578</v>
      </c>
      <c r="E582" s="534">
        <v>0</v>
      </c>
      <c r="F582" s="534">
        <v>0</v>
      </c>
      <c r="G582" s="534">
        <v>76</v>
      </c>
      <c r="I582" s="534">
        <v>0</v>
      </c>
      <c r="J582" s="534">
        <v>0</v>
      </c>
      <c r="K582" s="534">
        <v>3</v>
      </c>
      <c r="M582" s="617">
        <f t="shared" si="20"/>
        <v>0</v>
      </c>
      <c r="N582" s="617">
        <f t="shared" si="21"/>
        <v>79</v>
      </c>
      <c r="O582" s="617"/>
    </row>
    <row r="583" spans="2:15" ht="15" x14ac:dyDescent="0.25">
      <c r="B583" s="529">
        <v>578001</v>
      </c>
      <c r="C583" s="529">
        <v>579</v>
      </c>
      <c r="E583" s="534">
        <v>0</v>
      </c>
      <c r="F583" s="534">
        <v>0</v>
      </c>
      <c r="G583" s="534">
        <v>76</v>
      </c>
      <c r="I583" s="534">
        <v>0</v>
      </c>
      <c r="J583" s="534">
        <v>0</v>
      </c>
      <c r="K583" s="534">
        <v>3</v>
      </c>
      <c r="M583" s="617">
        <f t="shared" si="20"/>
        <v>0</v>
      </c>
      <c r="N583" s="617">
        <f t="shared" si="21"/>
        <v>79</v>
      </c>
      <c r="O583" s="617"/>
    </row>
    <row r="584" spans="2:15" ht="15" x14ac:dyDescent="0.25">
      <c r="B584" s="529">
        <v>579001</v>
      </c>
      <c r="C584" s="529">
        <v>580</v>
      </c>
      <c r="E584" s="534">
        <v>0</v>
      </c>
      <c r="F584" s="534">
        <v>0</v>
      </c>
      <c r="G584" s="534">
        <v>76</v>
      </c>
      <c r="I584" s="534">
        <v>0</v>
      </c>
      <c r="J584" s="534">
        <v>0</v>
      </c>
      <c r="K584" s="534">
        <v>3</v>
      </c>
      <c r="M584" s="617">
        <f t="shared" si="20"/>
        <v>0</v>
      </c>
      <c r="N584" s="617">
        <f t="shared" si="21"/>
        <v>79</v>
      </c>
      <c r="O584" s="617"/>
    </row>
    <row r="585" spans="2:15" ht="15" x14ac:dyDescent="0.25">
      <c r="B585" s="529">
        <v>580001</v>
      </c>
      <c r="C585" s="529">
        <v>581</v>
      </c>
      <c r="E585" s="534">
        <v>0</v>
      </c>
      <c r="F585" s="534">
        <v>0</v>
      </c>
      <c r="G585" s="534">
        <v>76</v>
      </c>
      <c r="I585" s="534">
        <v>0</v>
      </c>
      <c r="J585" s="534">
        <v>0</v>
      </c>
      <c r="K585" s="534">
        <v>3</v>
      </c>
      <c r="M585" s="617">
        <f t="shared" si="20"/>
        <v>0</v>
      </c>
      <c r="N585" s="617">
        <f t="shared" si="21"/>
        <v>79</v>
      </c>
      <c r="O585" s="617"/>
    </row>
    <row r="586" spans="2:15" ht="15" x14ac:dyDescent="0.25">
      <c r="B586" s="529">
        <v>581001</v>
      </c>
      <c r="C586" s="529">
        <v>582</v>
      </c>
      <c r="E586" s="534">
        <v>0</v>
      </c>
      <c r="F586" s="534">
        <v>0</v>
      </c>
      <c r="G586" s="534">
        <v>76</v>
      </c>
      <c r="I586" s="534">
        <v>0</v>
      </c>
      <c r="J586" s="534">
        <v>0</v>
      </c>
      <c r="K586" s="534">
        <v>3</v>
      </c>
      <c r="M586" s="617">
        <f t="shared" si="20"/>
        <v>0</v>
      </c>
      <c r="N586" s="617">
        <f t="shared" si="21"/>
        <v>79</v>
      </c>
      <c r="O586" s="617"/>
    </row>
    <row r="587" spans="2:15" ht="15" x14ac:dyDescent="0.25">
      <c r="B587" s="529">
        <v>582001</v>
      </c>
      <c r="C587" s="529">
        <v>583</v>
      </c>
      <c r="E587" s="534">
        <v>0</v>
      </c>
      <c r="F587" s="534">
        <v>0</v>
      </c>
      <c r="G587" s="534">
        <v>76</v>
      </c>
      <c r="I587" s="534">
        <v>0</v>
      </c>
      <c r="J587" s="534">
        <v>0</v>
      </c>
      <c r="K587" s="534">
        <v>3</v>
      </c>
      <c r="M587" s="617">
        <f t="shared" si="20"/>
        <v>0</v>
      </c>
      <c r="N587" s="617">
        <f t="shared" si="21"/>
        <v>79</v>
      </c>
      <c r="O587" s="617"/>
    </row>
    <row r="588" spans="2:15" ht="15" x14ac:dyDescent="0.25">
      <c r="B588" s="529">
        <v>583001</v>
      </c>
      <c r="C588" s="529">
        <v>584</v>
      </c>
      <c r="E588" s="534">
        <v>0</v>
      </c>
      <c r="F588" s="534">
        <v>0</v>
      </c>
      <c r="G588" s="534">
        <v>76</v>
      </c>
      <c r="I588" s="534">
        <v>0</v>
      </c>
      <c r="J588" s="534">
        <v>0</v>
      </c>
      <c r="K588" s="534">
        <v>3</v>
      </c>
      <c r="M588" s="617">
        <f t="shared" si="20"/>
        <v>0</v>
      </c>
      <c r="N588" s="617">
        <f t="shared" si="21"/>
        <v>79</v>
      </c>
      <c r="O588" s="617"/>
    </row>
    <row r="589" spans="2:15" ht="15" x14ac:dyDescent="0.25">
      <c r="B589" s="529">
        <v>584001</v>
      </c>
      <c r="C589" s="529">
        <v>585</v>
      </c>
      <c r="E589" s="534">
        <v>0</v>
      </c>
      <c r="F589" s="534">
        <v>0</v>
      </c>
      <c r="G589" s="534">
        <v>76</v>
      </c>
      <c r="I589" s="534">
        <v>0</v>
      </c>
      <c r="J589" s="534">
        <v>0</v>
      </c>
      <c r="K589" s="534">
        <v>3</v>
      </c>
      <c r="M589" s="617">
        <f t="shared" si="20"/>
        <v>0</v>
      </c>
      <c r="N589" s="617">
        <f t="shared" si="21"/>
        <v>79</v>
      </c>
      <c r="O589" s="617"/>
    </row>
    <row r="590" spans="2:15" ht="15" x14ac:dyDescent="0.25">
      <c r="B590" s="529">
        <v>585001</v>
      </c>
      <c r="C590" s="529">
        <v>586</v>
      </c>
      <c r="E590" s="534">
        <v>1</v>
      </c>
      <c r="F590" s="534">
        <v>586</v>
      </c>
      <c r="G590" s="534">
        <v>76</v>
      </c>
      <c r="I590" s="534">
        <v>0</v>
      </c>
      <c r="J590" s="534">
        <v>0</v>
      </c>
      <c r="K590" s="534">
        <v>3</v>
      </c>
      <c r="M590" s="617">
        <f t="shared" si="20"/>
        <v>1</v>
      </c>
      <c r="N590" s="617">
        <f t="shared" si="21"/>
        <v>79</v>
      </c>
      <c r="O590" s="617"/>
    </row>
    <row r="591" spans="2:15" ht="15" x14ac:dyDescent="0.25">
      <c r="B591" s="529">
        <v>586001</v>
      </c>
      <c r="C591" s="529">
        <v>587</v>
      </c>
      <c r="E591" s="534">
        <v>0</v>
      </c>
      <c r="F591" s="534">
        <v>0</v>
      </c>
      <c r="G591" s="534">
        <v>75</v>
      </c>
      <c r="I591" s="534">
        <v>0</v>
      </c>
      <c r="J591" s="534">
        <v>0</v>
      </c>
      <c r="K591" s="534">
        <v>3</v>
      </c>
      <c r="M591" s="617">
        <f t="shared" si="20"/>
        <v>0</v>
      </c>
      <c r="N591" s="617">
        <f t="shared" si="21"/>
        <v>78</v>
      </c>
      <c r="O591" s="617"/>
    </row>
    <row r="592" spans="2:15" ht="15" x14ac:dyDescent="0.25">
      <c r="B592" s="529">
        <v>587001</v>
      </c>
      <c r="C592" s="529">
        <v>588</v>
      </c>
      <c r="E592" s="534">
        <v>0</v>
      </c>
      <c r="F592" s="534">
        <v>0</v>
      </c>
      <c r="G592" s="534">
        <v>75</v>
      </c>
      <c r="I592" s="534">
        <v>0</v>
      </c>
      <c r="J592" s="534">
        <v>0</v>
      </c>
      <c r="K592" s="534">
        <v>3</v>
      </c>
      <c r="M592" s="617">
        <f t="shared" si="20"/>
        <v>0</v>
      </c>
      <c r="N592" s="617">
        <f t="shared" si="21"/>
        <v>78</v>
      </c>
      <c r="O592" s="617"/>
    </row>
    <row r="593" spans="2:15" ht="15" x14ac:dyDescent="0.25">
      <c r="B593" s="529">
        <v>588001</v>
      </c>
      <c r="C593" s="529">
        <v>589</v>
      </c>
      <c r="E593" s="534">
        <v>0</v>
      </c>
      <c r="F593" s="534">
        <v>0</v>
      </c>
      <c r="G593" s="534">
        <v>75</v>
      </c>
      <c r="I593" s="534">
        <v>0</v>
      </c>
      <c r="J593" s="534">
        <v>0</v>
      </c>
      <c r="K593" s="534">
        <v>3</v>
      </c>
      <c r="M593" s="617">
        <f t="shared" si="20"/>
        <v>0</v>
      </c>
      <c r="N593" s="617">
        <f t="shared" si="21"/>
        <v>78</v>
      </c>
      <c r="O593" s="617"/>
    </row>
    <row r="594" spans="2:15" ht="15" x14ac:dyDescent="0.25">
      <c r="B594" s="529">
        <v>589001</v>
      </c>
      <c r="C594" s="529">
        <v>590</v>
      </c>
      <c r="E594" s="534">
        <v>0</v>
      </c>
      <c r="F594" s="534">
        <v>0</v>
      </c>
      <c r="G594" s="534">
        <v>75</v>
      </c>
      <c r="I594" s="534">
        <v>0</v>
      </c>
      <c r="J594" s="534">
        <v>0</v>
      </c>
      <c r="K594" s="534">
        <v>3</v>
      </c>
      <c r="M594" s="617">
        <f t="shared" si="20"/>
        <v>0</v>
      </c>
      <c r="N594" s="617">
        <f t="shared" si="21"/>
        <v>78</v>
      </c>
      <c r="O594" s="617"/>
    </row>
    <row r="595" spans="2:15" ht="15" x14ac:dyDescent="0.25">
      <c r="B595" s="529">
        <v>590001</v>
      </c>
      <c r="C595" s="529">
        <v>591</v>
      </c>
      <c r="E595" s="534">
        <v>0</v>
      </c>
      <c r="F595" s="534">
        <v>0</v>
      </c>
      <c r="G595" s="534">
        <v>75</v>
      </c>
      <c r="I595" s="534">
        <v>0</v>
      </c>
      <c r="J595" s="534">
        <v>0</v>
      </c>
      <c r="K595" s="534">
        <v>3</v>
      </c>
      <c r="M595" s="617">
        <f t="shared" si="20"/>
        <v>0</v>
      </c>
      <c r="N595" s="617">
        <f t="shared" si="21"/>
        <v>78</v>
      </c>
      <c r="O595" s="617"/>
    </row>
    <row r="596" spans="2:15" ht="15" x14ac:dyDescent="0.25">
      <c r="B596" s="529">
        <v>591001</v>
      </c>
      <c r="C596" s="529">
        <v>592</v>
      </c>
      <c r="E596" s="534">
        <v>0</v>
      </c>
      <c r="F596" s="534">
        <v>0</v>
      </c>
      <c r="G596" s="534">
        <v>75</v>
      </c>
      <c r="I596" s="534">
        <v>0</v>
      </c>
      <c r="J596" s="534">
        <v>0</v>
      </c>
      <c r="K596" s="534">
        <v>3</v>
      </c>
      <c r="M596" s="617">
        <f t="shared" si="20"/>
        <v>0</v>
      </c>
      <c r="N596" s="617">
        <f t="shared" si="21"/>
        <v>78</v>
      </c>
      <c r="O596" s="617"/>
    </row>
    <row r="597" spans="2:15" ht="15" x14ac:dyDescent="0.25">
      <c r="B597" s="529">
        <v>592001</v>
      </c>
      <c r="C597" s="529">
        <v>593</v>
      </c>
      <c r="E597" s="534">
        <v>0</v>
      </c>
      <c r="F597" s="534">
        <v>0</v>
      </c>
      <c r="G597" s="534">
        <v>75</v>
      </c>
      <c r="I597" s="534">
        <v>0</v>
      </c>
      <c r="J597" s="534">
        <v>0</v>
      </c>
      <c r="K597" s="534">
        <v>3</v>
      </c>
      <c r="M597" s="617">
        <f t="shared" si="20"/>
        <v>0</v>
      </c>
      <c r="N597" s="617">
        <f t="shared" si="21"/>
        <v>78</v>
      </c>
      <c r="O597" s="617"/>
    </row>
    <row r="598" spans="2:15" ht="15" x14ac:dyDescent="0.25">
      <c r="B598" s="529">
        <v>593001</v>
      </c>
      <c r="C598" s="529">
        <v>594</v>
      </c>
      <c r="E598" s="534">
        <v>0</v>
      </c>
      <c r="F598" s="534">
        <v>0</v>
      </c>
      <c r="G598" s="534">
        <v>75</v>
      </c>
      <c r="I598" s="534">
        <v>0</v>
      </c>
      <c r="J598" s="534">
        <v>0</v>
      </c>
      <c r="K598" s="534">
        <v>3</v>
      </c>
      <c r="M598" s="617">
        <f t="shared" si="20"/>
        <v>0</v>
      </c>
      <c r="N598" s="617">
        <f t="shared" si="21"/>
        <v>78</v>
      </c>
      <c r="O598" s="617"/>
    </row>
    <row r="599" spans="2:15" ht="15" x14ac:dyDescent="0.25">
      <c r="B599" s="529">
        <v>594001</v>
      </c>
      <c r="C599" s="529">
        <v>595</v>
      </c>
      <c r="E599" s="534">
        <v>0</v>
      </c>
      <c r="F599" s="534">
        <v>0</v>
      </c>
      <c r="G599" s="534">
        <v>75</v>
      </c>
      <c r="I599" s="534">
        <v>0</v>
      </c>
      <c r="J599" s="534">
        <v>0</v>
      </c>
      <c r="K599" s="534">
        <v>3</v>
      </c>
      <c r="M599" s="617">
        <f t="shared" si="20"/>
        <v>0</v>
      </c>
      <c r="N599" s="617">
        <f t="shared" si="21"/>
        <v>78</v>
      </c>
      <c r="O599" s="617"/>
    </row>
    <row r="600" spans="2:15" ht="15" x14ac:dyDescent="0.25">
      <c r="B600" s="529">
        <v>595001</v>
      </c>
      <c r="C600" s="529">
        <v>596</v>
      </c>
      <c r="E600" s="534">
        <v>0</v>
      </c>
      <c r="F600" s="534">
        <v>0</v>
      </c>
      <c r="G600" s="534">
        <v>75</v>
      </c>
      <c r="I600" s="534">
        <v>0</v>
      </c>
      <c r="J600" s="534">
        <v>0</v>
      </c>
      <c r="K600" s="534">
        <v>3</v>
      </c>
      <c r="M600" s="617">
        <f t="shared" si="20"/>
        <v>0</v>
      </c>
      <c r="N600" s="617">
        <f t="shared" si="21"/>
        <v>78</v>
      </c>
      <c r="O600" s="617"/>
    </row>
    <row r="601" spans="2:15" ht="15" x14ac:dyDescent="0.25">
      <c r="B601" s="529">
        <v>596001</v>
      </c>
      <c r="C601" s="529">
        <v>597</v>
      </c>
      <c r="E601" s="534">
        <v>1</v>
      </c>
      <c r="F601" s="534">
        <v>597</v>
      </c>
      <c r="G601" s="534">
        <v>75</v>
      </c>
      <c r="I601" s="534">
        <v>0</v>
      </c>
      <c r="J601" s="534">
        <v>0</v>
      </c>
      <c r="K601" s="534">
        <v>3</v>
      </c>
      <c r="M601" s="617">
        <f t="shared" si="20"/>
        <v>1</v>
      </c>
      <c r="N601" s="617">
        <f t="shared" si="21"/>
        <v>78</v>
      </c>
      <c r="O601" s="617"/>
    </row>
    <row r="602" spans="2:15" ht="15" x14ac:dyDescent="0.25">
      <c r="B602" s="529">
        <v>597001</v>
      </c>
      <c r="C602" s="529">
        <v>598</v>
      </c>
      <c r="E602" s="534">
        <v>0</v>
      </c>
      <c r="F602" s="534">
        <v>0</v>
      </c>
      <c r="G602" s="534">
        <v>74</v>
      </c>
      <c r="I602" s="534">
        <v>0</v>
      </c>
      <c r="J602" s="534">
        <v>0</v>
      </c>
      <c r="K602" s="534">
        <v>3</v>
      </c>
      <c r="M602" s="617">
        <f t="shared" si="20"/>
        <v>0</v>
      </c>
      <c r="N602" s="617">
        <f t="shared" si="21"/>
        <v>77</v>
      </c>
      <c r="O602" s="617"/>
    </row>
    <row r="603" spans="2:15" ht="15" x14ac:dyDescent="0.25">
      <c r="B603" s="529">
        <v>598001</v>
      </c>
      <c r="C603" s="529">
        <v>599</v>
      </c>
      <c r="E603" s="534">
        <v>0</v>
      </c>
      <c r="F603" s="534">
        <v>0</v>
      </c>
      <c r="G603" s="534">
        <v>74</v>
      </c>
      <c r="I603" s="534">
        <v>0</v>
      </c>
      <c r="J603" s="534">
        <v>0</v>
      </c>
      <c r="K603" s="534">
        <v>3</v>
      </c>
      <c r="M603" s="617">
        <f t="shared" si="20"/>
        <v>0</v>
      </c>
      <c r="N603" s="617">
        <f t="shared" si="21"/>
        <v>77</v>
      </c>
      <c r="O603" s="617"/>
    </row>
    <row r="604" spans="2:15" ht="15" x14ac:dyDescent="0.25">
      <c r="B604" s="529">
        <v>599001</v>
      </c>
      <c r="C604" s="529">
        <v>600</v>
      </c>
      <c r="E604" s="534">
        <v>0</v>
      </c>
      <c r="F604" s="534">
        <v>0</v>
      </c>
      <c r="G604" s="534">
        <v>74</v>
      </c>
      <c r="I604" s="534">
        <v>1</v>
      </c>
      <c r="J604" s="534">
        <v>600</v>
      </c>
      <c r="K604" s="534">
        <v>3</v>
      </c>
      <c r="M604" s="617">
        <f t="shared" si="20"/>
        <v>1</v>
      </c>
      <c r="N604" s="617">
        <f t="shared" si="21"/>
        <v>77</v>
      </c>
      <c r="O604" s="617"/>
    </row>
    <row r="605" spans="2:15" ht="15" x14ac:dyDescent="0.25">
      <c r="B605" s="529">
        <v>600001</v>
      </c>
      <c r="C605" s="529">
        <v>601</v>
      </c>
      <c r="E605" s="534">
        <v>0</v>
      </c>
      <c r="F605" s="534">
        <v>0</v>
      </c>
      <c r="G605" s="534">
        <v>74</v>
      </c>
      <c r="I605" s="534">
        <v>0</v>
      </c>
      <c r="J605" s="534">
        <v>0</v>
      </c>
      <c r="K605" s="534">
        <v>2</v>
      </c>
      <c r="M605" s="617">
        <f t="shared" si="20"/>
        <v>0</v>
      </c>
      <c r="N605" s="617">
        <f t="shared" si="21"/>
        <v>76</v>
      </c>
      <c r="O605" s="617"/>
    </row>
    <row r="606" spans="2:15" ht="15" x14ac:dyDescent="0.25">
      <c r="B606" s="529">
        <v>601001</v>
      </c>
      <c r="C606" s="529">
        <v>602</v>
      </c>
      <c r="E606" s="534">
        <v>0</v>
      </c>
      <c r="F606" s="534">
        <v>0</v>
      </c>
      <c r="G606" s="534">
        <v>74</v>
      </c>
      <c r="I606" s="534">
        <v>0</v>
      </c>
      <c r="J606" s="534">
        <v>0</v>
      </c>
      <c r="K606" s="534">
        <v>2</v>
      </c>
      <c r="M606" s="617">
        <f t="shared" si="20"/>
        <v>0</v>
      </c>
      <c r="N606" s="617">
        <f t="shared" si="21"/>
        <v>76</v>
      </c>
      <c r="O606" s="617"/>
    </row>
    <row r="607" spans="2:15" ht="15" x14ac:dyDescent="0.25">
      <c r="B607" s="529">
        <v>602001</v>
      </c>
      <c r="C607" s="529">
        <v>603</v>
      </c>
      <c r="E607" s="534">
        <v>0</v>
      </c>
      <c r="F607" s="534">
        <v>0</v>
      </c>
      <c r="G607" s="534">
        <v>74</v>
      </c>
      <c r="I607" s="534">
        <v>0</v>
      </c>
      <c r="J607" s="534">
        <v>0</v>
      </c>
      <c r="K607" s="534">
        <v>2</v>
      </c>
      <c r="M607" s="617">
        <f t="shared" si="20"/>
        <v>0</v>
      </c>
      <c r="N607" s="617">
        <f t="shared" si="21"/>
        <v>76</v>
      </c>
      <c r="O607" s="617"/>
    </row>
    <row r="608" spans="2:15" ht="15" x14ac:dyDescent="0.25">
      <c r="B608" s="529">
        <v>603001</v>
      </c>
      <c r="C608" s="529">
        <v>604</v>
      </c>
      <c r="E608" s="534">
        <v>1</v>
      </c>
      <c r="F608" s="534">
        <v>604</v>
      </c>
      <c r="G608" s="534">
        <v>74</v>
      </c>
      <c r="I608" s="534">
        <v>0</v>
      </c>
      <c r="J608" s="534">
        <v>0</v>
      </c>
      <c r="K608" s="534">
        <v>2</v>
      </c>
      <c r="M608" s="617">
        <f t="shared" si="20"/>
        <v>1</v>
      </c>
      <c r="N608" s="617">
        <f t="shared" si="21"/>
        <v>76</v>
      </c>
      <c r="O608" s="617"/>
    </row>
    <row r="609" spans="2:15" ht="15" x14ac:dyDescent="0.25">
      <c r="B609" s="529">
        <v>604001</v>
      </c>
      <c r="C609" s="529">
        <v>605</v>
      </c>
      <c r="E609" s="534">
        <v>0</v>
      </c>
      <c r="F609" s="534">
        <v>0</v>
      </c>
      <c r="G609" s="534">
        <v>73</v>
      </c>
      <c r="I609" s="534">
        <v>0</v>
      </c>
      <c r="J609" s="534">
        <v>0</v>
      </c>
      <c r="K609" s="534">
        <v>2</v>
      </c>
      <c r="M609" s="617">
        <f t="shared" si="20"/>
        <v>0</v>
      </c>
      <c r="N609" s="617">
        <f t="shared" si="21"/>
        <v>75</v>
      </c>
      <c r="O609" s="617"/>
    </row>
    <row r="610" spans="2:15" ht="15" x14ac:dyDescent="0.25">
      <c r="B610" s="529">
        <v>605001</v>
      </c>
      <c r="C610" s="529">
        <v>606</v>
      </c>
      <c r="E610" s="534">
        <v>0</v>
      </c>
      <c r="F610" s="534">
        <v>0</v>
      </c>
      <c r="G610" s="534">
        <v>73</v>
      </c>
      <c r="I610" s="534">
        <v>0</v>
      </c>
      <c r="J610" s="534">
        <v>0</v>
      </c>
      <c r="K610" s="534">
        <v>2</v>
      </c>
      <c r="M610" s="617">
        <f t="shared" si="20"/>
        <v>0</v>
      </c>
      <c r="N610" s="617">
        <f t="shared" si="21"/>
        <v>75</v>
      </c>
      <c r="O610" s="617"/>
    </row>
    <row r="611" spans="2:15" ht="15" x14ac:dyDescent="0.25">
      <c r="B611" s="529">
        <v>606001</v>
      </c>
      <c r="C611" s="529">
        <v>607</v>
      </c>
      <c r="E611" s="534">
        <v>0</v>
      </c>
      <c r="F611" s="534">
        <v>0</v>
      </c>
      <c r="G611" s="534">
        <v>73</v>
      </c>
      <c r="I611" s="534">
        <v>1</v>
      </c>
      <c r="J611" s="534">
        <v>607</v>
      </c>
      <c r="K611" s="534">
        <v>2</v>
      </c>
      <c r="M611" s="617">
        <f t="shared" si="20"/>
        <v>1</v>
      </c>
      <c r="N611" s="617">
        <f t="shared" si="21"/>
        <v>75</v>
      </c>
      <c r="O611" s="617"/>
    </row>
    <row r="612" spans="2:15" ht="15" x14ac:dyDescent="0.25">
      <c r="B612" s="529">
        <v>607001</v>
      </c>
      <c r="C612" s="529">
        <v>608</v>
      </c>
      <c r="E612" s="534">
        <v>0</v>
      </c>
      <c r="F612" s="534">
        <v>0</v>
      </c>
      <c r="G612" s="534">
        <v>73</v>
      </c>
      <c r="I612" s="534">
        <v>0</v>
      </c>
      <c r="J612" s="534">
        <v>0</v>
      </c>
      <c r="K612" s="534">
        <v>1</v>
      </c>
      <c r="M612" s="617">
        <f t="shared" si="20"/>
        <v>0</v>
      </c>
      <c r="N612" s="617">
        <f t="shared" si="21"/>
        <v>74</v>
      </c>
      <c r="O612" s="617"/>
    </row>
    <row r="613" spans="2:15" ht="15" x14ac:dyDescent="0.25">
      <c r="B613" s="529">
        <v>608001</v>
      </c>
      <c r="C613" s="529">
        <v>609</v>
      </c>
      <c r="E613" s="534">
        <v>0</v>
      </c>
      <c r="F613" s="534">
        <v>0</v>
      </c>
      <c r="G613" s="534">
        <v>73</v>
      </c>
      <c r="I613" s="534">
        <v>0</v>
      </c>
      <c r="J613" s="534">
        <v>0</v>
      </c>
      <c r="K613" s="534">
        <v>1</v>
      </c>
      <c r="M613" s="617">
        <f t="shared" si="20"/>
        <v>0</v>
      </c>
      <c r="N613" s="617">
        <f t="shared" si="21"/>
        <v>74</v>
      </c>
      <c r="O613" s="617"/>
    </row>
    <row r="614" spans="2:15" ht="15" x14ac:dyDescent="0.25">
      <c r="B614" s="529">
        <v>609001</v>
      </c>
      <c r="C614" s="529">
        <v>610</v>
      </c>
      <c r="E614" s="534">
        <v>0</v>
      </c>
      <c r="F614" s="534">
        <v>0</v>
      </c>
      <c r="G614" s="534">
        <v>73</v>
      </c>
      <c r="I614" s="534">
        <v>0</v>
      </c>
      <c r="J614" s="534">
        <v>0</v>
      </c>
      <c r="K614" s="534">
        <v>1</v>
      </c>
      <c r="M614" s="617">
        <f t="shared" si="20"/>
        <v>0</v>
      </c>
      <c r="N614" s="617">
        <f t="shared" si="21"/>
        <v>74</v>
      </c>
      <c r="O614" s="617"/>
    </row>
    <row r="615" spans="2:15" ht="15" x14ac:dyDescent="0.25">
      <c r="B615" s="529">
        <v>610001</v>
      </c>
      <c r="C615" s="529">
        <v>611</v>
      </c>
      <c r="E615" s="534">
        <v>0</v>
      </c>
      <c r="F615" s="534">
        <v>0</v>
      </c>
      <c r="G615" s="534">
        <v>73</v>
      </c>
      <c r="I615" s="534">
        <v>0</v>
      </c>
      <c r="J615" s="534">
        <v>0</v>
      </c>
      <c r="K615" s="534">
        <v>1</v>
      </c>
      <c r="M615" s="617">
        <f t="shared" si="20"/>
        <v>0</v>
      </c>
      <c r="N615" s="617">
        <f t="shared" si="21"/>
        <v>74</v>
      </c>
      <c r="O615" s="617"/>
    </row>
    <row r="616" spans="2:15" ht="15" x14ac:dyDescent="0.25">
      <c r="B616" s="529">
        <v>611001</v>
      </c>
      <c r="C616" s="529">
        <v>612</v>
      </c>
      <c r="E616" s="534">
        <v>0</v>
      </c>
      <c r="F616" s="534">
        <v>0</v>
      </c>
      <c r="G616" s="534">
        <v>73</v>
      </c>
      <c r="I616" s="534">
        <v>0</v>
      </c>
      <c r="J616" s="534">
        <v>0</v>
      </c>
      <c r="K616" s="534">
        <v>1</v>
      </c>
      <c r="M616" s="617">
        <f t="shared" si="20"/>
        <v>0</v>
      </c>
      <c r="N616" s="617">
        <f t="shared" si="21"/>
        <v>74</v>
      </c>
      <c r="O616" s="617"/>
    </row>
    <row r="617" spans="2:15" ht="15" x14ac:dyDescent="0.25">
      <c r="B617" s="529">
        <v>612001</v>
      </c>
      <c r="C617" s="529">
        <v>613</v>
      </c>
      <c r="E617" s="534">
        <v>0</v>
      </c>
      <c r="F617" s="534">
        <v>0</v>
      </c>
      <c r="G617" s="534">
        <v>73</v>
      </c>
      <c r="I617" s="534">
        <v>0</v>
      </c>
      <c r="J617" s="534">
        <v>0</v>
      </c>
      <c r="K617" s="534">
        <v>1</v>
      </c>
      <c r="M617" s="617">
        <f t="shared" si="20"/>
        <v>0</v>
      </c>
      <c r="N617" s="617">
        <f t="shared" si="21"/>
        <v>74</v>
      </c>
      <c r="O617" s="617"/>
    </row>
    <row r="618" spans="2:15" ht="15" x14ac:dyDescent="0.25">
      <c r="B618" s="529">
        <v>613001</v>
      </c>
      <c r="C618" s="529">
        <v>614</v>
      </c>
      <c r="E618" s="534">
        <v>0</v>
      </c>
      <c r="F618" s="534">
        <v>0</v>
      </c>
      <c r="G618" s="534">
        <v>73</v>
      </c>
      <c r="I618" s="534">
        <v>0</v>
      </c>
      <c r="J618" s="534">
        <v>0</v>
      </c>
      <c r="K618" s="534">
        <v>1</v>
      </c>
      <c r="M618" s="617">
        <f t="shared" si="20"/>
        <v>0</v>
      </c>
      <c r="N618" s="617">
        <f t="shared" si="21"/>
        <v>74</v>
      </c>
      <c r="O618" s="617"/>
    </row>
    <row r="619" spans="2:15" ht="15" x14ac:dyDescent="0.25">
      <c r="B619" s="529">
        <v>614001</v>
      </c>
      <c r="C619" s="529">
        <v>615</v>
      </c>
      <c r="E619" s="534">
        <v>0</v>
      </c>
      <c r="F619" s="534">
        <v>0</v>
      </c>
      <c r="G619" s="534">
        <v>73</v>
      </c>
      <c r="I619" s="534">
        <v>0</v>
      </c>
      <c r="J619" s="534">
        <v>0</v>
      </c>
      <c r="K619" s="534">
        <v>1</v>
      </c>
      <c r="M619" s="617">
        <f t="shared" si="20"/>
        <v>0</v>
      </c>
      <c r="N619" s="617">
        <f t="shared" si="21"/>
        <v>74</v>
      </c>
      <c r="O619" s="617"/>
    </row>
    <row r="620" spans="2:15" ht="15" x14ac:dyDescent="0.25">
      <c r="B620" s="529">
        <v>615001</v>
      </c>
      <c r="C620" s="529">
        <v>616</v>
      </c>
      <c r="E620" s="534">
        <v>0</v>
      </c>
      <c r="F620" s="534">
        <v>0</v>
      </c>
      <c r="G620" s="534">
        <v>73</v>
      </c>
      <c r="I620" s="534">
        <v>0</v>
      </c>
      <c r="J620" s="534">
        <v>0</v>
      </c>
      <c r="K620" s="534">
        <v>1</v>
      </c>
      <c r="M620" s="617">
        <f t="shared" si="20"/>
        <v>0</v>
      </c>
      <c r="N620" s="617">
        <f t="shared" si="21"/>
        <v>74</v>
      </c>
      <c r="O620" s="617"/>
    </row>
    <row r="621" spans="2:15" ht="15" x14ac:dyDescent="0.25">
      <c r="B621" s="529">
        <v>616001</v>
      </c>
      <c r="C621" s="529">
        <v>617</v>
      </c>
      <c r="E621" s="534">
        <v>0</v>
      </c>
      <c r="F621" s="534">
        <v>0</v>
      </c>
      <c r="G621" s="534">
        <v>73</v>
      </c>
      <c r="I621" s="534">
        <v>0</v>
      </c>
      <c r="J621" s="534">
        <v>0</v>
      </c>
      <c r="K621" s="534">
        <v>1</v>
      </c>
      <c r="M621" s="617">
        <f t="shared" si="20"/>
        <v>0</v>
      </c>
      <c r="N621" s="617">
        <f t="shared" si="21"/>
        <v>74</v>
      </c>
      <c r="O621" s="617"/>
    </row>
    <row r="622" spans="2:15" ht="15" x14ac:dyDescent="0.25">
      <c r="B622" s="529">
        <v>617001</v>
      </c>
      <c r="C622" s="529">
        <v>618</v>
      </c>
      <c r="E622" s="534">
        <v>0</v>
      </c>
      <c r="F622" s="534">
        <v>0</v>
      </c>
      <c r="G622" s="534">
        <v>73</v>
      </c>
      <c r="I622" s="534">
        <v>0</v>
      </c>
      <c r="J622" s="534">
        <v>0</v>
      </c>
      <c r="K622" s="534">
        <v>1</v>
      </c>
      <c r="M622" s="617">
        <f t="shared" si="20"/>
        <v>0</v>
      </c>
      <c r="N622" s="617">
        <f t="shared" si="21"/>
        <v>74</v>
      </c>
      <c r="O622" s="617"/>
    </row>
    <row r="623" spans="2:15" ht="15" x14ac:dyDescent="0.25">
      <c r="B623" s="529">
        <v>618001</v>
      </c>
      <c r="C623" s="529">
        <v>619</v>
      </c>
      <c r="E623" s="534">
        <v>0</v>
      </c>
      <c r="F623" s="534">
        <v>0</v>
      </c>
      <c r="G623" s="534">
        <v>73</v>
      </c>
      <c r="I623" s="534">
        <v>0</v>
      </c>
      <c r="J623" s="534">
        <v>0</v>
      </c>
      <c r="K623" s="534">
        <v>1</v>
      </c>
      <c r="M623" s="617">
        <f t="shared" si="20"/>
        <v>0</v>
      </c>
      <c r="N623" s="617">
        <f t="shared" si="21"/>
        <v>74</v>
      </c>
      <c r="O623" s="617"/>
    </row>
    <row r="624" spans="2:15" ht="15" x14ac:dyDescent="0.25">
      <c r="B624" s="529">
        <v>619001</v>
      </c>
      <c r="C624" s="529">
        <v>620</v>
      </c>
      <c r="E624" s="534">
        <v>0</v>
      </c>
      <c r="F624" s="534">
        <v>0</v>
      </c>
      <c r="G624" s="534">
        <v>73</v>
      </c>
      <c r="I624" s="534">
        <v>0</v>
      </c>
      <c r="J624" s="534">
        <v>0</v>
      </c>
      <c r="K624" s="534">
        <v>1</v>
      </c>
      <c r="M624" s="617">
        <f t="shared" si="20"/>
        <v>0</v>
      </c>
      <c r="N624" s="617">
        <f t="shared" si="21"/>
        <v>74</v>
      </c>
      <c r="O624" s="617"/>
    </row>
    <row r="625" spans="2:15" ht="15" x14ac:dyDescent="0.25">
      <c r="B625" s="529">
        <v>620001</v>
      </c>
      <c r="C625" s="529">
        <v>621</v>
      </c>
      <c r="E625" s="534">
        <v>0</v>
      </c>
      <c r="F625" s="534">
        <v>0</v>
      </c>
      <c r="G625" s="534">
        <v>73</v>
      </c>
      <c r="I625" s="534">
        <v>0</v>
      </c>
      <c r="J625" s="534">
        <v>0</v>
      </c>
      <c r="K625" s="534">
        <v>1</v>
      </c>
      <c r="M625" s="617">
        <f t="shared" si="20"/>
        <v>0</v>
      </c>
      <c r="N625" s="617">
        <f t="shared" si="21"/>
        <v>74</v>
      </c>
      <c r="O625" s="617"/>
    </row>
    <row r="626" spans="2:15" ht="15" x14ac:dyDescent="0.25">
      <c r="B626" s="529">
        <v>621001</v>
      </c>
      <c r="C626" s="529">
        <v>622</v>
      </c>
      <c r="E626" s="534">
        <v>0</v>
      </c>
      <c r="F626" s="534">
        <v>0</v>
      </c>
      <c r="G626" s="534">
        <v>73</v>
      </c>
      <c r="I626" s="534">
        <v>0</v>
      </c>
      <c r="J626" s="534">
        <v>0</v>
      </c>
      <c r="K626" s="534">
        <v>1</v>
      </c>
      <c r="M626" s="617">
        <f t="shared" si="20"/>
        <v>0</v>
      </c>
      <c r="N626" s="617">
        <f t="shared" si="21"/>
        <v>74</v>
      </c>
      <c r="O626" s="617"/>
    </row>
    <row r="627" spans="2:15" ht="15" x14ac:dyDescent="0.25">
      <c r="B627" s="529">
        <v>622001</v>
      </c>
      <c r="C627" s="529">
        <v>623</v>
      </c>
      <c r="E627" s="534">
        <v>1</v>
      </c>
      <c r="F627" s="534">
        <v>623</v>
      </c>
      <c r="G627" s="534">
        <v>73</v>
      </c>
      <c r="I627" s="534">
        <v>0</v>
      </c>
      <c r="J627" s="534">
        <v>0</v>
      </c>
      <c r="K627" s="534">
        <v>1</v>
      </c>
      <c r="M627" s="617">
        <f t="shared" si="20"/>
        <v>1</v>
      </c>
      <c r="N627" s="617">
        <f t="shared" si="21"/>
        <v>74</v>
      </c>
      <c r="O627" s="617"/>
    </row>
    <row r="628" spans="2:15" ht="15" x14ac:dyDescent="0.25">
      <c r="B628" s="529">
        <v>623001</v>
      </c>
      <c r="C628" s="529">
        <v>624</v>
      </c>
      <c r="E628" s="534">
        <v>0</v>
      </c>
      <c r="F628" s="534">
        <v>0</v>
      </c>
      <c r="G628" s="534">
        <v>72</v>
      </c>
      <c r="I628" s="534">
        <v>0</v>
      </c>
      <c r="J628" s="534">
        <v>0</v>
      </c>
      <c r="K628" s="534">
        <v>1</v>
      </c>
      <c r="M628" s="617">
        <f t="shared" si="20"/>
        <v>0</v>
      </c>
      <c r="N628" s="617">
        <f t="shared" si="21"/>
        <v>73</v>
      </c>
      <c r="O628" s="617"/>
    </row>
    <row r="629" spans="2:15" ht="15" x14ac:dyDescent="0.25">
      <c r="B629" s="529">
        <v>624001</v>
      </c>
      <c r="C629" s="529">
        <v>625</v>
      </c>
      <c r="E629" s="534">
        <v>0</v>
      </c>
      <c r="F629" s="534">
        <v>0</v>
      </c>
      <c r="G629" s="534">
        <v>72</v>
      </c>
      <c r="I629" s="534">
        <v>0</v>
      </c>
      <c r="J629" s="534">
        <v>0</v>
      </c>
      <c r="K629" s="534">
        <v>1</v>
      </c>
      <c r="M629" s="617">
        <f t="shared" si="20"/>
        <v>0</v>
      </c>
      <c r="N629" s="617">
        <f t="shared" si="21"/>
        <v>73</v>
      </c>
      <c r="O629" s="617"/>
    </row>
    <row r="630" spans="2:15" ht="15" x14ac:dyDescent="0.25">
      <c r="B630" s="529">
        <v>625001</v>
      </c>
      <c r="C630" s="529">
        <v>626</v>
      </c>
      <c r="E630" s="534">
        <v>0</v>
      </c>
      <c r="F630" s="534">
        <v>0</v>
      </c>
      <c r="G630" s="534">
        <v>72</v>
      </c>
      <c r="I630" s="534">
        <v>0</v>
      </c>
      <c r="J630" s="534">
        <v>0</v>
      </c>
      <c r="K630" s="534">
        <v>1</v>
      </c>
      <c r="M630" s="617">
        <f t="shared" si="20"/>
        <v>0</v>
      </c>
      <c r="N630" s="617">
        <f t="shared" si="21"/>
        <v>73</v>
      </c>
      <c r="O630" s="617"/>
    </row>
    <row r="631" spans="2:15" ht="15" x14ac:dyDescent="0.25">
      <c r="B631" s="529">
        <v>626001</v>
      </c>
      <c r="C631" s="529">
        <v>627</v>
      </c>
      <c r="E631" s="534">
        <v>0</v>
      </c>
      <c r="F631" s="534">
        <v>0</v>
      </c>
      <c r="G631" s="534">
        <v>72</v>
      </c>
      <c r="I631" s="534">
        <v>0</v>
      </c>
      <c r="J631" s="534">
        <v>0</v>
      </c>
      <c r="K631" s="534">
        <v>1</v>
      </c>
      <c r="M631" s="617">
        <f t="shared" si="20"/>
        <v>0</v>
      </c>
      <c r="N631" s="617">
        <f t="shared" si="21"/>
        <v>73</v>
      </c>
      <c r="O631" s="617"/>
    </row>
    <row r="632" spans="2:15" ht="15" x14ac:dyDescent="0.25">
      <c r="B632" s="529">
        <v>627001</v>
      </c>
      <c r="C632" s="529">
        <v>628</v>
      </c>
      <c r="E632" s="534">
        <v>0</v>
      </c>
      <c r="F632" s="534">
        <v>0</v>
      </c>
      <c r="G632" s="534">
        <v>72</v>
      </c>
      <c r="I632" s="534">
        <v>0</v>
      </c>
      <c r="J632" s="534">
        <v>0</v>
      </c>
      <c r="K632" s="534">
        <v>1</v>
      </c>
      <c r="M632" s="617">
        <f t="shared" si="20"/>
        <v>0</v>
      </c>
      <c r="N632" s="617">
        <f t="shared" si="21"/>
        <v>73</v>
      </c>
      <c r="O632" s="617"/>
    </row>
    <row r="633" spans="2:15" ht="15" x14ac:dyDescent="0.25">
      <c r="B633" s="529">
        <v>628001</v>
      </c>
      <c r="C633" s="529">
        <v>629</v>
      </c>
      <c r="E633" s="534">
        <v>0</v>
      </c>
      <c r="F633" s="534">
        <v>0</v>
      </c>
      <c r="G633" s="534">
        <v>72</v>
      </c>
      <c r="I633" s="534">
        <v>0</v>
      </c>
      <c r="J633" s="534">
        <v>0</v>
      </c>
      <c r="K633" s="534">
        <v>1</v>
      </c>
      <c r="M633" s="617">
        <f t="shared" si="20"/>
        <v>0</v>
      </c>
      <c r="N633" s="617">
        <f t="shared" si="21"/>
        <v>73</v>
      </c>
      <c r="O633" s="617"/>
    </row>
    <row r="634" spans="2:15" ht="15" x14ac:dyDescent="0.25">
      <c r="B634" s="529">
        <v>629001</v>
      </c>
      <c r="C634" s="529">
        <v>630</v>
      </c>
      <c r="E634" s="534">
        <v>0</v>
      </c>
      <c r="F634" s="534">
        <v>0</v>
      </c>
      <c r="G634" s="534">
        <v>72</v>
      </c>
      <c r="I634" s="534">
        <v>0</v>
      </c>
      <c r="J634" s="534">
        <v>0</v>
      </c>
      <c r="K634" s="534">
        <v>1</v>
      </c>
      <c r="M634" s="617">
        <f t="shared" si="20"/>
        <v>0</v>
      </c>
      <c r="N634" s="617">
        <f t="shared" si="21"/>
        <v>73</v>
      </c>
      <c r="O634" s="617"/>
    </row>
    <row r="635" spans="2:15" ht="15" x14ac:dyDescent="0.25">
      <c r="B635" s="529">
        <v>630001</v>
      </c>
      <c r="C635" s="529">
        <v>631</v>
      </c>
      <c r="E635" s="534">
        <v>0</v>
      </c>
      <c r="F635" s="534">
        <v>0</v>
      </c>
      <c r="G635" s="534">
        <v>72</v>
      </c>
      <c r="I635" s="534">
        <v>0</v>
      </c>
      <c r="J635" s="534">
        <v>0</v>
      </c>
      <c r="K635" s="534">
        <v>1</v>
      </c>
      <c r="M635" s="617">
        <f t="shared" si="20"/>
        <v>0</v>
      </c>
      <c r="N635" s="617">
        <f t="shared" si="21"/>
        <v>73</v>
      </c>
      <c r="O635" s="617"/>
    </row>
    <row r="636" spans="2:15" ht="15" x14ac:dyDescent="0.25">
      <c r="B636" s="529">
        <v>631001</v>
      </c>
      <c r="C636" s="529">
        <v>632</v>
      </c>
      <c r="E636" s="534">
        <v>0</v>
      </c>
      <c r="F636" s="534">
        <v>0</v>
      </c>
      <c r="G636" s="534">
        <v>72</v>
      </c>
      <c r="I636" s="534">
        <v>0</v>
      </c>
      <c r="J636" s="534">
        <v>0</v>
      </c>
      <c r="K636" s="534">
        <v>1</v>
      </c>
      <c r="M636" s="617">
        <f t="shared" si="20"/>
        <v>0</v>
      </c>
      <c r="N636" s="617">
        <f t="shared" si="21"/>
        <v>73</v>
      </c>
      <c r="O636" s="617"/>
    </row>
    <row r="637" spans="2:15" ht="15" x14ac:dyDescent="0.25">
      <c r="B637" s="529">
        <v>632001</v>
      </c>
      <c r="C637" s="529">
        <v>633</v>
      </c>
      <c r="E637" s="534">
        <v>0</v>
      </c>
      <c r="F637" s="534">
        <v>0</v>
      </c>
      <c r="G637" s="534">
        <v>72</v>
      </c>
      <c r="I637" s="534">
        <v>0</v>
      </c>
      <c r="J637" s="534">
        <v>0</v>
      </c>
      <c r="K637" s="534">
        <v>1</v>
      </c>
      <c r="M637" s="617">
        <f t="shared" si="20"/>
        <v>0</v>
      </c>
      <c r="N637" s="617">
        <f t="shared" si="21"/>
        <v>73</v>
      </c>
      <c r="O637" s="617"/>
    </row>
    <row r="638" spans="2:15" ht="15" x14ac:dyDescent="0.25">
      <c r="B638" s="529">
        <v>633001</v>
      </c>
      <c r="C638" s="529">
        <v>634</v>
      </c>
      <c r="E638" s="534">
        <v>0</v>
      </c>
      <c r="F638" s="534">
        <v>0</v>
      </c>
      <c r="G638" s="534">
        <v>72</v>
      </c>
      <c r="I638" s="534">
        <v>0</v>
      </c>
      <c r="J638" s="534">
        <v>0</v>
      </c>
      <c r="K638" s="534">
        <v>1</v>
      </c>
      <c r="M638" s="617">
        <f t="shared" si="20"/>
        <v>0</v>
      </c>
      <c r="N638" s="617">
        <f t="shared" si="21"/>
        <v>73</v>
      </c>
      <c r="O638" s="617"/>
    </row>
    <row r="639" spans="2:15" ht="15" x14ac:dyDescent="0.25">
      <c r="B639" s="529">
        <v>634001</v>
      </c>
      <c r="C639" s="529">
        <v>635</v>
      </c>
      <c r="E639" s="534">
        <v>0</v>
      </c>
      <c r="F639" s="534">
        <v>0</v>
      </c>
      <c r="G639" s="534">
        <v>72</v>
      </c>
      <c r="I639" s="534">
        <v>0</v>
      </c>
      <c r="J639" s="534">
        <v>0</v>
      </c>
      <c r="K639" s="534">
        <v>1</v>
      </c>
      <c r="M639" s="617">
        <f t="shared" si="20"/>
        <v>0</v>
      </c>
      <c r="N639" s="617">
        <f t="shared" si="21"/>
        <v>73</v>
      </c>
      <c r="O639" s="617"/>
    </row>
    <row r="640" spans="2:15" ht="15" x14ac:dyDescent="0.25">
      <c r="B640" s="529">
        <v>635001</v>
      </c>
      <c r="C640" s="529">
        <v>636</v>
      </c>
      <c r="E640" s="534">
        <v>0</v>
      </c>
      <c r="F640" s="534">
        <v>0</v>
      </c>
      <c r="G640" s="534">
        <v>72</v>
      </c>
      <c r="I640" s="534">
        <v>0</v>
      </c>
      <c r="J640" s="534">
        <v>0</v>
      </c>
      <c r="K640" s="534">
        <v>1</v>
      </c>
      <c r="M640" s="617">
        <f t="shared" si="20"/>
        <v>0</v>
      </c>
      <c r="N640" s="617">
        <f t="shared" si="21"/>
        <v>73</v>
      </c>
      <c r="O640" s="617"/>
    </row>
    <row r="641" spans="2:15" ht="15" x14ac:dyDescent="0.25">
      <c r="B641" s="529">
        <v>636001</v>
      </c>
      <c r="C641" s="529">
        <v>637</v>
      </c>
      <c r="E641" s="534">
        <v>0</v>
      </c>
      <c r="F641" s="534">
        <v>0</v>
      </c>
      <c r="G641" s="534">
        <v>72</v>
      </c>
      <c r="I641" s="534">
        <v>0</v>
      </c>
      <c r="J641" s="534">
        <v>0</v>
      </c>
      <c r="K641" s="534">
        <v>1</v>
      </c>
      <c r="M641" s="617">
        <f t="shared" si="20"/>
        <v>0</v>
      </c>
      <c r="N641" s="617">
        <f t="shared" si="21"/>
        <v>73</v>
      </c>
      <c r="O641" s="617"/>
    </row>
    <row r="642" spans="2:15" ht="15" x14ac:dyDescent="0.25">
      <c r="B642" s="529">
        <v>637001</v>
      </c>
      <c r="C642" s="529">
        <v>638</v>
      </c>
      <c r="E642" s="534">
        <v>0</v>
      </c>
      <c r="F642" s="534">
        <v>0</v>
      </c>
      <c r="G642" s="534">
        <v>72</v>
      </c>
      <c r="I642" s="534">
        <v>0</v>
      </c>
      <c r="J642" s="534">
        <v>0</v>
      </c>
      <c r="K642" s="534">
        <v>1</v>
      </c>
      <c r="M642" s="617">
        <f t="shared" si="20"/>
        <v>0</v>
      </c>
      <c r="N642" s="617">
        <f t="shared" si="21"/>
        <v>73</v>
      </c>
      <c r="O642" s="617"/>
    </row>
    <row r="643" spans="2:15" ht="15" x14ac:dyDescent="0.25">
      <c r="B643" s="529">
        <v>638001</v>
      </c>
      <c r="C643" s="529">
        <v>639</v>
      </c>
      <c r="E643" s="534">
        <v>1</v>
      </c>
      <c r="F643" s="534">
        <v>639</v>
      </c>
      <c r="G643" s="534">
        <v>72</v>
      </c>
      <c r="I643" s="534">
        <v>0</v>
      </c>
      <c r="J643" s="534">
        <v>0</v>
      </c>
      <c r="K643" s="534">
        <v>1</v>
      </c>
      <c r="M643" s="617">
        <f t="shared" si="20"/>
        <v>1</v>
      </c>
      <c r="N643" s="617">
        <f t="shared" si="21"/>
        <v>73</v>
      </c>
      <c r="O643" s="617"/>
    </row>
    <row r="644" spans="2:15" ht="15" x14ac:dyDescent="0.25">
      <c r="B644" s="529">
        <v>639001</v>
      </c>
      <c r="C644" s="529">
        <v>640</v>
      </c>
      <c r="E644" s="534">
        <v>0</v>
      </c>
      <c r="F644" s="534">
        <v>0</v>
      </c>
      <c r="G644" s="534">
        <v>71</v>
      </c>
      <c r="I644" s="534">
        <v>0</v>
      </c>
      <c r="J644" s="534">
        <v>0</v>
      </c>
      <c r="K644" s="534">
        <v>1</v>
      </c>
      <c r="M644" s="617">
        <f t="shared" si="20"/>
        <v>0</v>
      </c>
      <c r="N644" s="617">
        <f t="shared" si="21"/>
        <v>72</v>
      </c>
      <c r="O644" s="617"/>
    </row>
    <row r="645" spans="2:15" ht="15" x14ac:dyDescent="0.25">
      <c r="B645" s="529">
        <v>640001</v>
      </c>
      <c r="C645" s="529">
        <v>641</v>
      </c>
      <c r="E645" s="534">
        <v>0</v>
      </c>
      <c r="F645" s="534">
        <v>0</v>
      </c>
      <c r="G645" s="534">
        <v>71</v>
      </c>
      <c r="I645" s="534">
        <v>0</v>
      </c>
      <c r="J645" s="534">
        <v>0</v>
      </c>
      <c r="K645" s="534">
        <v>1</v>
      </c>
      <c r="M645" s="617">
        <f t="shared" ref="M645:M708" si="22">I645+E645</f>
        <v>0</v>
      </c>
      <c r="N645" s="617">
        <f t="shared" ref="N645:N708" si="23">K645+G645</f>
        <v>72</v>
      </c>
      <c r="O645" s="617"/>
    </row>
    <row r="646" spans="2:15" ht="15" x14ac:dyDescent="0.25">
      <c r="B646" s="529">
        <v>641001</v>
      </c>
      <c r="C646" s="529">
        <v>642</v>
      </c>
      <c r="E646" s="534">
        <v>0</v>
      </c>
      <c r="F646" s="534">
        <v>0</v>
      </c>
      <c r="G646" s="534">
        <v>71</v>
      </c>
      <c r="I646" s="534">
        <v>0</v>
      </c>
      <c r="J646" s="534">
        <v>0</v>
      </c>
      <c r="K646" s="534">
        <v>1</v>
      </c>
      <c r="M646" s="617">
        <f t="shared" si="22"/>
        <v>0</v>
      </c>
      <c r="N646" s="617">
        <f t="shared" si="23"/>
        <v>72</v>
      </c>
      <c r="O646" s="617"/>
    </row>
    <row r="647" spans="2:15" ht="15" x14ac:dyDescent="0.25">
      <c r="B647" s="529">
        <v>642001</v>
      </c>
      <c r="C647" s="529">
        <v>643</v>
      </c>
      <c r="E647" s="534">
        <v>0</v>
      </c>
      <c r="F647" s="534">
        <v>0</v>
      </c>
      <c r="G647" s="534">
        <v>71</v>
      </c>
      <c r="I647" s="534">
        <v>0</v>
      </c>
      <c r="J647" s="534">
        <v>0</v>
      </c>
      <c r="K647" s="534">
        <v>1</v>
      </c>
      <c r="M647" s="617">
        <f t="shared" si="22"/>
        <v>0</v>
      </c>
      <c r="N647" s="617">
        <f t="shared" si="23"/>
        <v>72</v>
      </c>
      <c r="O647" s="617"/>
    </row>
    <row r="648" spans="2:15" ht="15" x14ac:dyDescent="0.25">
      <c r="B648" s="529">
        <v>643001</v>
      </c>
      <c r="C648" s="529">
        <v>644</v>
      </c>
      <c r="E648" s="534">
        <v>0</v>
      </c>
      <c r="F648" s="534">
        <v>0</v>
      </c>
      <c r="G648" s="534">
        <v>71</v>
      </c>
      <c r="I648" s="534">
        <v>0</v>
      </c>
      <c r="J648" s="534">
        <v>0</v>
      </c>
      <c r="K648" s="534">
        <v>1</v>
      </c>
      <c r="M648" s="617">
        <f t="shared" si="22"/>
        <v>0</v>
      </c>
      <c r="N648" s="617">
        <f t="shared" si="23"/>
        <v>72</v>
      </c>
      <c r="O648" s="617"/>
    </row>
    <row r="649" spans="2:15" ht="15" x14ac:dyDescent="0.25">
      <c r="B649" s="529">
        <v>644001</v>
      </c>
      <c r="C649" s="529">
        <v>645</v>
      </c>
      <c r="E649" s="534">
        <v>0</v>
      </c>
      <c r="F649" s="534">
        <v>0</v>
      </c>
      <c r="G649" s="534">
        <v>71</v>
      </c>
      <c r="I649" s="534">
        <v>0</v>
      </c>
      <c r="J649" s="534">
        <v>0</v>
      </c>
      <c r="K649" s="534">
        <v>1</v>
      </c>
      <c r="M649" s="617">
        <f t="shared" si="22"/>
        <v>0</v>
      </c>
      <c r="N649" s="617">
        <f t="shared" si="23"/>
        <v>72</v>
      </c>
      <c r="O649" s="617"/>
    </row>
    <row r="650" spans="2:15" ht="15" x14ac:dyDescent="0.25">
      <c r="B650" s="529">
        <v>645001</v>
      </c>
      <c r="C650" s="529">
        <v>646</v>
      </c>
      <c r="E650" s="534">
        <v>0</v>
      </c>
      <c r="F650" s="534">
        <v>0</v>
      </c>
      <c r="G650" s="534">
        <v>71</v>
      </c>
      <c r="I650" s="534">
        <v>0</v>
      </c>
      <c r="J650" s="534">
        <v>0</v>
      </c>
      <c r="K650" s="534">
        <v>1</v>
      </c>
      <c r="M650" s="617">
        <f t="shared" si="22"/>
        <v>0</v>
      </c>
      <c r="N650" s="617">
        <f t="shared" si="23"/>
        <v>72</v>
      </c>
      <c r="O650" s="617"/>
    </row>
    <row r="651" spans="2:15" ht="15" x14ac:dyDescent="0.25">
      <c r="B651" s="529">
        <v>646001</v>
      </c>
      <c r="C651" s="529">
        <v>647</v>
      </c>
      <c r="E651" s="534">
        <v>0</v>
      </c>
      <c r="F651" s="534">
        <v>0</v>
      </c>
      <c r="G651" s="534">
        <v>71</v>
      </c>
      <c r="I651" s="534">
        <v>0</v>
      </c>
      <c r="J651" s="534">
        <v>0</v>
      </c>
      <c r="K651" s="534">
        <v>1</v>
      </c>
      <c r="M651" s="617">
        <f t="shared" si="22"/>
        <v>0</v>
      </c>
      <c r="N651" s="617">
        <f t="shared" si="23"/>
        <v>72</v>
      </c>
      <c r="O651" s="617"/>
    </row>
    <row r="652" spans="2:15" ht="15" x14ac:dyDescent="0.25">
      <c r="B652" s="529">
        <v>647001</v>
      </c>
      <c r="C652" s="529">
        <v>648</v>
      </c>
      <c r="E652" s="534">
        <v>0</v>
      </c>
      <c r="F652" s="534">
        <v>0</v>
      </c>
      <c r="G652" s="534">
        <v>71</v>
      </c>
      <c r="I652" s="534">
        <v>0</v>
      </c>
      <c r="J652" s="534">
        <v>0</v>
      </c>
      <c r="K652" s="534">
        <v>1</v>
      </c>
      <c r="M652" s="617">
        <f t="shared" si="22"/>
        <v>0</v>
      </c>
      <c r="N652" s="617">
        <f t="shared" si="23"/>
        <v>72</v>
      </c>
      <c r="O652" s="617"/>
    </row>
    <row r="653" spans="2:15" ht="15" x14ac:dyDescent="0.25">
      <c r="B653" s="529">
        <v>648001</v>
      </c>
      <c r="C653" s="529">
        <v>649</v>
      </c>
      <c r="E653" s="534">
        <v>0</v>
      </c>
      <c r="F653" s="534">
        <v>0</v>
      </c>
      <c r="G653" s="534">
        <v>71</v>
      </c>
      <c r="I653" s="534">
        <v>0</v>
      </c>
      <c r="J653" s="534">
        <v>0</v>
      </c>
      <c r="K653" s="534">
        <v>1</v>
      </c>
      <c r="M653" s="617">
        <f t="shared" si="22"/>
        <v>0</v>
      </c>
      <c r="N653" s="617">
        <f t="shared" si="23"/>
        <v>72</v>
      </c>
      <c r="O653" s="617"/>
    </row>
    <row r="654" spans="2:15" ht="15" x14ac:dyDescent="0.25">
      <c r="B654" s="529">
        <v>649001</v>
      </c>
      <c r="C654" s="529">
        <v>650</v>
      </c>
      <c r="E654" s="534">
        <v>1</v>
      </c>
      <c r="F654" s="534">
        <v>650</v>
      </c>
      <c r="G654" s="534">
        <v>71</v>
      </c>
      <c r="I654" s="534">
        <v>0</v>
      </c>
      <c r="J654" s="534">
        <v>0</v>
      </c>
      <c r="K654" s="534">
        <v>1</v>
      </c>
      <c r="M654" s="617">
        <f t="shared" si="22"/>
        <v>1</v>
      </c>
      <c r="N654" s="617">
        <f t="shared" si="23"/>
        <v>72</v>
      </c>
      <c r="O654" s="617"/>
    </row>
    <row r="655" spans="2:15" ht="15" x14ac:dyDescent="0.25">
      <c r="B655" s="529">
        <v>650001</v>
      </c>
      <c r="C655" s="529">
        <v>651</v>
      </c>
      <c r="E655" s="534">
        <v>0</v>
      </c>
      <c r="F655" s="534">
        <v>0</v>
      </c>
      <c r="G655" s="534">
        <v>70</v>
      </c>
      <c r="I655" s="534">
        <v>0</v>
      </c>
      <c r="J655" s="534">
        <v>0</v>
      </c>
      <c r="K655" s="534">
        <v>1</v>
      </c>
      <c r="M655" s="617">
        <f t="shared" si="22"/>
        <v>0</v>
      </c>
      <c r="N655" s="617">
        <f t="shared" si="23"/>
        <v>71</v>
      </c>
      <c r="O655" s="617"/>
    </row>
    <row r="656" spans="2:15" ht="15" x14ac:dyDescent="0.25">
      <c r="B656" s="529">
        <v>651001</v>
      </c>
      <c r="C656" s="529">
        <v>652</v>
      </c>
      <c r="E656" s="534">
        <v>0</v>
      </c>
      <c r="F656" s="534">
        <v>0</v>
      </c>
      <c r="G656" s="534">
        <v>70</v>
      </c>
      <c r="I656" s="534">
        <v>0</v>
      </c>
      <c r="J656" s="534">
        <v>0</v>
      </c>
      <c r="K656" s="534">
        <v>1</v>
      </c>
      <c r="M656" s="617">
        <f t="shared" si="22"/>
        <v>0</v>
      </c>
      <c r="N656" s="617">
        <f t="shared" si="23"/>
        <v>71</v>
      </c>
      <c r="O656" s="617"/>
    </row>
    <row r="657" spans="2:15" ht="15" x14ac:dyDescent="0.25">
      <c r="B657" s="529">
        <v>652001</v>
      </c>
      <c r="C657" s="529">
        <v>653</v>
      </c>
      <c r="E657" s="534">
        <v>0</v>
      </c>
      <c r="F657" s="534">
        <v>0</v>
      </c>
      <c r="G657" s="534">
        <v>70</v>
      </c>
      <c r="I657" s="534">
        <v>0</v>
      </c>
      <c r="J657" s="534">
        <v>0</v>
      </c>
      <c r="K657" s="534">
        <v>1</v>
      </c>
      <c r="M657" s="617">
        <f t="shared" si="22"/>
        <v>0</v>
      </c>
      <c r="N657" s="617">
        <f t="shared" si="23"/>
        <v>71</v>
      </c>
      <c r="O657" s="617"/>
    </row>
    <row r="658" spans="2:15" ht="15" x14ac:dyDescent="0.25">
      <c r="B658" s="529">
        <v>653001</v>
      </c>
      <c r="C658" s="529">
        <v>654</v>
      </c>
      <c r="E658" s="534">
        <v>0</v>
      </c>
      <c r="F658" s="534">
        <v>0</v>
      </c>
      <c r="G658" s="534">
        <v>70</v>
      </c>
      <c r="I658" s="534">
        <v>0</v>
      </c>
      <c r="J658" s="534">
        <v>0</v>
      </c>
      <c r="K658" s="534">
        <v>1</v>
      </c>
      <c r="M658" s="617">
        <f t="shared" si="22"/>
        <v>0</v>
      </c>
      <c r="N658" s="617">
        <f t="shared" si="23"/>
        <v>71</v>
      </c>
      <c r="O658" s="617"/>
    </row>
    <row r="659" spans="2:15" ht="15" x14ac:dyDescent="0.25">
      <c r="B659" s="529">
        <v>654001</v>
      </c>
      <c r="C659" s="529">
        <v>655</v>
      </c>
      <c r="E659" s="534">
        <v>0</v>
      </c>
      <c r="F659" s="534">
        <v>0</v>
      </c>
      <c r="G659" s="534">
        <v>70</v>
      </c>
      <c r="I659" s="534">
        <v>0</v>
      </c>
      <c r="J659" s="534">
        <v>0</v>
      </c>
      <c r="K659" s="534">
        <v>1</v>
      </c>
      <c r="M659" s="617">
        <f t="shared" si="22"/>
        <v>0</v>
      </c>
      <c r="N659" s="617">
        <f t="shared" si="23"/>
        <v>71</v>
      </c>
      <c r="O659" s="617"/>
    </row>
    <row r="660" spans="2:15" ht="15" x14ac:dyDescent="0.25">
      <c r="B660" s="529">
        <v>655001</v>
      </c>
      <c r="C660" s="529">
        <v>656</v>
      </c>
      <c r="E660" s="534">
        <v>0</v>
      </c>
      <c r="F660" s="534">
        <v>0</v>
      </c>
      <c r="G660" s="534">
        <v>70</v>
      </c>
      <c r="I660" s="534">
        <v>0</v>
      </c>
      <c r="J660" s="534">
        <v>0</v>
      </c>
      <c r="K660" s="534">
        <v>1</v>
      </c>
      <c r="M660" s="617">
        <f t="shared" si="22"/>
        <v>0</v>
      </c>
      <c r="N660" s="617">
        <f t="shared" si="23"/>
        <v>71</v>
      </c>
      <c r="O660" s="617"/>
    </row>
    <row r="661" spans="2:15" ht="15" x14ac:dyDescent="0.25">
      <c r="B661" s="529">
        <v>656001</v>
      </c>
      <c r="C661" s="529">
        <v>657</v>
      </c>
      <c r="E661" s="534">
        <v>0</v>
      </c>
      <c r="F661" s="534">
        <v>0</v>
      </c>
      <c r="G661" s="534">
        <v>70</v>
      </c>
      <c r="I661" s="534">
        <v>0</v>
      </c>
      <c r="J661" s="534">
        <v>0</v>
      </c>
      <c r="K661" s="534">
        <v>1</v>
      </c>
      <c r="M661" s="617">
        <f t="shared" si="22"/>
        <v>0</v>
      </c>
      <c r="N661" s="617">
        <f t="shared" si="23"/>
        <v>71</v>
      </c>
      <c r="O661" s="617"/>
    </row>
    <row r="662" spans="2:15" ht="15" x14ac:dyDescent="0.25">
      <c r="B662" s="529">
        <v>657001</v>
      </c>
      <c r="C662" s="529">
        <v>658</v>
      </c>
      <c r="E662" s="534">
        <v>0</v>
      </c>
      <c r="F662" s="534">
        <v>0</v>
      </c>
      <c r="G662" s="534">
        <v>70</v>
      </c>
      <c r="I662" s="534">
        <v>0</v>
      </c>
      <c r="J662" s="534">
        <v>0</v>
      </c>
      <c r="K662" s="534">
        <v>1</v>
      </c>
      <c r="M662" s="617">
        <f t="shared" si="22"/>
        <v>0</v>
      </c>
      <c r="N662" s="617">
        <f t="shared" si="23"/>
        <v>71</v>
      </c>
      <c r="O662" s="617"/>
    </row>
    <row r="663" spans="2:15" ht="15" x14ac:dyDescent="0.25">
      <c r="B663" s="529">
        <v>658001</v>
      </c>
      <c r="C663" s="529">
        <v>659</v>
      </c>
      <c r="E663" s="534">
        <v>0</v>
      </c>
      <c r="F663" s="534">
        <v>0</v>
      </c>
      <c r="G663" s="534">
        <v>70</v>
      </c>
      <c r="I663" s="534">
        <v>0</v>
      </c>
      <c r="J663" s="534">
        <v>0</v>
      </c>
      <c r="K663" s="534">
        <v>1</v>
      </c>
      <c r="M663" s="617">
        <f t="shared" si="22"/>
        <v>0</v>
      </c>
      <c r="N663" s="617">
        <f t="shared" si="23"/>
        <v>71</v>
      </c>
      <c r="O663" s="617"/>
    </row>
    <row r="664" spans="2:15" ht="15" x14ac:dyDescent="0.25">
      <c r="B664" s="529">
        <v>659001</v>
      </c>
      <c r="C664" s="529">
        <v>660</v>
      </c>
      <c r="E664" s="534">
        <v>0</v>
      </c>
      <c r="F664" s="534">
        <v>0</v>
      </c>
      <c r="G664" s="534">
        <v>70</v>
      </c>
      <c r="I664" s="534">
        <v>0</v>
      </c>
      <c r="J664" s="534">
        <v>0</v>
      </c>
      <c r="K664" s="534">
        <v>1</v>
      </c>
      <c r="M664" s="617">
        <f t="shared" si="22"/>
        <v>0</v>
      </c>
      <c r="N664" s="617">
        <f t="shared" si="23"/>
        <v>71</v>
      </c>
      <c r="O664" s="617"/>
    </row>
    <row r="665" spans="2:15" ht="15" x14ac:dyDescent="0.25">
      <c r="B665" s="529">
        <v>660001</v>
      </c>
      <c r="C665" s="529">
        <v>661</v>
      </c>
      <c r="E665" s="534">
        <v>0</v>
      </c>
      <c r="F665" s="534">
        <v>0</v>
      </c>
      <c r="G665" s="534">
        <v>70</v>
      </c>
      <c r="I665" s="534">
        <v>0</v>
      </c>
      <c r="J665" s="534">
        <v>0</v>
      </c>
      <c r="K665" s="534">
        <v>1</v>
      </c>
      <c r="M665" s="617">
        <f t="shared" si="22"/>
        <v>0</v>
      </c>
      <c r="N665" s="617">
        <f t="shared" si="23"/>
        <v>71</v>
      </c>
      <c r="O665" s="617"/>
    </row>
    <row r="666" spans="2:15" ht="15" x14ac:dyDescent="0.25">
      <c r="B666" s="529">
        <v>661001</v>
      </c>
      <c r="C666" s="529">
        <v>662</v>
      </c>
      <c r="E666" s="534">
        <v>0</v>
      </c>
      <c r="F666" s="534">
        <v>0</v>
      </c>
      <c r="G666" s="534">
        <v>70</v>
      </c>
      <c r="I666" s="534">
        <v>0</v>
      </c>
      <c r="J666" s="534">
        <v>0</v>
      </c>
      <c r="K666" s="534">
        <v>1</v>
      </c>
      <c r="M666" s="617">
        <f t="shared" si="22"/>
        <v>0</v>
      </c>
      <c r="N666" s="617">
        <f t="shared" si="23"/>
        <v>71</v>
      </c>
      <c r="O666" s="617"/>
    </row>
    <row r="667" spans="2:15" ht="15" x14ac:dyDescent="0.25">
      <c r="B667" s="529">
        <v>662001</v>
      </c>
      <c r="C667" s="529">
        <v>663</v>
      </c>
      <c r="E667" s="534">
        <v>0</v>
      </c>
      <c r="F667" s="534">
        <v>0</v>
      </c>
      <c r="G667" s="534">
        <v>70</v>
      </c>
      <c r="I667" s="534">
        <v>0</v>
      </c>
      <c r="J667" s="534">
        <v>0</v>
      </c>
      <c r="K667" s="534">
        <v>1</v>
      </c>
      <c r="M667" s="617">
        <f t="shared" si="22"/>
        <v>0</v>
      </c>
      <c r="N667" s="617">
        <f t="shared" si="23"/>
        <v>71</v>
      </c>
      <c r="O667" s="617"/>
    </row>
    <row r="668" spans="2:15" ht="15" x14ac:dyDescent="0.25">
      <c r="B668" s="529">
        <v>663001</v>
      </c>
      <c r="C668" s="529">
        <v>664</v>
      </c>
      <c r="E668" s="534">
        <v>0</v>
      </c>
      <c r="F668" s="534">
        <v>0</v>
      </c>
      <c r="G668" s="534">
        <v>70</v>
      </c>
      <c r="I668" s="534">
        <v>0</v>
      </c>
      <c r="J668" s="534">
        <v>0</v>
      </c>
      <c r="K668" s="534">
        <v>1</v>
      </c>
      <c r="M668" s="617">
        <f t="shared" si="22"/>
        <v>0</v>
      </c>
      <c r="N668" s="617">
        <f t="shared" si="23"/>
        <v>71</v>
      </c>
      <c r="O668" s="617"/>
    </row>
    <row r="669" spans="2:15" ht="15" x14ac:dyDescent="0.25">
      <c r="B669" s="529">
        <v>664001</v>
      </c>
      <c r="C669" s="529">
        <v>665</v>
      </c>
      <c r="E669" s="534">
        <v>0</v>
      </c>
      <c r="F669" s="534">
        <v>0</v>
      </c>
      <c r="G669" s="534">
        <v>70</v>
      </c>
      <c r="I669" s="534">
        <v>0</v>
      </c>
      <c r="J669" s="534">
        <v>0</v>
      </c>
      <c r="K669" s="534">
        <v>1</v>
      </c>
      <c r="M669" s="617">
        <f t="shared" si="22"/>
        <v>0</v>
      </c>
      <c r="N669" s="617">
        <f t="shared" si="23"/>
        <v>71</v>
      </c>
      <c r="O669" s="617"/>
    </row>
    <row r="670" spans="2:15" ht="15" x14ac:dyDescent="0.25">
      <c r="B670" s="529">
        <v>665001</v>
      </c>
      <c r="C670" s="529">
        <v>666</v>
      </c>
      <c r="E670" s="534">
        <v>0</v>
      </c>
      <c r="F670" s="534">
        <v>0</v>
      </c>
      <c r="G670" s="534">
        <v>70</v>
      </c>
      <c r="I670" s="534">
        <v>0</v>
      </c>
      <c r="J670" s="534">
        <v>0</v>
      </c>
      <c r="K670" s="534">
        <v>1</v>
      </c>
      <c r="M670" s="617">
        <f t="shared" si="22"/>
        <v>0</v>
      </c>
      <c r="N670" s="617">
        <f t="shared" si="23"/>
        <v>71</v>
      </c>
      <c r="O670" s="617"/>
    </row>
    <row r="671" spans="2:15" ht="15" x14ac:dyDescent="0.25">
      <c r="B671" s="529">
        <v>666001</v>
      </c>
      <c r="C671" s="529">
        <v>667</v>
      </c>
      <c r="E671" s="534">
        <v>0</v>
      </c>
      <c r="F671" s="534">
        <v>0</v>
      </c>
      <c r="G671" s="534">
        <v>70</v>
      </c>
      <c r="I671" s="534">
        <v>0</v>
      </c>
      <c r="J671" s="534">
        <v>0</v>
      </c>
      <c r="K671" s="534">
        <v>1</v>
      </c>
      <c r="M671" s="617">
        <f t="shared" si="22"/>
        <v>0</v>
      </c>
      <c r="N671" s="617">
        <f t="shared" si="23"/>
        <v>71</v>
      </c>
      <c r="O671" s="617"/>
    </row>
    <row r="672" spans="2:15" ht="15" x14ac:dyDescent="0.25">
      <c r="B672" s="529">
        <v>667001</v>
      </c>
      <c r="C672" s="529">
        <v>668</v>
      </c>
      <c r="E672" s="534">
        <v>0</v>
      </c>
      <c r="F672" s="534">
        <v>0</v>
      </c>
      <c r="G672" s="534">
        <v>70</v>
      </c>
      <c r="I672" s="534">
        <v>0</v>
      </c>
      <c r="J672" s="534">
        <v>0</v>
      </c>
      <c r="K672" s="534">
        <v>1</v>
      </c>
      <c r="M672" s="617">
        <f t="shared" si="22"/>
        <v>0</v>
      </c>
      <c r="N672" s="617">
        <f t="shared" si="23"/>
        <v>71</v>
      </c>
      <c r="O672" s="617"/>
    </row>
    <row r="673" spans="2:15" ht="15" x14ac:dyDescent="0.25">
      <c r="B673" s="529">
        <v>668001</v>
      </c>
      <c r="C673" s="529">
        <v>669</v>
      </c>
      <c r="E673" s="534">
        <v>0</v>
      </c>
      <c r="F673" s="534">
        <v>0</v>
      </c>
      <c r="G673" s="534">
        <v>70</v>
      </c>
      <c r="I673" s="534">
        <v>0</v>
      </c>
      <c r="J673" s="534">
        <v>0</v>
      </c>
      <c r="K673" s="534">
        <v>1</v>
      </c>
      <c r="M673" s="617">
        <f t="shared" si="22"/>
        <v>0</v>
      </c>
      <c r="N673" s="617">
        <f t="shared" si="23"/>
        <v>71</v>
      </c>
      <c r="O673" s="617"/>
    </row>
    <row r="674" spans="2:15" ht="15" x14ac:dyDescent="0.25">
      <c r="B674" s="529">
        <v>669001</v>
      </c>
      <c r="C674" s="529">
        <v>670</v>
      </c>
      <c r="E674" s="534">
        <v>0</v>
      </c>
      <c r="F674" s="534">
        <v>0</v>
      </c>
      <c r="G674" s="534">
        <v>70</v>
      </c>
      <c r="I674" s="534">
        <v>0</v>
      </c>
      <c r="J674" s="534">
        <v>0</v>
      </c>
      <c r="K674" s="534">
        <v>1</v>
      </c>
      <c r="M674" s="617">
        <f t="shared" si="22"/>
        <v>0</v>
      </c>
      <c r="N674" s="617">
        <f t="shared" si="23"/>
        <v>71</v>
      </c>
      <c r="O674" s="617"/>
    </row>
    <row r="675" spans="2:15" ht="15" x14ac:dyDescent="0.25">
      <c r="B675" s="529">
        <v>670001</v>
      </c>
      <c r="C675" s="529">
        <v>671</v>
      </c>
      <c r="E675" s="534">
        <v>0</v>
      </c>
      <c r="F675" s="534">
        <v>0</v>
      </c>
      <c r="G675" s="534">
        <v>70</v>
      </c>
      <c r="I675" s="534">
        <v>0</v>
      </c>
      <c r="J675" s="534">
        <v>0</v>
      </c>
      <c r="K675" s="534">
        <v>1</v>
      </c>
      <c r="M675" s="617">
        <f t="shared" si="22"/>
        <v>0</v>
      </c>
      <c r="N675" s="617">
        <f t="shared" si="23"/>
        <v>71</v>
      </c>
      <c r="O675" s="617"/>
    </row>
    <row r="676" spans="2:15" ht="15" x14ac:dyDescent="0.25">
      <c r="B676" s="529">
        <v>671001</v>
      </c>
      <c r="C676" s="529">
        <v>672</v>
      </c>
      <c r="E676" s="534">
        <v>0</v>
      </c>
      <c r="F676" s="534">
        <v>0</v>
      </c>
      <c r="G676" s="534">
        <v>70</v>
      </c>
      <c r="I676" s="534">
        <v>0</v>
      </c>
      <c r="J676" s="534">
        <v>0</v>
      </c>
      <c r="K676" s="534">
        <v>1</v>
      </c>
      <c r="M676" s="617">
        <f t="shared" si="22"/>
        <v>0</v>
      </c>
      <c r="N676" s="617">
        <f t="shared" si="23"/>
        <v>71</v>
      </c>
      <c r="O676" s="617"/>
    </row>
    <row r="677" spans="2:15" ht="15" x14ac:dyDescent="0.25">
      <c r="B677" s="529">
        <v>672001</v>
      </c>
      <c r="C677" s="529">
        <v>673</v>
      </c>
      <c r="E677" s="534">
        <v>0</v>
      </c>
      <c r="F677" s="534">
        <v>0</v>
      </c>
      <c r="G677" s="534">
        <v>70</v>
      </c>
      <c r="I677" s="534">
        <v>0</v>
      </c>
      <c r="J677" s="534">
        <v>0</v>
      </c>
      <c r="K677" s="534">
        <v>1</v>
      </c>
      <c r="M677" s="617">
        <f t="shared" si="22"/>
        <v>0</v>
      </c>
      <c r="N677" s="617">
        <f t="shared" si="23"/>
        <v>71</v>
      </c>
      <c r="O677" s="617"/>
    </row>
    <row r="678" spans="2:15" ht="15" x14ac:dyDescent="0.25">
      <c r="B678" s="529">
        <v>673001</v>
      </c>
      <c r="C678" s="529">
        <v>674</v>
      </c>
      <c r="E678" s="534">
        <v>0</v>
      </c>
      <c r="F678" s="534">
        <v>0</v>
      </c>
      <c r="G678" s="534">
        <v>70</v>
      </c>
      <c r="I678" s="534">
        <v>0</v>
      </c>
      <c r="J678" s="534">
        <v>0</v>
      </c>
      <c r="K678" s="534">
        <v>1</v>
      </c>
      <c r="M678" s="617">
        <f t="shared" si="22"/>
        <v>0</v>
      </c>
      <c r="N678" s="617">
        <f t="shared" si="23"/>
        <v>71</v>
      </c>
      <c r="O678" s="617"/>
    </row>
    <row r="679" spans="2:15" ht="15" x14ac:dyDescent="0.25">
      <c r="B679" s="529">
        <v>674001</v>
      </c>
      <c r="C679" s="529">
        <v>675</v>
      </c>
      <c r="E679" s="534">
        <v>1</v>
      </c>
      <c r="F679" s="534">
        <v>675</v>
      </c>
      <c r="G679" s="534">
        <v>70</v>
      </c>
      <c r="I679" s="534">
        <v>0</v>
      </c>
      <c r="J679" s="534">
        <v>0</v>
      </c>
      <c r="K679" s="534">
        <v>1</v>
      </c>
      <c r="M679" s="617">
        <f t="shared" si="22"/>
        <v>1</v>
      </c>
      <c r="N679" s="617">
        <f t="shared" si="23"/>
        <v>71</v>
      </c>
      <c r="O679" s="617"/>
    </row>
    <row r="680" spans="2:15" ht="15" x14ac:dyDescent="0.25">
      <c r="B680" s="529">
        <v>675001</v>
      </c>
      <c r="C680" s="529">
        <v>676</v>
      </c>
      <c r="E680" s="534">
        <v>0</v>
      </c>
      <c r="F680" s="534">
        <v>0</v>
      </c>
      <c r="G680" s="534">
        <v>69</v>
      </c>
      <c r="I680" s="534">
        <v>0</v>
      </c>
      <c r="J680" s="534">
        <v>0</v>
      </c>
      <c r="K680" s="534">
        <v>1</v>
      </c>
      <c r="M680" s="617">
        <f t="shared" si="22"/>
        <v>0</v>
      </c>
      <c r="N680" s="617">
        <f t="shared" si="23"/>
        <v>70</v>
      </c>
      <c r="O680" s="617"/>
    </row>
    <row r="681" spans="2:15" ht="15" x14ac:dyDescent="0.25">
      <c r="B681" s="529">
        <v>676001</v>
      </c>
      <c r="C681" s="529">
        <v>677</v>
      </c>
      <c r="E681" s="534">
        <v>0</v>
      </c>
      <c r="F681" s="534">
        <v>0</v>
      </c>
      <c r="G681" s="534">
        <v>69</v>
      </c>
      <c r="I681" s="534">
        <v>0</v>
      </c>
      <c r="J681" s="534">
        <v>0</v>
      </c>
      <c r="K681" s="534">
        <v>1</v>
      </c>
      <c r="M681" s="617">
        <f t="shared" si="22"/>
        <v>0</v>
      </c>
      <c r="N681" s="617">
        <f t="shared" si="23"/>
        <v>70</v>
      </c>
      <c r="O681" s="617"/>
    </row>
    <row r="682" spans="2:15" ht="15" x14ac:dyDescent="0.25">
      <c r="B682" s="529">
        <v>677001</v>
      </c>
      <c r="C682" s="529">
        <v>678</v>
      </c>
      <c r="E682" s="534">
        <v>0</v>
      </c>
      <c r="F682" s="534">
        <v>0</v>
      </c>
      <c r="G682" s="534">
        <v>69</v>
      </c>
      <c r="I682" s="534">
        <v>0</v>
      </c>
      <c r="J682" s="534">
        <v>0</v>
      </c>
      <c r="K682" s="534">
        <v>1</v>
      </c>
      <c r="M682" s="617">
        <f t="shared" si="22"/>
        <v>0</v>
      </c>
      <c r="N682" s="617">
        <f t="shared" si="23"/>
        <v>70</v>
      </c>
      <c r="O682" s="617"/>
    </row>
    <row r="683" spans="2:15" ht="15" x14ac:dyDescent="0.25">
      <c r="B683" s="529">
        <v>678001</v>
      </c>
      <c r="C683" s="529">
        <v>679</v>
      </c>
      <c r="E683" s="534">
        <v>0</v>
      </c>
      <c r="F683" s="534">
        <v>0</v>
      </c>
      <c r="G683" s="534">
        <v>69</v>
      </c>
      <c r="I683" s="534">
        <v>0</v>
      </c>
      <c r="J683" s="534">
        <v>0</v>
      </c>
      <c r="K683" s="534">
        <v>1</v>
      </c>
      <c r="M683" s="617">
        <f t="shared" si="22"/>
        <v>0</v>
      </c>
      <c r="N683" s="617">
        <f t="shared" si="23"/>
        <v>70</v>
      </c>
      <c r="O683" s="617"/>
    </row>
    <row r="684" spans="2:15" ht="15" x14ac:dyDescent="0.25">
      <c r="B684" s="529">
        <v>679001</v>
      </c>
      <c r="C684" s="529">
        <v>680</v>
      </c>
      <c r="E684" s="534">
        <v>0</v>
      </c>
      <c r="F684" s="534">
        <v>0</v>
      </c>
      <c r="G684" s="534">
        <v>69</v>
      </c>
      <c r="I684" s="534">
        <v>0</v>
      </c>
      <c r="J684" s="534">
        <v>0</v>
      </c>
      <c r="K684" s="534">
        <v>1</v>
      </c>
      <c r="M684" s="617">
        <f t="shared" si="22"/>
        <v>0</v>
      </c>
      <c r="N684" s="617">
        <f t="shared" si="23"/>
        <v>70</v>
      </c>
      <c r="O684" s="617"/>
    </row>
    <row r="685" spans="2:15" ht="15" x14ac:dyDescent="0.25">
      <c r="B685" s="529">
        <v>680001</v>
      </c>
      <c r="C685" s="529">
        <v>681</v>
      </c>
      <c r="E685" s="534">
        <v>0</v>
      </c>
      <c r="F685" s="534">
        <v>0</v>
      </c>
      <c r="G685" s="534">
        <v>69</v>
      </c>
      <c r="I685" s="534">
        <v>0</v>
      </c>
      <c r="J685" s="534">
        <v>0</v>
      </c>
      <c r="K685" s="534">
        <v>1</v>
      </c>
      <c r="M685" s="617">
        <f t="shared" si="22"/>
        <v>0</v>
      </c>
      <c r="N685" s="617">
        <f t="shared" si="23"/>
        <v>70</v>
      </c>
      <c r="O685" s="617"/>
    </row>
    <row r="686" spans="2:15" ht="15" x14ac:dyDescent="0.25">
      <c r="B686" s="529">
        <v>681001</v>
      </c>
      <c r="C686" s="529">
        <v>682</v>
      </c>
      <c r="E686" s="534">
        <v>0</v>
      </c>
      <c r="F686" s="534">
        <v>0</v>
      </c>
      <c r="G686" s="534">
        <v>69</v>
      </c>
      <c r="I686" s="534">
        <v>0</v>
      </c>
      <c r="J686" s="534">
        <v>0</v>
      </c>
      <c r="K686" s="534">
        <v>1</v>
      </c>
      <c r="M686" s="617">
        <f t="shared" si="22"/>
        <v>0</v>
      </c>
      <c r="N686" s="617">
        <f t="shared" si="23"/>
        <v>70</v>
      </c>
      <c r="O686" s="617"/>
    </row>
    <row r="687" spans="2:15" ht="15" x14ac:dyDescent="0.25">
      <c r="B687" s="529">
        <v>682001</v>
      </c>
      <c r="C687" s="529">
        <v>683</v>
      </c>
      <c r="E687" s="534">
        <v>0</v>
      </c>
      <c r="F687" s="534">
        <v>0</v>
      </c>
      <c r="G687" s="534">
        <v>69</v>
      </c>
      <c r="I687" s="534">
        <v>0</v>
      </c>
      <c r="J687" s="534">
        <v>0</v>
      </c>
      <c r="K687" s="534">
        <v>1</v>
      </c>
      <c r="M687" s="617">
        <f t="shared" si="22"/>
        <v>0</v>
      </c>
      <c r="N687" s="617">
        <f t="shared" si="23"/>
        <v>70</v>
      </c>
      <c r="O687" s="617"/>
    </row>
    <row r="688" spans="2:15" ht="15" x14ac:dyDescent="0.25">
      <c r="B688" s="529">
        <v>683001</v>
      </c>
      <c r="C688" s="529">
        <v>684</v>
      </c>
      <c r="E688" s="534">
        <v>1</v>
      </c>
      <c r="F688" s="534">
        <v>684</v>
      </c>
      <c r="G688" s="534">
        <v>69</v>
      </c>
      <c r="I688" s="534">
        <v>0</v>
      </c>
      <c r="J688" s="534">
        <v>0</v>
      </c>
      <c r="K688" s="534">
        <v>1</v>
      </c>
      <c r="M688" s="617">
        <f t="shared" si="22"/>
        <v>1</v>
      </c>
      <c r="N688" s="617">
        <f t="shared" si="23"/>
        <v>70</v>
      </c>
      <c r="O688" s="617"/>
    </row>
    <row r="689" spans="2:15" ht="15" x14ac:dyDescent="0.25">
      <c r="B689" s="529">
        <v>684001</v>
      </c>
      <c r="C689" s="529">
        <v>685</v>
      </c>
      <c r="E689" s="534">
        <v>1</v>
      </c>
      <c r="F689" s="534">
        <v>685</v>
      </c>
      <c r="G689" s="534">
        <v>68</v>
      </c>
      <c r="I689" s="534">
        <v>0</v>
      </c>
      <c r="J689" s="534">
        <v>0</v>
      </c>
      <c r="K689" s="534">
        <v>1</v>
      </c>
      <c r="M689" s="617">
        <f t="shared" si="22"/>
        <v>1</v>
      </c>
      <c r="N689" s="617">
        <f t="shared" si="23"/>
        <v>69</v>
      </c>
      <c r="O689" s="617"/>
    </row>
    <row r="690" spans="2:15" ht="15" x14ac:dyDescent="0.25">
      <c r="B690" s="529">
        <v>685001</v>
      </c>
      <c r="C690" s="529">
        <v>686</v>
      </c>
      <c r="E690" s="534">
        <v>1</v>
      </c>
      <c r="F690" s="534">
        <v>686</v>
      </c>
      <c r="G690" s="534">
        <v>67</v>
      </c>
      <c r="I690" s="534">
        <v>0</v>
      </c>
      <c r="J690" s="534">
        <v>0</v>
      </c>
      <c r="K690" s="534">
        <v>1</v>
      </c>
      <c r="M690" s="617">
        <f t="shared" si="22"/>
        <v>1</v>
      </c>
      <c r="N690" s="617">
        <f t="shared" si="23"/>
        <v>68</v>
      </c>
      <c r="O690" s="617"/>
    </row>
    <row r="691" spans="2:15" ht="15" x14ac:dyDescent="0.25">
      <c r="B691" s="529">
        <v>686001</v>
      </c>
      <c r="C691" s="529">
        <v>687</v>
      </c>
      <c r="E691" s="534">
        <v>0</v>
      </c>
      <c r="F691" s="534">
        <v>0</v>
      </c>
      <c r="G691" s="534">
        <v>66</v>
      </c>
      <c r="I691" s="534">
        <v>0</v>
      </c>
      <c r="J691" s="534">
        <v>0</v>
      </c>
      <c r="K691" s="534">
        <v>1</v>
      </c>
      <c r="M691" s="617">
        <f t="shared" si="22"/>
        <v>0</v>
      </c>
      <c r="N691" s="617">
        <f t="shared" si="23"/>
        <v>67</v>
      </c>
      <c r="O691" s="617"/>
    </row>
    <row r="692" spans="2:15" ht="15" x14ac:dyDescent="0.25">
      <c r="B692" s="529">
        <v>687001</v>
      </c>
      <c r="C692" s="529">
        <v>688</v>
      </c>
      <c r="E692" s="534">
        <v>0</v>
      </c>
      <c r="F692" s="534">
        <v>0</v>
      </c>
      <c r="G692" s="534">
        <v>66</v>
      </c>
      <c r="I692" s="534">
        <v>0</v>
      </c>
      <c r="J692" s="534">
        <v>0</v>
      </c>
      <c r="K692" s="534">
        <v>1</v>
      </c>
      <c r="M692" s="617">
        <f t="shared" si="22"/>
        <v>0</v>
      </c>
      <c r="N692" s="617">
        <f t="shared" si="23"/>
        <v>67</v>
      </c>
      <c r="O692" s="617"/>
    </row>
    <row r="693" spans="2:15" ht="15" x14ac:dyDescent="0.25">
      <c r="B693" s="529">
        <v>688001</v>
      </c>
      <c r="C693" s="529">
        <v>689</v>
      </c>
      <c r="E693" s="534">
        <v>0</v>
      </c>
      <c r="F693" s="534">
        <v>0</v>
      </c>
      <c r="G693" s="534">
        <v>66</v>
      </c>
      <c r="I693" s="534">
        <v>0</v>
      </c>
      <c r="J693" s="534">
        <v>0</v>
      </c>
      <c r="K693" s="534">
        <v>1</v>
      </c>
      <c r="M693" s="617">
        <f t="shared" si="22"/>
        <v>0</v>
      </c>
      <c r="N693" s="617">
        <f t="shared" si="23"/>
        <v>67</v>
      </c>
      <c r="O693" s="617"/>
    </row>
    <row r="694" spans="2:15" ht="15" x14ac:dyDescent="0.25">
      <c r="B694" s="529">
        <v>689001</v>
      </c>
      <c r="C694" s="529">
        <v>690</v>
      </c>
      <c r="E694" s="534">
        <v>1</v>
      </c>
      <c r="F694" s="534">
        <v>690</v>
      </c>
      <c r="G694" s="534">
        <v>66</v>
      </c>
      <c r="I694" s="534">
        <v>0</v>
      </c>
      <c r="J694" s="534">
        <v>0</v>
      </c>
      <c r="K694" s="534">
        <v>1</v>
      </c>
      <c r="M694" s="617">
        <f t="shared" si="22"/>
        <v>1</v>
      </c>
      <c r="N694" s="617">
        <f t="shared" si="23"/>
        <v>67</v>
      </c>
      <c r="O694" s="617"/>
    </row>
    <row r="695" spans="2:15" ht="15" x14ac:dyDescent="0.25">
      <c r="B695" s="529">
        <v>690001</v>
      </c>
      <c r="C695" s="529">
        <v>691</v>
      </c>
      <c r="E695" s="534">
        <v>0</v>
      </c>
      <c r="F695" s="534">
        <v>0</v>
      </c>
      <c r="G695" s="534">
        <v>65</v>
      </c>
      <c r="I695" s="534">
        <v>0</v>
      </c>
      <c r="J695" s="534">
        <v>0</v>
      </c>
      <c r="K695" s="534">
        <v>1</v>
      </c>
      <c r="M695" s="617">
        <f t="shared" si="22"/>
        <v>0</v>
      </c>
      <c r="N695" s="617">
        <f t="shared" si="23"/>
        <v>66</v>
      </c>
      <c r="O695" s="617"/>
    </row>
    <row r="696" spans="2:15" ht="15" x14ac:dyDescent="0.25">
      <c r="B696" s="529">
        <v>691001</v>
      </c>
      <c r="C696" s="529">
        <v>692</v>
      </c>
      <c r="E696" s="534">
        <v>0</v>
      </c>
      <c r="F696" s="534">
        <v>0</v>
      </c>
      <c r="G696" s="534">
        <v>65</v>
      </c>
      <c r="I696" s="534">
        <v>0</v>
      </c>
      <c r="J696" s="534">
        <v>0</v>
      </c>
      <c r="K696" s="534">
        <v>1</v>
      </c>
      <c r="M696" s="617">
        <f t="shared" si="22"/>
        <v>0</v>
      </c>
      <c r="N696" s="617">
        <f t="shared" si="23"/>
        <v>66</v>
      </c>
      <c r="O696" s="617"/>
    </row>
    <row r="697" spans="2:15" ht="15" x14ac:dyDescent="0.25">
      <c r="B697" s="529">
        <v>692001</v>
      </c>
      <c r="C697" s="529">
        <v>693</v>
      </c>
      <c r="E697" s="534">
        <v>0</v>
      </c>
      <c r="F697" s="534">
        <v>0</v>
      </c>
      <c r="G697" s="534">
        <v>65</v>
      </c>
      <c r="I697" s="534">
        <v>0</v>
      </c>
      <c r="J697" s="534">
        <v>0</v>
      </c>
      <c r="K697" s="534">
        <v>1</v>
      </c>
      <c r="M697" s="617">
        <f t="shared" si="22"/>
        <v>0</v>
      </c>
      <c r="N697" s="617">
        <f t="shared" si="23"/>
        <v>66</v>
      </c>
      <c r="O697" s="617"/>
    </row>
    <row r="698" spans="2:15" ht="15" x14ac:dyDescent="0.25">
      <c r="B698" s="529">
        <v>693001</v>
      </c>
      <c r="C698" s="529">
        <v>694</v>
      </c>
      <c r="E698" s="534">
        <v>0</v>
      </c>
      <c r="F698" s="534">
        <v>0</v>
      </c>
      <c r="G698" s="534">
        <v>65</v>
      </c>
      <c r="I698" s="534">
        <v>0</v>
      </c>
      <c r="J698" s="534">
        <v>0</v>
      </c>
      <c r="K698" s="534">
        <v>1</v>
      </c>
      <c r="M698" s="617">
        <f t="shared" si="22"/>
        <v>0</v>
      </c>
      <c r="N698" s="617">
        <f t="shared" si="23"/>
        <v>66</v>
      </c>
      <c r="O698" s="617"/>
    </row>
    <row r="699" spans="2:15" ht="15" x14ac:dyDescent="0.25">
      <c r="B699" s="529">
        <v>694001</v>
      </c>
      <c r="C699" s="529">
        <v>695</v>
      </c>
      <c r="E699" s="534">
        <v>0</v>
      </c>
      <c r="F699" s="534">
        <v>0</v>
      </c>
      <c r="G699" s="534">
        <v>65</v>
      </c>
      <c r="I699" s="534">
        <v>0</v>
      </c>
      <c r="J699" s="534">
        <v>0</v>
      </c>
      <c r="K699" s="534">
        <v>1</v>
      </c>
      <c r="M699" s="617">
        <f t="shared" si="22"/>
        <v>0</v>
      </c>
      <c r="N699" s="617">
        <f t="shared" si="23"/>
        <v>66</v>
      </c>
      <c r="O699" s="617"/>
    </row>
    <row r="700" spans="2:15" ht="15" x14ac:dyDescent="0.25">
      <c r="B700" s="529">
        <v>695001</v>
      </c>
      <c r="C700" s="529">
        <v>696</v>
      </c>
      <c r="E700" s="534">
        <v>0</v>
      </c>
      <c r="F700" s="534">
        <v>0</v>
      </c>
      <c r="G700" s="534">
        <v>65</v>
      </c>
      <c r="I700" s="534">
        <v>0</v>
      </c>
      <c r="J700" s="534">
        <v>0</v>
      </c>
      <c r="K700" s="534">
        <v>1</v>
      </c>
      <c r="M700" s="617">
        <f t="shared" si="22"/>
        <v>0</v>
      </c>
      <c r="N700" s="617">
        <f t="shared" si="23"/>
        <v>66</v>
      </c>
      <c r="O700" s="617"/>
    </row>
    <row r="701" spans="2:15" ht="15" x14ac:dyDescent="0.25">
      <c r="B701" s="529">
        <v>696001</v>
      </c>
      <c r="C701" s="529">
        <v>697</v>
      </c>
      <c r="E701" s="534">
        <v>0</v>
      </c>
      <c r="F701" s="534">
        <v>0</v>
      </c>
      <c r="G701" s="534">
        <v>65</v>
      </c>
      <c r="I701" s="534">
        <v>0</v>
      </c>
      <c r="J701" s="534">
        <v>0</v>
      </c>
      <c r="K701" s="534">
        <v>1</v>
      </c>
      <c r="M701" s="617">
        <f t="shared" si="22"/>
        <v>0</v>
      </c>
      <c r="N701" s="617">
        <f t="shared" si="23"/>
        <v>66</v>
      </c>
      <c r="O701" s="617"/>
    </row>
    <row r="702" spans="2:15" ht="15" x14ac:dyDescent="0.25">
      <c r="B702" s="529">
        <v>697001</v>
      </c>
      <c r="C702" s="529">
        <v>698</v>
      </c>
      <c r="E702" s="534">
        <v>0</v>
      </c>
      <c r="F702" s="534">
        <v>0</v>
      </c>
      <c r="G702" s="534">
        <v>65</v>
      </c>
      <c r="I702" s="534">
        <v>0</v>
      </c>
      <c r="J702" s="534">
        <v>0</v>
      </c>
      <c r="K702" s="534">
        <v>1</v>
      </c>
      <c r="M702" s="617">
        <f t="shared" si="22"/>
        <v>0</v>
      </c>
      <c r="N702" s="617">
        <f t="shared" si="23"/>
        <v>66</v>
      </c>
      <c r="O702" s="617"/>
    </row>
    <row r="703" spans="2:15" ht="15" x14ac:dyDescent="0.25">
      <c r="B703" s="529">
        <v>698001</v>
      </c>
      <c r="C703" s="529">
        <v>699</v>
      </c>
      <c r="E703" s="534">
        <v>0</v>
      </c>
      <c r="F703" s="534">
        <v>0</v>
      </c>
      <c r="G703" s="534">
        <v>65</v>
      </c>
      <c r="I703" s="534">
        <v>0</v>
      </c>
      <c r="J703" s="534">
        <v>0</v>
      </c>
      <c r="K703" s="534">
        <v>1</v>
      </c>
      <c r="M703" s="617">
        <f t="shared" si="22"/>
        <v>0</v>
      </c>
      <c r="N703" s="617">
        <f t="shared" si="23"/>
        <v>66</v>
      </c>
      <c r="O703" s="617"/>
    </row>
    <row r="704" spans="2:15" ht="15" x14ac:dyDescent="0.25">
      <c r="B704" s="529">
        <v>699001</v>
      </c>
      <c r="C704" s="529">
        <v>700</v>
      </c>
      <c r="E704" s="534">
        <v>0</v>
      </c>
      <c r="F704" s="534">
        <v>0</v>
      </c>
      <c r="G704" s="534">
        <v>65</v>
      </c>
      <c r="I704" s="534">
        <v>0</v>
      </c>
      <c r="J704" s="534">
        <v>0</v>
      </c>
      <c r="K704" s="534">
        <v>1</v>
      </c>
      <c r="M704" s="617">
        <f t="shared" si="22"/>
        <v>0</v>
      </c>
      <c r="N704" s="617">
        <f t="shared" si="23"/>
        <v>66</v>
      </c>
      <c r="O704" s="617"/>
    </row>
    <row r="705" spans="2:15" ht="15" x14ac:dyDescent="0.25">
      <c r="B705" s="529">
        <v>700001</v>
      </c>
      <c r="C705" s="529">
        <v>701</v>
      </c>
      <c r="E705" s="534">
        <v>1</v>
      </c>
      <c r="F705" s="534">
        <v>701</v>
      </c>
      <c r="G705" s="534">
        <v>65</v>
      </c>
      <c r="I705" s="534">
        <v>0</v>
      </c>
      <c r="J705" s="534">
        <v>0</v>
      </c>
      <c r="K705" s="534">
        <v>1</v>
      </c>
      <c r="M705" s="617">
        <f t="shared" si="22"/>
        <v>1</v>
      </c>
      <c r="N705" s="617">
        <f t="shared" si="23"/>
        <v>66</v>
      </c>
      <c r="O705" s="617"/>
    </row>
    <row r="706" spans="2:15" ht="15" x14ac:dyDescent="0.25">
      <c r="B706" s="529">
        <v>701001</v>
      </c>
      <c r="C706" s="529">
        <v>702</v>
      </c>
      <c r="E706" s="534">
        <v>0</v>
      </c>
      <c r="F706" s="534">
        <v>0</v>
      </c>
      <c r="G706" s="534">
        <v>64</v>
      </c>
      <c r="I706" s="534">
        <v>0</v>
      </c>
      <c r="J706" s="534">
        <v>0</v>
      </c>
      <c r="K706" s="534">
        <v>1</v>
      </c>
      <c r="M706" s="617">
        <f t="shared" si="22"/>
        <v>0</v>
      </c>
      <c r="N706" s="617">
        <f t="shared" si="23"/>
        <v>65</v>
      </c>
      <c r="O706" s="617"/>
    </row>
    <row r="707" spans="2:15" ht="15" x14ac:dyDescent="0.25">
      <c r="B707" s="529">
        <v>702001</v>
      </c>
      <c r="C707" s="529">
        <v>703</v>
      </c>
      <c r="E707" s="534">
        <v>0</v>
      </c>
      <c r="F707" s="534">
        <v>0</v>
      </c>
      <c r="G707" s="534">
        <v>64</v>
      </c>
      <c r="I707" s="534">
        <v>0</v>
      </c>
      <c r="J707" s="534">
        <v>0</v>
      </c>
      <c r="K707" s="534">
        <v>1</v>
      </c>
      <c r="M707" s="617">
        <f t="shared" si="22"/>
        <v>0</v>
      </c>
      <c r="N707" s="617">
        <f t="shared" si="23"/>
        <v>65</v>
      </c>
      <c r="O707" s="617"/>
    </row>
    <row r="708" spans="2:15" ht="15" x14ac:dyDescent="0.25">
      <c r="B708" s="529">
        <v>703001</v>
      </c>
      <c r="C708" s="529">
        <v>704</v>
      </c>
      <c r="E708" s="534">
        <v>0</v>
      </c>
      <c r="F708" s="534">
        <v>0</v>
      </c>
      <c r="G708" s="534">
        <v>64</v>
      </c>
      <c r="I708" s="534">
        <v>0</v>
      </c>
      <c r="J708" s="534">
        <v>0</v>
      </c>
      <c r="K708" s="534">
        <v>1</v>
      </c>
      <c r="M708" s="617">
        <f t="shared" si="22"/>
        <v>0</v>
      </c>
      <c r="N708" s="617">
        <f t="shared" si="23"/>
        <v>65</v>
      </c>
      <c r="O708" s="617"/>
    </row>
    <row r="709" spans="2:15" ht="15" x14ac:dyDescent="0.25">
      <c r="B709" s="529">
        <v>704001</v>
      </c>
      <c r="C709" s="529">
        <v>705</v>
      </c>
      <c r="E709" s="534">
        <v>0</v>
      </c>
      <c r="F709" s="534">
        <v>0</v>
      </c>
      <c r="G709" s="534">
        <v>64</v>
      </c>
      <c r="I709" s="534">
        <v>0</v>
      </c>
      <c r="J709" s="534">
        <v>0</v>
      </c>
      <c r="K709" s="534">
        <v>1</v>
      </c>
      <c r="M709" s="617">
        <f t="shared" ref="M709:M772" si="24">I709+E709</f>
        <v>0</v>
      </c>
      <c r="N709" s="617">
        <f t="shared" ref="N709:N772" si="25">K709+G709</f>
        <v>65</v>
      </c>
      <c r="O709" s="617"/>
    </row>
    <row r="710" spans="2:15" ht="15" x14ac:dyDescent="0.25">
      <c r="B710" s="529">
        <v>705001</v>
      </c>
      <c r="C710" s="529">
        <v>706</v>
      </c>
      <c r="E710" s="534">
        <v>0</v>
      </c>
      <c r="F710" s="534">
        <v>0</v>
      </c>
      <c r="G710" s="534">
        <v>64</v>
      </c>
      <c r="I710" s="534">
        <v>0</v>
      </c>
      <c r="J710" s="534">
        <v>0</v>
      </c>
      <c r="K710" s="534">
        <v>1</v>
      </c>
      <c r="M710" s="617">
        <f t="shared" si="24"/>
        <v>0</v>
      </c>
      <c r="N710" s="617">
        <f t="shared" si="25"/>
        <v>65</v>
      </c>
      <c r="O710" s="617"/>
    </row>
    <row r="711" spans="2:15" ht="15" x14ac:dyDescent="0.25">
      <c r="B711" s="529">
        <v>706001</v>
      </c>
      <c r="C711" s="529">
        <v>707</v>
      </c>
      <c r="E711" s="534">
        <v>0</v>
      </c>
      <c r="F711" s="534">
        <v>0</v>
      </c>
      <c r="G711" s="534">
        <v>64</v>
      </c>
      <c r="I711" s="534">
        <v>0</v>
      </c>
      <c r="J711" s="534">
        <v>0</v>
      </c>
      <c r="K711" s="534">
        <v>1</v>
      </c>
      <c r="M711" s="617">
        <f t="shared" si="24"/>
        <v>0</v>
      </c>
      <c r="N711" s="617">
        <f t="shared" si="25"/>
        <v>65</v>
      </c>
      <c r="O711" s="617"/>
    </row>
    <row r="712" spans="2:15" ht="15" x14ac:dyDescent="0.25">
      <c r="B712" s="529">
        <v>707001</v>
      </c>
      <c r="C712" s="529">
        <v>708</v>
      </c>
      <c r="E712" s="534">
        <v>0</v>
      </c>
      <c r="F712" s="534">
        <v>0</v>
      </c>
      <c r="G712" s="534">
        <v>64</v>
      </c>
      <c r="I712" s="534">
        <v>0</v>
      </c>
      <c r="J712" s="534">
        <v>0</v>
      </c>
      <c r="K712" s="534">
        <v>1</v>
      </c>
      <c r="M712" s="617">
        <f t="shared" si="24"/>
        <v>0</v>
      </c>
      <c r="N712" s="617">
        <f t="shared" si="25"/>
        <v>65</v>
      </c>
      <c r="O712" s="617"/>
    </row>
    <row r="713" spans="2:15" ht="15" x14ac:dyDescent="0.25">
      <c r="B713" s="529">
        <v>708001</v>
      </c>
      <c r="C713" s="529">
        <v>709</v>
      </c>
      <c r="E713" s="534">
        <v>0</v>
      </c>
      <c r="F713" s="534">
        <v>0</v>
      </c>
      <c r="G713" s="534">
        <v>64</v>
      </c>
      <c r="I713" s="534">
        <v>0</v>
      </c>
      <c r="J713" s="534">
        <v>0</v>
      </c>
      <c r="K713" s="534">
        <v>1</v>
      </c>
      <c r="M713" s="617">
        <f t="shared" si="24"/>
        <v>0</v>
      </c>
      <c r="N713" s="617">
        <f t="shared" si="25"/>
        <v>65</v>
      </c>
      <c r="O713" s="617"/>
    </row>
    <row r="714" spans="2:15" ht="15" x14ac:dyDescent="0.25">
      <c r="B714" s="529">
        <v>709001</v>
      </c>
      <c r="C714" s="529">
        <v>710</v>
      </c>
      <c r="E714" s="534">
        <v>0</v>
      </c>
      <c r="F714" s="534">
        <v>0</v>
      </c>
      <c r="G714" s="534">
        <v>64</v>
      </c>
      <c r="I714" s="534">
        <v>0</v>
      </c>
      <c r="J714" s="534">
        <v>0</v>
      </c>
      <c r="K714" s="534">
        <v>1</v>
      </c>
      <c r="M714" s="617">
        <f t="shared" si="24"/>
        <v>0</v>
      </c>
      <c r="N714" s="617">
        <f t="shared" si="25"/>
        <v>65</v>
      </c>
      <c r="O714" s="617"/>
    </row>
    <row r="715" spans="2:15" ht="15" x14ac:dyDescent="0.25">
      <c r="B715" s="529">
        <v>710001</v>
      </c>
      <c r="C715" s="529">
        <v>711</v>
      </c>
      <c r="E715" s="534">
        <v>0</v>
      </c>
      <c r="F715" s="534">
        <v>0</v>
      </c>
      <c r="G715" s="534">
        <v>64</v>
      </c>
      <c r="I715" s="534">
        <v>0</v>
      </c>
      <c r="J715" s="534">
        <v>0</v>
      </c>
      <c r="K715" s="534">
        <v>1</v>
      </c>
      <c r="M715" s="617">
        <f t="shared" si="24"/>
        <v>0</v>
      </c>
      <c r="N715" s="617">
        <f t="shared" si="25"/>
        <v>65</v>
      </c>
      <c r="O715" s="617"/>
    </row>
    <row r="716" spans="2:15" ht="15" x14ac:dyDescent="0.25">
      <c r="B716" s="529">
        <v>711001</v>
      </c>
      <c r="C716" s="529">
        <v>712</v>
      </c>
      <c r="E716" s="534">
        <v>0</v>
      </c>
      <c r="F716" s="534">
        <v>0</v>
      </c>
      <c r="G716" s="534">
        <v>64</v>
      </c>
      <c r="I716" s="534">
        <v>0</v>
      </c>
      <c r="J716" s="534">
        <v>0</v>
      </c>
      <c r="K716" s="534">
        <v>1</v>
      </c>
      <c r="M716" s="617">
        <f t="shared" si="24"/>
        <v>0</v>
      </c>
      <c r="N716" s="617">
        <f t="shared" si="25"/>
        <v>65</v>
      </c>
      <c r="O716" s="617"/>
    </row>
    <row r="717" spans="2:15" ht="15" x14ac:dyDescent="0.25">
      <c r="B717" s="529">
        <v>712001</v>
      </c>
      <c r="C717" s="529">
        <v>713</v>
      </c>
      <c r="E717" s="534">
        <v>0</v>
      </c>
      <c r="F717" s="534">
        <v>0</v>
      </c>
      <c r="G717" s="534">
        <v>64</v>
      </c>
      <c r="I717" s="534">
        <v>0</v>
      </c>
      <c r="J717" s="534">
        <v>0</v>
      </c>
      <c r="K717" s="534">
        <v>1</v>
      </c>
      <c r="M717" s="617">
        <f t="shared" si="24"/>
        <v>0</v>
      </c>
      <c r="N717" s="617">
        <f t="shared" si="25"/>
        <v>65</v>
      </c>
      <c r="O717" s="617"/>
    </row>
    <row r="718" spans="2:15" ht="15" x14ac:dyDescent="0.25">
      <c r="B718" s="529">
        <v>713001</v>
      </c>
      <c r="C718" s="529">
        <v>714</v>
      </c>
      <c r="E718" s="534">
        <v>0</v>
      </c>
      <c r="F718" s="534">
        <v>0</v>
      </c>
      <c r="G718" s="534">
        <v>64</v>
      </c>
      <c r="I718" s="534">
        <v>0</v>
      </c>
      <c r="J718" s="534">
        <v>0</v>
      </c>
      <c r="K718" s="534">
        <v>1</v>
      </c>
      <c r="M718" s="617">
        <f t="shared" si="24"/>
        <v>0</v>
      </c>
      <c r="N718" s="617">
        <f t="shared" si="25"/>
        <v>65</v>
      </c>
      <c r="O718" s="617"/>
    </row>
    <row r="719" spans="2:15" ht="15" x14ac:dyDescent="0.25">
      <c r="B719" s="529">
        <v>714001</v>
      </c>
      <c r="C719" s="529">
        <v>715</v>
      </c>
      <c r="E719" s="534">
        <v>1</v>
      </c>
      <c r="F719" s="534">
        <v>715</v>
      </c>
      <c r="G719" s="534">
        <v>64</v>
      </c>
      <c r="I719" s="534">
        <v>0</v>
      </c>
      <c r="J719" s="534">
        <v>0</v>
      </c>
      <c r="K719" s="534">
        <v>1</v>
      </c>
      <c r="M719" s="617">
        <f t="shared" si="24"/>
        <v>1</v>
      </c>
      <c r="N719" s="617">
        <f t="shared" si="25"/>
        <v>65</v>
      </c>
      <c r="O719" s="617"/>
    </row>
    <row r="720" spans="2:15" ht="15" x14ac:dyDescent="0.25">
      <c r="B720" s="529">
        <v>715001</v>
      </c>
      <c r="C720" s="529">
        <v>716</v>
      </c>
      <c r="E720" s="534">
        <v>0</v>
      </c>
      <c r="F720" s="534">
        <v>0</v>
      </c>
      <c r="G720" s="534">
        <v>63</v>
      </c>
      <c r="I720" s="534">
        <v>0</v>
      </c>
      <c r="J720" s="534">
        <v>0</v>
      </c>
      <c r="K720" s="534">
        <v>1</v>
      </c>
      <c r="M720" s="617">
        <f t="shared" si="24"/>
        <v>0</v>
      </c>
      <c r="N720" s="617">
        <f t="shared" si="25"/>
        <v>64</v>
      </c>
      <c r="O720" s="617"/>
    </row>
    <row r="721" spans="2:15" ht="15" x14ac:dyDescent="0.25">
      <c r="B721" s="529">
        <v>716001</v>
      </c>
      <c r="C721" s="529">
        <v>717</v>
      </c>
      <c r="E721" s="534">
        <v>0</v>
      </c>
      <c r="F721" s="534">
        <v>0</v>
      </c>
      <c r="G721" s="534">
        <v>63</v>
      </c>
      <c r="I721" s="534">
        <v>0</v>
      </c>
      <c r="J721" s="534">
        <v>0</v>
      </c>
      <c r="K721" s="534">
        <v>1</v>
      </c>
      <c r="M721" s="617">
        <f t="shared" si="24"/>
        <v>0</v>
      </c>
      <c r="N721" s="617">
        <f t="shared" si="25"/>
        <v>64</v>
      </c>
      <c r="O721" s="617"/>
    </row>
    <row r="722" spans="2:15" ht="15" x14ac:dyDescent="0.25">
      <c r="B722" s="529">
        <v>717001</v>
      </c>
      <c r="C722" s="529">
        <v>718</v>
      </c>
      <c r="E722" s="534">
        <v>0</v>
      </c>
      <c r="F722" s="534">
        <v>0</v>
      </c>
      <c r="G722" s="534">
        <v>63</v>
      </c>
      <c r="I722" s="534">
        <v>0</v>
      </c>
      <c r="J722" s="534">
        <v>0</v>
      </c>
      <c r="K722" s="534">
        <v>1</v>
      </c>
      <c r="M722" s="617">
        <f t="shared" si="24"/>
        <v>0</v>
      </c>
      <c r="N722" s="617">
        <f t="shared" si="25"/>
        <v>64</v>
      </c>
      <c r="O722" s="617"/>
    </row>
    <row r="723" spans="2:15" ht="15" x14ac:dyDescent="0.25">
      <c r="B723" s="529">
        <v>718001</v>
      </c>
      <c r="C723" s="529">
        <v>719</v>
      </c>
      <c r="E723" s="534">
        <v>0</v>
      </c>
      <c r="F723" s="534">
        <v>0</v>
      </c>
      <c r="G723" s="534">
        <v>63</v>
      </c>
      <c r="I723" s="534">
        <v>0</v>
      </c>
      <c r="J723" s="534">
        <v>0</v>
      </c>
      <c r="K723" s="534">
        <v>1</v>
      </c>
      <c r="M723" s="617">
        <f t="shared" si="24"/>
        <v>0</v>
      </c>
      <c r="N723" s="617">
        <f t="shared" si="25"/>
        <v>64</v>
      </c>
      <c r="O723" s="617"/>
    </row>
    <row r="724" spans="2:15" ht="15" x14ac:dyDescent="0.25">
      <c r="B724" s="529">
        <v>719001</v>
      </c>
      <c r="C724" s="529">
        <v>720</v>
      </c>
      <c r="E724" s="534">
        <v>0</v>
      </c>
      <c r="F724" s="534">
        <v>0</v>
      </c>
      <c r="G724" s="534">
        <v>63</v>
      </c>
      <c r="I724" s="534">
        <v>0</v>
      </c>
      <c r="J724" s="534">
        <v>0</v>
      </c>
      <c r="K724" s="534">
        <v>1</v>
      </c>
      <c r="M724" s="617">
        <f t="shared" si="24"/>
        <v>0</v>
      </c>
      <c r="N724" s="617">
        <f t="shared" si="25"/>
        <v>64</v>
      </c>
      <c r="O724" s="617"/>
    </row>
    <row r="725" spans="2:15" ht="15" x14ac:dyDescent="0.25">
      <c r="B725" s="529">
        <v>720001</v>
      </c>
      <c r="C725" s="529">
        <v>721</v>
      </c>
      <c r="E725" s="534">
        <v>0</v>
      </c>
      <c r="F725" s="534">
        <v>0</v>
      </c>
      <c r="G725" s="534">
        <v>63</v>
      </c>
      <c r="I725" s="534">
        <v>0</v>
      </c>
      <c r="J725" s="534">
        <v>0</v>
      </c>
      <c r="K725" s="534">
        <v>1</v>
      </c>
      <c r="M725" s="617">
        <f t="shared" si="24"/>
        <v>0</v>
      </c>
      <c r="N725" s="617">
        <f t="shared" si="25"/>
        <v>64</v>
      </c>
      <c r="O725" s="617"/>
    </row>
    <row r="726" spans="2:15" ht="15" x14ac:dyDescent="0.25">
      <c r="B726" s="529">
        <v>721001</v>
      </c>
      <c r="C726" s="529">
        <v>722</v>
      </c>
      <c r="E726" s="534">
        <v>0</v>
      </c>
      <c r="F726" s="534">
        <v>0</v>
      </c>
      <c r="G726" s="534">
        <v>63</v>
      </c>
      <c r="I726" s="534">
        <v>0</v>
      </c>
      <c r="J726" s="534">
        <v>0</v>
      </c>
      <c r="K726" s="534">
        <v>1</v>
      </c>
      <c r="M726" s="617">
        <f t="shared" si="24"/>
        <v>0</v>
      </c>
      <c r="N726" s="617">
        <f t="shared" si="25"/>
        <v>64</v>
      </c>
      <c r="O726" s="617"/>
    </row>
    <row r="727" spans="2:15" ht="15" x14ac:dyDescent="0.25">
      <c r="B727" s="529">
        <v>722001</v>
      </c>
      <c r="C727" s="529">
        <v>723</v>
      </c>
      <c r="E727" s="534">
        <v>0</v>
      </c>
      <c r="F727" s="534">
        <v>0</v>
      </c>
      <c r="G727" s="534">
        <v>63</v>
      </c>
      <c r="I727" s="534">
        <v>0</v>
      </c>
      <c r="J727" s="534">
        <v>0</v>
      </c>
      <c r="K727" s="534">
        <v>1</v>
      </c>
      <c r="M727" s="617">
        <f t="shared" si="24"/>
        <v>0</v>
      </c>
      <c r="N727" s="617">
        <f t="shared" si="25"/>
        <v>64</v>
      </c>
      <c r="O727" s="617"/>
    </row>
    <row r="728" spans="2:15" ht="15" x14ac:dyDescent="0.25">
      <c r="B728" s="529">
        <v>723001</v>
      </c>
      <c r="C728" s="529">
        <v>724</v>
      </c>
      <c r="E728" s="534">
        <v>0</v>
      </c>
      <c r="F728" s="534">
        <v>0</v>
      </c>
      <c r="G728" s="534">
        <v>63</v>
      </c>
      <c r="I728" s="534">
        <v>0</v>
      </c>
      <c r="J728" s="534">
        <v>0</v>
      </c>
      <c r="K728" s="534">
        <v>1</v>
      </c>
      <c r="M728" s="617">
        <f t="shared" si="24"/>
        <v>0</v>
      </c>
      <c r="N728" s="617">
        <f t="shared" si="25"/>
        <v>64</v>
      </c>
      <c r="O728" s="617"/>
    </row>
    <row r="729" spans="2:15" ht="15" x14ac:dyDescent="0.25">
      <c r="B729" s="529">
        <v>724001</v>
      </c>
      <c r="C729" s="529">
        <v>725</v>
      </c>
      <c r="E729" s="534">
        <v>0</v>
      </c>
      <c r="F729" s="534">
        <v>0</v>
      </c>
      <c r="G729" s="534">
        <v>63</v>
      </c>
      <c r="I729" s="534">
        <v>0</v>
      </c>
      <c r="J729" s="534">
        <v>0</v>
      </c>
      <c r="K729" s="534">
        <v>1</v>
      </c>
      <c r="M729" s="617">
        <f t="shared" si="24"/>
        <v>0</v>
      </c>
      <c r="N729" s="617">
        <f t="shared" si="25"/>
        <v>64</v>
      </c>
      <c r="O729" s="617"/>
    </row>
    <row r="730" spans="2:15" ht="15" x14ac:dyDescent="0.25">
      <c r="B730" s="529">
        <v>725001</v>
      </c>
      <c r="C730" s="529">
        <v>726</v>
      </c>
      <c r="E730" s="534">
        <v>0</v>
      </c>
      <c r="F730" s="534">
        <v>0</v>
      </c>
      <c r="G730" s="534">
        <v>63</v>
      </c>
      <c r="I730" s="534">
        <v>0</v>
      </c>
      <c r="J730" s="534">
        <v>0</v>
      </c>
      <c r="K730" s="534">
        <v>1</v>
      </c>
      <c r="M730" s="617">
        <f t="shared" si="24"/>
        <v>0</v>
      </c>
      <c r="N730" s="617">
        <f t="shared" si="25"/>
        <v>64</v>
      </c>
      <c r="O730" s="617"/>
    </row>
    <row r="731" spans="2:15" ht="15" x14ac:dyDescent="0.25">
      <c r="B731" s="529">
        <v>726001</v>
      </c>
      <c r="C731" s="529">
        <v>727</v>
      </c>
      <c r="E731" s="534">
        <v>0</v>
      </c>
      <c r="F731" s="534">
        <v>0</v>
      </c>
      <c r="G731" s="534">
        <v>63</v>
      </c>
      <c r="I731" s="534">
        <v>0</v>
      </c>
      <c r="J731" s="534">
        <v>0</v>
      </c>
      <c r="K731" s="534">
        <v>1</v>
      </c>
      <c r="M731" s="617">
        <f t="shared" si="24"/>
        <v>0</v>
      </c>
      <c r="N731" s="617">
        <f t="shared" si="25"/>
        <v>64</v>
      </c>
      <c r="O731" s="617"/>
    </row>
    <row r="732" spans="2:15" ht="15" x14ac:dyDescent="0.25">
      <c r="B732" s="529">
        <v>727001</v>
      </c>
      <c r="C732" s="529">
        <v>728</v>
      </c>
      <c r="E732" s="534">
        <v>0</v>
      </c>
      <c r="F732" s="534">
        <v>0</v>
      </c>
      <c r="G732" s="534">
        <v>63</v>
      </c>
      <c r="I732" s="534">
        <v>0</v>
      </c>
      <c r="J732" s="534">
        <v>0</v>
      </c>
      <c r="K732" s="534">
        <v>1</v>
      </c>
      <c r="M732" s="617">
        <f t="shared" si="24"/>
        <v>0</v>
      </c>
      <c r="N732" s="617">
        <f t="shared" si="25"/>
        <v>64</v>
      </c>
      <c r="O732" s="617"/>
    </row>
    <row r="733" spans="2:15" ht="15" x14ac:dyDescent="0.25">
      <c r="B733" s="529">
        <v>728001</v>
      </c>
      <c r="C733" s="529">
        <v>729</v>
      </c>
      <c r="E733" s="534">
        <v>0</v>
      </c>
      <c r="F733" s="534">
        <v>0</v>
      </c>
      <c r="G733" s="534">
        <v>63</v>
      </c>
      <c r="I733" s="534">
        <v>0</v>
      </c>
      <c r="J733" s="534">
        <v>0</v>
      </c>
      <c r="K733" s="534">
        <v>1</v>
      </c>
      <c r="M733" s="617">
        <f t="shared" si="24"/>
        <v>0</v>
      </c>
      <c r="N733" s="617">
        <f t="shared" si="25"/>
        <v>64</v>
      </c>
      <c r="O733" s="617"/>
    </row>
    <row r="734" spans="2:15" ht="15" x14ac:dyDescent="0.25">
      <c r="B734" s="529">
        <v>729001</v>
      </c>
      <c r="C734" s="529">
        <v>730</v>
      </c>
      <c r="E734" s="534">
        <v>0</v>
      </c>
      <c r="F734" s="534">
        <v>0</v>
      </c>
      <c r="G734" s="534">
        <v>63</v>
      </c>
      <c r="I734" s="534">
        <v>0</v>
      </c>
      <c r="J734" s="534">
        <v>0</v>
      </c>
      <c r="K734" s="534">
        <v>1</v>
      </c>
      <c r="M734" s="617">
        <f t="shared" si="24"/>
        <v>0</v>
      </c>
      <c r="N734" s="617">
        <f t="shared" si="25"/>
        <v>64</v>
      </c>
      <c r="O734" s="617"/>
    </row>
    <row r="735" spans="2:15" ht="15" x14ac:dyDescent="0.25">
      <c r="B735" s="529">
        <v>730001</v>
      </c>
      <c r="C735" s="529">
        <v>731</v>
      </c>
      <c r="E735" s="534">
        <v>0</v>
      </c>
      <c r="F735" s="534">
        <v>0</v>
      </c>
      <c r="G735" s="534">
        <v>63</v>
      </c>
      <c r="I735" s="534">
        <v>0</v>
      </c>
      <c r="J735" s="534">
        <v>0</v>
      </c>
      <c r="K735" s="534">
        <v>1</v>
      </c>
      <c r="M735" s="617">
        <f t="shared" si="24"/>
        <v>0</v>
      </c>
      <c r="N735" s="617">
        <f t="shared" si="25"/>
        <v>64</v>
      </c>
      <c r="O735" s="617"/>
    </row>
    <row r="736" spans="2:15" ht="15" x14ac:dyDescent="0.25">
      <c r="B736" s="529">
        <v>731001</v>
      </c>
      <c r="C736" s="529">
        <v>732</v>
      </c>
      <c r="E736" s="534">
        <v>0</v>
      </c>
      <c r="F736" s="534">
        <v>0</v>
      </c>
      <c r="G736" s="534">
        <v>63</v>
      </c>
      <c r="I736" s="534">
        <v>0</v>
      </c>
      <c r="J736" s="534">
        <v>0</v>
      </c>
      <c r="K736" s="534">
        <v>1</v>
      </c>
      <c r="M736" s="617">
        <f t="shared" si="24"/>
        <v>0</v>
      </c>
      <c r="N736" s="617">
        <f t="shared" si="25"/>
        <v>64</v>
      </c>
      <c r="O736" s="617"/>
    </row>
    <row r="737" spans="2:15" ht="15" x14ac:dyDescent="0.25">
      <c r="B737" s="529">
        <v>732001</v>
      </c>
      <c r="C737" s="529">
        <v>733</v>
      </c>
      <c r="E737" s="534">
        <v>0</v>
      </c>
      <c r="F737" s="534">
        <v>0</v>
      </c>
      <c r="G737" s="534">
        <v>63</v>
      </c>
      <c r="I737" s="534">
        <v>0</v>
      </c>
      <c r="J737" s="534">
        <v>0</v>
      </c>
      <c r="K737" s="534">
        <v>1</v>
      </c>
      <c r="M737" s="617">
        <f t="shared" si="24"/>
        <v>0</v>
      </c>
      <c r="N737" s="617">
        <f t="shared" si="25"/>
        <v>64</v>
      </c>
      <c r="O737" s="617"/>
    </row>
    <row r="738" spans="2:15" ht="15" x14ac:dyDescent="0.25">
      <c r="B738" s="529">
        <v>733001</v>
      </c>
      <c r="C738" s="529">
        <v>734</v>
      </c>
      <c r="E738" s="534">
        <v>0</v>
      </c>
      <c r="F738" s="534">
        <v>0</v>
      </c>
      <c r="G738" s="534">
        <v>63</v>
      </c>
      <c r="I738" s="534">
        <v>0</v>
      </c>
      <c r="J738" s="534">
        <v>0</v>
      </c>
      <c r="K738" s="534">
        <v>1</v>
      </c>
      <c r="M738" s="617">
        <f t="shared" si="24"/>
        <v>0</v>
      </c>
      <c r="N738" s="617">
        <f t="shared" si="25"/>
        <v>64</v>
      </c>
      <c r="O738" s="617"/>
    </row>
    <row r="739" spans="2:15" ht="15" x14ac:dyDescent="0.25">
      <c r="B739" s="529">
        <v>734001</v>
      </c>
      <c r="C739" s="529">
        <v>735</v>
      </c>
      <c r="E739" s="534">
        <v>1</v>
      </c>
      <c r="F739" s="534">
        <v>735</v>
      </c>
      <c r="G739" s="534">
        <v>63</v>
      </c>
      <c r="I739" s="534">
        <v>0</v>
      </c>
      <c r="J739" s="534">
        <v>0</v>
      </c>
      <c r="K739" s="534">
        <v>1</v>
      </c>
      <c r="M739" s="617">
        <f t="shared" si="24"/>
        <v>1</v>
      </c>
      <c r="N739" s="617">
        <f t="shared" si="25"/>
        <v>64</v>
      </c>
      <c r="O739" s="617"/>
    </row>
    <row r="740" spans="2:15" ht="15" x14ac:dyDescent="0.25">
      <c r="B740" s="529">
        <v>735001</v>
      </c>
      <c r="C740" s="529">
        <v>736</v>
      </c>
      <c r="E740" s="534">
        <v>0</v>
      </c>
      <c r="F740" s="534">
        <v>0</v>
      </c>
      <c r="G740" s="534">
        <v>62</v>
      </c>
      <c r="I740" s="534">
        <v>0</v>
      </c>
      <c r="J740" s="534">
        <v>0</v>
      </c>
      <c r="K740" s="534">
        <v>1</v>
      </c>
      <c r="M740" s="617">
        <f t="shared" si="24"/>
        <v>0</v>
      </c>
      <c r="N740" s="617">
        <f t="shared" si="25"/>
        <v>63</v>
      </c>
      <c r="O740" s="617"/>
    </row>
    <row r="741" spans="2:15" ht="15" x14ac:dyDescent="0.25">
      <c r="B741" s="529">
        <v>736001</v>
      </c>
      <c r="C741" s="529">
        <v>737</v>
      </c>
      <c r="E741" s="534">
        <v>0</v>
      </c>
      <c r="F741" s="534">
        <v>0</v>
      </c>
      <c r="G741" s="534">
        <v>62</v>
      </c>
      <c r="I741" s="534">
        <v>0</v>
      </c>
      <c r="J741" s="534">
        <v>0</v>
      </c>
      <c r="K741" s="534">
        <v>1</v>
      </c>
      <c r="M741" s="617">
        <f t="shared" si="24"/>
        <v>0</v>
      </c>
      <c r="N741" s="617">
        <f t="shared" si="25"/>
        <v>63</v>
      </c>
      <c r="O741" s="617"/>
    </row>
    <row r="742" spans="2:15" ht="15" x14ac:dyDescent="0.25">
      <c r="B742" s="529">
        <v>737001</v>
      </c>
      <c r="C742" s="529">
        <v>738</v>
      </c>
      <c r="E742" s="534">
        <v>0</v>
      </c>
      <c r="F742" s="534">
        <v>0</v>
      </c>
      <c r="G742" s="534">
        <v>62</v>
      </c>
      <c r="I742" s="534">
        <v>0</v>
      </c>
      <c r="J742" s="534">
        <v>0</v>
      </c>
      <c r="K742" s="534">
        <v>1</v>
      </c>
      <c r="M742" s="617">
        <f t="shared" si="24"/>
        <v>0</v>
      </c>
      <c r="N742" s="617">
        <f t="shared" si="25"/>
        <v>63</v>
      </c>
      <c r="O742" s="617"/>
    </row>
    <row r="743" spans="2:15" ht="15" x14ac:dyDescent="0.25">
      <c r="B743" s="529">
        <v>738001</v>
      </c>
      <c r="C743" s="529">
        <v>739</v>
      </c>
      <c r="E743" s="534">
        <v>0</v>
      </c>
      <c r="F743" s="534">
        <v>0</v>
      </c>
      <c r="G743" s="534">
        <v>62</v>
      </c>
      <c r="I743" s="534">
        <v>0</v>
      </c>
      <c r="J743" s="534">
        <v>0</v>
      </c>
      <c r="K743" s="534">
        <v>1</v>
      </c>
      <c r="M743" s="617">
        <f t="shared" si="24"/>
        <v>0</v>
      </c>
      <c r="N743" s="617">
        <f t="shared" si="25"/>
        <v>63</v>
      </c>
      <c r="O743" s="617"/>
    </row>
    <row r="744" spans="2:15" ht="15" x14ac:dyDescent="0.25">
      <c r="B744" s="529">
        <v>739001</v>
      </c>
      <c r="C744" s="529">
        <v>740</v>
      </c>
      <c r="E744" s="534">
        <v>0</v>
      </c>
      <c r="F744" s="534">
        <v>0</v>
      </c>
      <c r="G744" s="534">
        <v>62</v>
      </c>
      <c r="I744" s="534">
        <v>0</v>
      </c>
      <c r="J744" s="534">
        <v>0</v>
      </c>
      <c r="K744" s="534">
        <v>1</v>
      </c>
      <c r="M744" s="617">
        <f t="shared" si="24"/>
        <v>0</v>
      </c>
      <c r="N744" s="617">
        <f t="shared" si="25"/>
        <v>63</v>
      </c>
      <c r="O744" s="617"/>
    </row>
    <row r="745" spans="2:15" ht="15" x14ac:dyDescent="0.25">
      <c r="B745" s="529">
        <v>740001</v>
      </c>
      <c r="C745" s="529">
        <v>741</v>
      </c>
      <c r="E745" s="534">
        <v>0</v>
      </c>
      <c r="F745" s="534">
        <v>0</v>
      </c>
      <c r="G745" s="534">
        <v>62</v>
      </c>
      <c r="I745" s="534">
        <v>0</v>
      </c>
      <c r="J745" s="534">
        <v>0</v>
      </c>
      <c r="K745" s="534">
        <v>1</v>
      </c>
      <c r="M745" s="617">
        <f t="shared" si="24"/>
        <v>0</v>
      </c>
      <c r="N745" s="617">
        <f t="shared" si="25"/>
        <v>63</v>
      </c>
      <c r="O745" s="617"/>
    </row>
    <row r="746" spans="2:15" ht="15" x14ac:dyDescent="0.25">
      <c r="B746" s="529">
        <v>741001</v>
      </c>
      <c r="C746" s="529">
        <v>742</v>
      </c>
      <c r="E746" s="534">
        <v>0</v>
      </c>
      <c r="F746" s="534">
        <v>0</v>
      </c>
      <c r="G746" s="534">
        <v>62</v>
      </c>
      <c r="I746" s="534">
        <v>0</v>
      </c>
      <c r="J746" s="534">
        <v>0</v>
      </c>
      <c r="K746" s="534">
        <v>1</v>
      </c>
      <c r="M746" s="617">
        <f t="shared" si="24"/>
        <v>0</v>
      </c>
      <c r="N746" s="617">
        <f t="shared" si="25"/>
        <v>63</v>
      </c>
      <c r="O746" s="617"/>
    </row>
    <row r="747" spans="2:15" ht="15" x14ac:dyDescent="0.25">
      <c r="B747" s="529">
        <v>742001</v>
      </c>
      <c r="C747" s="529">
        <v>743</v>
      </c>
      <c r="E747" s="534">
        <v>0</v>
      </c>
      <c r="F747" s="534">
        <v>0</v>
      </c>
      <c r="G747" s="534">
        <v>62</v>
      </c>
      <c r="I747" s="534">
        <v>0</v>
      </c>
      <c r="J747" s="534">
        <v>0</v>
      </c>
      <c r="K747" s="534">
        <v>1</v>
      </c>
      <c r="M747" s="617">
        <f t="shared" si="24"/>
        <v>0</v>
      </c>
      <c r="N747" s="617">
        <f t="shared" si="25"/>
        <v>63</v>
      </c>
      <c r="O747" s="617"/>
    </row>
    <row r="748" spans="2:15" ht="15" x14ac:dyDescent="0.25">
      <c r="B748" s="529">
        <v>743001</v>
      </c>
      <c r="C748" s="529">
        <v>744</v>
      </c>
      <c r="E748" s="534">
        <v>0</v>
      </c>
      <c r="F748" s="534">
        <v>0</v>
      </c>
      <c r="G748" s="534">
        <v>62</v>
      </c>
      <c r="I748" s="534">
        <v>0</v>
      </c>
      <c r="J748" s="534">
        <v>0</v>
      </c>
      <c r="K748" s="534">
        <v>1</v>
      </c>
      <c r="M748" s="617">
        <f t="shared" si="24"/>
        <v>0</v>
      </c>
      <c r="N748" s="617">
        <f t="shared" si="25"/>
        <v>63</v>
      </c>
      <c r="O748" s="617"/>
    </row>
    <row r="749" spans="2:15" ht="15" x14ac:dyDescent="0.25">
      <c r="B749" s="529">
        <v>744001</v>
      </c>
      <c r="C749" s="529">
        <v>745</v>
      </c>
      <c r="E749" s="534">
        <v>0</v>
      </c>
      <c r="F749" s="534">
        <v>0</v>
      </c>
      <c r="G749" s="534">
        <v>62</v>
      </c>
      <c r="I749" s="534">
        <v>0</v>
      </c>
      <c r="J749" s="534">
        <v>0</v>
      </c>
      <c r="K749" s="534">
        <v>1</v>
      </c>
      <c r="M749" s="617">
        <f t="shared" si="24"/>
        <v>0</v>
      </c>
      <c r="N749" s="617">
        <f t="shared" si="25"/>
        <v>63</v>
      </c>
      <c r="O749" s="617"/>
    </row>
    <row r="750" spans="2:15" ht="15" x14ac:dyDescent="0.25">
      <c r="B750" s="529">
        <v>745001</v>
      </c>
      <c r="C750" s="529">
        <v>746</v>
      </c>
      <c r="E750" s="534">
        <v>0</v>
      </c>
      <c r="F750" s="534">
        <v>0</v>
      </c>
      <c r="G750" s="534">
        <v>62</v>
      </c>
      <c r="I750" s="534">
        <v>0</v>
      </c>
      <c r="J750" s="534">
        <v>0</v>
      </c>
      <c r="K750" s="534">
        <v>1</v>
      </c>
      <c r="M750" s="617">
        <f t="shared" si="24"/>
        <v>0</v>
      </c>
      <c r="N750" s="617">
        <f t="shared" si="25"/>
        <v>63</v>
      </c>
      <c r="O750" s="617"/>
    </row>
    <row r="751" spans="2:15" ht="15" x14ac:dyDescent="0.25">
      <c r="B751" s="529">
        <v>746001</v>
      </c>
      <c r="C751" s="529">
        <v>747</v>
      </c>
      <c r="E751" s="534">
        <v>0</v>
      </c>
      <c r="F751" s="534">
        <v>0</v>
      </c>
      <c r="G751" s="534">
        <v>62</v>
      </c>
      <c r="I751" s="534">
        <v>0</v>
      </c>
      <c r="J751" s="534">
        <v>0</v>
      </c>
      <c r="K751" s="534">
        <v>1</v>
      </c>
      <c r="M751" s="617">
        <f t="shared" si="24"/>
        <v>0</v>
      </c>
      <c r="N751" s="617">
        <f t="shared" si="25"/>
        <v>63</v>
      </c>
      <c r="O751" s="617"/>
    </row>
    <row r="752" spans="2:15" ht="15" x14ac:dyDescent="0.25">
      <c r="B752" s="529">
        <v>747001</v>
      </c>
      <c r="C752" s="529">
        <v>748</v>
      </c>
      <c r="E752" s="534">
        <v>0</v>
      </c>
      <c r="F752" s="534">
        <v>0</v>
      </c>
      <c r="G752" s="534">
        <v>62</v>
      </c>
      <c r="I752" s="534">
        <v>0</v>
      </c>
      <c r="J752" s="534">
        <v>0</v>
      </c>
      <c r="K752" s="534">
        <v>1</v>
      </c>
      <c r="M752" s="617">
        <f t="shared" si="24"/>
        <v>0</v>
      </c>
      <c r="N752" s="617">
        <f t="shared" si="25"/>
        <v>63</v>
      </c>
      <c r="O752" s="617"/>
    </row>
    <row r="753" spans="2:15" ht="15" x14ac:dyDescent="0.25">
      <c r="B753" s="529">
        <v>748001</v>
      </c>
      <c r="C753" s="529">
        <v>749</v>
      </c>
      <c r="E753" s="534">
        <v>1</v>
      </c>
      <c r="F753" s="534">
        <v>749</v>
      </c>
      <c r="G753" s="534">
        <v>62</v>
      </c>
      <c r="I753" s="534">
        <v>0</v>
      </c>
      <c r="J753" s="534">
        <v>0</v>
      </c>
      <c r="K753" s="534">
        <v>1</v>
      </c>
      <c r="M753" s="617">
        <f t="shared" si="24"/>
        <v>1</v>
      </c>
      <c r="N753" s="617">
        <f t="shared" si="25"/>
        <v>63</v>
      </c>
      <c r="O753" s="617"/>
    </row>
    <row r="754" spans="2:15" ht="15" x14ac:dyDescent="0.25">
      <c r="B754" s="529">
        <v>749001</v>
      </c>
      <c r="C754" s="529">
        <v>750</v>
      </c>
      <c r="E754" s="534">
        <v>0</v>
      </c>
      <c r="F754" s="534">
        <v>0</v>
      </c>
      <c r="G754" s="534">
        <v>61</v>
      </c>
      <c r="I754" s="534">
        <v>0</v>
      </c>
      <c r="J754" s="534">
        <v>0</v>
      </c>
      <c r="K754" s="534">
        <v>1</v>
      </c>
      <c r="M754" s="617">
        <f t="shared" si="24"/>
        <v>0</v>
      </c>
      <c r="N754" s="617">
        <f t="shared" si="25"/>
        <v>62</v>
      </c>
      <c r="O754" s="617"/>
    </row>
    <row r="755" spans="2:15" ht="15" x14ac:dyDescent="0.25">
      <c r="B755" s="529">
        <v>750001</v>
      </c>
      <c r="C755" s="529">
        <v>751</v>
      </c>
      <c r="E755" s="534">
        <v>0</v>
      </c>
      <c r="F755" s="534">
        <v>0</v>
      </c>
      <c r="G755" s="534">
        <v>61</v>
      </c>
      <c r="I755" s="534">
        <v>0</v>
      </c>
      <c r="J755" s="534">
        <v>0</v>
      </c>
      <c r="K755" s="534">
        <v>1</v>
      </c>
      <c r="M755" s="617">
        <f t="shared" si="24"/>
        <v>0</v>
      </c>
      <c r="N755" s="617">
        <f t="shared" si="25"/>
        <v>62</v>
      </c>
      <c r="O755" s="617"/>
    </row>
    <row r="756" spans="2:15" ht="15" x14ac:dyDescent="0.25">
      <c r="B756" s="529">
        <v>751001</v>
      </c>
      <c r="C756" s="529">
        <v>752</v>
      </c>
      <c r="E756" s="534">
        <v>1</v>
      </c>
      <c r="F756" s="534">
        <v>752</v>
      </c>
      <c r="G756" s="534">
        <v>61</v>
      </c>
      <c r="I756" s="534">
        <v>0</v>
      </c>
      <c r="J756" s="534">
        <v>0</v>
      </c>
      <c r="K756" s="534">
        <v>1</v>
      </c>
      <c r="M756" s="617">
        <f t="shared" si="24"/>
        <v>1</v>
      </c>
      <c r="N756" s="617">
        <f t="shared" si="25"/>
        <v>62</v>
      </c>
      <c r="O756" s="617"/>
    </row>
    <row r="757" spans="2:15" ht="15" x14ac:dyDescent="0.25">
      <c r="B757" s="529">
        <v>752001</v>
      </c>
      <c r="C757" s="529">
        <v>753</v>
      </c>
      <c r="E757" s="534">
        <v>0</v>
      </c>
      <c r="F757" s="534">
        <v>0</v>
      </c>
      <c r="G757" s="534">
        <v>60</v>
      </c>
      <c r="I757" s="534">
        <v>0</v>
      </c>
      <c r="J757" s="534">
        <v>0</v>
      </c>
      <c r="K757" s="534">
        <v>1</v>
      </c>
      <c r="M757" s="617">
        <f t="shared" si="24"/>
        <v>0</v>
      </c>
      <c r="N757" s="617">
        <f t="shared" si="25"/>
        <v>61</v>
      </c>
      <c r="O757" s="617"/>
    </row>
    <row r="758" spans="2:15" ht="15" x14ac:dyDescent="0.25">
      <c r="B758" s="529">
        <v>753001</v>
      </c>
      <c r="C758" s="529">
        <v>754</v>
      </c>
      <c r="E758" s="534">
        <v>0</v>
      </c>
      <c r="F758" s="534">
        <v>0</v>
      </c>
      <c r="G758" s="534">
        <v>60</v>
      </c>
      <c r="I758" s="534">
        <v>0</v>
      </c>
      <c r="J758" s="534">
        <v>0</v>
      </c>
      <c r="K758" s="534">
        <v>1</v>
      </c>
      <c r="M758" s="617">
        <f t="shared" si="24"/>
        <v>0</v>
      </c>
      <c r="N758" s="617">
        <f t="shared" si="25"/>
        <v>61</v>
      </c>
      <c r="O758" s="617"/>
    </row>
    <row r="759" spans="2:15" ht="15" x14ac:dyDescent="0.25">
      <c r="B759" s="529">
        <v>754001</v>
      </c>
      <c r="C759" s="529">
        <v>755</v>
      </c>
      <c r="E759" s="534">
        <v>0</v>
      </c>
      <c r="F759" s="534">
        <v>0</v>
      </c>
      <c r="G759" s="534">
        <v>60</v>
      </c>
      <c r="I759" s="534">
        <v>0</v>
      </c>
      <c r="J759" s="534">
        <v>0</v>
      </c>
      <c r="K759" s="534">
        <v>1</v>
      </c>
      <c r="M759" s="617">
        <f t="shared" si="24"/>
        <v>0</v>
      </c>
      <c r="N759" s="617">
        <f t="shared" si="25"/>
        <v>61</v>
      </c>
      <c r="O759" s="617"/>
    </row>
    <row r="760" spans="2:15" ht="15" x14ac:dyDescent="0.25">
      <c r="B760" s="529">
        <v>755001</v>
      </c>
      <c r="C760" s="529">
        <v>756</v>
      </c>
      <c r="E760" s="534">
        <v>0</v>
      </c>
      <c r="F760" s="534">
        <v>0</v>
      </c>
      <c r="G760" s="534">
        <v>60</v>
      </c>
      <c r="I760" s="534">
        <v>0</v>
      </c>
      <c r="J760" s="534">
        <v>0</v>
      </c>
      <c r="K760" s="534">
        <v>1</v>
      </c>
      <c r="M760" s="617">
        <f t="shared" si="24"/>
        <v>0</v>
      </c>
      <c r="N760" s="617">
        <f t="shared" si="25"/>
        <v>61</v>
      </c>
      <c r="O760" s="617"/>
    </row>
    <row r="761" spans="2:15" ht="15" x14ac:dyDescent="0.25">
      <c r="B761" s="529">
        <v>756001</v>
      </c>
      <c r="C761" s="529">
        <v>757</v>
      </c>
      <c r="E761" s="534">
        <v>0</v>
      </c>
      <c r="F761" s="534">
        <v>0</v>
      </c>
      <c r="G761" s="534">
        <v>60</v>
      </c>
      <c r="I761" s="534">
        <v>0</v>
      </c>
      <c r="J761" s="534">
        <v>0</v>
      </c>
      <c r="K761" s="534">
        <v>1</v>
      </c>
      <c r="M761" s="617">
        <f t="shared" si="24"/>
        <v>0</v>
      </c>
      <c r="N761" s="617">
        <f t="shared" si="25"/>
        <v>61</v>
      </c>
      <c r="O761" s="617"/>
    </row>
    <row r="762" spans="2:15" ht="15" x14ac:dyDescent="0.25">
      <c r="B762" s="529">
        <v>757001</v>
      </c>
      <c r="C762" s="529">
        <v>758</v>
      </c>
      <c r="E762" s="534">
        <v>0</v>
      </c>
      <c r="F762" s="534">
        <v>0</v>
      </c>
      <c r="G762" s="534">
        <v>60</v>
      </c>
      <c r="I762" s="534">
        <v>0</v>
      </c>
      <c r="J762" s="534">
        <v>0</v>
      </c>
      <c r="K762" s="534">
        <v>1</v>
      </c>
      <c r="M762" s="617">
        <f t="shared" si="24"/>
        <v>0</v>
      </c>
      <c r="N762" s="617">
        <f t="shared" si="25"/>
        <v>61</v>
      </c>
      <c r="O762" s="617"/>
    </row>
    <row r="763" spans="2:15" ht="15" x14ac:dyDescent="0.25">
      <c r="B763" s="529">
        <v>758001</v>
      </c>
      <c r="C763" s="529">
        <v>759</v>
      </c>
      <c r="E763" s="534">
        <v>0</v>
      </c>
      <c r="F763" s="534">
        <v>0</v>
      </c>
      <c r="G763" s="534">
        <v>60</v>
      </c>
      <c r="I763" s="534">
        <v>0</v>
      </c>
      <c r="J763" s="534">
        <v>0</v>
      </c>
      <c r="K763" s="534">
        <v>1</v>
      </c>
      <c r="M763" s="617">
        <f t="shared" si="24"/>
        <v>0</v>
      </c>
      <c r="N763" s="617">
        <f t="shared" si="25"/>
        <v>61</v>
      </c>
      <c r="O763" s="617"/>
    </row>
    <row r="764" spans="2:15" ht="15" x14ac:dyDescent="0.25">
      <c r="B764" s="529">
        <v>759001</v>
      </c>
      <c r="C764" s="529">
        <v>760</v>
      </c>
      <c r="E764" s="534">
        <v>0</v>
      </c>
      <c r="F764" s="534">
        <v>0</v>
      </c>
      <c r="G764" s="534">
        <v>60</v>
      </c>
      <c r="I764" s="534">
        <v>0</v>
      </c>
      <c r="J764" s="534">
        <v>0</v>
      </c>
      <c r="K764" s="534">
        <v>1</v>
      </c>
      <c r="M764" s="617">
        <f t="shared" si="24"/>
        <v>0</v>
      </c>
      <c r="N764" s="617">
        <f t="shared" si="25"/>
        <v>61</v>
      </c>
      <c r="O764" s="617"/>
    </row>
    <row r="765" spans="2:15" ht="15" x14ac:dyDescent="0.25">
      <c r="B765" s="529">
        <v>760001</v>
      </c>
      <c r="C765" s="529">
        <v>761</v>
      </c>
      <c r="E765" s="534">
        <v>0</v>
      </c>
      <c r="F765" s="534">
        <v>0</v>
      </c>
      <c r="G765" s="534">
        <v>60</v>
      </c>
      <c r="I765" s="534">
        <v>0</v>
      </c>
      <c r="J765" s="534">
        <v>0</v>
      </c>
      <c r="K765" s="534">
        <v>1</v>
      </c>
      <c r="M765" s="617">
        <f t="shared" si="24"/>
        <v>0</v>
      </c>
      <c r="N765" s="617">
        <f t="shared" si="25"/>
        <v>61</v>
      </c>
      <c r="O765" s="617"/>
    </row>
    <row r="766" spans="2:15" ht="15" x14ac:dyDescent="0.25">
      <c r="B766" s="529">
        <v>761001</v>
      </c>
      <c r="C766" s="529">
        <v>762</v>
      </c>
      <c r="E766" s="534">
        <v>0</v>
      </c>
      <c r="F766" s="534">
        <v>0</v>
      </c>
      <c r="G766" s="534">
        <v>60</v>
      </c>
      <c r="I766" s="534">
        <v>0</v>
      </c>
      <c r="J766" s="534">
        <v>0</v>
      </c>
      <c r="K766" s="534">
        <v>1</v>
      </c>
      <c r="M766" s="617">
        <f t="shared" si="24"/>
        <v>0</v>
      </c>
      <c r="N766" s="617">
        <f t="shared" si="25"/>
        <v>61</v>
      </c>
      <c r="O766" s="617"/>
    </row>
    <row r="767" spans="2:15" ht="15" x14ac:dyDescent="0.25">
      <c r="B767" s="529">
        <v>762001</v>
      </c>
      <c r="C767" s="529">
        <v>763</v>
      </c>
      <c r="E767" s="534">
        <v>0</v>
      </c>
      <c r="F767" s="534">
        <v>0</v>
      </c>
      <c r="G767" s="534">
        <v>60</v>
      </c>
      <c r="I767" s="534">
        <v>0</v>
      </c>
      <c r="J767" s="534">
        <v>0</v>
      </c>
      <c r="K767" s="534">
        <v>1</v>
      </c>
      <c r="M767" s="617">
        <f t="shared" si="24"/>
        <v>0</v>
      </c>
      <c r="N767" s="617">
        <f t="shared" si="25"/>
        <v>61</v>
      </c>
      <c r="O767" s="617"/>
    </row>
    <row r="768" spans="2:15" ht="15" x14ac:dyDescent="0.25">
      <c r="B768" s="529">
        <v>763001</v>
      </c>
      <c r="C768" s="529">
        <v>764</v>
      </c>
      <c r="E768" s="534">
        <v>0</v>
      </c>
      <c r="F768" s="534">
        <v>0</v>
      </c>
      <c r="G768" s="534">
        <v>60</v>
      </c>
      <c r="I768" s="534">
        <v>0</v>
      </c>
      <c r="J768" s="534">
        <v>0</v>
      </c>
      <c r="K768" s="534">
        <v>1</v>
      </c>
      <c r="M768" s="617">
        <f t="shared" si="24"/>
        <v>0</v>
      </c>
      <c r="N768" s="617">
        <f t="shared" si="25"/>
        <v>61</v>
      </c>
      <c r="O768" s="617"/>
    </row>
    <row r="769" spans="2:15" ht="15" x14ac:dyDescent="0.25">
      <c r="B769" s="529">
        <v>764001</v>
      </c>
      <c r="C769" s="529">
        <v>765</v>
      </c>
      <c r="E769" s="534">
        <v>0</v>
      </c>
      <c r="F769" s="534">
        <v>0</v>
      </c>
      <c r="G769" s="534">
        <v>60</v>
      </c>
      <c r="I769" s="534">
        <v>0</v>
      </c>
      <c r="J769" s="534">
        <v>0</v>
      </c>
      <c r="K769" s="534">
        <v>1</v>
      </c>
      <c r="M769" s="617">
        <f t="shared" si="24"/>
        <v>0</v>
      </c>
      <c r="N769" s="617">
        <f t="shared" si="25"/>
        <v>61</v>
      </c>
      <c r="O769" s="617"/>
    </row>
    <row r="770" spans="2:15" ht="15" x14ac:dyDescent="0.25">
      <c r="B770" s="529">
        <v>765001</v>
      </c>
      <c r="C770" s="529">
        <v>766</v>
      </c>
      <c r="E770" s="534">
        <v>2</v>
      </c>
      <c r="F770" s="534">
        <v>1532</v>
      </c>
      <c r="G770" s="534">
        <v>60</v>
      </c>
      <c r="I770" s="534">
        <v>0</v>
      </c>
      <c r="J770" s="534">
        <v>0</v>
      </c>
      <c r="K770" s="534">
        <v>1</v>
      </c>
      <c r="M770" s="617">
        <f t="shared" si="24"/>
        <v>2</v>
      </c>
      <c r="N770" s="617">
        <f t="shared" si="25"/>
        <v>61</v>
      </c>
      <c r="O770" s="617"/>
    </row>
    <row r="771" spans="2:15" ht="15" x14ac:dyDescent="0.25">
      <c r="B771" s="529">
        <v>766001</v>
      </c>
      <c r="C771" s="529">
        <v>767</v>
      </c>
      <c r="E771" s="534">
        <v>0</v>
      </c>
      <c r="F771" s="534">
        <v>0</v>
      </c>
      <c r="G771" s="534">
        <v>58</v>
      </c>
      <c r="I771" s="534">
        <v>0</v>
      </c>
      <c r="J771" s="534">
        <v>0</v>
      </c>
      <c r="K771" s="534">
        <v>1</v>
      </c>
      <c r="M771" s="617">
        <f t="shared" si="24"/>
        <v>0</v>
      </c>
      <c r="N771" s="617">
        <f t="shared" si="25"/>
        <v>59</v>
      </c>
      <c r="O771" s="617"/>
    </row>
    <row r="772" spans="2:15" ht="15" x14ac:dyDescent="0.25">
      <c r="B772" s="529">
        <v>767001</v>
      </c>
      <c r="C772" s="529">
        <v>768</v>
      </c>
      <c r="E772" s="534">
        <v>0</v>
      </c>
      <c r="F772" s="534">
        <v>0</v>
      </c>
      <c r="G772" s="534">
        <v>58</v>
      </c>
      <c r="I772" s="534">
        <v>0</v>
      </c>
      <c r="J772" s="534">
        <v>0</v>
      </c>
      <c r="K772" s="534">
        <v>1</v>
      </c>
      <c r="M772" s="617">
        <f t="shared" si="24"/>
        <v>0</v>
      </c>
      <c r="N772" s="617">
        <f t="shared" si="25"/>
        <v>59</v>
      </c>
      <c r="O772" s="617"/>
    </row>
    <row r="773" spans="2:15" ht="15" x14ac:dyDescent="0.25">
      <c r="B773" s="529">
        <v>768001</v>
      </c>
      <c r="C773" s="529">
        <v>769</v>
      </c>
      <c r="E773" s="534">
        <v>0</v>
      </c>
      <c r="F773" s="534">
        <v>0</v>
      </c>
      <c r="G773" s="534">
        <v>58</v>
      </c>
      <c r="I773" s="534">
        <v>0</v>
      </c>
      <c r="J773" s="534">
        <v>0</v>
      </c>
      <c r="K773" s="534">
        <v>1</v>
      </c>
      <c r="M773" s="617">
        <f t="shared" ref="M773:M836" si="26">I773+E773</f>
        <v>0</v>
      </c>
      <c r="N773" s="617">
        <f t="shared" ref="N773:N836" si="27">K773+G773</f>
        <v>59</v>
      </c>
      <c r="O773" s="617"/>
    </row>
    <row r="774" spans="2:15" ht="15" x14ac:dyDescent="0.25">
      <c r="B774" s="529">
        <v>769001</v>
      </c>
      <c r="C774" s="529">
        <v>770</v>
      </c>
      <c r="E774" s="534">
        <v>0</v>
      </c>
      <c r="F774" s="534">
        <v>0</v>
      </c>
      <c r="G774" s="534">
        <v>58</v>
      </c>
      <c r="I774" s="534">
        <v>0</v>
      </c>
      <c r="J774" s="534">
        <v>0</v>
      </c>
      <c r="K774" s="534">
        <v>1</v>
      </c>
      <c r="M774" s="617">
        <f t="shared" si="26"/>
        <v>0</v>
      </c>
      <c r="N774" s="617">
        <f t="shared" si="27"/>
        <v>59</v>
      </c>
      <c r="O774" s="617"/>
    </row>
    <row r="775" spans="2:15" ht="15" x14ac:dyDescent="0.25">
      <c r="B775" s="529">
        <v>770001</v>
      </c>
      <c r="C775" s="529">
        <v>771</v>
      </c>
      <c r="E775" s="534">
        <v>0</v>
      </c>
      <c r="F775" s="534">
        <v>0</v>
      </c>
      <c r="G775" s="534">
        <v>58</v>
      </c>
      <c r="I775" s="534">
        <v>0</v>
      </c>
      <c r="J775" s="534">
        <v>0</v>
      </c>
      <c r="K775" s="534">
        <v>1</v>
      </c>
      <c r="M775" s="617">
        <f t="shared" si="26"/>
        <v>0</v>
      </c>
      <c r="N775" s="617">
        <f t="shared" si="27"/>
        <v>59</v>
      </c>
      <c r="O775" s="617"/>
    </row>
    <row r="776" spans="2:15" ht="15" x14ac:dyDescent="0.25">
      <c r="B776" s="529">
        <v>771001</v>
      </c>
      <c r="C776" s="529">
        <v>772</v>
      </c>
      <c r="E776" s="534">
        <v>0</v>
      </c>
      <c r="F776" s="534">
        <v>0</v>
      </c>
      <c r="G776" s="534">
        <v>58</v>
      </c>
      <c r="I776" s="534">
        <v>0</v>
      </c>
      <c r="J776" s="534">
        <v>0</v>
      </c>
      <c r="K776" s="534">
        <v>1</v>
      </c>
      <c r="M776" s="617">
        <f t="shared" si="26"/>
        <v>0</v>
      </c>
      <c r="N776" s="617">
        <f t="shared" si="27"/>
        <v>59</v>
      </c>
      <c r="O776" s="617"/>
    </row>
    <row r="777" spans="2:15" ht="15" x14ac:dyDescent="0.25">
      <c r="B777" s="529">
        <v>772001</v>
      </c>
      <c r="C777" s="529">
        <v>773</v>
      </c>
      <c r="E777" s="534">
        <v>0</v>
      </c>
      <c r="F777" s="534">
        <v>0</v>
      </c>
      <c r="G777" s="534">
        <v>58</v>
      </c>
      <c r="I777" s="534">
        <v>0</v>
      </c>
      <c r="J777" s="534">
        <v>0</v>
      </c>
      <c r="K777" s="534">
        <v>1</v>
      </c>
      <c r="M777" s="617">
        <f t="shared" si="26"/>
        <v>0</v>
      </c>
      <c r="N777" s="617">
        <f t="shared" si="27"/>
        <v>59</v>
      </c>
      <c r="O777" s="617"/>
    </row>
    <row r="778" spans="2:15" ht="15" x14ac:dyDescent="0.25">
      <c r="B778" s="529">
        <v>773001</v>
      </c>
      <c r="C778" s="529">
        <v>774</v>
      </c>
      <c r="E778" s="534">
        <v>0</v>
      </c>
      <c r="F778" s="534">
        <v>0</v>
      </c>
      <c r="G778" s="534">
        <v>58</v>
      </c>
      <c r="I778" s="534">
        <v>0</v>
      </c>
      <c r="J778" s="534">
        <v>0</v>
      </c>
      <c r="K778" s="534">
        <v>1</v>
      </c>
      <c r="M778" s="617">
        <f t="shared" si="26"/>
        <v>0</v>
      </c>
      <c r="N778" s="617">
        <f t="shared" si="27"/>
        <v>59</v>
      </c>
      <c r="O778" s="617"/>
    </row>
    <row r="779" spans="2:15" ht="15" x14ac:dyDescent="0.25">
      <c r="B779" s="529">
        <v>774001</v>
      </c>
      <c r="C779" s="529">
        <v>775</v>
      </c>
      <c r="E779" s="534">
        <v>0</v>
      </c>
      <c r="F779" s="534">
        <v>0</v>
      </c>
      <c r="G779" s="534">
        <v>58</v>
      </c>
      <c r="I779" s="534">
        <v>0</v>
      </c>
      <c r="J779" s="534">
        <v>0</v>
      </c>
      <c r="K779" s="534">
        <v>1</v>
      </c>
      <c r="M779" s="617">
        <f t="shared" si="26"/>
        <v>0</v>
      </c>
      <c r="N779" s="617">
        <f t="shared" si="27"/>
        <v>59</v>
      </c>
      <c r="O779" s="617"/>
    </row>
    <row r="780" spans="2:15" ht="15" x14ac:dyDescent="0.25">
      <c r="B780" s="529">
        <v>775001</v>
      </c>
      <c r="C780" s="529">
        <v>776</v>
      </c>
      <c r="E780" s="534">
        <v>0</v>
      </c>
      <c r="F780" s="534">
        <v>0</v>
      </c>
      <c r="G780" s="534">
        <v>58</v>
      </c>
      <c r="I780" s="534">
        <v>0</v>
      </c>
      <c r="J780" s="534">
        <v>0</v>
      </c>
      <c r="K780" s="534">
        <v>1</v>
      </c>
      <c r="M780" s="617">
        <f t="shared" si="26"/>
        <v>0</v>
      </c>
      <c r="N780" s="617">
        <f t="shared" si="27"/>
        <v>59</v>
      </c>
      <c r="O780" s="617"/>
    </row>
    <row r="781" spans="2:15" ht="15" x14ac:dyDescent="0.25">
      <c r="B781" s="529">
        <v>776001</v>
      </c>
      <c r="C781" s="529">
        <v>777</v>
      </c>
      <c r="E781" s="534">
        <v>0</v>
      </c>
      <c r="F781" s="534">
        <v>0</v>
      </c>
      <c r="G781" s="534">
        <v>58</v>
      </c>
      <c r="I781" s="534">
        <v>0</v>
      </c>
      <c r="J781" s="534">
        <v>0</v>
      </c>
      <c r="K781" s="534">
        <v>1</v>
      </c>
      <c r="M781" s="617">
        <f t="shared" si="26"/>
        <v>0</v>
      </c>
      <c r="N781" s="617">
        <f t="shared" si="27"/>
        <v>59</v>
      </c>
      <c r="O781" s="617"/>
    </row>
    <row r="782" spans="2:15" ht="15" x14ac:dyDescent="0.25">
      <c r="B782" s="529">
        <v>777001</v>
      </c>
      <c r="C782" s="529">
        <v>778</v>
      </c>
      <c r="E782" s="534">
        <v>0</v>
      </c>
      <c r="F782" s="534">
        <v>0</v>
      </c>
      <c r="G782" s="534">
        <v>58</v>
      </c>
      <c r="I782" s="534">
        <v>0</v>
      </c>
      <c r="J782" s="534">
        <v>0</v>
      </c>
      <c r="K782" s="534">
        <v>1</v>
      </c>
      <c r="M782" s="617">
        <f t="shared" si="26"/>
        <v>0</v>
      </c>
      <c r="N782" s="617">
        <f t="shared" si="27"/>
        <v>59</v>
      </c>
      <c r="O782" s="617"/>
    </row>
    <row r="783" spans="2:15" ht="15" x14ac:dyDescent="0.25">
      <c r="B783" s="529">
        <v>778001</v>
      </c>
      <c r="C783" s="529">
        <v>779</v>
      </c>
      <c r="E783" s="534">
        <v>1</v>
      </c>
      <c r="F783" s="534">
        <v>779</v>
      </c>
      <c r="G783" s="534">
        <v>58</v>
      </c>
      <c r="I783" s="534">
        <v>0</v>
      </c>
      <c r="J783" s="534">
        <v>0</v>
      </c>
      <c r="K783" s="534">
        <v>1</v>
      </c>
      <c r="M783" s="617">
        <f t="shared" si="26"/>
        <v>1</v>
      </c>
      <c r="N783" s="617">
        <f t="shared" si="27"/>
        <v>59</v>
      </c>
      <c r="O783" s="617"/>
    </row>
    <row r="784" spans="2:15" ht="15" x14ac:dyDescent="0.25">
      <c r="B784" s="529">
        <v>779001</v>
      </c>
      <c r="C784" s="529">
        <v>780</v>
      </c>
      <c r="E784" s="534">
        <v>0</v>
      </c>
      <c r="F784" s="534">
        <v>0</v>
      </c>
      <c r="G784" s="534">
        <v>57</v>
      </c>
      <c r="I784" s="534">
        <v>0</v>
      </c>
      <c r="J784" s="534">
        <v>0</v>
      </c>
      <c r="K784" s="534">
        <v>1</v>
      </c>
      <c r="M784" s="617">
        <f t="shared" si="26"/>
        <v>0</v>
      </c>
      <c r="N784" s="617">
        <f t="shared" si="27"/>
        <v>58</v>
      </c>
      <c r="O784" s="617"/>
    </row>
    <row r="785" spans="2:15" ht="15" x14ac:dyDescent="0.25">
      <c r="B785" s="529">
        <v>780001</v>
      </c>
      <c r="C785" s="529">
        <v>781</v>
      </c>
      <c r="E785" s="534">
        <v>0</v>
      </c>
      <c r="F785" s="534">
        <v>0</v>
      </c>
      <c r="G785" s="534">
        <v>57</v>
      </c>
      <c r="I785" s="534">
        <v>0</v>
      </c>
      <c r="J785" s="534">
        <v>0</v>
      </c>
      <c r="K785" s="534">
        <v>1</v>
      </c>
      <c r="M785" s="617">
        <f t="shared" si="26"/>
        <v>0</v>
      </c>
      <c r="N785" s="617">
        <f t="shared" si="27"/>
        <v>58</v>
      </c>
      <c r="O785" s="617"/>
    </row>
    <row r="786" spans="2:15" ht="15" x14ac:dyDescent="0.25">
      <c r="B786" s="529">
        <v>781001</v>
      </c>
      <c r="C786" s="529">
        <v>782</v>
      </c>
      <c r="E786" s="534">
        <v>0</v>
      </c>
      <c r="F786" s="534">
        <v>0</v>
      </c>
      <c r="G786" s="534">
        <v>57</v>
      </c>
      <c r="I786" s="534">
        <v>0</v>
      </c>
      <c r="J786" s="534">
        <v>0</v>
      </c>
      <c r="K786" s="534">
        <v>1</v>
      </c>
      <c r="M786" s="617">
        <f t="shared" si="26"/>
        <v>0</v>
      </c>
      <c r="N786" s="617">
        <f t="shared" si="27"/>
        <v>58</v>
      </c>
      <c r="O786" s="617"/>
    </row>
    <row r="787" spans="2:15" ht="15" x14ac:dyDescent="0.25">
      <c r="B787" s="529">
        <v>782001</v>
      </c>
      <c r="C787" s="529">
        <v>783</v>
      </c>
      <c r="E787" s="534">
        <v>0</v>
      </c>
      <c r="F787" s="534">
        <v>0</v>
      </c>
      <c r="G787" s="534">
        <v>57</v>
      </c>
      <c r="I787" s="534">
        <v>0</v>
      </c>
      <c r="J787" s="534">
        <v>0</v>
      </c>
      <c r="K787" s="534">
        <v>1</v>
      </c>
      <c r="M787" s="617">
        <f t="shared" si="26"/>
        <v>0</v>
      </c>
      <c r="N787" s="617">
        <f t="shared" si="27"/>
        <v>58</v>
      </c>
      <c r="O787" s="617"/>
    </row>
    <row r="788" spans="2:15" ht="15" x14ac:dyDescent="0.25">
      <c r="B788" s="529">
        <v>783001</v>
      </c>
      <c r="C788" s="529">
        <v>784</v>
      </c>
      <c r="E788" s="534">
        <v>0</v>
      </c>
      <c r="F788" s="534">
        <v>0</v>
      </c>
      <c r="G788" s="534">
        <v>57</v>
      </c>
      <c r="I788" s="534">
        <v>0</v>
      </c>
      <c r="J788" s="534">
        <v>0</v>
      </c>
      <c r="K788" s="534">
        <v>1</v>
      </c>
      <c r="M788" s="617">
        <f t="shared" si="26"/>
        <v>0</v>
      </c>
      <c r="N788" s="617">
        <f t="shared" si="27"/>
        <v>58</v>
      </c>
      <c r="O788" s="617"/>
    </row>
    <row r="789" spans="2:15" ht="15" x14ac:dyDescent="0.25">
      <c r="B789" s="529">
        <v>784001</v>
      </c>
      <c r="C789" s="529">
        <v>785</v>
      </c>
      <c r="E789" s="534">
        <v>0</v>
      </c>
      <c r="F789" s="534">
        <v>0</v>
      </c>
      <c r="G789" s="534">
        <v>57</v>
      </c>
      <c r="I789" s="534">
        <v>0</v>
      </c>
      <c r="J789" s="534">
        <v>0</v>
      </c>
      <c r="K789" s="534">
        <v>1</v>
      </c>
      <c r="M789" s="617">
        <f t="shared" si="26"/>
        <v>0</v>
      </c>
      <c r="N789" s="617">
        <f t="shared" si="27"/>
        <v>58</v>
      </c>
      <c r="O789" s="617"/>
    </row>
    <row r="790" spans="2:15" ht="15" x14ac:dyDescent="0.25">
      <c r="B790" s="529">
        <v>785001</v>
      </c>
      <c r="C790" s="529">
        <v>786</v>
      </c>
      <c r="E790" s="534">
        <v>0</v>
      </c>
      <c r="F790" s="534">
        <v>0</v>
      </c>
      <c r="G790" s="534">
        <v>57</v>
      </c>
      <c r="I790" s="534">
        <v>0</v>
      </c>
      <c r="J790" s="534">
        <v>0</v>
      </c>
      <c r="K790" s="534">
        <v>1</v>
      </c>
      <c r="M790" s="617">
        <f t="shared" si="26"/>
        <v>0</v>
      </c>
      <c r="N790" s="617">
        <f t="shared" si="27"/>
        <v>58</v>
      </c>
      <c r="O790" s="617"/>
    </row>
    <row r="791" spans="2:15" ht="15" x14ac:dyDescent="0.25">
      <c r="B791" s="529">
        <v>786001</v>
      </c>
      <c r="C791" s="529">
        <v>787</v>
      </c>
      <c r="E791" s="534">
        <v>0</v>
      </c>
      <c r="F791" s="534">
        <v>0</v>
      </c>
      <c r="G791" s="534">
        <v>57</v>
      </c>
      <c r="I791" s="534">
        <v>0</v>
      </c>
      <c r="J791" s="534">
        <v>0</v>
      </c>
      <c r="K791" s="534">
        <v>1</v>
      </c>
      <c r="M791" s="617">
        <f t="shared" si="26"/>
        <v>0</v>
      </c>
      <c r="N791" s="617">
        <f t="shared" si="27"/>
        <v>58</v>
      </c>
      <c r="O791" s="617"/>
    </row>
    <row r="792" spans="2:15" ht="15" x14ac:dyDescent="0.25">
      <c r="B792" s="529">
        <v>787001</v>
      </c>
      <c r="C792" s="529">
        <v>788</v>
      </c>
      <c r="E792" s="534">
        <v>0</v>
      </c>
      <c r="F792" s="534">
        <v>0</v>
      </c>
      <c r="G792" s="534">
        <v>57</v>
      </c>
      <c r="I792" s="534">
        <v>0</v>
      </c>
      <c r="J792" s="534">
        <v>0</v>
      </c>
      <c r="K792" s="534">
        <v>1</v>
      </c>
      <c r="M792" s="617">
        <f t="shared" si="26"/>
        <v>0</v>
      </c>
      <c r="N792" s="617">
        <f t="shared" si="27"/>
        <v>58</v>
      </c>
      <c r="O792" s="617"/>
    </row>
    <row r="793" spans="2:15" ht="15" x14ac:dyDescent="0.25">
      <c r="B793" s="529">
        <v>788001</v>
      </c>
      <c r="C793" s="529">
        <v>789</v>
      </c>
      <c r="E793" s="534">
        <v>1</v>
      </c>
      <c r="F793" s="534">
        <v>789</v>
      </c>
      <c r="G793" s="534">
        <v>57</v>
      </c>
      <c r="I793" s="534">
        <v>0</v>
      </c>
      <c r="J793" s="534">
        <v>0</v>
      </c>
      <c r="K793" s="534">
        <v>1</v>
      </c>
      <c r="M793" s="617">
        <f t="shared" si="26"/>
        <v>1</v>
      </c>
      <c r="N793" s="617">
        <f t="shared" si="27"/>
        <v>58</v>
      </c>
      <c r="O793" s="617"/>
    </row>
    <row r="794" spans="2:15" ht="15" x14ac:dyDescent="0.25">
      <c r="B794" s="529">
        <v>789001</v>
      </c>
      <c r="C794" s="529">
        <v>790</v>
      </c>
      <c r="E794" s="534">
        <v>0</v>
      </c>
      <c r="F794" s="534">
        <v>0</v>
      </c>
      <c r="G794" s="534">
        <v>56</v>
      </c>
      <c r="I794" s="534">
        <v>0</v>
      </c>
      <c r="J794" s="534">
        <v>0</v>
      </c>
      <c r="K794" s="534">
        <v>1</v>
      </c>
      <c r="M794" s="617">
        <f t="shared" si="26"/>
        <v>0</v>
      </c>
      <c r="N794" s="617">
        <f t="shared" si="27"/>
        <v>57</v>
      </c>
      <c r="O794" s="617"/>
    </row>
    <row r="795" spans="2:15" ht="15" x14ac:dyDescent="0.25">
      <c r="B795" s="529">
        <v>790001</v>
      </c>
      <c r="C795" s="529">
        <v>791</v>
      </c>
      <c r="E795" s="534">
        <v>0</v>
      </c>
      <c r="F795" s="534">
        <v>0</v>
      </c>
      <c r="G795" s="534">
        <v>56</v>
      </c>
      <c r="I795" s="534">
        <v>0</v>
      </c>
      <c r="J795" s="534">
        <v>0</v>
      </c>
      <c r="K795" s="534">
        <v>1</v>
      </c>
      <c r="M795" s="617">
        <f t="shared" si="26"/>
        <v>0</v>
      </c>
      <c r="N795" s="617">
        <f t="shared" si="27"/>
        <v>57</v>
      </c>
      <c r="O795" s="617"/>
    </row>
    <row r="796" spans="2:15" ht="15" x14ac:dyDescent="0.25">
      <c r="B796" s="529">
        <v>791001</v>
      </c>
      <c r="C796" s="529">
        <v>792</v>
      </c>
      <c r="E796" s="534">
        <v>0</v>
      </c>
      <c r="F796" s="534">
        <v>0</v>
      </c>
      <c r="G796" s="534">
        <v>56</v>
      </c>
      <c r="I796" s="534">
        <v>0</v>
      </c>
      <c r="J796" s="534">
        <v>0</v>
      </c>
      <c r="K796" s="534">
        <v>1</v>
      </c>
      <c r="M796" s="617">
        <f t="shared" si="26"/>
        <v>0</v>
      </c>
      <c r="N796" s="617">
        <f t="shared" si="27"/>
        <v>57</v>
      </c>
      <c r="O796" s="617"/>
    </row>
    <row r="797" spans="2:15" ht="15" x14ac:dyDescent="0.25">
      <c r="B797" s="529">
        <v>792001</v>
      </c>
      <c r="C797" s="529">
        <v>793</v>
      </c>
      <c r="E797" s="534">
        <v>0</v>
      </c>
      <c r="F797" s="534">
        <v>0</v>
      </c>
      <c r="G797" s="534">
        <v>56</v>
      </c>
      <c r="I797" s="534">
        <v>0</v>
      </c>
      <c r="J797" s="534">
        <v>0</v>
      </c>
      <c r="K797" s="534">
        <v>1</v>
      </c>
      <c r="M797" s="617">
        <f t="shared" si="26"/>
        <v>0</v>
      </c>
      <c r="N797" s="617">
        <f t="shared" si="27"/>
        <v>57</v>
      </c>
      <c r="O797" s="617"/>
    </row>
    <row r="798" spans="2:15" ht="15" x14ac:dyDescent="0.25">
      <c r="B798" s="529">
        <v>793001</v>
      </c>
      <c r="C798" s="529">
        <v>794</v>
      </c>
      <c r="E798" s="534">
        <v>0</v>
      </c>
      <c r="F798" s="534">
        <v>0</v>
      </c>
      <c r="G798" s="534">
        <v>56</v>
      </c>
      <c r="I798" s="534">
        <v>0</v>
      </c>
      <c r="J798" s="534">
        <v>0</v>
      </c>
      <c r="K798" s="534">
        <v>1</v>
      </c>
      <c r="M798" s="617">
        <f t="shared" si="26"/>
        <v>0</v>
      </c>
      <c r="N798" s="617">
        <f t="shared" si="27"/>
        <v>57</v>
      </c>
      <c r="O798" s="617"/>
    </row>
    <row r="799" spans="2:15" ht="15" x14ac:dyDescent="0.25">
      <c r="B799" s="529">
        <v>794001</v>
      </c>
      <c r="C799" s="529">
        <v>795</v>
      </c>
      <c r="E799" s="534">
        <v>0</v>
      </c>
      <c r="F799" s="534">
        <v>0</v>
      </c>
      <c r="G799" s="534">
        <v>56</v>
      </c>
      <c r="I799" s="534">
        <v>0</v>
      </c>
      <c r="J799" s="534">
        <v>0</v>
      </c>
      <c r="K799" s="534">
        <v>1</v>
      </c>
      <c r="M799" s="617">
        <f t="shared" si="26"/>
        <v>0</v>
      </c>
      <c r="N799" s="617">
        <f t="shared" si="27"/>
        <v>57</v>
      </c>
      <c r="O799" s="617"/>
    </row>
    <row r="800" spans="2:15" ht="15" x14ac:dyDescent="0.25">
      <c r="B800" s="529">
        <v>795001</v>
      </c>
      <c r="C800" s="529">
        <v>796</v>
      </c>
      <c r="E800" s="534">
        <v>0</v>
      </c>
      <c r="F800" s="534">
        <v>0</v>
      </c>
      <c r="G800" s="534">
        <v>56</v>
      </c>
      <c r="I800" s="534">
        <v>0</v>
      </c>
      <c r="J800" s="534">
        <v>0</v>
      </c>
      <c r="K800" s="534">
        <v>1</v>
      </c>
      <c r="M800" s="617">
        <f t="shared" si="26"/>
        <v>0</v>
      </c>
      <c r="N800" s="617">
        <f t="shared" si="27"/>
        <v>57</v>
      </c>
      <c r="O800" s="617"/>
    </row>
    <row r="801" spans="2:15" ht="15" x14ac:dyDescent="0.25">
      <c r="B801" s="529">
        <v>796001</v>
      </c>
      <c r="C801" s="529">
        <v>797</v>
      </c>
      <c r="E801" s="534">
        <v>0</v>
      </c>
      <c r="F801" s="534">
        <v>0</v>
      </c>
      <c r="G801" s="534">
        <v>56</v>
      </c>
      <c r="I801" s="534">
        <v>0</v>
      </c>
      <c r="J801" s="534">
        <v>0</v>
      </c>
      <c r="K801" s="534">
        <v>1</v>
      </c>
      <c r="M801" s="617">
        <f t="shared" si="26"/>
        <v>0</v>
      </c>
      <c r="N801" s="617">
        <f t="shared" si="27"/>
        <v>57</v>
      </c>
      <c r="O801" s="617"/>
    </row>
    <row r="802" spans="2:15" ht="15" x14ac:dyDescent="0.25">
      <c r="B802" s="529">
        <v>797001</v>
      </c>
      <c r="C802" s="529">
        <v>798</v>
      </c>
      <c r="E802" s="534">
        <v>0</v>
      </c>
      <c r="F802" s="534">
        <v>0</v>
      </c>
      <c r="G802" s="534">
        <v>56</v>
      </c>
      <c r="I802" s="534">
        <v>0</v>
      </c>
      <c r="J802" s="534">
        <v>0</v>
      </c>
      <c r="K802" s="534">
        <v>1</v>
      </c>
      <c r="M802" s="617">
        <f t="shared" si="26"/>
        <v>0</v>
      </c>
      <c r="N802" s="617">
        <f t="shared" si="27"/>
        <v>57</v>
      </c>
      <c r="O802" s="617"/>
    </row>
    <row r="803" spans="2:15" ht="15" x14ac:dyDescent="0.25">
      <c r="B803" s="529">
        <v>798001</v>
      </c>
      <c r="C803" s="529">
        <v>799</v>
      </c>
      <c r="E803" s="534">
        <v>0</v>
      </c>
      <c r="F803" s="534">
        <v>0</v>
      </c>
      <c r="G803" s="534">
        <v>56</v>
      </c>
      <c r="I803" s="534">
        <v>0</v>
      </c>
      <c r="J803" s="534">
        <v>0</v>
      </c>
      <c r="K803" s="534">
        <v>1</v>
      </c>
      <c r="M803" s="617">
        <f t="shared" si="26"/>
        <v>0</v>
      </c>
      <c r="N803" s="617">
        <f t="shared" si="27"/>
        <v>57</v>
      </c>
      <c r="O803" s="617"/>
    </row>
    <row r="804" spans="2:15" ht="15" x14ac:dyDescent="0.25">
      <c r="B804" s="529">
        <v>799001</v>
      </c>
      <c r="C804" s="529">
        <v>800</v>
      </c>
      <c r="E804" s="534">
        <v>0</v>
      </c>
      <c r="F804" s="534">
        <v>0</v>
      </c>
      <c r="G804" s="534">
        <v>56</v>
      </c>
      <c r="I804" s="534">
        <v>0</v>
      </c>
      <c r="J804" s="534">
        <v>0</v>
      </c>
      <c r="K804" s="534">
        <v>1</v>
      </c>
      <c r="M804" s="617">
        <f t="shared" si="26"/>
        <v>0</v>
      </c>
      <c r="N804" s="617">
        <f t="shared" si="27"/>
        <v>57</v>
      </c>
      <c r="O804" s="617"/>
    </row>
    <row r="805" spans="2:15" ht="15" x14ac:dyDescent="0.25">
      <c r="B805" s="529">
        <v>800001</v>
      </c>
      <c r="C805" s="529">
        <v>801</v>
      </c>
      <c r="E805" s="534">
        <v>0</v>
      </c>
      <c r="F805" s="534">
        <v>0</v>
      </c>
      <c r="G805" s="534">
        <v>56</v>
      </c>
      <c r="I805" s="534">
        <v>0</v>
      </c>
      <c r="J805" s="534">
        <v>0</v>
      </c>
      <c r="K805" s="534">
        <v>1</v>
      </c>
      <c r="M805" s="617">
        <f t="shared" si="26"/>
        <v>0</v>
      </c>
      <c r="N805" s="617">
        <f t="shared" si="27"/>
        <v>57</v>
      </c>
      <c r="O805" s="617"/>
    </row>
    <row r="806" spans="2:15" ht="15" x14ac:dyDescent="0.25">
      <c r="B806" s="529">
        <v>801001</v>
      </c>
      <c r="C806" s="529">
        <v>802</v>
      </c>
      <c r="E806" s="534">
        <v>0</v>
      </c>
      <c r="F806" s="534">
        <v>0</v>
      </c>
      <c r="G806" s="534">
        <v>56</v>
      </c>
      <c r="I806" s="534">
        <v>0</v>
      </c>
      <c r="J806" s="534">
        <v>0</v>
      </c>
      <c r="K806" s="534">
        <v>1</v>
      </c>
      <c r="M806" s="617">
        <f t="shared" si="26"/>
        <v>0</v>
      </c>
      <c r="N806" s="617">
        <f t="shared" si="27"/>
        <v>57</v>
      </c>
      <c r="O806" s="617"/>
    </row>
    <row r="807" spans="2:15" ht="15" x14ac:dyDescent="0.25">
      <c r="B807" s="529">
        <v>802001</v>
      </c>
      <c r="C807" s="529">
        <v>803</v>
      </c>
      <c r="E807" s="534">
        <v>0</v>
      </c>
      <c r="F807" s="534">
        <v>0</v>
      </c>
      <c r="G807" s="534">
        <v>56</v>
      </c>
      <c r="I807" s="534">
        <v>0</v>
      </c>
      <c r="J807" s="534">
        <v>0</v>
      </c>
      <c r="K807" s="534">
        <v>1</v>
      </c>
      <c r="M807" s="617">
        <f t="shared" si="26"/>
        <v>0</v>
      </c>
      <c r="N807" s="617">
        <f t="shared" si="27"/>
        <v>57</v>
      </c>
      <c r="O807" s="617"/>
    </row>
    <row r="808" spans="2:15" ht="15" x14ac:dyDescent="0.25">
      <c r="B808" s="529">
        <v>803001</v>
      </c>
      <c r="C808" s="529">
        <v>804</v>
      </c>
      <c r="E808" s="534">
        <v>0</v>
      </c>
      <c r="F808" s="534">
        <v>0</v>
      </c>
      <c r="G808" s="534">
        <v>56</v>
      </c>
      <c r="I808" s="534">
        <v>0</v>
      </c>
      <c r="J808" s="534">
        <v>0</v>
      </c>
      <c r="K808" s="534">
        <v>1</v>
      </c>
      <c r="M808" s="617">
        <f t="shared" si="26"/>
        <v>0</v>
      </c>
      <c r="N808" s="617">
        <f t="shared" si="27"/>
        <v>57</v>
      </c>
      <c r="O808" s="617"/>
    </row>
    <row r="809" spans="2:15" ht="15" x14ac:dyDescent="0.25">
      <c r="B809" s="529">
        <v>804001</v>
      </c>
      <c r="C809" s="529">
        <v>805</v>
      </c>
      <c r="E809" s="534">
        <v>1</v>
      </c>
      <c r="F809" s="534">
        <v>805</v>
      </c>
      <c r="G809" s="534">
        <v>56</v>
      </c>
      <c r="I809" s="534">
        <v>0</v>
      </c>
      <c r="J809" s="534">
        <v>0</v>
      </c>
      <c r="K809" s="534">
        <v>1</v>
      </c>
      <c r="M809" s="617">
        <f t="shared" si="26"/>
        <v>1</v>
      </c>
      <c r="N809" s="617">
        <f t="shared" si="27"/>
        <v>57</v>
      </c>
      <c r="O809" s="617"/>
    </row>
    <row r="810" spans="2:15" ht="15" x14ac:dyDescent="0.25">
      <c r="B810" s="529">
        <v>805001</v>
      </c>
      <c r="C810" s="529">
        <v>806</v>
      </c>
      <c r="E810" s="534">
        <v>0</v>
      </c>
      <c r="F810" s="534">
        <v>0</v>
      </c>
      <c r="G810" s="534">
        <v>55</v>
      </c>
      <c r="I810" s="534">
        <v>0</v>
      </c>
      <c r="J810" s="534">
        <v>0</v>
      </c>
      <c r="K810" s="534">
        <v>1</v>
      </c>
      <c r="M810" s="617">
        <f t="shared" si="26"/>
        <v>0</v>
      </c>
      <c r="N810" s="617">
        <f t="shared" si="27"/>
        <v>56</v>
      </c>
      <c r="O810" s="617"/>
    </row>
    <row r="811" spans="2:15" ht="15" x14ac:dyDescent="0.25">
      <c r="B811" s="529">
        <v>806001</v>
      </c>
      <c r="C811" s="529">
        <v>807</v>
      </c>
      <c r="E811" s="534">
        <v>0</v>
      </c>
      <c r="F811" s="534">
        <v>0</v>
      </c>
      <c r="G811" s="534">
        <v>55</v>
      </c>
      <c r="I811" s="534">
        <v>0</v>
      </c>
      <c r="J811" s="534">
        <v>0</v>
      </c>
      <c r="K811" s="534">
        <v>1</v>
      </c>
      <c r="M811" s="617">
        <f t="shared" si="26"/>
        <v>0</v>
      </c>
      <c r="N811" s="617">
        <f t="shared" si="27"/>
        <v>56</v>
      </c>
      <c r="O811" s="617"/>
    </row>
    <row r="812" spans="2:15" ht="15" x14ac:dyDescent="0.25">
      <c r="B812" s="529">
        <v>807001</v>
      </c>
      <c r="C812" s="529">
        <v>808</v>
      </c>
      <c r="E812" s="534">
        <v>0</v>
      </c>
      <c r="F812" s="534">
        <v>0</v>
      </c>
      <c r="G812" s="534">
        <v>55</v>
      </c>
      <c r="I812" s="534">
        <v>0</v>
      </c>
      <c r="J812" s="534">
        <v>0</v>
      </c>
      <c r="K812" s="534">
        <v>1</v>
      </c>
      <c r="M812" s="617">
        <f t="shared" si="26"/>
        <v>0</v>
      </c>
      <c r="N812" s="617">
        <f t="shared" si="27"/>
        <v>56</v>
      </c>
      <c r="O812" s="617"/>
    </row>
    <row r="813" spans="2:15" ht="15" x14ac:dyDescent="0.25">
      <c r="B813" s="529">
        <v>808001</v>
      </c>
      <c r="C813" s="529">
        <v>809</v>
      </c>
      <c r="E813" s="534">
        <v>0</v>
      </c>
      <c r="F813" s="534">
        <v>0</v>
      </c>
      <c r="G813" s="534">
        <v>55</v>
      </c>
      <c r="I813" s="534">
        <v>0</v>
      </c>
      <c r="J813" s="534">
        <v>0</v>
      </c>
      <c r="K813" s="534">
        <v>1</v>
      </c>
      <c r="M813" s="617">
        <f t="shared" si="26"/>
        <v>0</v>
      </c>
      <c r="N813" s="617">
        <f t="shared" si="27"/>
        <v>56</v>
      </c>
      <c r="O813" s="617"/>
    </row>
    <row r="814" spans="2:15" ht="15" x14ac:dyDescent="0.25">
      <c r="B814" s="529">
        <v>809001</v>
      </c>
      <c r="C814" s="529">
        <v>810</v>
      </c>
      <c r="E814" s="534">
        <v>1</v>
      </c>
      <c r="F814" s="534">
        <v>810</v>
      </c>
      <c r="G814" s="534">
        <v>55</v>
      </c>
      <c r="I814" s="534">
        <v>0</v>
      </c>
      <c r="J814" s="534">
        <v>0</v>
      </c>
      <c r="K814" s="534">
        <v>1</v>
      </c>
      <c r="M814" s="617">
        <f t="shared" si="26"/>
        <v>1</v>
      </c>
      <c r="N814" s="617">
        <f t="shared" si="27"/>
        <v>56</v>
      </c>
      <c r="O814" s="617"/>
    </row>
    <row r="815" spans="2:15" ht="15" x14ac:dyDescent="0.25">
      <c r="B815" s="529">
        <v>810001</v>
      </c>
      <c r="C815" s="529">
        <v>811</v>
      </c>
      <c r="E815" s="534">
        <v>0</v>
      </c>
      <c r="F815" s="534">
        <v>0</v>
      </c>
      <c r="G815" s="534">
        <v>54</v>
      </c>
      <c r="I815" s="534">
        <v>0</v>
      </c>
      <c r="J815" s="534">
        <v>0</v>
      </c>
      <c r="K815" s="534">
        <v>1</v>
      </c>
      <c r="M815" s="617">
        <f t="shared" si="26"/>
        <v>0</v>
      </c>
      <c r="N815" s="617">
        <f t="shared" si="27"/>
        <v>55</v>
      </c>
      <c r="O815" s="617"/>
    </row>
    <row r="816" spans="2:15" ht="15" x14ac:dyDescent="0.25">
      <c r="B816" s="529">
        <v>811001</v>
      </c>
      <c r="C816" s="529">
        <v>812</v>
      </c>
      <c r="E816" s="534">
        <v>0</v>
      </c>
      <c r="F816" s="534">
        <v>0</v>
      </c>
      <c r="G816" s="534">
        <v>54</v>
      </c>
      <c r="I816" s="534">
        <v>0</v>
      </c>
      <c r="J816" s="534">
        <v>0</v>
      </c>
      <c r="K816" s="534">
        <v>1</v>
      </c>
      <c r="M816" s="617">
        <f t="shared" si="26"/>
        <v>0</v>
      </c>
      <c r="N816" s="617">
        <f t="shared" si="27"/>
        <v>55</v>
      </c>
      <c r="O816" s="617"/>
    </row>
    <row r="817" spans="2:15" ht="15" x14ac:dyDescent="0.25">
      <c r="B817" s="529">
        <v>812001</v>
      </c>
      <c r="C817" s="529">
        <v>813</v>
      </c>
      <c r="E817" s="534">
        <v>0</v>
      </c>
      <c r="F817" s="534">
        <v>0</v>
      </c>
      <c r="G817" s="534">
        <v>54</v>
      </c>
      <c r="I817" s="534">
        <v>0</v>
      </c>
      <c r="J817" s="534">
        <v>0</v>
      </c>
      <c r="K817" s="534">
        <v>1</v>
      </c>
      <c r="M817" s="617">
        <f t="shared" si="26"/>
        <v>0</v>
      </c>
      <c r="N817" s="617">
        <f t="shared" si="27"/>
        <v>55</v>
      </c>
      <c r="O817" s="617"/>
    </row>
    <row r="818" spans="2:15" ht="15" x14ac:dyDescent="0.25">
      <c r="B818" s="529">
        <v>813001</v>
      </c>
      <c r="C818" s="529">
        <v>814</v>
      </c>
      <c r="E818" s="534">
        <v>0</v>
      </c>
      <c r="F818" s="534">
        <v>0</v>
      </c>
      <c r="G818" s="534">
        <v>54</v>
      </c>
      <c r="I818" s="534">
        <v>0</v>
      </c>
      <c r="J818" s="534">
        <v>0</v>
      </c>
      <c r="K818" s="534">
        <v>1</v>
      </c>
      <c r="M818" s="617">
        <f t="shared" si="26"/>
        <v>0</v>
      </c>
      <c r="N818" s="617">
        <f t="shared" si="27"/>
        <v>55</v>
      </c>
      <c r="O818" s="617"/>
    </row>
    <row r="819" spans="2:15" ht="15" x14ac:dyDescent="0.25">
      <c r="B819" s="529">
        <v>814001</v>
      </c>
      <c r="C819" s="529">
        <v>815</v>
      </c>
      <c r="E819" s="534">
        <v>0</v>
      </c>
      <c r="F819" s="534">
        <v>0</v>
      </c>
      <c r="G819" s="534">
        <v>54</v>
      </c>
      <c r="I819" s="534">
        <v>0</v>
      </c>
      <c r="J819" s="534">
        <v>0</v>
      </c>
      <c r="K819" s="534">
        <v>1</v>
      </c>
      <c r="M819" s="617">
        <f t="shared" si="26"/>
        <v>0</v>
      </c>
      <c r="N819" s="617">
        <f t="shared" si="27"/>
        <v>55</v>
      </c>
      <c r="O819" s="617"/>
    </row>
    <row r="820" spans="2:15" ht="15" x14ac:dyDescent="0.25">
      <c r="B820" s="529">
        <v>815001</v>
      </c>
      <c r="C820" s="529">
        <v>816</v>
      </c>
      <c r="E820" s="534">
        <v>0</v>
      </c>
      <c r="F820" s="534">
        <v>0</v>
      </c>
      <c r="G820" s="534">
        <v>54</v>
      </c>
      <c r="I820" s="534">
        <v>0</v>
      </c>
      <c r="J820" s="534">
        <v>0</v>
      </c>
      <c r="K820" s="534">
        <v>1</v>
      </c>
      <c r="M820" s="617">
        <f t="shared" si="26"/>
        <v>0</v>
      </c>
      <c r="N820" s="617">
        <f t="shared" si="27"/>
        <v>55</v>
      </c>
      <c r="O820" s="617"/>
    </row>
    <row r="821" spans="2:15" ht="15" x14ac:dyDescent="0.25">
      <c r="B821" s="529">
        <v>816001</v>
      </c>
      <c r="C821" s="529">
        <v>817</v>
      </c>
      <c r="E821" s="534">
        <v>0</v>
      </c>
      <c r="F821" s="534">
        <v>0</v>
      </c>
      <c r="G821" s="534">
        <v>54</v>
      </c>
      <c r="I821" s="534">
        <v>0</v>
      </c>
      <c r="J821" s="534">
        <v>0</v>
      </c>
      <c r="K821" s="534">
        <v>1</v>
      </c>
      <c r="M821" s="617">
        <f t="shared" si="26"/>
        <v>0</v>
      </c>
      <c r="N821" s="617">
        <f t="shared" si="27"/>
        <v>55</v>
      </c>
      <c r="O821" s="617"/>
    </row>
    <row r="822" spans="2:15" ht="15" x14ac:dyDescent="0.25">
      <c r="B822" s="529">
        <v>817001</v>
      </c>
      <c r="C822" s="529">
        <v>818</v>
      </c>
      <c r="E822" s="534">
        <v>0</v>
      </c>
      <c r="F822" s="534">
        <v>0</v>
      </c>
      <c r="G822" s="534">
        <v>54</v>
      </c>
      <c r="I822" s="534">
        <v>0</v>
      </c>
      <c r="J822" s="534">
        <v>0</v>
      </c>
      <c r="K822" s="534">
        <v>1</v>
      </c>
      <c r="M822" s="617">
        <f t="shared" si="26"/>
        <v>0</v>
      </c>
      <c r="N822" s="617">
        <f t="shared" si="27"/>
        <v>55</v>
      </c>
      <c r="O822" s="617"/>
    </row>
    <row r="823" spans="2:15" ht="15" x14ac:dyDescent="0.25">
      <c r="B823" s="529">
        <v>818001</v>
      </c>
      <c r="C823" s="529">
        <v>819</v>
      </c>
      <c r="E823" s="534">
        <v>0</v>
      </c>
      <c r="F823" s="534">
        <v>0</v>
      </c>
      <c r="G823" s="534">
        <v>54</v>
      </c>
      <c r="I823" s="534">
        <v>0</v>
      </c>
      <c r="J823" s="534">
        <v>0</v>
      </c>
      <c r="K823" s="534">
        <v>1</v>
      </c>
      <c r="M823" s="617">
        <f t="shared" si="26"/>
        <v>0</v>
      </c>
      <c r="N823" s="617">
        <f t="shared" si="27"/>
        <v>55</v>
      </c>
      <c r="O823" s="617"/>
    </row>
    <row r="824" spans="2:15" ht="15" x14ac:dyDescent="0.25">
      <c r="B824" s="529">
        <v>819001</v>
      </c>
      <c r="C824" s="529">
        <v>820</v>
      </c>
      <c r="E824" s="534">
        <v>0</v>
      </c>
      <c r="F824" s="534">
        <v>0</v>
      </c>
      <c r="G824" s="534">
        <v>54</v>
      </c>
      <c r="I824" s="534">
        <v>0</v>
      </c>
      <c r="J824" s="534">
        <v>0</v>
      </c>
      <c r="K824" s="534">
        <v>1</v>
      </c>
      <c r="M824" s="617">
        <f t="shared" si="26"/>
        <v>0</v>
      </c>
      <c r="N824" s="617">
        <f t="shared" si="27"/>
        <v>55</v>
      </c>
      <c r="O824" s="617"/>
    </row>
    <row r="825" spans="2:15" ht="15" x14ac:dyDescent="0.25">
      <c r="B825" s="529">
        <v>820001</v>
      </c>
      <c r="C825" s="529">
        <v>821</v>
      </c>
      <c r="E825" s="534">
        <v>0</v>
      </c>
      <c r="F825" s="534">
        <v>0</v>
      </c>
      <c r="G825" s="534">
        <v>54</v>
      </c>
      <c r="I825" s="534">
        <v>0</v>
      </c>
      <c r="J825" s="534">
        <v>0</v>
      </c>
      <c r="K825" s="534">
        <v>1</v>
      </c>
      <c r="M825" s="617">
        <f t="shared" si="26"/>
        <v>0</v>
      </c>
      <c r="N825" s="617">
        <f t="shared" si="27"/>
        <v>55</v>
      </c>
      <c r="O825" s="617"/>
    </row>
    <row r="826" spans="2:15" ht="15" x14ac:dyDescent="0.25">
      <c r="B826" s="529">
        <v>821001</v>
      </c>
      <c r="C826" s="529">
        <v>822</v>
      </c>
      <c r="E826" s="534">
        <v>0</v>
      </c>
      <c r="F826" s="534">
        <v>0</v>
      </c>
      <c r="G826" s="534">
        <v>54</v>
      </c>
      <c r="I826" s="534">
        <v>0</v>
      </c>
      <c r="J826" s="534">
        <v>0</v>
      </c>
      <c r="K826" s="534">
        <v>1</v>
      </c>
      <c r="M826" s="617">
        <f t="shared" si="26"/>
        <v>0</v>
      </c>
      <c r="N826" s="617">
        <f t="shared" si="27"/>
        <v>55</v>
      </c>
      <c r="O826" s="617"/>
    </row>
    <row r="827" spans="2:15" ht="15" x14ac:dyDescent="0.25">
      <c r="B827" s="529">
        <v>822001</v>
      </c>
      <c r="C827" s="529">
        <v>823</v>
      </c>
      <c r="E827" s="534">
        <v>0</v>
      </c>
      <c r="F827" s="534">
        <v>0</v>
      </c>
      <c r="G827" s="534">
        <v>54</v>
      </c>
      <c r="I827" s="534">
        <v>0</v>
      </c>
      <c r="J827" s="534">
        <v>0</v>
      </c>
      <c r="K827" s="534">
        <v>1</v>
      </c>
      <c r="M827" s="617">
        <f t="shared" si="26"/>
        <v>0</v>
      </c>
      <c r="N827" s="617">
        <f t="shared" si="27"/>
        <v>55</v>
      </c>
      <c r="O827" s="617"/>
    </row>
    <row r="828" spans="2:15" ht="15" x14ac:dyDescent="0.25">
      <c r="B828" s="529">
        <v>823001</v>
      </c>
      <c r="C828" s="529">
        <v>824</v>
      </c>
      <c r="E828" s="534">
        <v>0</v>
      </c>
      <c r="F828" s="534">
        <v>0</v>
      </c>
      <c r="G828" s="534">
        <v>54</v>
      </c>
      <c r="I828" s="534">
        <v>0</v>
      </c>
      <c r="J828" s="534">
        <v>0</v>
      </c>
      <c r="K828" s="534">
        <v>1</v>
      </c>
      <c r="M828" s="617">
        <f t="shared" si="26"/>
        <v>0</v>
      </c>
      <c r="N828" s="617">
        <f t="shared" si="27"/>
        <v>55</v>
      </c>
      <c r="O828" s="617"/>
    </row>
    <row r="829" spans="2:15" ht="15" x14ac:dyDescent="0.25">
      <c r="B829" s="529">
        <v>824001</v>
      </c>
      <c r="C829" s="529">
        <v>825</v>
      </c>
      <c r="E829" s="534">
        <v>0</v>
      </c>
      <c r="F829" s="534">
        <v>0</v>
      </c>
      <c r="G829" s="534">
        <v>54</v>
      </c>
      <c r="I829" s="534">
        <v>0</v>
      </c>
      <c r="J829" s="534">
        <v>0</v>
      </c>
      <c r="K829" s="534">
        <v>1</v>
      </c>
      <c r="M829" s="617">
        <f t="shared" si="26"/>
        <v>0</v>
      </c>
      <c r="N829" s="617">
        <f t="shared" si="27"/>
        <v>55</v>
      </c>
      <c r="O829" s="617"/>
    </row>
    <row r="830" spans="2:15" ht="15" x14ac:dyDescent="0.25">
      <c r="B830" s="529">
        <v>825001</v>
      </c>
      <c r="C830" s="529">
        <v>826</v>
      </c>
      <c r="E830" s="534">
        <v>0</v>
      </c>
      <c r="F830" s="534">
        <v>0</v>
      </c>
      <c r="G830" s="534">
        <v>54</v>
      </c>
      <c r="I830" s="534">
        <v>0</v>
      </c>
      <c r="J830" s="534">
        <v>0</v>
      </c>
      <c r="K830" s="534">
        <v>1</v>
      </c>
      <c r="M830" s="617">
        <f t="shared" si="26"/>
        <v>0</v>
      </c>
      <c r="N830" s="617">
        <f t="shared" si="27"/>
        <v>55</v>
      </c>
      <c r="O830" s="617"/>
    </row>
    <row r="831" spans="2:15" ht="15" x14ac:dyDescent="0.25">
      <c r="B831" s="529">
        <v>826001</v>
      </c>
      <c r="C831" s="529">
        <v>827</v>
      </c>
      <c r="E831" s="534">
        <v>0</v>
      </c>
      <c r="F831" s="534">
        <v>0</v>
      </c>
      <c r="G831" s="534">
        <v>54</v>
      </c>
      <c r="I831" s="534">
        <v>0</v>
      </c>
      <c r="J831" s="534">
        <v>0</v>
      </c>
      <c r="K831" s="534">
        <v>1</v>
      </c>
      <c r="M831" s="617">
        <f t="shared" si="26"/>
        <v>0</v>
      </c>
      <c r="N831" s="617">
        <f t="shared" si="27"/>
        <v>55</v>
      </c>
      <c r="O831" s="617"/>
    </row>
    <row r="832" spans="2:15" ht="15" x14ac:dyDescent="0.25">
      <c r="B832" s="529">
        <v>827001</v>
      </c>
      <c r="C832" s="529">
        <v>828</v>
      </c>
      <c r="E832" s="534">
        <v>0</v>
      </c>
      <c r="F832" s="534">
        <v>0</v>
      </c>
      <c r="G832" s="534">
        <v>54</v>
      </c>
      <c r="I832" s="534">
        <v>0</v>
      </c>
      <c r="J832" s="534">
        <v>0</v>
      </c>
      <c r="K832" s="534">
        <v>1</v>
      </c>
      <c r="M832" s="617">
        <f t="shared" si="26"/>
        <v>0</v>
      </c>
      <c r="N832" s="617">
        <f t="shared" si="27"/>
        <v>55</v>
      </c>
      <c r="O832" s="617"/>
    </row>
    <row r="833" spans="2:15" ht="15" x14ac:dyDescent="0.25">
      <c r="B833" s="529">
        <v>828001</v>
      </c>
      <c r="C833" s="529">
        <v>829</v>
      </c>
      <c r="E833" s="534">
        <v>0</v>
      </c>
      <c r="F833" s="534">
        <v>0</v>
      </c>
      <c r="G833" s="534">
        <v>54</v>
      </c>
      <c r="I833" s="534">
        <v>0</v>
      </c>
      <c r="J833" s="534">
        <v>0</v>
      </c>
      <c r="K833" s="534">
        <v>1</v>
      </c>
      <c r="M833" s="617">
        <f t="shared" si="26"/>
        <v>0</v>
      </c>
      <c r="N833" s="617">
        <f t="shared" si="27"/>
        <v>55</v>
      </c>
      <c r="O833" s="617"/>
    </row>
    <row r="834" spans="2:15" ht="15" x14ac:dyDescent="0.25">
      <c r="B834" s="529">
        <v>829001</v>
      </c>
      <c r="C834" s="529">
        <v>830</v>
      </c>
      <c r="E834" s="534">
        <v>0</v>
      </c>
      <c r="F834" s="534">
        <v>0</v>
      </c>
      <c r="G834" s="534">
        <v>54</v>
      </c>
      <c r="I834" s="534">
        <v>0</v>
      </c>
      <c r="J834" s="534">
        <v>0</v>
      </c>
      <c r="K834" s="534">
        <v>1</v>
      </c>
      <c r="M834" s="617">
        <f t="shared" si="26"/>
        <v>0</v>
      </c>
      <c r="N834" s="617">
        <f t="shared" si="27"/>
        <v>55</v>
      </c>
      <c r="O834" s="617"/>
    </row>
    <row r="835" spans="2:15" ht="15" x14ac:dyDescent="0.25">
      <c r="B835" s="529">
        <v>830001</v>
      </c>
      <c r="C835" s="529">
        <v>831</v>
      </c>
      <c r="E835" s="534">
        <v>0</v>
      </c>
      <c r="F835" s="534">
        <v>0</v>
      </c>
      <c r="G835" s="534">
        <v>54</v>
      </c>
      <c r="I835" s="534">
        <v>0</v>
      </c>
      <c r="J835" s="534">
        <v>0</v>
      </c>
      <c r="K835" s="534">
        <v>1</v>
      </c>
      <c r="M835" s="617">
        <f t="shared" si="26"/>
        <v>0</v>
      </c>
      <c r="N835" s="617">
        <f t="shared" si="27"/>
        <v>55</v>
      </c>
      <c r="O835" s="617"/>
    </row>
    <row r="836" spans="2:15" ht="15" x14ac:dyDescent="0.25">
      <c r="B836" s="529">
        <v>831001</v>
      </c>
      <c r="C836" s="529">
        <v>832</v>
      </c>
      <c r="E836" s="534">
        <v>0</v>
      </c>
      <c r="F836" s="534">
        <v>0</v>
      </c>
      <c r="G836" s="534">
        <v>54</v>
      </c>
      <c r="I836" s="534">
        <v>0</v>
      </c>
      <c r="J836" s="534">
        <v>0</v>
      </c>
      <c r="K836" s="534">
        <v>1</v>
      </c>
      <c r="M836" s="617">
        <f t="shared" si="26"/>
        <v>0</v>
      </c>
      <c r="N836" s="617">
        <f t="shared" si="27"/>
        <v>55</v>
      </c>
      <c r="O836" s="617"/>
    </row>
    <row r="837" spans="2:15" ht="15" x14ac:dyDescent="0.25">
      <c r="B837" s="529">
        <v>832001</v>
      </c>
      <c r="C837" s="529">
        <v>833</v>
      </c>
      <c r="E837" s="534">
        <v>0</v>
      </c>
      <c r="F837" s="534">
        <v>0</v>
      </c>
      <c r="G837" s="534">
        <v>54</v>
      </c>
      <c r="I837" s="534">
        <v>0</v>
      </c>
      <c r="J837" s="534">
        <v>0</v>
      </c>
      <c r="K837" s="534">
        <v>1</v>
      </c>
      <c r="M837" s="617">
        <f t="shared" ref="M837:M900" si="28">I837+E837</f>
        <v>0</v>
      </c>
      <c r="N837" s="617">
        <f t="shared" ref="N837:N900" si="29">K837+G837</f>
        <v>55</v>
      </c>
      <c r="O837" s="617"/>
    </row>
    <row r="838" spans="2:15" ht="15" x14ac:dyDescent="0.25">
      <c r="B838" s="529">
        <v>833001</v>
      </c>
      <c r="C838" s="529">
        <v>834</v>
      </c>
      <c r="E838" s="534">
        <v>0</v>
      </c>
      <c r="F838" s="534">
        <v>0</v>
      </c>
      <c r="G838" s="534">
        <v>54</v>
      </c>
      <c r="I838" s="534">
        <v>0</v>
      </c>
      <c r="J838" s="534">
        <v>0</v>
      </c>
      <c r="K838" s="534">
        <v>1</v>
      </c>
      <c r="M838" s="617">
        <f t="shared" si="28"/>
        <v>0</v>
      </c>
      <c r="N838" s="617">
        <f t="shared" si="29"/>
        <v>55</v>
      </c>
      <c r="O838" s="617"/>
    </row>
    <row r="839" spans="2:15" ht="15" x14ac:dyDescent="0.25">
      <c r="B839" s="529">
        <v>834001</v>
      </c>
      <c r="C839" s="529">
        <v>835</v>
      </c>
      <c r="E839" s="534">
        <v>0</v>
      </c>
      <c r="F839" s="534">
        <v>0</v>
      </c>
      <c r="G839" s="534">
        <v>54</v>
      </c>
      <c r="I839" s="534">
        <v>0</v>
      </c>
      <c r="J839" s="534">
        <v>0</v>
      </c>
      <c r="K839" s="534">
        <v>1</v>
      </c>
      <c r="M839" s="617">
        <f t="shared" si="28"/>
        <v>0</v>
      </c>
      <c r="N839" s="617">
        <f t="shared" si="29"/>
        <v>55</v>
      </c>
      <c r="O839" s="617"/>
    </row>
    <row r="840" spans="2:15" ht="15" x14ac:dyDescent="0.25">
      <c r="B840" s="529">
        <v>835001</v>
      </c>
      <c r="C840" s="529">
        <v>836</v>
      </c>
      <c r="E840" s="534">
        <v>1</v>
      </c>
      <c r="F840" s="534">
        <v>836</v>
      </c>
      <c r="G840" s="534">
        <v>54</v>
      </c>
      <c r="I840" s="534">
        <v>0</v>
      </c>
      <c r="J840" s="534">
        <v>0</v>
      </c>
      <c r="K840" s="534">
        <v>1</v>
      </c>
      <c r="M840" s="617">
        <f t="shared" si="28"/>
        <v>1</v>
      </c>
      <c r="N840" s="617">
        <f t="shared" si="29"/>
        <v>55</v>
      </c>
      <c r="O840" s="617"/>
    </row>
    <row r="841" spans="2:15" ht="15" x14ac:dyDescent="0.25">
      <c r="B841" s="529">
        <v>836001</v>
      </c>
      <c r="C841" s="529">
        <v>837</v>
      </c>
      <c r="E841" s="534">
        <v>0</v>
      </c>
      <c r="F841" s="534">
        <v>0</v>
      </c>
      <c r="G841" s="534">
        <v>53</v>
      </c>
      <c r="I841" s="534">
        <v>0</v>
      </c>
      <c r="J841" s="534">
        <v>0</v>
      </c>
      <c r="K841" s="534">
        <v>1</v>
      </c>
      <c r="M841" s="617">
        <f t="shared" si="28"/>
        <v>0</v>
      </c>
      <c r="N841" s="617">
        <f t="shared" si="29"/>
        <v>54</v>
      </c>
      <c r="O841" s="617"/>
    </row>
    <row r="842" spans="2:15" ht="15" x14ac:dyDescent="0.25">
      <c r="B842" s="529">
        <v>837001</v>
      </c>
      <c r="C842" s="529">
        <v>838</v>
      </c>
      <c r="E842" s="534">
        <v>0</v>
      </c>
      <c r="F842" s="534">
        <v>0</v>
      </c>
      <c r="G842" s="534">
        <v>53</v>
      </c>
      <c r="I842" s="534">
        <v>0</v>
      </c>
      <c r="J842" s="534">
        <v>0</v>
      </c>
      <c r="K842" s="534">
        <v>1</v>
      </c>
      <c r="M842" s="617">
        <f t="shared" si="28"/>
        <v>0</v>
      </c>
      <c r="N842" s="617">
        <f t="shared" si="29"/>
        <v>54</v>
      </c>
      <c r="O842" s="617"/>
    </row>
    <row r="843" spans="2:15" ht="15" x14ac:dyDescent="0.25">
      <c r="B843" s="529">
        <v>838001</v>
      </c>
      <c r="C843" s="529">
        <v>839</v>
      </c>
      <c r="E843" s="534">
        <v>0</v>
      </c>
      <c r="F843" s="534">
        <v>0</v>
      </c>
      <c r="G843" s="534">
        <v>53</v>
      </c>
      <c r="I843" s="534">
        <v>0</v>
      </c>
      <c r="J843" s="534">
        <v>0</v>
      </c>
      <c r="K843" s="534">
        <v>1</v>
      </c>
      <c r="M843" s="617">
        <f t="shared" si="28"/>
        <v>0</v>
      </c>
      <c r="N843" s="617">
        <f t="shared" si="29"/>
        <v>54</v>
      </c>
      <c r="O843" s="617"/>
    </row>
    <row r="844" spans="2:15" ht="15" x14ac:dyDescent="0.25">
      <c r="B844" s="529">
        <v>839001</v>
      </c>
      <c r="C844" s="529">
        <v>840</v>
      </c>
      <c r="E844" s="534">
        <v>0</v>
      </c>
      <c r="F844" s="534">
        <v>0</v>
      </c>
      <c r="G844" s="534">
        <v>53</v>
      </c>
      <c r="I844" s="534">
        <v>0</v>
      </c>
      <c r="J844" s="534">
        <v>0</v>
      </c>
      <c r="K844" s="534">
        <v>1</v>
      </c>
      <c r="M844" s="617">
        <f t="shared" si="28"/>
        <v>0</v>
      </c>
      <c r="N844" s="617">
        <f t="shared" si="29"/>
        <v>54</v>
      </c>
      <c r="O844" s="617"/>
    </row>
    <row r="845" spans="2:15" ht="15" x14ac:dyDescent="0.25">
      <c r="B845" s="529">
        <v>840001</v>
      </c>
      <c r="C845" s="529">
        <v>841</v>
      </c>
      <c r="E845" s="534">
        <v>0</v>
      </c>
      <c r="F845" s="534">
        <v>0</v>
      </c>
      <c r="G845" s="534">
        <v>53</v>
      </c>
      <c r="I845" s="534">
        <v>0</v>
      </c>
      <c r="J845" s="534">
        <v>0</v>
      </c>
      <c r="K845" s="534">
        <v>1</v>
      </c>
      <c r="M845" s="617">
        <f t="shared" si="28"/>
        <v>0</v>
      </c>
      <c r="N845" s="617">
        <f t="shared" si="29"/>
        <v>54</v>
      </c>
      <c r="O845" s="617"/>
    </row>
    <row r="846" spans="2:15" ht="15" x14ac:dyDescent="0.25">
      <c r="B846" s="529">
        <v>841001</v>
      </c>
      <c r="C846" s="529">
        <v>842</v>
      </c>
      <c r="E846" s="534">
        <v>0</v>
      </c>
      <c r="F846" s="534">
        <v>0</v>
      </c>
      <c r="G846" s="534">
        <v>53</v>
      </c>
      <c r="I846" s="534">
        <v>0</v>
      </c>
      <c r="J846" s="534">
        <v>0</v>
      </c>
      <c r="K846" s="534">
        <v>1</v>
      </c>
      <c r="M846" s="617">
        <f t="shared" si="28"/>
        <v>0</v>
      </c>
      <c r="N846" s="617">
        <f t="shared" si="29"/>
        <v>54</v>
      </c>
      <c r="O846" s="617"/>
    </row>
    <row r="847" spans="2:15" ht="15" x14ac:dyDescent="0.25">
      <c r="B847" s="529">
        <v>842001</v>
      </c>
      <c r="C847" s="529">
        <v>843</v>
      </c>
      <c r="E847" s="534">
        <v>0</v>
      </c>
      <c r="F847" s="534">
        <v>0</v>
      </c>
      <c r="G847" s="534">
        <v>53</v>
      </c>
      <c r="I847" s="534">
        <v>0</v>
      </c>
      <c r="J847" s="534">
        <v>0</v>
      </c>
      <c r="K847" s="534">
        <v>1</v>
      </c>
      <c r="M847" s="617">
        <f t="shared" si="28"/>
        <v>0</v>
      </c>
      <c r="N847" s="617">
        <f t="shared" si="29"/>
        <v>54</v>
      </c>
      <c r="O847" s="617"/>
    </row>
    <row r="848" spans="2:15" ht="15" x14ac:dyDescent="0.25">
      <c r="B848" s="529">
        <v>843001</v>
      </c>
      <c r="C848" s="529">
        <v>844</v>
      </c>
      <c r="E848" s="534">
        <v>0</v>
      </c>
      <c r="F848" s="534">
        <v>0</v>
      </c>
      <c r="G848" s="534">
        <v>53</v>
      </c>
      <c r="I848" s="534">
        <v>0</v>
      </c>
      <c r="J848" s="534">
        <v>0</v>
      </c>
      <c r="K848" s="534">
        <v>1</v>
      </c>
      <c r="M848" s="617">
        <f t="shared" si="28"/>
        <v>0</v>
      </c>
      <c r="N848" s="617">
        <f t="shared" si="29"/>
        <v>54</v>
      </c>
      <c r="O848" s="617"/>
    </row>
    <row r="849" spans="2:15" ht="15" x14ac:dyDescent="0.25">
      <c r="B849" s="529">
        <v>844001</v>
      </c>
      <c r="C849" s="529">
        <v>845</v>
      </c>
      <c r="E849" s="534">
        <v>0</v>
      </c>
      <c r="F849" s="534">
        <v>0</v>
      </c>
      <c r="G849" s="534">
        <v>53</v>
      </c>
      <c r="I849" s="534">
        <v>0</v>
      </c>
      <c r="J849" s="534">
        <v>0</v>
      </c>
      <c r="K849" s="534">
        <v>1</v>
      </c>
      <c r="M849" s="617">
        <f t="shared" si="28"/>
        <v>0</v>
      </c>
      <c r="N849" s="617">
        <f t="shared" si="29"/>
        <v>54</v>
      </c>
      <c r="O849" s="617"/>
    </row>
    <row r="850" spans="2:15" ht="15" x14ac:dyDescent="0.25">
      <c r="B850" s="529">
        <v>845001</v>
      </c>
      <c r="C850" s="529">
        <v>846</v>
      </c>
      <c r="E850" s="534">
        <v>0</v>
      </c>
      <c r="F850" s="534">
        <v>0</v>
      </c>
      <c r="G850" s="534">
        <v>53</v>
      </c>
      <c r="I850" s="534">
        <v>0</v>
      </c>
      <c r="J850" s="534">
        <v>0</v>
      </c>
      <c r="K850" s="534">
        <v>1</v>
      </c>
      <c r="M850" s="617">
        <f t="shared" si="28"/>
        <v>0</v>
      </c>
      <c r="N850" s="617">
        <f t="shared" si="29"/>
        <v>54</v>
      </c>
      <c r="O850" s="617"/>
    </row>
    <row r="851" spans="2:15" ht="15" x14ac:dyDescent="0.25">
      <c r="B851" s="529">
        <v>846001</v>
      </c>
      <c r="C851" s="529">
        <v>847</v>
      </c>
      <c r="E851" s="534">
        <v>1</v>
      </c>
      <c r="F851" s="534">
        <v>847</v>
      </c>
      <c r="G851" s="534">
        <v>53</v>
      </c>
      <c r="I851" s="534">
        <v>0</v>
      </c>
      <c r="J851" s="534">
        <v>0</v>
      </c>
      <c r="K851" s="534">
        <v>1</v>
      </c>
      <c r="M851" s="617">
        <f t="shared" si="28"/>
        <v>1</v>
      </c>
      <c r="N851" s="617">
        <f t="shared" si="29"/>
        <v>54</v>
      </c>
      <c r="O851" s="617"/>
    </row>
    <row r="852" spans="2:15" ht="15" x14ac:dyDescent="0.25">
      <c r="B852" s="529">
        <v>847001</v>
      </c>
      <c r="C852" s="529">
        <v>848</v>
      </c>
      <c r="E852" s="534">
        <v>0</v>
      </c>
      <c r="F852" s="534">
        <v>0</v>
      </c>
      <c r="G852" s="534">
        <v>52</v>
      </c>
      <c r="I852" s="534">
        <v>0</v>
      </c>
      <c r="J852" s="534">
        <v>0</v>
      </c>
      <c r="K852" s="534">
        <v>1</v>
      </c>
      <c r="M852" s="617">
        <f t="shared" si="28"/>
        <v>0</v>
      </c>
      <c r="N852" s="617">
        <f t="shared" si="29"/>
        <v>53</v>
      </c>
      <c r="O852" s="617"/>
    </row>
    <row r="853" spans="2:15" ht="15" x14ac:dyDescent="0.25">
      <c r="B853" s="529">
        <v>848001</v>
      </c>
      <c r="C853" s="529">
        <v>849</v>
      </c>
      <c r="E853" s="534">
        <v>0</v>
      </c>
      <c r="F853" s="534">
        <v>0</v>
      </c>
      <c r="G853" s="534">
        <v>52</v>
      </c>
      <c r="I853" s="534">
        <v>0</v>
      </c>
      <c r="J853" s="534">
        <v>0</v>
      </c>
      <c r="K853" s="534">
        <v>1</v>
      </c>
      <c r="M853" s="617">
        <f t="shared" si="28"/>
        <v>0</v>
      </c>
      <c r="N853" s="617">
        <f t="shared" si="29"/>
        <v>53</v>
      </c>
      <c r="O853" s="617"/>
    </row>
    <row r="854" spans="2:15" ht="15" x14ac:dyDescent="0.25">
      <c r="B854" s="529">
        <v>849001</v>
      </c>
      <c r="C854" s="529">
        <v>850</v>
      </c>
      <c r="E854" s="534">
        <v>0</v>
      </c>
      <c r="F854" s="534">
        <v>0</v>
      </c>
      <c r="G854" s="534">
        <v>52</v>
      </c>
      <c r="I854" s="534">
        <v>0</v>
      </c>
      <c r="J854" s="534">
        <v>0</v>
      </c>
      <c r="K854" s="534">
        <v>1</v>
      </c>
      <c r="M854" s="617">
        <f t="shared" si="28"/>
        <v>0</v>
      </c>
      <c r="N854" s="617">
        <f t="shared" si="29"/>
        <v>53</v>
      </c>
      <c r="O854" s="617"/>
    </row>
    <row r="855" spans="2:15" ht="15" x14ac:dyDescent="0.25">
      <c r="B855" s="529">
        <v>850001</v>
      </c>
      <c r="C855" s="529">
        <v>851</v>
      </c>
      <c r="E855" s="534">
        <v>0</v>
      </c>
      <c r="F855" s="534">
        <v>0</v>
      </c>
      <c r="G855" s="534">
        <v>52</v>
      </c>
      <c r="I855" s="534">
        <v>0</v>
      </c>
      <c r="J855" s="534">
        <v>0</v>
      </c>
      <c r="K855" s="534">
        <v>1</v>
      </c>
      <c r="M855" s="617">
        <f t="shared" si="28"/>
        <v>0</v>
      </c>
      <c r="N855" s="617">
        <f t="shared" si="29"/>
        <v>53</v>
      </c>
      <c r="O855" s="617"/>
    </row>
    <row r="856" spans="2:15" ht="15" x14ac:dyDescent="0.25">
      <c r="B856" s="529">
        <v>851001</v>
      </c>
      <c r="C856" s="529">
        <v>852</v>
      </c>
      <c r="E856" s="534">
        <v>0</v>
      </c>
      <c r="F856" s="534">
        <v>0</v>
      </c>
      <c r="G856" s="534">
        <v>52</v>
      </c>
      <c r="I856" s="534">
        <v>0</v>
      </c>
      <c r="J856" s="534">
        <v>0</v>
      </c>
      <c r="K856" s="534">
        <v>1</v>
      </c>
      <c r="M856" s="617">
        <f t="shared" si="28"/>
        <v>0</v>
      </c>
      <c r="N856" s="617">
        <f t="shared" si="29"/>
        <v>53</v>
      </c>
      <c r="O856" s="617"/>
    </row>
    <row r="857" spans="2:15" ht="15" x14ac:dyDescent="0.25">
      <c r="B857" s="529">
        <v>852001</v>
      </c>
      <c r="C857" s="529">
        <v>853</v>
      </c>
      <c r="E857" s="534">
        <v>1</v>
      </c>
      <c r="F857" s="534">
        <v>853</v>
      </c>
      <c r="G857" s="534">
        <v>52</v>
      </c>
      <c r="I857" s="534">
        <v>0</v>
      </c>
      <c r="J857" s="534">
        <v>0</v>
      </c>
      <c r="K857" s="534">
        <v>1</v>
      </c>
      <c r="M857" s="617">
        <f t="shared" si="28"/>
        <v>1</v>
      </c>
      <c r="N857" s="617">
        <f t="shared" si="29"/>
        <v>53</v>
      </c>
      <c r="O857" s="617"/>
    </row>
    <row r="858" spans="2:15" ht="15" x14ac:dyDescent="0.25">
      <c r="B858" s="529">
        <v>853001</v>
      </c>
      <c r="C858" s="529">
        <v>854</v>
      </c>
      <c r="E858" s="534">
        <v>0</v>
      </c>
      <c r="F858" s="534">
        <v>0</v>
      </c>
      <c r="G858" s="534">
        <v>51</v>
      </c>
      <c r="I858" s="534">
        <v>0</v>
      </c>
      <c r="J858" s="534">
        <v>0</v>
      </c>
      <c r="K858" s="534">
        <v>1</v>
      </c>
      <c r="M858" s="617">
        <f t="shared" si="28"/>
        <v>0</v>
      </c>
      <c r="N858" s="617">
        <f t="shared" si="29"/>
        <v>52</v>
      </c>
      <c r="O858" s="617"/>
    </row>
    <row r="859" spans="2:15" ht="15" x14ac:dyDescent="0.25">
      <c r="B859" s="529">
        <v>854001</v>
      </c>
      <c r="C859" s="529">
        <v>855</v>
      </c>
      <c r="E859" s="534">
        <v>0</v>
      </c>
      <c r="F859" s="534">
        <v>0</v>
      </c>
      <c r="G859" s="534">
        <v>51</v>
      </c>
      <c r="I859" s="534">
        <v>0</v>
      </c>
      <c r="J859" s="534">
        <v>0</v>
      </c>
      <c r="K859" s="534">
        <v>1</v>
      </c>
      <c r="M859" s="617">
        <f t="shared" si="28"/>
        <v>0</v>
      </c>
      <c r="N859" s="617">
        <f t="shared" si="29"/>
        <v>52</v>
      </c>
      <c r="O859" s="617"/>
    </row>
    <row r="860" spans="2:15" ht="15" x14ac:dyDescent="0.25">
      <c r="B860" s="529">
        <v>855001</v>
      </c>
      <c r="C860" s="529">
        <v>856</v>
      </c>
      <c r="E860" s="534">
        <v>1</v>
      </c>
      <c r="F860" s="534">
        <v>856</v>
      </c>
      <c r="G860" s="534">
        <v>51</v>
      </c>
      <c r="I860" s="534">
        <v>0</v>
      </c>
      <c r="J860" s="534">
        <v>0</v>
      </c>
      <c r="K860" s="534">
        <v>1</v>
      </c>
      <c r="M860" s="617">
        <f t="shared" si="28"/>
        <v>1</v>
      </c>
      <c r="N860" s="617">
        <f t="shared" si="29"/>
        <v>52</v>
      </c>
      <c r="O860" s="617"/>
    </row>
    <row r="861" spans="2:15" ht="15" x14ac:dyDescent="0.25">
      <c r="B861" s="529">
        <v>856001</v>
      </c>
      <c r="C861" s="529">
        <v>857</v>
      </c>
      <c r="E861" s="534">
        <v>0</v>
      </c>
      <c r="F861" s="534">
        <v>0</v>
      </c>
      <c r="G861" s="534">
        <v>50</v>
      </c>
      <c r="I861" s="534">
        <v>0</v>
      </c>
      <c r="J861" s="534">
        <v>0</v>
      </c>
      <c r="K861" s="534">
        <v>1</v>
      </c>
      <c r="M861" s="617">
        <f t="shared" si="28"/>
        <v>0</v>
      </c>
      <c r="N861" s="617">
        <f t="shared" si="29"/>
        <v>51</v>
      </c>
      <c r="O861" s="617"/>
    </row>
    <row r="862" spans="2:15" ht="15" x14ac:dyDescent="0.25">
      <c r="B862" s="529">
        <v>857001</v>
      </c>
      <c r="C862" s="529">
        <v>858</v>
      </c>
      <c r="E862" s="534">
        <v>0</v>
      </c>
      <c r="F862" s="534">
        <v>0</v>
      </c>
      <c r="G862" s="534">
        <v>50</v>
      </c>
      <c r="I862" s="534">
        <v>0</v>
      </c>
      <c r="J862" s="534">
        <v>0</v>
      </c>
      <c r="K862" s="534">
        <v>1</v>
      </c>
      <c r="M862" s="617">
        <f t="shared" si="28"/>
        <v>0</v>
      </c>
      <c r="N862" s="617">
        <f t="shared" si="29"/>
        <v>51</v>
      </c>
      <c r="O862" s="617"/>
    </row>
    <row r="863" spans="2:15" ht="15" x14ac:dyDescent="0.25">
      <c r="B863" s="529">
        <v>858001</v>
      </c>
      <c r="C863" s="529">
        <v>859</v>
      </c>
      <c r="E863" s="534">
        <v>0</v>
      </c>
      <c r="F863" s="534">
        <v>0</v>
      </c>
      <c r="G863" s="534">
        <v>50</v>
      </c>
      <c r="I863" s="534">
        <v>0</v>
      </c>
      <c r="J863" s="534">
        <v>0</v>
      </c>
      <c r="K863" s="534">
        <v>1</v>
      </c>
      <c r="M863" s="617">
        <f t="shared" si="28"/>
        <v>0</v>
      </c>
      <c r="N863" s="617">
        <f t="shared" si="29"/>
        <v>51</v>
      </c>
      <c r="O863" s="617"/>
    </row>
    <row r="864" spans="2:15" ht="15" x14ac:dyDescent="0.25">
      <c r="B864" s="529">
        <v>859001</v>
      </c>
      <c r="C864" s="529">
        <v>860</v>
      </c>
      <c r="E864" s="534">
        <v>0</v>
      </c>
      <c r="F864" s="534">
        <v>0</v>
      </c>
      <c r="G864" s="534">
        <v>50</v>
      </c>
      <c r="I864" s="534">
        <v>0</v>
      </c>
      <c r="J864" s="534">
        <v>0</v>
      </c>
      <c r="K864" s="534">
        <v>1</v>
      </c>
      <c r="M864" s="617">
        <f t="shared" si="28"/>
        <v>0</v>
      </c>
      <c r="N864" s="617">
        <f t="shared" si="29"/>
        <v>51</v>
      </c>
      <c r="O864" s="617"/>
    </row>
    <row r="865" spans="2:15" ht="15" x14ac:dyDescent="0.25">
      <c r="B865" s="529">
        <v>860001</v>
      </c>
      <c r="C865" s="529">
        <v>861</v>
      </c>
      <c r="E865" s="534">
        <v>0</v>
      </c>
      <c r="F865" s="534">
        <v>0</v>
      </c>
      <c r="G865" s="534">
        <v>50</v>
      </c>
      <c r="I865" s="534">
        <v>0</v>
      </c>
      <c r="J865" s="534">
        <v>0</v>
      </c>
      <c r="K865" s="534">
        <v>1</v>
      </c>
      <c r="M865" s="617">
        <f t="shared" si="28"/>
        <v>0</v>
      </c>
      <c r="N865" s="617">
        <f t="shared" si="29"/>
        <v>51</v>
      </c>
      <c r="O865" s="617"/>
    </row>
    <row r="866" spans="2:15" ht="15" x14ac:dyDescent="0.25">
      <c r="B866" s="529">
        <v>861001</v>
      </c>
      <c r="C866" s="529">
        <v>862</v>
      </c>
      <c r="E866" s="534">
        <v>0</v>
      </c>
      <c r="F866" s="534">
        <v>0</v>
      </c>
      <c r="G866" s="534">
        <v>50</v>
      </c>
      <c r="I866" s="534">
        <v>0</v>
      </c>
      <c r="J866" s="534">
        <v>0</v>
      </c>
      <c r="K866" s="534">
        <v>1</v>
      </c>
      <c r="M866" s="617">
        <f t="shared" si="28"/>
        <v>0</v>
      </c>
      <c r="N866" s="617">
        <f t="shared" si="29"/>
        <v>51</v>
      </c>
      <c r="O866" s="617"/>
    </row>
    <row r="867" spans="2:15" ht="15" x14ac:dyDescent="0.25">
      <c r="B867" s="529">
        <v>862001</v>
      </c>
      <c r="C867" s="529">
        <v>863</v>
      </c>
      <c r="E867" s="534">
        <v>0</v>
      </c>
      <c r="F867" s="534">
        <v>0</v>
      </c>
      <c r="G867" s="534">
        <v>50</v>
      </c>
      <c r="I867" s="534">
        <v>0</v>
      </c>
      <c r="J867" s="534">
        <v>0</v>
      </c>
      <c r="K867" s="534">
        <v>1</v>
      </c>
      <c r="M867" s="617">
        <f t="shared" si="28"/>
        <v>0</v>
      </c>
      <c r="N867" s="617">
        <f t="shared" si="29"/>
        <v>51</v>
      </c>
      <c r="O867" s="617"/>
    </row>
    <row r="868" spans="2:15" ht="15" x14ac:dyDescent="0.25">
      <c r="B868" s="529">
        <v>863001</v>
      </c>
      <c r="C868" s="529">
        <v>864</v>
      </c>
      <c r="E868" s="534">
        <v>1</v>
      </c>
      <c r="F868" s="534">
        <v>864</v>
      </c>
      <c r="G868" s="534">
        <v>50</v>
      </c>
      <c r="I868" s="534">
        <v>0</v>
      </c>
      <c r="J868" s="534">
        <v>0</v>
      </c>
      <c r="K868" s="534">
        <v>1</v>
      </c>
      <c r="M868" s="617">
        <f t="shared" si="28"/>
        <v>1</v>
      </c>
      <c r="N868" s="617">
        <f t="shared" si="29"/>
        <v>51</v>
      </c>
      <c r="O868" s="617"/>
    </row>
    <row r="869" spans="2:15" ht="15" x14ac:dyDescent="0.25">
      <c r="B869" s="529">
        <v>864001</v>
      </c>
      <c r="C869" s="529">
        <v>865</v>
      </c>
      <c r="E869" s="534">
        <v>0</v>
      </c>
      <c r="F869" s="534">
        <v>0</v>
      </c>
      <c r="G869" s="534">
        <v>49</v>
      </c>
      <c r="I869" s="534">
        <v>0</v>
      </c>
      <c r="J869" s="534">
        <v>0</v>
      </c>
      <c r="K869" s="534">
        <v>1</v>
      </c>
      <c r="M869" s="617">
        <f t="shared" si="28"/>
        <v>0</v>
      </c>
      <c r="N869" s="617">
        <f t="shared" si="29"/>
        <v>50</v>
      </c>
      <c r="O869" s="617"/>
    </row>
    <row r="870" spans="2:15" ht="15" x14ac:dyDescent="0.25">
      <c r="B870" s="529">
        <v>865001</v>
      </c>
      <c r="C870" s="529">
        <v>866</v>
      </c>
      <c r="E870" s="534">
        <v>0</v>
      </c>
      <c r="F870" s="534">
        <v>0</v>
      </c>
      <c r="G870" s="534">
        <v>49</v>
      </c>
      <c r="I870" s="534">
        <v>0</v>
      </c>
      <c r="J870" s="534">
        <v>0</v>
      </c>
      <c r="K870" s="534">
        <v>1</v>
      </c>
      <c r="M870" s="617">
        <f t="shared" si="28"/>
        <v>0</v>
      </c>
      <c r="N870" s="617">
        <f t="shared" si="29"/>
        <v>50</v>
      </c>
      <c r="O870" s="617"/>
    </row>
    <row r="871" spans="2:15" ht="15" x14ac:dyDescent="0.25">
      <c r="B871" s="529">
        <v>866001</v>
      </c>
      <c r="C871" s="529">
        <v>867</v>
      </c>
      <c r="E871" s="534">
        <v>0</v>
      </c>
      <c r="F871" s="534">
        <v>0</v>
      </c>
      <c r="G871" s="534">
        <v>49</v>
      </c>
      <c r="I871" s="534">
        <v>0</v>
      </c>
      <c r="J871" s="534">
        <v>0</v>
      </c>
      <c r="K871" s="534">
        <v>1</v>
      </c>
      <c r="M871" s="617">
        <f t="shared" si="28"/>
        <v>0</v>
      </c>
      <c r="N871" s="617">
        <f t="shared" si="29"/>
        <v>50</v>
      </c>
      <c r="O871" s="617"/>
    </row>
    <row r="872" spans="2:15" ht="15" x14ac:dyDescent="0.25">
      <c r="B872" s="529">
        <v>867001</v>
      </c>
      <c r="C872" s="529">
        <v>868</v>
      </c>
      <c r="E872" s="534">
        <v>0</v>
      </c>
      <c r="F872" s="534">
        <v>0</v>
      </c>
      <c r="G872" s="534">
        <v>49</v>
      </c>
      <c r="I872" s="534">
        <v>0</v>
      </c>
      <c r="J872" s="534">
        <v>0</v>
      </c>
      <c r="K872" s="534">
        <v>1</v>
      </c>
      <c r="M872" s="617">
        <f t="shared" si="28"/>
        <v>0</v>
      </c>
      <c r="N872" s="617">
        <f t="shared" si="29"/>
        <v>50</v>
      </c>
      <c r="O872" s="617"/>
    </row>
    <row r="873" spans="2:15" ht="15" x14ac:dyDescent="0.25">
      <c r="B873" s="529">
        <v>868001</v>
      </c>
      <c r="C873" s="529">
        <v>869</v>
      </c>
      <c r="E873" s="534">
        <v>0</v>
      </c>
      <c r="F873" s="534">
        <v>0</v>
      </c>
      <c r="G873" s="534">
        <v>49</v>
      </c>
      <c r="I873" s="534">
        <v>0</v>
      </c>
      <c r="J873" s="534">
        <v>0</v>
      </c>
      <c r="K873" s="534">
        <v>1</v>
      </c>
      <c r="M873" s="617">
        <f t="shared" si="28"/>
        <v>0</v>
      </c>
      <c r="N873" s="617">
        <f t="shared" si="29"/>
        <v>50</v>
      </c>
      <c r="O873" s="617"/>
    </row>
    <row r="874" spans="2:15" ht="15" x14ac:dyDescent="0.25">
      <c r="B874" s="529">
        <v>869001</v>
      </c>
      <c r="C874" s="529">
        <v>870</v>
      </c>
      <c r="E874" s="534">
        <v>0</v>
      </c>
      <c r="F874" s="534">
        <v>0</v>
      </c>
      <c r="G874" s="534">
        <v>49</v>
      </c>
      <c r="I874" s="534">
        <v>0</v>
      </c>
      <c r="J874" s="534">
        <v>0</v>
      </c>
      <c r="K874" s="534">
        <v>1</v>
      </c>
      <c r="M874" s="617">
        <f t="shared" si="28"/>
        <v>0</v>
      </c>
      <c r="N874" s="617">
        <f t="shared" si="29"/>
        <v>50</v>
      </c>
      <c r="O874" s="617"/>
    </row>
    <row r="875" spans="2:15" ht="15" x14ac:dyDescent="0.25">
      <c r="B875" s="529">
        <v>870001</v>
      </c>
      <c r="C875" s="529">
        <v>871</v>
      </c>
      <c r="E875" s="534">
        <v>0</v>
      </c>
      <c r="F875" s="534">
        <v>0</v>
      </c>
      <c r="G875" s="534">
        <v>49</v>
      </c>
      <c r="I875" s="534">
        <v>0</v>
      </c>
      <c r="J875" s="534">
        <v>0</v>
      </c>
      <c r="K875" s="534">
        <v>1</v>
      </c>
      <c r="M875" s="617">
        <f t="shared" si="28"/>
        <v>0</v>
      </c>
      <c r="N875" s="617">
        <f t="shared" si="29"/>
        <v>50</v>
      </c>
      <c r="O875" s="617"/>
    </row>
    <row r="876" spans="2:15" ht="15" x14ac:dyDescent="0.25">
      <c r="B876" s="529">
        <v>871001</v>
      </c>
      <c r="C876" s="529">
        <v>872</v>
      </c>
      <c r="E876" s="534">
        <v>0</v>
      </c>
      <c r="F876" s="534">
        <v>0</v>
      </c>
      <c r="G876" s="534">
        <v>49</v>
      </c>
      <c r="I876" s="534">
        <v>0</v>
      </c>
      <c r="J876" s="534">
        <v>0</v>
      </c>
      <c r="K876" s="534">
        <v>1</v>
      </c>
      <c r="M876" s="617">
        <f t="shared" si="28"/>
        <v>0</v>
      </c>
      <c r="N876" s="617">
        <f t="shared" si="29"/>
        <v>50</v>
      </c>
      <c r="O876" s="617"/>
    </row>
    <row r="877" spans="2:15" ht="15" x14ac:dyDescent="0.25">
      <c r="B877" s="529">
        <v>872001</v>
      </c>
      <c r="C877" s="529">
        <v>873</v>
      </c>
      <c r="E877" s="534">
        <v>0</v>
      </c>
      <c r="F877" s="534">
        <v>0</v>
      </c>
      <c r="G877" s="534">
        <v>49</v>
      </c>
      <c r="I877" s="534">
        <v>0</v>
      </c>
      <c r="J877" s="534">
        <v>0</v>
      </c>
      <c r="K877" s="534">
        <v>1</v>
      </c>
      <c r="M877" s="617">
        <f t="shared" si="28"/>
        <v>0</v>
      </c>
      <c r="N877" s="617">
        <f t="shared" si="29"/>
        <v>50</v>
      </c>
      <c r="O877" s="617"/>
    </row>
    <row r="878" spans="2:15" ht="15" x14ac:dyDescent="0.25">
      <c r="B878" s="529">
        <v>873001</v>
      </c>
      <c r="C878" s="529">
        <v>874</v>
      </c>
      <c r="E878" s="534">
        <v>0</v>
      </c>
      <c r="F878" s="534">
        <v>0</v>
      </c>
      <c r="G878" s="534">
        <v>49</v>
      </c>
      <c r="I878" s="534">
        <v>0</v>
      </c>
      <c r="J878" s="534">
        <v>0</v>
      </c>
      <c r="K878" s="534">
        <v>1</v>
      </c>
      <c r="M878" s="617">
        <f t="shared" si="28"/>
        <v>0</v>
      </c>
      <c r="N878" s="617">
        <f t="shared" si="29"/>
        <v>50</v>
      </c>
      <c r="O878" s="617"/>
    </row>
    <row r="879" spans="2:15" ht="15" x14ac:dyDescent="0.25">
      <c r="B879" s="529">
        <v>874001</v>
      </c>
      <c r="C879" s="529">
        <v>875</v>
      </c>
      <c r="E879" s="534">
        <v>0</v>
      </c>
      <c r="F879" s="534">
        <v>0</v>
      </c>
      <c r="G879" s="534">
        <v>49</v>
      </c>
      <c r="I879" s="534">
        <v>0</v>
      </c>
      <c r="J879" s="534">
        <v>0</v>
      </c>
      <c r="K879" s="534">
        <v>1</v>
      </c>
      <c r="M879" s="617">
        <f t="shared" si="28"/>
        <v>0</v>
      </c>
      <c r="N879" s="617">
        <f t="shared" si="29"/>
        <v>50</v>
      </c>
      <c r="O879" s="617"/>
    </row>
    <row r="880" spans="2:15" ht="15" x14ac:dyDescent="0.25">
      <c r="B880" s="529">
        <v>875001</v>
      </c>
      <c r="C880" s="529">
        <v>876</v>
      </c>
      <c r="E880" s="534">
        <v>0</v>
      </c>
      <c r="F880" s="534">
        <v>0</v>
      </c>
      <c r="G880" s="534">
        <v>49</v>
      </c>
      <c r="I880" s="534">
        <v>0</v>
      </c>
      <c r="J880" s="534">
        <v>0</v>
      </c>
      <c r="K880" s="534">
        <v>1</v>
      </c>
      <c r="M880" s="617">
        <f t="shared" si="28"/>
        <v>0</v>
      </c>
      <c r="N880" s="617">
        <f t="shared" si="29"/>
        <v>50</v>
      </c>
      <c r="O880" s="617"/>
    </row>
    <row r="881" spans="2:15" ht="15" x14ac:dyDescent="0.25">
      <c r="B881" s="529">
        <v>876001</v>
      </c>
      <c r="C881" s="529">
        <v>877</v>
      </c>
      <c r="E881" s="534">
        <v>0</v>
      </c>
      <c r="F881" s="534">
        <v>0</v>
      </c>
      <c r="G881" s="534">
        <v>49</v>
      </c>
      <c r="I881" s="534">
        <v>0</v>
      </c>
      <c r="J881" s="534">
        <v>0</v>
      </c>
      <c r="K881" s="534">
        <v>1</v>
      </c>
      <c r="M881" s="617">
        <f t="shared" si="28"/>
        <v>0</v>
      </c>
      <c r="N881" s="617">
        <f t="shared" si="29"/>
        <v>50</v>
      </c>
      <c r="O881" s="617"/>
    </row>
    <row r="882" spans="2:15" ht="15" x14ac:dyDescent="0.25">
      <c r="B882" s="529">
        <v>877001</v>
      </c>
      <c r="C882" s="529">
        <v>878</v>
      </c>
      <c r="E882" s="534">
        <v>0</v>
      </c>
      <c r="F882" s="534">
        <v>0</v>
      </c>
      <c r="G882" s="534">
        <v>49</v>
      </c>
      <c r="I882" s="534">
        <v>0</v>
      </c>
      <c r="J882" s="534">
        <v>0</v>
      </c>
      <c r="K882" s="534">
        <v>1</v>
      </c>
      <c r="M882" s="617">
        <f t="shared" si="28"/>
        <v>0</v>
      </c>
      <c r="N882" s="617">
        <f t="shared" si="29"/>
        <v>50</v>
      </c>
      <c r="O882" s="617"/>
    </row>
    <row r="883" spans="2:15" ht="15" x14ac:dyDescent="0.25">
      <c r="B883" s="529">
        <v>878001</v>
      </c>
      <c r="C883" s="529">
        <v>879</v>
      </c>
      <c r="E883" s="534">
        <v>0</v>
      </c>
      <c r="F883" s="534">
        <v>0</v>
      </c>
      <c r="G883" s="534">
        <v>49</v>
      </c>
      <c r="I883" s="534">
        <v>0</v>
      </c>
      <c r="J883" s="534">
        <v>0</v>
      </c>
      <c r="K883" s="534">
        <v>1</v>
      </c>
      <c r="M883" s="617">
        <f t="shared" si="28"/>
        <v>0</v>
      </c>
      <c r="N883" s="617">
        <f t="shared" si="29"/>
        <v>50</v>
      </c>
      <c r="O883" s="617"/>
    </row>
    <row r="884" spans="2:15" ht="15" x14ac:dyDescent="0.25">
      <c r="B884" s="529">
        <v>879001</v>
      </c>
      <c r="C884" s="529">
        <v>880</v>
      </c>
      <c r="E884" s="534">
        <v>0</v>
      </c>
      <c r="F884" s="534">
        <v>0</v>
      </c>
      <c r="G884" s="534">
        <v>49</v>
      </c>
      <c r="I884" s="534">
        <v>0</v>
      </c>
      <c r="J884" s="534">
        <v>0</v>
      </c>
      <c r="K884" s="534">
        <v>1</v>
      </c>
      <c r="M884" s="617">
        <f t="shared" si="28"/>
        <v>0</v>
      </c>
      <c r="N884" s="617">
        <f t="shared" si="29"/>
        <v>50</v>
      </c>
      <c r="O884" s="617"/>
    </row>
    <row r="885" spans="2:15" ht="15" x14ac:dyDescent="0.25">
      <c r="B885" s="529">
        <v>880001</v>
      </c>
      <c r="C885" s="529">
        <v>881</v>
      </c>
      <c r="E885" s="534">
        <v>0</v>
      </c>
      <c r="F885" s="534">
        <v>0</v>
      </c>
      <c r="G885" s="534">
        <v>49</v>
      </c>
      <c r="I885" s="534">
        <v>0</v>
      </c>
      <c r="J885" s="534">
        <v>0</v>
      </c>
      <c r="K885" s="534">
        <v>1</v>
      </c>
      <c r="M885" s="617">
        <f t="shared" si="28"/>
        <v>0</v>
      </c>
      <c r="N885" s="617">
        <f t="shared" si="29"/>
        <v>50</v>
      </c>
      <c r="O885" s="617"/>
    </row>
    <row r="886" spans="2:15" ht="15" x14ac:dyDescent="0.25">
      <c r="B886" s="529">
        <v>881001</v>
      </c>
      <c r="C886" s="529">
        <v>882</v>
      </c>
      <c r="E886" s="534">
        <v>0</v>
      </c>
      <c r="F886" s="534">
        <v>0</v>
      </c>
      <c r="G886" s="534">
        <v>49</v>
      </c>
      <c r="I886" s="534">
        <v>0</v>
      </c>
      <c r="J886" s="534">
        <v>0</v>
      </c>
      <c r="K886" s="534">
        <v>1</v>
      </c>
      <c r="M886" s="617">
        <f t="shared" si="28"/>
        <v>0</v>
      </c>
      <c r="N886" s="617">
        <f t="shared" si="29"/>
        <v>50</v>
      </c>
      <c r="O886" s="617"/>
    </row>
    <row r="887" spans="2:15" ht="15" x14ac:dyDescent="0.25">
      <c r="B887" s="529">
        <v>882001</v>
      </c>
      <c r="C887" s="529">
        <v>883</v>
      </c>
      <c r="E887" s="534">
        <v>0</v>
      </c>
      <c r="F887" s="534">
        <v>0</v>
      </c>
      <c r="G887" s="534">
        <v>49</v>
      </c>
      <c r="I887" s="534">
        <v>0</v>
      </c>
      <c r="J887" s="534">
        <v>0</v>
      </c>
      <c r="K887" s="534">
        <v>1</v>
      </c>
      <c r="M887" s="617">
        <f t="shared" si="28"/>
        <v>0</v>
      </c>
      <c r="N887" s="617">
        <f t="shared" si="29"/>
        <v>50</v>
      </c>
      <c r="O887" s="617"/>
    </row>
    <row r="888" spans="2:15" ht="15" x14ac:dyDescent="0.25">
      <c r="B888" s="529">
        <v>883001</v>
      </c>
      <c r="C888" s="529">
        <v>884</v>
      </c>
      <c r="E888" s="534">
        <v>0</v>
      </c>
      <c r="F888" s="534">
        <v>0</v>
      </c>
      <c r="G888" s="534">
        <v>49</v>
      </c>
      <c r="I888" s="534">
        <v>0</v>
      </c>
      <c r="J888" s="534">
        <v>0</v>
      </c>
      <c r="K888" s="534">
        <v>1</v>
      </c>
      <c r="M888" s="617">
        <f t="shared" si="28"/>
        <v>0</v>
      </c>
      <c r="N888" s="617">
        <f t="shared" si="29"/>
        <v>50</v>
      </c>
      <c r="O888" s="617"/>
    </row>
    <row r="889" spans="2:15" ht="15" x14ac:dyDescent="0.25">
      <c r="B889" s="529">
        <v>884001</v>
      </c>
      <c r="C889" s="529">
        <v>885</v>
      </c>
      <c r="E889" s="534">
        <v>0</v>
      </c>
      <c r="F889" s="534">
        <v>0</v>
      </c>
      <c r="G889" s="534">
        <v>49</v>
      </c>
      <c r="I889" s="534">
        <v>0</v>
      </c>
      <c r="J889" s="534">
        <v>0</v>
      </c>
      <c r="K889" s="534">
        <v>1</v>
      </c>
      <c r="M889" s="617">
        <f t="shared" si="28"/>
        <v>0</v>
      </c>
      <c r="N889" s="617">
        <f t="shared" si="29"/>
        <v>50</v>
      </c>
      <c r="O889" s="617"/>
    </row>
    <row r="890" spans="2:15" ht="15" x14ac:dyDescent="0.25">
      <c r="B890" s="529">
        <v>885001</v>
      </c>
      <c r="C890" s="529">
        <v>886</v>
      </c>
      <c r="E890" s="534">
        <v>0</v>
      </c>
      <c r="F890" s="534">
        <v>0</v>
      </c>
      <c r="G890" s="534">
        <v>49</v>
      </c>
      <c r="I890" s="534">
        <v>0</v>
      </c>
      <c r="J890" s="534">
        <v>0</v>
      </c>
      <c r="K890" s="534">
        <v>1</v>
      </c>
      <c r="M890" s="617">
        <f t="shared" si="28"/>
        <v>0</v>
      </c>
      <c r="N890" s="617">
        <f t="shared" si="29"/>
        <v>50</v>
      </c>
      <c r="O890" s="617"/>
    </row>
    <row r="891" spans="2:15" ht="15" x14ac:dyDescent="0.25">
      <c r="B891" s="529">
        <v>886001</v>
      </c>
      <c r="C891" s="529">
        <v>887</v>
      </c>
      <c r="E891" s="534">
        <v>0</v>
      </c>
      <c r="F891" s="534">
        <v>0</v>
      </c>
      <c r="G891" s="534">
        <v>49</v>
      </c>
      <c r="I891" s="534">
        <v>0</v>
      </c>
      <c r="J891" s="534">
        <v>0</v>
      </c>
      <c r="K891" s="534">
        <v>1</v>
      </c>
      <c r="M891" s="617">
        <f t="shared" si="28"/>
        <v>0</v>
      </c>
      <c r="N891" s="617">
        <f t="shared" si="29"/>
        <v>50</v>
      </c>
      <c r="O891" s="617"/>
    </row>
    <row r="892" spans="2:15" ht="15" x14ac:dyDescent="0.25">
      <c r="B892" s="529">
        <v>887001</v>
      </c>
      <c r="C892" s="529">
        <v>888</v>
      </c>
      <c r="E892" s="534">
        <v>0</v>
      </c>
      <c r="F892" s="534">
        <v>0</v>
      </c>
      <c r="G892" s="534">
        <v>49</v>
      </c>
      <c r="I892" s="534">
        <v>0</v>
      </c>
      <c r="J892" s="534">
        <v>0</v>
      </c>
      <c r="K892" s="534">
        <v>1</v>
      </c>
      <c r="M892" s="617">
        <f t="shared" si="28"/>
        <v>0</v>
      </c>
      <c r="N892" s="617">
        <f t="shared" si="29"/>
        <v>50</v>
      </c>
      <c r="O892" s="617"/>
    </row>
    <row r="893" spans="2:15" ht="15" x14ac:dyDescent="0.25">
      <c r="B893" s="529">
        <v>888001</v>
      </c>
      <c r="C893" s="529">
        <v>889</v>
      </c>
      <c r="E893" s="534">
        <v>0</v>
      </c>
      <c r="F893" s="534">
        <v>0</v>
      </c>
      <c r="G893" s="534">
        <v>49</v>
      </c>
      <c r="I893" s="534">
        <v>0</v>
      </c>
      <c r="J893" s="534">
        <v>0</v>
      </c>
      <c r="K893" s="534">
        <v>1</v>
      </c>
      <c r="M893" s="617">
        <f t="shared" si="28"/>
        <v>0</v>
      </c>
      <c r="N893" s="617">
        <f t="shared" si="29"/>
        <v>50</v>
      </c>
      <c r="O893" s="617"/>
    </row>
    <row r="894" spans="2:15" ht="15" x14ac:dyDescent="0.25">
      <c r="B894" s="529">
        <v>889001</v>
      </c>
      <c r="C894" s="529">
        <v>890</v>
      </c>
      <c r="E894" s="534">
        <v>0</v>
      </c>
      <c r="F894" s="534">
        <v>0</v>
      </c>
      <c r="G894" s="534">
        <v>49</v>
      </c>
      <c r="I894" s="534">
        <v>0</v>
      </c>
      <c r="J894" s="534">
        <v>0</v>
      </c>
      <c r="K894" s="534">
        <v>1</v>
      </c>
      <c r="M894" s="617">
        <f t="shared" si="28"/>
        <v>0</v>
      </c>
      <c r="N894" s="617">
        <f t="shared" si="29"/>
        <v>50</v>
      </c>
      <c r="O894" s="617"/>
    </row>
    <row r="895" spans="2:15" ht="15" x14ac:dyDescent="0.25">
      <c r="B895" s="529">
        <v>890001</v>
      </c>
      <c r="C895" s="529">
        <v>891</v>
      </c>
      <c r="E895" s="534">
        <v>0</v>
      </c>
      <c r="F895" s="534">
        <v>0</v>
      </c>
      <c r="G895" s="534">
        <v>49</v>
      </c>
      <c r="I895" s="534">
        <v>0</v>
      </c>
      <c r="J895" s="534">
        <v>0</v>
      </c>
      <c r="K895" s="534">
        <v>1</v>
      </c>
      <c r="M895" s="617">
        <f t="shared" si="28"/>
        <v>0</v>
      </c>
      <c r="N895" s="617">
        <f t="shared" si="29"/>
        <v>50</v>
      </c>
      <c r="O895" s="617"/>
    </row>
    <row r="896" spans="2:15" ht="15" x14ac:dyDescent="0.25">
      <c r="B896" s="529">
        <v>891001</v>
      </c>
      <c r="C896" s="529">
        <v>892</v>
      </c>
      <c r="E896" s="534">
        <v>0</v>
      </c>
      <c r="F896" s="534">
        <v>0</v>
      </c>
      <c r="G896" s="534">
        <v>49</v>
      </c>
      <c r="I896" s="534">
        <v>0</v>
      </c>
      <c r="J896" s="534">
        <v>0</v>
      </c>
      <c r="K896" s="534">
        <v>1</v>
      </c>
      <c r="M896" s="617">
        <f t="shared" si="28"/>
        <v>0</v>
      </c>
      <c r="N896" s="617">
        <f t="shared" si="29"/>
        <v>50</v>
      </c>
      <c r="O896" s="617"/>
    </row>
    <row r="897" spans="2:15" ht="15" x14ac:dyDescent="0.25">
      <c r="B897" s="529">
        <v>892001</v>
      </c>
      <c r="C897" s="529">
        <v>893</v>
      </c>
      <c r="E897" s="534">
        <v>0</v>
      </c>
      <c r="F897" s="534">
        <v>0</v>
      </c>
      <c r="G897" s="534">
        <v>49</v>
      </c>
      <c r="I897" s="534">
        <v>0</v>
      </c>
      <c r="J897" s="534">
        <v>0</v>
      </c>
      <c r="K897" s="534">
        <v>1</v>
      </c>
      <c r="M897" s="617">
        <f t="shared" si="28"/>
        <v>0</v>
      </c>
      <c r="N897" s="617">
        <f t="shared" si="29"/>
        <v>50</v>
      </c>
      <c r="O897" s="617"/>
    </row>
    <row r="898" spans="2:15" ht="15" x14ac:dyDescent="0.25">
      <c r="B898" s="529">
        <v>893001</v>
      </c>
      <c r="C898" s="529">
        <v>894</v>
      </c>
      <c r="E898" s="534">
        <v>0</v>
      </c>
      <c r="F898" s="534">
        <v>0</v>
      </c>
      <c r="G898" s="534">
        <v>49</v>
      </c>
      <c r="I898" s="534">
        <v>0</v>
      </c>
      <c r="J898" s="534">
        <v>0</v>
      </c>
      <c r="K898" s="534">
        <v>1</v>
      </c>
      <c r="M898" s="617">
        <f t="shared" si="28"/>
        <v>0</v>
      </c>
      <c r="N898" s="617">
        <f t="shared" si="29"/>
        <v>50</v>
      </c>
      <c r="O898" s="617"/>
    </row>
    <row r="899" spans="2:15" ht="15" x14ac:dyDescent="0.25">
      <c r="B899" s="529">
        <v>894001</v>
      </c>
      <c r="C899" s="529">
        <v>895</v>
      </c>
      <c r="E899" s="534">
        <v>0</v>
      </c>
      <c r="F899" s="534">
        <v>0</v>
      </c>
      <c r="G899" s="534">
        <v>49</v>
      </c>
      <c r="I899" s="534">
        <v>0</v>
      </c>
      <c r="J899" s="534">
        <v>0</v>
      </c>
      <c r="K899" s="534">
        <v>1</v>
      </c>
      <c r="M899" s="617">
        <f t="shared" si="28"/>
        <v>0</v>
      </c>
      <c r="N899" s="617">
        <f t="shared" si="29"/>
        <v>50</v>
      </c>
      <c r="O899" s="617"/>
    </row>
    <row r="900" spans="2:15" ht="15" x14ac:dyDescent="0.25">
      <c r="B900" s="529">
        <v>895001</v>
      </c>
      <c r="C900" s="529">
        <v>896</v>
      </c>
      <c r="E900" s="534">
        <v>0</v>
      </c>
      <c r="F900" s="534">
        <v>0</v>
      </c>
      <c r="G900" s="534">
        <v>49</v>
      </c>
      <c r="I900" s="534">
        <v>0</v>
      </c>
      <c r="J900" s="534">
        <v>0</v>
      </c>
      <c r="K900" s="534">
        <v>1</v>
      </c>
      <c r="M900" s="617">
        <f t="shared" si="28"/>
        <v>0</v>
      </c>
      <c r="N900" s="617">
        <f t="shared" si="29"/>
        <v>50</v>
      </c>
      <c r="O900" s="617"/>
    </row>
    <row r="901" spans="2:15" ht="15" x14ac:dyDescent="0.25">
      <c r="B901" s="529">
        <v>896001</v>
      </c>
      <c r="C901" s="529">
        <v>897</v>
      </c>
      <c r="E901" s="534">
        <v>0</v>
      </c>
      <c r="F901" s="534">
        <v>0</v>
      </c>
      <c r="G901" s="534">
        <v>49</v>
      </c>
      <c r="I901" s="534">
        <v>0</v>
      </c>
      <c r="J901" s="534">
        <v>0</v>
      </c>
      <c r="K901" s="534">
        <v>1</v>
      </c>
      <c r="M901" s="617">
        <f t="shared" ref="M901:M964" si="30">I901+E901</f>
        <v>0</v>
      </c>
      <c r="N901" s="617">
        <f t="shared" ref="N901:N964" si="31">K901+G901</f>
        <v>50</v>
      </c>
      <c r="O901" s="617"/>
    </row>
    <row r="902" spans="2:15" ht="15" x14ac:dyDescent="0.25">
      <c r="B902" s="529">
        <v>897001</v>
      </c>
      <c r="C902" s="529">
        <v>898</v>
      </c>
      <c r="E902" s="534">
        <v>0</v>
      </c>
      <c r="F902" s="534">
        <v>0</v>
      </c>
      <c r="G902" s="534">
        <v>49</v>
      </c>
      <c r="I902" s="534">
        <v>0</v>
      </c>
      <c r="J902" s="534">
        <v>0</v>
      </c>
      <c r="K902" s="534">
        <v>1</v>
      </c>
      <c r="M902" s="617">
        <f t="shared" si="30"/>
        <v>0</v>
      </c>
      <c r="N902" s="617">
        <f t="shared" si="31"/>
        <v>50</v>
      </c>
      <c r="O902" s="617"/>
    </row>
    <row r="903" spans="2:15" ht="15" x14ac:dyDescent="0.25">
      <c r="B903" s="529">
        <v>898001</v>
      </c>
      <c r="C903" s="529">
        <v>899</v>
      </c>
      <c r="E903" s="534">
        <v>0</v>
      </c>
      <c r="F903" s="534">
        <v>0</v>
      </c>
      <c r="G903" s="534">
        <v>49</v>
      </c>
      <c r="I903" s="534">
        <v>0</v>
      </c>
      <c r="J903" s="534">
        <v>0</v>
      </c>
      <c r="K903" s="534">
        <v>1</v>
      </c>
      <c r="M903" s="617">
        <f t="shared" si="30"/>
        <v>0</v>
      </c>
      <c r="N903" s="617">
        <f t="shared" si="31"/>
        <v>50</v>
      </c>
      <c r="O903" s="617"/>
    </row>
    <row r="904" spans="2:15" ht="15" x14ac:dyDescent="0.25">
      <c r="B904" s="529">
        <v>899001</v>
      </c>
      <c r="C904" s="529">
        <v>900</v>
      </c>
      <c r="E904" s="534">
        <v>1</v>
      </c>
      <c r="F904" s="534">
        <v>900</v>
      </c>
      <c r="G904" s="534">
        <v>49</v>
      </c>
      <c r="I904" s="534">
        <v>0</v>
      </c>
      <c r="J904" s="534">
        <v>0</v>
      </c>
      <c r="K904" s="534">
        <v>1</v>
      </c>
      <c r="M904" s="617">
        <f t="shared" si="30"/>
        <v>1</v>
      </c>
      <c r="N904" s="617">
        <f t="shared" si="31"/>
        <v>50</v>
      </c>
      <c r="O904" s="617"/>
    </row>
    <row r="905" spans="2:15" ht="15" x14ac:dyDescent="0.25">
      <c r="B905" s="529">
        <v>900001</v>
      </c>
      <c r="C905" s="529">
        <v>901</v>
      </c>
      <c r="E905" s="534">
        <v>0</v>
      </c>
      <c r="F905" s="534">
        <v>0</v>
      </c>
      <c r="G905" s="534">
        <v>48</v>
      </c>
      <c r="I905" s="534">
        <v>0</v>
      </c>
      <c r="J905" s="534">
        <v>0</v>
      </c>
      <c r="K905" s="534">
        <v>1</v>
      </c>
      <c r="M905" s="617">
        <f t="shared" si="30"/>
        <v>0</v>
      </c>
      <c r="N905" s="617">
        <f t="shared" si="31"/>
        <v>49</v>
      </c>
      <c r="O905" s="617"/>
    </row>
    <row r="906" spans="2:15" ht="15" x14ac:dyDescent="0.25">
      <c r="B906" s="529">
        <v>901001</v>
      </c>
      <c r="C906" s="529">
        <v>902</v>
      </c>
      <c r="E906" s="534">
        <v>0</v>
      </c>
      <c r="F906" s="534">
        <v>0</v>
      </c>
      <c r="G906" s="534">
        <v>48</v>
      </c>
      <c r="I906" s="534">
        <v>0</v>
      </c>
      <c r="J906" s="534">
        <v>0</v>
      </c>
      <c r="K906" s="534">
        <v>1</v>
      </c>
      <c r="M906" s="617">
        <f t="shared" si="30"/>
        <v>0</v>
      </c>
      <c r="N906" s="617">
        <f t="shared" si="31"/>
        <v>49</v>
      </c>
      <c r="O906" s="617"/>
    </row>
    <row r="907" spans="2:15" ht="15" x14ac:dyDescent="0.25">
      <c r="B907" s="529">
        <v>902001</v>
      </c>
      <c r="C907" s="529">
        <v>903</v>
      </c>
      <c r="E907" s="534">
        <v>0</v>
      </c>
      <c r="F907" s="534">
        <v>0</v>
      </c>
      <c r="G907" s="534">
        <v>48</v>
      </c>
      <c r="I907" s="534">
        <v>0</v>
      </c>
      <c r="J907" s="534">
        <v>0</v>
      </c>
      <c r="K907" s="534">
        <v>1</v>
      </c>
      <c r="M907" s="617">
        <f t="shared" si="30"/>
        <v>0</v>
      </c>
      <c r="N907" s="617">
        <f t="shared" si="31"/>
        <v>49</v>
      </c>
      <c r="O907" s="617"/>
    </row>
    <row r="908" spans="2:15" ht="15" x14ac:dyDescent="0.25">
      <c r="B908" s="529">
        <v>903001</v>
      </c>
      <c r="C908" s="529">
        <v>904</v>
      </c>
      <c r="E908" s="534">
        <v>1</v>
      </c>
      <c r="F908" s="534">
        <v>904</v>
      </c>
      <c r="G908" s="534">
        <v>48</v>
      </c>
      <c r="I908" s="534">
        <v>0</v>
      </c>
      <c r="J908" s="534">
        <v>0</v>
      </c>
      <c r="K908" s="534">
        <v>1</v>
      </c>
      <c r="M908" s="617">
        <f t="shared" si="30"/>
        <v>1</v>
      </c>
      <c r="N908" s="617">
        <f t="shared" si="31"/>
        <v>49</v>
      </c>
      <c r="O908" s="617"/>
    </row>
    <row r="909" spans="2:15" ht="15" x14ac:dyDescent="0.25">
      <c r="B909" s="529">
        <v>904001</v>
      </c>
      <c r="C909" s="529">
        <v>905</v>
      </c>
      <c r="E909" s="534">
        <v>0</v>
      </c>
      <c r="F909" s="534">
        <v>0</v>
      </c>
      <c r="G909" s="534">
        <v>47</v>
      </c>
      <c r="I909" s="534">
        <v>0</v>
      </c>
      <c r="J909" s="534">
        <v>0</v>
      </c>
      <c r="K909" s="534">
        <v>1</v>
      </c>
      <c r="M909" s="617">
        <f t="shared" si="30"/>
        <v>0</v>
      </c>
      <c r="N909" s="617">
        <f t="shared" si="31"/>
        <v>48</v>
      </c>
      <c r="O909" s="617"/>
    </row>
    <row r="910" spans="2:15" ht="15" x14ac:dyDescent="0.25">
      <c r="B910" s="529">
        <v>905001</v>
      </c>
      <c r="C910" s="529">
        <v>906</v>
      </c>
      <c r="E910" s="534">
        <v>1</v>
      </c>
      <c r="F910" s="534">
        <v>906</v>
      </c>
      <c r="G910" s="534">
        <v>47</v>
      </c>
      <c r="I910" s="534">
        <v>0</v>
      </c>
      <c r="J910" s="534">
        <v>0</v>
      </c>
      <c r="K910" s="534">
        <v>1</v>
      </c>
      <c r="M910" s="617">
        <f t="shared" si="30"/>
        <v>1</v>
      </c>
      <c r="N910" s="617">
        <f t="shared" si="31"/>
        <v>48</v>
      </c>
      <c r="O910" s="617"/>
    </row>
    <row r="911" spans="2:15" ht="15" x14ac:dyDescent="0.25">
      <c r="B911" s="529">
        <v>906001</v>
      </c>
      <c r="C911" s="529">
        <v>907</v>
      </c>
      <c r="E911" s="534">
        <v>0</v>
      </c>
      <c r="F911" s="534">
        <v>0</v>
      </c>
      <c r="G911" s="534">
        <v>46</v>
      </c>
      <c r="I911" s="534">
        <v>0</v>
      </c>
      <c r="J911" s="534">
        <v>0</v>
      </c>
      <c r="K911" s="534">
        <v>1</v>
      </c>
      <c r="M911" s="617">
        <f t="shared" si="30"/>
        <v>0</v>
      </c>
      <c r="N911" s="617">
        <f t="shared" si="31"/>
        <v>47</v>
      </c>
      <c r="O911" s="617"/>
    </row>
    <row r="912" spans="2:15" ht="15" x14ac:dyDescent="0.25">
      <c r="B912" s="529">
        <v>907001</v>
      </c>
      <c r="C912" s="529">
        <v>908</v>
      </c>
      <c r="E912" s="534">
        <v>0</v>
      </c>
      <c r="F912" s="534">
        <v>0</v>
      </c>
      <c r="G912" s="534">
        <v>46</v>
      </c>
      <c r="I912" s="534">
        <v>0</v>
      </c>
      <c r="J912" s="534">
        <v>0</v>
      </c>
      <c r="K912" s="534">
        <v>1</v>
      </c>
      <c r="M912" s="617">
        <f t="shared" si="30"/>
        <v>0</v>
      </c>
      <c r="N912" s="617">
        <f t="shared" si="31"/>
        <v>47</v>
      </c>
      <c r="O912" s="617"/>
    </row>
    <row r="913" spans="2:15" ht="15" x14ac:dyDescent="0.25">
      <c r="B913" s="529">
        <v>908001</v>
      </c>
      <c r="C913" s="529">
        <v>909</v>
      </c>
      <c r="E913" s="534">
        <v>0</v>
      </c>
      <c r="F913" s="534">
        <v>0</v>
      </c>
      <c r="G913" s="534">
        <v>46</v>
      </c>
      <c r="I913" s="534">
        <v>0</v>
      </c>
      <c r="J913" s="534">
        <v>0</v>
      </c>
      <c r="K913" s="534">
        <v>1</v>
      </c>
      <c r="M913" s="617">
        <f t="shared" si="30"/>
        <v>0</v>
      </c>
      <c r="N913" s="617">
        <f t="shared" si="31"/>
        <v>47</v>
      </c>
      <c r="O913" s="617"/>
    </row>
    <row r="914" spans="2:15" ht="15" x14ac:dyDescent="0.25">
      <c r="B914" s="529">
        <v>909001</v>
      </c>
      <c r="C914" s="529">
        <v>910</v>
      </c>
      <c r="E914" s="534">
        <v>0</v>
      </c>
      <c r="F914" s="534">
        <v>0</v>
      </c>
      <c r="G914" s="534">
        <v>46</v>
      </c>
      <c r="I914" s="534">
        <v>0</v>
      </c>
      <c r="J914" s="534">
        <v>0</v>
      </c>
      <c r="K914" s="534">
        <v>1</v>
      </c>
      <c r="M914" s="617">
        <f t="shared" si="30"/>
        <v>0</v>
      </c>
      <c r="N914" s="617">
        <f t="shared" si="31"/>
        <v>47</v>
      </c>
      <c r="O914" s="617"/>
    </row>
    <row r="915" spans="2:15" ht="15" x14ac:dyDescent="0.25">
      <c r="B915" s="529">
        <v>910001</v>
      </c>
      <c r="C915" s="529">
        <v>911</v>
      </c>
      <c r="E915" s="534">
        <v>0</v>
      </c>
      <c r="F915" s="534">
        <v>0</v>
      </c>
      <c r="G915" s="534">
        <v>46</v>
      </c>
      <c r="I915" s="534">
        <v>0</v>
      </c>
      <c r="J915" s="534">
        <v>0</v>
      </c>
      <c r="K915" s="534">
        <v>1</v>
      </c>
      <c r="M915" s="617">
        <f t="shared" si="30"/>
        <v>0</v>
      </c>
      <c r="N915" s="617">
        <f t="shared" si="31"/>
        <v>47</v>
      </c>
      <c r="O915" s="617"/>
    </row>
    <row r="916" spans="2:15" ht="15" x14ac:dyDescent="0.25">
      <c r="B916" s="529">
        <v>911001</v>
      </c>
      <c r="C916" s="529">
        <v>912</v>
      </c>
      <c r="E916" s="534">
        <v>0</v>
      </c>
      <c r="F916" s="534">
        <v>0</v>
      </c>
      <c r="G916" s="534">
        <v>46</v>
      </c>
      <c r="I916" s="534">
        <v>0</v>
      </c>
      <c r="J916" s="534">
        <v>0</v>
      </c>
      <c r="K916" s="534">
        <v>1</v>
      </c>
      <c r="M916" s="617">
        <f t="shared" si="30"/>
        <v>0</v>
      </c>
      <c r="N916" s="617">
        <f t="shared" si="31"/>
        <v>47</v>
      </c>
      <c r="O916" s="617"/>
    </row>
    <row r="917" spans="2:15" ht="15" x14ac:dyDescent="0.25">
      <c r="B917" s="529">
        <v>912001</v>
      </c>
      <c r="C917" s="529">
        <v>913</v>
      </c>
      <c r="E917" s="534">
        <v>0</v>
      </c>
      <c r="F917" s="534">
        <v>0</v>
      </c>
      <c r="G917" s="534">
        <v>46</v>
      </c>
      <c r="I917" s="534">
        <v>0</v>
      </c>
      <c r="J917" s="534">
        <v>0</v>
      </c>
      <c r="K917" s="534">
        <v>1</v>
      </c>
      <c r="M917" s="617">
        <f t="shared" si="30"/>
        <v>0</v>
      </c>
      <c r="N917" s="617">
        <f t="shared" si="31"/>
        <v>47</v>
      </c>
      <c r="O917" s="617"/>
    </row>
    <row r="918" spans="2:15" ht="15" x14ac:dyDescent="0.25">
      <c r="B918" s="529">
        <v>913001</v>
      </c>
      <c r="C918" s="529">
        <v>914</v>
      </c>
      <c r="E918" s="534">
        <v>1</v>
      </c>
      <c r="F918" s="534">
        <v>914</v>
      </c>
      <c r="G918" s="534">
        <v>46</v>
      </c>
      <c r="I918" s="534">
        <v>0</v>
      </c>
      <c r="J918" s="534">
        <v>0</v>
      </c>
      <c r="K918" s="534">
        <v>1</v>
      </c>
      <c r="M918" s="617">
        <f t="shared" si="30"/>
        <v>1</v>
      </c>
      <c r="N918" s="617">
        <f t="shared" si="31"/>
        <v>47</v>
      </c>
      <c r="O918" s="617"/>
    </row>
    <row r="919" spans="2:15" ht="15" x14ac:dyDescent="0.25">
      <c r="B919" s="529">
        <v>914001</v>
      </c>
      <c r="C919" s="529">
        <v>915</v>
      </c>
      <c r="E919" s="534">
        <v>0</v>
      </c>
      <c r="F919" s="534">
        <v>0</v>
      </c>
      <c r="G919" s="534">
        <v>45</v>
      </c>
      <c r="I919" s="534">
        <v>0</v>
      </c>
      <c r="J919" s="534">
        <v>0</v>
      </c>
      <c r="K919" s="534">
        <v>1</v>
      </c>
      <c r="M919" s="617">
        <f t="shared" si="30"/>
        <v>0</v>
      </c>
      <c r="N919" s="617">
        <f t="shared" si="31"/>
        <v>46</v>
      </c>
      <c r="O919" s="617"/>
    </row>
    <row r="920" spans="2:15" ht="15" x14ac:dyDescent="0.25">
      <c r="B920" s="529">
        <v>915001</v>
      </c>
      <c r="C920" s="529">
        <v>916</v>
      </c>
      <c r="E920" s="534">
        <v>1</v>
      </c>
      <c r="F920" s="534">
        <v>916</v>
      </c>
      <c r="G920" s="534">
        <v>45</v>
      </c>
      <c r="I920" s="534">
        <v>0</v>
      </c>
      <c r="J920" s="534">
        <v>0</v>
      </c>
      <c r="K920" s="534">
        <v>1</v>
      </c>
      <c r="M920" s="617">
        <f t="shared" si="30"/>
        <v>1</v>
      </c>
      <c r="N920" s="617">
        <f t="shared" si="31"/>
        <v>46</v>
      </c>
      <c r="O920" s="617"/>
    </row>
    <row r="921" spans="2:15" ht="15" x14ac:dyDescent="0.25">
      <c r="B921" s="529">
        <v>916001</v>
      </c>
      <c r="C921" s="529">
        <v>917</v>
      </c>
      <c r="E921" s="534">
        <v>0</v>
      </c>
      <c r="F921" s="534">
        <v>0</v>
      </c>
      <c r="G921" s="534">
        <v>44</v>
      </c>
      <c r="I921" s="534">
        <v>0</v>
      </c>
      <c r="J921" s="534">
        <v>0</v>
      </c>
      <c r="K921" s="534">
        <v>1</v>
      </c>
      <c r="M921" s="617">
        <f t="shared" si="30"/>
        <v>0</v>
      </c>
      <c r="N921" s="617">
        <f t="shared" si="31"/>
        <v>45</v>
      </c>
      <c r="O921" s="617"/>
    </row>
    <row r="922" spans="2:15" ht="15" x14ac:dyDescent="0.25">
      <c r="B922" s="529">
        <v>917001</v>
      </c>
      <c r="C922" s="529">
        <v>918</v>
      </c>
      <c r="E922" s="534">
        <v>0</v>
      </c>
      <c r="F922" s="534">
        <v>0</v>
      </c>
      <c r="G922" s="534">
        <v>44</v>
      </c>
      <c r="I922" s="534">
        <v>0</v>
      </c>
      <c r="J922" s="534">
        <v>0</v>
      </c>
      <c r="K922" s="534">
        <v>1</v>
      </c>
      <c r="M922" s="617">
        <f t="shared" si="30"/>
        <v>0</v>
      </c>
      <c r="N922" s="617">
        <f t="shared" si="31"/>
        <v>45</v>
      </c>
      <c r="O922" s="617"/>
    </row>
    <row r="923" spans="2:15" ht="15" x14ac:dyDescent="0.25">
      <c r="B923" s="529">
        <v>918001</v>
      </c>
      <c r="C923" s="529">
        <v>919</v>
      </c>
      <c r="E923" s="534">
        <v>0</v>
      </c>
      <c r="F923" s="534">
        <v>0</v>
      </c>
      <c r="G923" s="534">
        <v>44</v>
      </c>
      <c r="I923" s="534">
        <v>0</v>
      </c>
      <c r="J923" s="534">
        <v>0</v>
      </c>
      <c r="K923" s="534">
        <v>1</v>
      </c>
      <c r="M923" s="617">
        <f t="shared" si="30"/>
        <v>0</v>
      </c>
      <c r="N923" s="617">
        <f t="shared" si="31"/>
        <v>45</v>
      </c>
      <c r="O923" s="617"/>
    </row>
    <row r="924" spans="2:15" ht="15" x14ac:dyDescent="0.25">
      <c r="B924" s="529">
        <v>919001</v>
      </c>
      <c r="C924" s="529">
        <v>920</v>
      </c>
      <c r="E924" s="534">
        <v>2</v>
      </c>
      <c r="F924" s="534">
        <v>1840</v>
      </c>
      <c r="G924" s="534">
        <v>44</v>
      </c>
      <c r="I924" s="534">
        <v>1</v>
      </c>
      <c r="J924" s="534">
        <v>920</v>
      </c>
      <c r="K924" s="534">
        <v>1</v>
      </c>
      <c r="M924" s="617">
        <f t="shared" si="30"/>
        <v>3</v>
      </c>
      <c r="N924" s="617">
        <f t="shared" si="31"/>
        <v>45</v>
      </c>
      <c r="O924" s="617"/>
    </row>
    <row r="925" spans="2:15" ht="15" x14ac:dyDescent="0.25">
      <c r="B925" s="529">
        <v>920001</v>
      </c>
      <c r="C925" s="529">
        <v>921</v>
      </c>
      <c r="E925" s="534">
        <v>0</v>
      </c>
      <c r="F925" s="534">
        <v>0</v>
      </c>
      <c r="G925" s="534">
        <v>42</v>
      </c>
      <c r="I925" s="534">
        <v>0</v>
      </c>
      <c r="J925" s="534">
        <v>0</v>
      </c>
      <c r="K925" s="534">
        <v>0</v>
      </c>
      <c r="M925" s="617">
        <f t="shared" si="30"/>
        <v>0</v>
      </c>
      <c r="N925" s="617">
        <f t="shared" si="31"/>
        <v>42</v>
      </c>
      <c r="O925" s="617"/>
    </row>
    <row r="926" spans="2:15" ht="15" x14ac:dyDescent="0.25">
      <c r="B926" s="529">
        <v>921001</v>
      </c>
      <c r="C926" s="529">
        <v>922</v>
      </c>
      <c r="E926" s="534">
        <v>0</v>
      </c>
      <c r="F926" s="534">
        <v>0</v>
      </c>
      <c r="G926" s="534">
        <v>42</v>
      </c>
      <c r="I926" s="534">
        <v>0</v>
      </c>
      <c r="J926" s="534">
        <v>0</v>
      </c>
      <c r="K926" s="534">
        <v>0</v>
      </c>
      <c r="M926" s="617">
        <f t="shared" si="30"/>
        <v>0</v>
      </c>
      <c r="N926" s="617">
        <f t="shared" si="31"/>
        <v>42</v>
      </c>
      <c r="O926" s="617"/>
    </row>
    <row r="927" spans="2:15" ht="15" x14ac:dyDescent="0.25">
      <c r="B927" s="529">
        <v>922001</v>
      </c>
      <c r="C927" s="529">
        <v>923</v>
      </c>
      <c r="E927" s="534">
        <v>0</v>
      </c>
      <c r="F927" s="534">
        <v>0</v>
      </c>
      <c r="G927" s="534">
        <v>42</v>
      </c>
      <c r="I927" s="534">
        <v>0</v>
      </c>
      <c r="J927" s="534">
        <v>0</v>
      </c>
      <c r="K927" s="534">
        <v>0</v>
      </c>
      <c r="M927" s="617">
        <f t="shared" si="30"/>
        <v>0</v>
      </c>
      <c r="N927" s="617">
        <f t="shared" si="31"/>
        <v>42</v>
      </c>
      <c r="O927" s="617"/>
    </row>
    <row r="928" spans="2:15" ht="15" x14ac:dyDescent="0.25">
      <c r="B928" s="529">
        <v>923001</v>
      </c>
      <c r="C928" s="529">
        <v>924</v>
      </c>
      <c r="E928" s="534">
        <v>0</v>
      </c>
      <c r="F928" s="534">
        <v>0</v>
      </c>
      <c r="G928" s="534">
        <v>42</v>
      </c>
      <c r="I928" s="534">
        <v>0</v>
      </c>
      <c r="J928" s="534">
        <v>0</v>
      </c>
      <c r="K928" s="534">
        <v>0</v>
      </c>
      <c r="M928" s="617">
        <f t="shared" si="30"/>
        <v>0</v>
      </c>
      <c r="N928" s="617">
        <f t="shared" si="31"/>
        <v>42</v>
      </c>
      <c r="O928" s="617"/>
    </row>
    <row r="929" spans="2:15" ht="15" x14ac:dyDescent="0.25">
      <c r="B929" s="529">
        <v>924001</v>
      </c>
      <c r="C929" s="529">
        <v>925</v>
      </c>
      <c r="E929" s="534">
        <v>0</v>
      </c>
      <c r="F929" s="534">
        <v>0</v>
      </c>
      <c r="G929" s="534">
        <v>42</v>
      </c>
      <c r="I929" s="534">
        <v>0</v>
      </c>
      <c r="J929" s="534">
        <v>0</v>
      </c>
      <c r="K929" s="534">
        <v>0</v>
      </c>
      <c r="M929" s="617">
        <f t="shared" si="30"/>
        <v>0</v>
      </c>
      <c r="N929" s="617">
        <f t="shared" si="31"/>
        <v>42</v>
      </c>
      <c r="O929" s="617"/>
    </row>
    <row r="930" spans="2:15" ht="15" x14ac:dyDescent="0.25">
      <c r="B930" s="529">
        <v>925001</v>
      </c>
      <c r="C930" s="529">
        <v>926</v>
      </c>
      <c r="E930" s="534">
        <v>0</v>
      </c>
      <c r="F930" s="534">
        <v>0</v>
      </c>
      <c r="G930" s="534">
        <v>42</v>
      </c>
      <c r="I930" s="534">
        <v>0</v>
      </c>
      <c r="J930" s="534">
        <v>0</v>
      </c>
      <c r="K930" s="534">
        <v>0</v>
      </c>
      <c r="M930" s="617">
        <f t="shared" si="30"/>
        <v>0</v>
      </c>
      <c r="N930" s="617">
        <f t="shared" si="31"/>
        <v>42</v>
      </c>
      <c r="O930" s="617"/>
    </row>
    <row r="931" spans="2:15" ht="15" x14ac:dyDescent="0.25">
      <c r="B931" s="529">
        <v>926001</v>
      </c>
      <c r="C931" s="529">
        <v>927</v>
      </c>
      <c r="E931" s="534">
        <v>0</v>
      </c>
      <c r="F931" s="534">
        <v>0</v>
      </c>
      <c r="G931" s="534">
        <v>42</v>
      </c>
      <c r="I931" s="534">
        <v>0</v>
      </c>
      <c r="J931" s="534">
        <v>0</v>
      </c>
      <c r="K931" s="534">
        <v>0</v>
      </c>
      <c r="M931" s="617">
        <f t="shared" si="30"/>
        <v>0</v>
      </c>
      <c r="N931" s="617">
        <f t="shared" si="31"/>
        <v>42</v>
      </c>
      <c r="O931" s="617"/>
    </row>
    <row r="932" spans="2:15" ht="15" x14ac:dyDescent="0.25">
      <c r="B932" s="529">
        <v>927001</v>
      </c>
      <c r="C932" s="529">
        <v>928</v>
      </c>
      <c r="E932" s="534">
        <v>0</v>
      </c>
      <c r="F932" s="534">
        <v>0</v>
      </c>
      <c r="G932" s="534">
        <v>42</v>
      </c>
      <c r="I932" s="534">
        <v>0</v>
      </c>
      <c r="J932" s="534">
        <v>0</v>
      </c>
      <c r="K932" s="534">
        <v>0</v>
      </c>
      <c r="M932" s="617">
        <f t="shared" si="30"/>
        <v>0</v>
      </c>
      <c r="N932" s="617">
        <f t="shared" si="31"/>
        <v>42</v>
      </c>
      <c r="O932" s="617"/>
    </row>
    <row r="933" spans="2:15" ht="15" x14ac:dyDescent="0.25">
      <c r="B933" s="529">
        <v>928001</v>
      </c>
      <c r="C933" s="529">
        <v>929</v>
      </c>
      <c r="E933" s="534">
        <v>0</v>
      </c>
      <c r="F933" s="534">
        <v>0</v>
      </c>
      <c r="G933" s="534">
        <v>42</v>
      </c>
      <c r="I933" s="534">
        <v>0</v>
      </c>
      <c r="J933" s="534">
        <v>0</v>
      </c>
      <c r="K933" s="534">
        <v>0</v>
      </c>
      <c r="M933" s="617">
        <f t="shared" si="30"/>
        <v>0</v>
      </c>
      <c r="N933" s="617">
        <f t="shared" si="31"/>
        <v>42</v>
      </c>
      <c r="O933" s="617"/>
    </row>
    <row r="934" spans="2:15" ht="15" x14ac:dyDescent="0.25">
      <c r="B934" s="529">
        <v>929001</v>
      </c>
      <c r="C934" s="529">
        <v>930</v>
      </c>
      <c r="E934" s="534">
        <v>0</v>
      </c>
      <c r="F934" s="534">
        <v>0</v>
      </c>
      <c r="G934" s="534">
        <v>42</v>
      </c>
      <c r="I934" s="534">
        <v>0</v>
      </c>
      <c r="J934" s="534">
        <v>0</v>
      </c>
      <c r="K934" s="534">
        <v>0</v>
      </c>
      <c r="M934" s="617">
        <f t="shared" si="30"/>
        <v>0</v>
      </c>
      <c r="N934" s="617">
        <f t="shared" si="31"/>
        <v>42</v>
      </c>
      <c r="O934" s="617"/>
    </row>
    <row r="935" spans="2:15" ht="15" x14ac:dyDescent="0.25">
      <c r="B935" s="529">
        <v>930001</v>
      </c>
      <c r="C935" s="529">
        <v>931</v>
      </c>
      <c r="E935" s="534">
        <v>0</v>
      </c>
      <c r="F935" s="534">
        <v>0</v>
      </c>
      <c r="G935" s="534">
        <v>42</v>
      </c>
      <c r="I935" s="534">
        <v>0</v>
      </c>
      <c r="J935" s="534">
        <v>0</v>
      </c>
      <c r="K935" s="534">
        <v>0</v>
      </c>
      <c r="M935" s="617">
        <f t="shared" si="30"/>
        <v>0</v>
      </c>
      <c r="N935" s="617">
        <f t="shared" si="31"/>
        <v>42</v>
      </c>
      <c r="O935" s="617"/>
    </row>
    <row r="936" spans="2:15" ht="15" x14ac:dyDescent="0.25">
      <c r="B936" s="529">
        <v>931001</v>
      </c>
      <c r="C936" s="529">
        <v>932</v>
      </c>
      <c r="E936" s="534">
        <v>0</v>
      </c>
      <c r="F936" s="534">
        <v>0</v>
      </c>
      <c r="G936" s="534">
        <v>42</v>
      </c>
      <c r="I936" s="534">
        <v>0</v>
      </c>
      <c r="J936" s="534">
        <v>0</v>
      </c>
      <c r="K936" s="534">
        <v>0</v>
      </c>
      <c r="M936" s="617">
        <f t="shared" si="30"/>
        <v>0</v>
      </c>
      <c r="N936" s="617">
        <f t="shared" si="31"/>
        <v>42</v>
      </c>
      <c r="O936" s="617"/>
    </row>
    <row r="937" spans="2:15" ht="15" x14ac:dyDescent="0.25">
      <c r="B937" s="529">
        <v>932001</v>
      </c>
      <c r="C937" s="529">
        <v>933</v>
      </c>
      <c r="E937" s="534">
        <v>1</v>
      </c>
      <c r="F937" s="534">
        <v>933</v>
      </c>
      <c r="G937" s="534">
        <v>42</v>
      </c>
      <c r="I937" s="534">
        <v>0</v>
      </c>
      <c r="J937" s="534">
        <v>0</v>
      </c>
      <c r="K937" s="534">
        <v>0</v>
      </c>
      <c r="M937" s="617">
        <f t="shared" si="30"/>
        <v>1</v>
      </c>
      <c r="N937" s="617">
        <f t="shared" si="31"/>
        <v>42</v>
      </c>
      <c r="O937" s="617"/>
    </row>
    <row r="938" spans="2:15" ht="15" x14ac:dyDescent="0.25">
      <c r="B938" s="529">
        <v>933001</v>
      </c>
      <c r="C938" s="529">
        <v>934</v>
      </c>
      <c r="E938" s="534">
        <v>0</v>
      </c>
      <c r="F938" s="534">
        <v>0</v>
      </c>
      <c r="G938" s="534">
        <v>41</v>
      </c>
      <c r="I938" s="534">
        <v>0</v>
      </c>
      <c r="J938" s="534">
        <v>0</v>
      </c>
      <c r="K938" s="534">
        <v>0</v>
      </c>
      <c r="M938" s="617">
        <f t="shared" si="30"/>
        <v>0</v>
      </c>
      <c r="N938" s="617">
        <f t="shared" si="31"/>
        <v>41</v>
      </c>
      <c r="O938" s="617"/>
    </row>
    <row r="939" spans="2:15" ht="15" x14ac:dyDescent="0.25">
      <c r="B939" s="529">
        <v>934001</v>
      </c>
      <c r="C939" s="529">
        <v>935</v>
      </c>
      <c r="E939" s="534">
        <v>0</v>
      </c>
      <c r="F939" s="534">
        <v>0</v>
      </c>
      <c r="G939" s="534">
        <v>41</v>
      </c>
      <c r="I939" s="534">
        <v>0</v>
      </c>
      <c r="J939" s="534">
        <v>0</v>
      </c>
      <c r="K939" s="534">
        <v>0</v>
      </c>
      <c r="M939" s="617">
        <f t="shared" si="30"/>
        <v>0</v>
      </c>
      <c r="N939" s="617">
        <f t="shared" si="31"/>
        <v>41</v>
      </c>
      <c r="O939" s="617"/>
    </row>
    <row r="940" spans="2:15" ht="15" x14ac:dyDescent="0.25">
      <c r="B940" s="529">
        <v>935001</v>
      </c>
      <c r="C940" s="529">
        <v>936</v>
      </c>
      <c r="E940" s="534">
        <v>0</v>
      </c>
      <c r="F940" s="534">
        <v>0</v>
      </c>
      <c r="G940" s="534">
        <v>41</v>
      </c>
      <c r="I940" s="534">
        <v>0</v>
      </c>
      <c r="J940" s="534">
        <v>0</v>
      </c>
      <c r="K940" s="534">
        <v>0</v>
      </c>
      <c r="M940" s="617">
        <f t="shared" si="30"/>
        <v>0</v>
      </c>
      <c r="N940" s="617">
        <f t="shared" si="31"/>
        <v>41</v>
      </c>
      <c r="O940" s="617"/>
    </row>
    <row r="941" spans="2:15" ht="15" x14ac:dyDescent="0.25">
      <c r="B941" s="529">
        <v>936001</v>
      </c>
      <c r="C941" s="529">
        <v>937</v>
      </c>
      <c r="E941" s="534">
        <v>1</v>
      </c>
      <c r="F941" s="534">
        <v>937</v>
      </c>
      <c r="G941" s="534">
        <v>41</v>
      </c>
      <c r="I941" s="534">
        <v>0</v>
      </c>
      <c r="J941" s="534">
        <v>0</v>
      </c>
      <c r="K941" s="534">
        <v>0</v>
      </c>
      <c r="M941" s="617">
        <f t="shared" si="30"/>
        <v>1</v>
      </c>
      <c r="N941" s="617">
        <f t="shared" si="31"/>
        <v>41</v>
      </c>
      <c r="O941" s="617"/>
    </row>
    <row r="942" spans="2:15" ht="15" x14ac:dyDescent="0.25">
      <c r="B942" s="529">
        <v>937001</v>
      </c>
      <c r="C942" s="529">
        <v>938</v>
      </c>
      <c r="E942" s="534">
        <v>0</v>
      </c>
      <c r="F942" s="534">
        <v>0</v>
      </c>
      <c r="G942" s="534">
        <v>40</v>
      </c>
      <c r="I942" s="534">
        <v>0</v>
      </c>
      <c r="J942" s="534">
        <v>0</v>
      </c>
      <c r="K942" s="534">
        <v>0</v>
      </c>
      <c r="M942" s="617">
        <f t="shared" si="30"/>
        <v>0</v>
      </c>
      <c r="N942" s="617">
        <f t="shared" si="31"/>
        <v>40</v>
      </c>
      <c r="O942" s="617"/>
    </row>
    <row r="943" spans="2:15" ht="15" x14ac:dyDescent="0.25">
      <c r="B943" s="529">
        <v>938001</v>
      </c>
      <c r="C943" s="529">
        <v>939</v>
      </c>
      <c r="E943" s="534">
        <v>0</v>
      </c>
      <c r="F943" s="534">
        <v>0</v>
      </c>
      <c r="G943" s="534">
        <v>40</v>
      </c>
      <c r="I943" s="534">
        <v>0</v>
      </c>
      <c r="J943" s="534">
        <v>0</v>
      </c>
      <c r="K943" s="534">
        <v>0</v>
      </c>
      <c r="M943" s="617">
        <f t="shared" si="30"/>
        <v>0</v>
      </c>
      <c r="N943" s="617">
        <f t="shared" si="31"/>
        <v>40</v>
      </c>
      <c r="O943" s="617"/>
    </row>
    <row r="944" spans="2:15" ht="15" x14ac:dyDescent="0.25">
      <c r="B944" s="529">
        <v>939001</v>
      </c>
      <c r="C944" s="529">
        <v>940</v>
      </c>
      <c r="E944" s="534">
        <v>0</v>
      </c>
      <c r="F944" s="534">
        <v>0</v>
      </c>
      <c r="G944" s="534">
        <v>40</v>
      </c>
      <c r="I944" s="534">
        <v>0</v>
      </c>
      <c r="J944" s="534">
        <v>0</v>
      </c>
      <c r="K944" s="534">
        <v>0</v>
      </c>
      <c r="M944" s="617">
        <f t="shared" si="30"/>
        <v>0</v>
      </c>
      <c r="N944" s="617">
        <f t="shared" si="31"/>
        <v>40</v>
      </c>
      <c r="O944" s="617"/>
    </row>
    <row r="945" spans="2:15" ht="15" x14ac:dyDescent="0.25">
      <c r="B945" s="529">
        <v>940001</v>
      </c>
      <c r="C945" s="529">
        <v>941</v>
      </c>
      <c r="E945" s="534">
        <v>0</v>
      </c>
      <c r="F945" s="534">
        <v>0</v>
      </c>
      <c r="G945" s="534">
        <v>40</v>
      </c>
      <c r="I945" s="534">
        <v>0</v>
      </c>
      <c r="J945" s="534">
        <v>0</v>
      </c>
      <c r="K945" s="534">
        <v>0</v>
      </c>
      <c r="M945" s="617">
        <f t="shared" si="30"/>
        <v>0</v>
      </c>
      <c r="N945" s="617">
        <f t="shared" si="31"/>
        <v>40</v>
      </c>
      <c r="O945" s="617"/>
    </row>
    <row r="946" spans="2:15" ht="15" x14ac:dyDescent="0.25">
      <c r="B946" s="529">
        <v>941001</v>
      </c>
      <c r="C946" s="529">
        <v>942</v>
      </c>
      <c r="E946" s="534">
        <v>0</v>
      </c>
      <c r="F946" s="534">
        <v>0</v>
      </c>
      <c r="G946" s="534">
        <v>40</v>
      </c>
      <c r="I946" s="534">
        <v>0</v>
      </c>
      <c r="J946" s="534">
        <v>0</v>
      </c>
      <c r="K946" s="534">
        <v>0</v>
      </c>
      <c r="M946" s="617">
        <f t="shared" si="30"/>
        <v>0</v>
      </c>
      <c r="N946" s="617">
        <f t="shared" si="31"/>
        <v>40</v>
      </c>
      <c r="O946" s="617"/>
    </row>
    <row r="947" spans="2:15" ht="15" x14ac:dyDescent="0.25">
      <c r="B947" s="529">
        <v>942001</v>
      </c>
      <c r="C947" s="529">
        <v>943</v>
      </c>
      <c r="E947" s="534">
        <v>0</v>
      </c>
      <c r="F947" s="534">
        <v>0</v>
      </c>
      <c r="G947" s="534">
        <v>40</v>
      </c>
      <c r="I947" s="534">
        <v>0</v>
      </c>
      <c r="J947" s="534">
        <v>0</v>
      </c>
      <c r="K947" s="534">
        <v>0</v>
      </c>
      <c r="M947" s="617">
        <f t="shared" si="30"/>
        <v>0</v>
      </c>
      <c r="N947" s="617">
        <f t="shared" si="31"/>
        <v>40</v>
      </c>
      <c r="O947" s="617"/>
    </row>
    <row r="948" spans="2:15" ht="15" x14ac:dyDescent="0.25">
      <c r="B948" s="529">
        <v>943001</v>
      </c>
      <c r="C948" s="529">
        <v>944</v>
      </c>
      <c r="E948" s="534">
        <v>0</v>
      </c>
      <c r="F948" s="534">
        <v>0</v>
      </c>
      <c r="G948" s="534">
        <v>40</v>
      </c>
      <c r="I948" s="534">
        <v>0</v>
      </c>
      <c r="J948" s="534">
        <v>0</v>
      </c>
      <c r="K948" s="534">
        <v>0</v>
      </c>
      <c r="M948" s="617">
        <f t="shared" si="30"/>
        <v>0</v>
      </c>
      <c r="N948" s="617">
        <f t="shared" si="31"/>
        <v>40</v>
      </c>
      <c r="O948" s="617"/>
    </row>
    <row r="949" spans="2:15" ht="15" x14ac:dyDescent="0.25">
      <c r="B949" s="529">
        <v>944001</v>
      </c>
      <c r="C949" s="529">
        <v>945</v>
      </c>
      <c r="E949" s="534">
        <v>0</v>
      </c>
      <c r="F949" s="534">
        <v>0</v>
      </c>
      <c r="G949" s="534">
        <v>40</v>
      </c>
      <c r="I949" s="534">
        <v>0</v>
      </c>
      <c r="J949" s="534">
        <v>0</v>
      </c>
      <c r="K949" s="534">
        <v>0</v>
      </c>
      <c r="M949" s="617">
        <f t="shared" si="30"/>
        <v>0</v>
      </c>
      <c r="N949" s="617">
        <f t="shared" si="31"/>
        <v>40</v>
      </c>
      <c r="O949" s="617"/>
    </row>
    <row r="950" spans="2:15" ht="15" x14ac:dyDescent="0.25">
      <c r="B950" s="529">
        <v>945001</v>
      </c>
      <c r="C950" s="529">
        <v>946</v>
      </c>
      <c r="E950" s="534">
        <v>1</v>
      </c>
      <c r="F950" s="534">
        <v>946</v>
      </c>
      <c r="G950" s="534">
        <v>40</v>
      </c>
      <c r="I950" s="534">
        <v>0</v>
      </c>
      <c r="J950" s="534">
        <v>0</v>
      </c>
      <c r="K950" s="534">
        <v>0</v>
      </c>
      <c r="M950" s="617">
        <f t="shared" si="30"/>
        <v>1</v>
      </c>
      <c r="N950" s="617">
        <f t="shared" si="31"/>
        <v>40</v>
      </c>
      <c r="O950" s="617"/>
    </row>
    <row r="951" spans="2:15" ht="15" x14ac:dyDescent="0.25">
      <c r="B951" s="529">
        <v>946001</v>
      </c>
      <c r="C951" s="529">
        <v>947</v>
      </c>
      <c r="E951" s="534">
        <v>1</v>
      </c>
      <c r="F951" s="534">
        <v>947</v>
      </c>
      <c r="G951" s="534">
        <v>39</v>
      </c>
      <c r="I951" s="534">
        <v>0</v>
      </c>
      <c r="J951" s="534">
        <v>0</v>
      </c>
      <c r="K951" s="534">
        <v>0</v>
      </c>
      <c r="M951" s="617">
        <f t="shared" si="30"/>
        <v>1</v>
      </c>
      <c r="N951" s="617">
        <f t="shared" si="31"/>
        <v>39</v>
      </c>
      <c r="O951" s="617"/>
    </row>
    <row r="952" spans="2:15" ht="15" x14ac:dyDescent="0.25">
      <c r="B952" s="529">
        <v>947001</v>
      </c>
      <c r="C952" s="529">
        <v>948</v>
      </c>
      <c r="E952" s="534">
        <v>0</v>
      </c>
      <c r="F952" s="534">
        <v>0</v>
      </c>
      <c r="G952" s="534">
        <v>38</v>
      </c>
      <c r="I952" s="534">
        <v>0</v>
      </c>
      <c r="J952" s="534">
        <v>0</v>
      </c>
      <c r="K952" s="534">
        <v>0</v>
      </c>
      <c r="M952" s="617">
        <f t="shared" si="30"/>
        <v>0</v>
      </c>
      <c r="N952" s="617">
        <f t="shared" si="31"/>
        <v>38</v>
      </c>
      <c r="O952" s="617"/>
    </row>
    <row r="953" spans="2:15" ht="15" x14ac:dyDescent="0.25">
      <c r="B953" s="529">
        <v>948001</v>
      </c>
      <c r="C953" s="529">
        <v>949</v>
      </c>
      <c r="E953" s="534">
        <v>0</v>
      </c>
      <c r="F953" s="534">
        <v>0</v>
      </c>
      <c r="G953" s="534">
        <v>38</v>
      </c>
      <c r="I953" s="534">
        <v>0</v>
      </c>
      <c r="J953" s="534">
        <v>0</v>
      </c>
      <c r="K953" s="534">
        <v>0</v>
      </c>
      <c r="M953" s="617">
        <f t="shared" si="30"/>
        <v>0</v>
      </c>
      <c r="N953" s="617">
        <f t="shared" si="31"/>
        <v>38</v>
      </c>
      <c r="O953" s="617"/>
    </row>
    <row r="954" spans="2:15" ht="15" x14ac:dyDescent="0.25">
      <c r="B954" s="529">
        <v>949001</v>
      </c>
      <c r="C954" s="529">
        <v>950</v>
      </c>
      <c r="E954" s="534">
        <v>2</v>
      </c>
      <c r="F954" s="534">
        <v>1900</v>
      </c>
      <c r="G954" s="534">
        <v>38</v>
      </c>
      <c r="I954" s="534">
        <v>0</v>
      </c>
      <c r="J954" s="534">
        <v>0</v>
      </c>
      <c r="K954" s="534">
        <v>0</v>
      </c>
      <c r="M954" s="617">
        <f t="shared" si="30"/>
        <v>2</v>
      </c>
      <c r="N954" s="617">
        <f t="shared" si="31"/>
        <v>38</v>
      </c>
      <c r="O954" s="617"/>
    </row>
    <row r="955" spans="2:15" ht="15" x14ac:dyDescent="0.25">
      <c r="B955" s="529">
        <v>950001</v>
      </c>
      <c r="C955" s="529">
        <v>951</v>
      </c>
      <c r="E955" s="534">
        <v>0</v>
      </c>
      <c r="F955" s="534">
        <v>0</v>
      </c>
      <c r="G955" s="534">
        <v>36</v>
      </c>
      <c r="I955" s="534">
        <v>0</v>
      </c>
      <c r="J955" s="534">
        <v>0</v>
      </c>
      <c r="K955" s="534">
        <v>0</v>
      </c>
      <c r="M955" s="617">
        <f t="shared" si="30"/>
        <v>0</v>
      </c>
      <c r="N955" s="617">
        <f t="shared" si="31"/>
        <v>36</v>
      </c>
      <c r="O955" s="617"/>
    </row>
    <row r="956" spans="2:15" ht="15" x14ac:dyDescent="0.25">
      <c r="B956" s="529">
        <v>951001</v>
      </c>
      <c r="C956" s="529">
        <v>952</v>
      </c>
      <c r="E956" s="534">
        <v>0</v>
      </c>
      <c r="F956" s="534">
        <v>0</v>
      </c>
      <c r="G956" s="534">
        <v>36</v>
      </c>
      <c r="I956" s="534">
        <v>0</v>
      </c>
      <c r="J956" s="534">
        <v>0</v>
      </c>
      <c r="K956" s="534">
        <v>0</v>
      </c>
      <c r="M956" s="617">
        <f t="shared" si="30"/>
        <v>0</v>
      </c>
      <c r="N956" s="617">
        <f t="shared" si="31"/>
        <v>36</v>
      </c>
      <c r="O956" s="617"/>
    </row>
    <row r="957" spans="2:15" ht="15" x14ac:dyDescent="0.25">
      <c r="B957" s="529">
        <v>952001</v>
      </c>
      <c r="C957" s="529">
        <v>953</v>
      </c>
      <c r="E957" s="534">
        <v>0</v>
      </c>
      <c r="F957" s="534">
        <v>0</v>
      </c>
      <c r="G957" s="534">
        <v>36</v>
      </c>
      <c r="I957" s="534">
        <v>0</v>
      </c>
      <c r="J957" s="534">
        <v>0</v>
      </c>
      <c r="K957" s="534">
        <v>0</v>
      </c>
      <c r="M957" s="617">
        <f t="shared" si="30"/>
        <v>0</v>
      </c>
      <c r="N957" s="617">
        <f t="shared" si="31"/>
        <v>36</v>
      </c>
      <c r="O957" s="617"/>
    </row>
    <row r="958" spans="2:15" ht="15" x14ac:dyDescent="0.25">
      <c r="B958" s="529">
        <v>953001</v>
      </c>
      <c r="C958" s="529">
        <v>954</v>
      </c>
      <c r="E958" s="534">
        <v>0</v>
      </c>
      <c r="F958" s="534">
        <v>0</v>
      </c>
      <c r="G958" s="534">
        <v>36</v>
      </c>
      <c r="I958" s="534">
        <v>0</v>
      </c>
      <c r="J958" s="534">
        <v>0</v>
      </c>
      <c r="K958" s="534">
        <v>0</v>
      </c>
      <c r="M958" s="617">
        <f t="shared" si="30"/>
        <v>0</v>
      </c>
      <c r="N958" s="617">
        <f t="shared" si="31"/>
        <v>36</v>
      </c>
      <c r="O958" s="617"/>
    </row>
    <row r="959" spans="2:15" ht="15" x14ac:dyDescent="0.25">
      <c r="B959" s="529">
        <v>954001</v>
      </c>
      <c r="C959" s="529">
        <v>955</v>
      </c>
      <c r="E959" s="534">
        <v>0</v>
      </c>
      <c r="F959" s="534">
        <v>0</v>
      </c>
      <c r="G959" s="534">
        <v>36</v>
      </c>
      <c r="I959" s="534">
        <v>0</v>
      </c>
      <c r="J959" s="534">
        <v>0</v>
      </c>
      <c r="K959" s="534">
        <v>0</v>
      </c>
      <c r="M959" s="617">
        <f t="shared" si="30"/>
        <v>0</v>
      </c>
      <c r="N959" s="617">
        <f t="shared" si="31"/>
        <v>36</v>
      </c>
      <c r="O959" s="617"/>
    </row>
    <row r="960" spans="2:15" ht="15" x14ac:dyDescent="0.25">
      <c r="B960" s="529">
        <v>955001</v>
      </c>
      <c r="C960" s="529">
        <v>956</v>
      </c>
      <c r="E960" s="534">
        <v>0</v>
      </c>
      <c r="F960" s="534">
        <v>0</v>
      </c>
      <c r="G960" s="534">
        <v>36</v>
      </c>
      <c r="I960" s="534">
        <v>0</v>
      </c>
      <c r="J960" s="534">
        <v>0</v>
      </c>
      <c r="K960" s="534">
        <v>0</v>
      </c>
      <c r="M960" s="617">
        <f t="shared" si="30"/>
        <v>0</v>
      </c>
      <c r="N960" s="617">
        <f t="shared" si="31"/>
        <v>36</v>
      </c>
      <c r="O960" s="617"/>
    </row>
    <row r="961" spans="2:15" ht="15" x14ac:dyDescent="0.25">
      <c r="B961" s="529">
        <v>956001</v>
      </c>
      <c r="C961" s="529">
        <v>957</v>
      </c>
      <c r="E961" s="534">
        <v>0</v>
      </c>
      <c r="F961" s="534">
        <v>0</v>
      </c>
      <c r="G961" s="534">
        <v>36</v>
      </c>
      <c r="I961" s="534">
        <v>0</v>
      </c>
      <c r="J961" s="534">
        <v>0</v>
      </c>
      <c r="K961" s="534">
        <v>0</v>
      </c>
      <c r="M961" s="617">
        <f t="shared" si="30"/>
        <v>0</v>
      </c>
      <c r="N961" s="617">
        <f t="shared" si="31"/>
        <v>36</v>
      </c>
      <c r="O961" s="617"/>
    </row>
    <row r="962" spans="2:15" ht="15" x14ac:dyDescent="0.25">
      <c r="B962" s="529">
        <v>957001</v>
      </c>
      <c r="C962" s="529">
        <v>958</v>
      </c>
      <c r="E962" s="534">
        <v>0</v>
      </c>
      <c r="F962" s="534">
        <v>0</v>
      </c>
      <c r="G962" s="534">
        <v>36</v>
      </c>
      <c r="I962" s="534">
        <v>0</v>
      </c>
      <c r="J962" s="534">
        <v>0</v>
      </c>
      <c r="K962" s="534">
        <v>0</v>
      </c>
      <c r="M962" s="617">
        <f t="shared" si="30"/>
        <v>0</v>
      </c>
      <c r="N962" s="617">
        <f t="shared" si="31"/>
        <v>36</v>
      </c>
      <c r="O962" s="617"/>
    </row>
    <row r="963" spans="2:15" ht="15" x14ac:dyDescent="0.25">
      <c r="B963" s="529">
        <v>958001</v>
      </c>
      <c r="C963" s="529">
        <v>959</v>
      </c>
      <c r="E963" s="534">
        <v>0</v>
      </c>
      <c r="F963" s="534">
        <v>0</v>
      </c>
      <c r="G963" s="534">
        <v>36</v>
      </c>
      <c r="I963" s="534">
        <v>0</v>
      </c>
      <c r="J963" s="534">
        <v>0</v>
      </c>
      <c r="K963" s="534">
        <v>0</v>
      </c>
      <c r="M963" s="617">
        <f t="shared" si="30"/>
        <v>0</v>
      </c>
      <c r="N963" s="617">
        <f t="shared" si="31"/>
        <v>36</v>
      </c>
      <c r="O963" s="617"/>
    </row>
    <row r="964" spans="2:15" ht="15" x14ac:dyDescent="0.25">
      <c r="B964" s="529">
        <v>959001</v>
      </c>
      <c r="C964" s="529">
        <v>960</v>
      </c>
      <c r="E964" s="534">
        <v>0</v>
      </c>
      <c r="F964" s="534">
        <v>0</v>
      </c>
      <c r="G964" s="534">
        <v>36</v>
      </c>
      <c r="I964" s="534">
        <v>0</v>
      </c>
      <c r="J964" s="534">
        <v>0</v>
      </c>
      <c r="K964" s="534">
        <v>0</v>
      </c>
      <c r="M964" s="617">
        <f t="shared" si="30"/>
        <v>0</v>
      </c>
      <c r="N964" s="617">
        <f t="shared" si="31"/>
        <v>36</v>
      </c>
      <c r="O964" s="617"/>
    </row>
    <row r="965" spans="2:15" ht="15" x14ac:dyDescent="0.25">
      <c r="B965" s="529">
        <v>960001</v>
      </c>
      <c r="C965" s="529">
        <v>961</v>
      </c>
      <c r="E965" s="534">
        <v>0</v>
      </c>
      <c r="F965" s="534">
        <v>0</v>
      </c>
      <c r="G965" s="534">
        <v>36</v>
      </c>
      <c r="I965" s="534">
        <v>0</v>
      </c>
      <c r="J965" s="534">
        <v>0</v>
      </c>
      <c r="K965" s="534">
        <v>0</v>
      </c>
      <c r="M965" s="617">
        <f t="shared" ref="M965:M1028" si="32">I965+E965</f>
        <v>0</v>
      </c>
      <c r="N965" s="617">
        <f t="shared" ref="N965:N1028" si="33">K965+G965</f>
        <v>36</v>
      </c>
      <c r="O965" s="617"/>
    </row>
    <row r="966" spans="2:15" ht="15" x14ac:dyDescent="0.25">
      <c r="B966" s="529">
        <v>961001</v>
      </c>
      <c r="C966" s="529">
        <v>962</v>
      </c>
      <c r="E966" s="534">
        <v>0</v>
      </c>
      <c r="F966" s="534">
        <v>0</v>
      </c>
      <c r="G966" s="534">
        <v>36</v>
      </c>
      <c r="I966" s="534">
        <v>0</v>
      </c>
      <c r="J966" s="534">
        <v>0</v>
      </c>
      <c r="K966" s="534">
        <v>0</v>
      </c>
      <c r="M966" s="617">
        <f t="shared" si="32"/>
        <v>0</v>
      </c>
      <c r="N966" s="617">
        <f t="shared" si="33"/>
        <v>36</v>
      </c>
      <c r="O966" s="617"/>
    </row>
    <row r="967" spans="2:15" ht="15" x14ac:dyDescent="0.25">
      <c r="B967" s="529">
        <v>962001</v>
      </c>
      <c r="C967" s="529">
        <v>963</v>
      </c>
      <c r="E967" s="534">
        <v>0</v>
      </c>
      <c r="F967" s="534">
        <v>0</v>
      </c>
      <c r="G967" s="534">
        <v>36</v>
      </c>
      <c r="I967" s="534">
        <v>0</v>
      </c>
      <c r="J967" s="534">
        <v>0</v>
      </c>
      <c r="K967" s="534">
        <v>0</v>
      </c>
      <c r="M967" s="617">
        <f t="shared" si="32"/>
        <v>0</v>
      </c>
      <c r="N967" s="617">
        <f t="shared" si="33"/>
        <v>36</v>
      </c>
      <c r="O967" s="617"/>
    </row>
    <row r="968" spans="2:15" ht="15" x14ac:dyDescent="0.25">
      <c r="B968" s="529">
        <v>963001</v>
      </c>
      <c r="C968" s="529">
        <v>964</v>
      </c>
      <c r="E968" s="534">
        <v>0</v>
      </c>
      <c r="F968" s="534">
        <v>0</v>
      </c>
      <c r="G968" s="534">
        <v>36</v>
      </c>
      <c r="I968" s="534">
        <v>0</v>
      </c>
      <c r="J968" s="534">
        <v>0</v>
      </c>
      <c r="K968" s="534">
        <v>0</v>
      </c>
      <c r="M968" s="617">
        <f t="shared" si="32"/>
        <v>0</v>
      </c>
      <c r="N968" s="617">
        <f t="shared" si="33"/>
        <v>36</v>
      </c>
      <c r="O968" s="617"/>
    </row>
    <row r="969" spans="2:15" ht="15" x14ac:dyDescent="0.25">
      <c r="B969" s="529">
        <v>964001</v>
      </c>
      <c r="C969" s="529">
        <v>965</v>
      </c>
      <c r="E969" s="534">
        <v>0</v>
      </c>
      <c r="F969" s="534">
        <v>0</v>
      </c>
      <c r="G969" s="534">
        <v>36</v>
      </c>
      <c r="I969" s="534">
        <v>0</v>
      </c>
      <c r="J969" s="534">
        <v>0</v>
      </c>
      <c r="K969" s="534">
        <v>0</v>
      </c>
      <c r="M969" s="617">
        <f t="shared" si="32"/>
        <v>0</v>
      </c>
      <c r="N969" s="617">
        <f t="shared" si="33"/>
        <v>36</v>
      </c>
      <c r="O969" s="617"/>
    </row>
    <row r="970" spans="2:15" ht="15" x14ac:dyDescent="0.25">
      <c r="B970" s="529">
        <v>965001</v>
      </c>
      <c r="C970" s="529">
        <v>966</v>
      </c>
      <c r="E970" s="534">
        <v>0</v>
      </c>
      <c r="F970" s="534">
        <v>0</v>
      </c>
      <c r="G970" s="534">
        <v>36</v>
      </c>
      <c r="I970" s="534">
        <v>0</v>
      </c>
      <c r="J970" s="534">
        <v>0</v>
      </c>
      <c r="K970" s="534">
        <v>0</v>
      </c>
      <c r="M970" s="617">
        <f t="shared" si="32"/>
        <v>0</v>
      </c>
      <c r="N970" s="617">
        <f t="shared" si="33"/>
        <v>36</v>
      </c>
      <c r="O970" s="617"/>
    </row>
    <row r="971" spans="2:15" ht="15" x14ac:dyDescent="0.25">
      <c r="B971" s="529">
        <v>966001</v>
      </c>
      <c r="C971" s="529">
        <v>967</v>
      </c>
      <c r="E971" s="534">
        <v>0</v>
      </c>
      <c r="F971" s="534">
        <v>0</v>
      </c>
      <c r="G971" s="534">
        <v>36</v>
      </c>
      <c r="I971" s="534">
        <v>0</v>
      </c>
      <c r="J971" s="534">
        <v>0</v>
      </c>
      <c r="K971" s="534">
        <v>0</v>
      </c>
      <c r="M971" s="617">
        <f t="shared" si="32"/>
        <v>0</v>
      </c>
      <c r="N971" s="617">
        <f t="shared" si="33"/>
        <v>36</v>
      </c>
      <c r="O971" s="617"/>
    </row>
    <row r="972" spans="2:15" ht="15" x14ac:dyDescent="0.25">
      <c r="B972" s="529">
        <v>967001</v>
      </c>
      <c r="C972" s="529">
        <v>968</v>
      </c>
      <c r="E972" s="534">
        <v>0</v>
      </c>
      <c r="F972" s="534">
        <v>0</v>
      </c>
      <c r="G972" s="534">
        <v>36</v>
      </c>
      <c r="I972" s="534">
        <v>0</v>
      </c>
      <c r="J972" s="534">
        <v>0</v>
      </c>
      <c r="K972" s="534">
        <v>0</v>
      </c>
      <c r="M972" s="617">
        <f t="shared" si="32"/>
        <v>0</v>
      </c>
      <c r="N972" s="617">
        <f t="shared" si="33"/>
        <v>36</v>
      </c>
      <c r="O972" s="617"/>
    </row>
    <row r="973" spans="2:15" ht="15" x14ac:dyDescent="0.25">
      <c r="B973" s="529">
        <v>968001</v>
      </c>
      <c r="C973" s="529">
        <v>969</v>
      </c>
      <c r="E973" s="534">
        <v>0</v>
      </c>
      <c r="F973" s="534">
        <v>0</v>
      </c>
      <c r="G973" s="534">
        <v>36</v>
      </c>
      <c r="I973" s="534">
        <v>0</v>
      </c>
      <c r="J973" s="534">
        <v>0</v>
      </c>
      <c r="K973" s="534">
        <v>0</v>
      </c>
      <c r="M973" s="617">
        <f t="shared" si="32"/>
        <v>0</v>
      </c>
      <c r="N973" s="617">
        <f t="shared" si="33"/>
        <v>36</v>
      </c>
      <c r="O973" s="617"/>
    </row>
    <row r="974" spans="2:15" ht="15" x14ac:dyDescent="0.25">
      <c r="B974" s="529">
        <v>969001</v>
      </c>
      <c r="C974" s="529">
        <v>970</v>
      </c>
      <c r="E974" s="534">
        <v>1</v>
      </c>
      <c r="F974" s="534">
        <v>970</v>
      </c>
      <c r="G974" s="534">
        <v>36</v>
      </c>
      <c r="I974" s="534">
        <v>0</v>
      </c>
      <c r="J974" s="534">
        <v>0</v>
      </c>
      <c r="K974" s="534">
        <v>0</v>
      </c>
      <c r="M974" s="617">
        <f t="shared" si="32"/>
        <v>1</v>
      </c>
      <c r="N974" s="617">
        <f t="shared" si="33"/>
        <v>36</v>
      </c>
      <c r="O974" s="617"/>
    </row>
    <row r="975" spans="2:15" ht="15" x14ac:dyDescent="0.25">
      <c r="B975" s="529">
        <v>970001</v>
      </c>
      <c r="C975" s="529">
        <v>971</v>
      </c>
      <c r="E975" s="534">
        <v>0</v>
      </c>
      <c r="F975" s="534">
        <v>0</v>
      </c>
      <c r="G975" s="534">
        <v>35</v>
      </c>
      <c r="I975" s="534">
        <v>0</v>
      </c>
      <c r="J975" s="534">
        <v>0</v>
      </c>
      <c r="K975" s="534">
        <v>0</v>
      </c>
      <c r="M975" s="617">
        <f t="shared" si="32"/>
        <v>0</v>
      </c>
      <c r="N975" s="617">
        <f t="shared" si="33"/>
        <v>35</v>
      </c>
      <c r="O975" s="617"/>
    </row>
    <row r="976" spans="2:15" ht="15" x14ac:dyDescent="0.25">
      <c r="B976" s="529">
        <v>971001</v>
      </c>
      <c r="C976" s="529">
        <v>972</v>
      </c>
      <c r="E976" s="534">
        <v>0</v>
      </c>
      <c r="F976" s="534">
        <v>0</v>
      </c>
      <c r="G976" s="534">
        <v>35</v>
      </c>
      <c r="I976" s="534">
        <v>0</v>
      </c>
      <c r="J976" s="534">
        <v>0</v>
      </c>
      <c r="K976" s="534">
        <v>0</v>
      </c>
      <c r="M976" s="617">
        <f t="shared" si="32"/>
        <v>0</v>
      </c>
      <c r="N976" s="617">
        <f t="shared" si="33"/>
        <v>35</v>
      </c>
      <c r="O976" s="617"/>
    </row>
    <row r="977" spans="2:15" ht="15" x14ac:dyDescent="0.25">
      <c r="B977" s="529">
        <v>972001</v>
      </c>
      <c r="C977" s="529">
        <v>973</v>
      </c>
      <c r="E977" s="534">
        <v>0</v>
      </c>
      <c r="F977" s="534">
        <v>0</v>
      </c>
      <c r="G977" s="534">
        <v>35</v>
      </c>
      <c r="I977" s="534">
        <v>0</v>
      </c>
      <c r="J977" s="534">
        <v>0</v>
      </c>
      <c r="K977" s="534">
        <v>0</v>
      </c>
      <c r="M977" s="617">
        <f t="shared" si="32"/>
        <v>0</v>
      </c>
      <c r="N977" s="617">
        <f t="shared" si="33"/>
        <v>35</v>
      </c>
      <c r="O977" s="617"/>
    </row>
    <row r="978" spans="2:15" ht="15" x14ac:dyDescent="0.25">
      <c r="B978" s="529">
        <v>973001</v>
      </c>
      <c r="C978" s="529">
        <v>974</v>
      </c>
      <c r="E978" s="534">
        <v>0</v>
      </c>
      <c r="F978" s="534">
        <v>0</v>
      </c>
      <c r="G978" s="534">
        <v>35</v>
      </c>
      <c r="I978" s="534">
        <v>0</v>
      </c>
      <c r="J978" s="534">
        <v>0</v>
      </c>
      <c r="K978" s="534">
        <v>0</v>
      </c>
      <c r="M978" s="617">
        <f t="shared" si="32"/>
        <v>0</v>
      </c>
      <c r="N978" s="617">
        <f t="shared" si="33"/>
        <v>35</v>
      </c>
      <c r="O978" s="617"/>
    </row>
    <row r="979" spans="2:15" ht="15" x14ac:dyDescent="0.25">
      <c r="B979" s="529">
        <v>974001</v>
      </c>
      <c r="C979" s="529">
        <v>975</v>
      </c>
      <c r="E979" s="534">
        <v>0</v>
      </c>
      <c r="F979" s="534">
        <v>0</v>
      </c>
      <c r="G979" s="534">
        <v>35</v>
      </c>
      <c r="I979" s="534">
        <v>0</v>
      </c>
      <c r="J979" s="534">
        <v>0</v>
      </c>
      <c r="K979" s="534">
        <v>0</v>
      </c>
      <c r="M979" s="617">
        <f t="shared" si="32"/>
        <v>0</v>
      </c>
      <c r="N979" s="617">
        <f t="shared" si="33"/>
        <v>35</v>
      </c>
      <c r="O979" s="617"/>
    </row>
    <row r="980" spans="2:15" ht="15" x14ac:dyDescent="0.25">
      <c r="B980" s="529">
        <v>975001</v>
      </c>
      <c r="C980" s="529">
        <v>976</v>
      </c>
      <c r="E980" s="534">
        <v>0</v>
      </c>
      <c r="F980" s="534">
        <v>0</v>
      </c>
      <c r="G980" s="534">
        <v>35</v>
      </c>
      <c r="I980" s="534">
        <v>0</v>
      </c>
      <c r="J980" s="534">
        <v>0</v>
      </c>
      <c r="K980" s="534">
        <v>0</v>
      </c>
      <c r="M980" s="617">
        <f t="shared" si="32"/>
        <v>0</v>
      </c>
      <c r="N980" s="617">
        <f t="shared" si="33"/>
        <v>35</v>
      </c>
      <c r="O980" s="617"/>
    </row>
    <row r="981" spans="2:15" ht="15" x14ac:dyDescent="0.25">
      <c r="B981" s="529">
        <v>976001</v>
      </c>
      <c r="C981" s="529">
        <v>977</v>
      </c>
      <c r="E981" s="534">
        <v>0</v>
      </c>
      <c r="F981" s="534">
        <v>0</v>
      </c>
      <c r="G981" s="534">
        <v>35</v>
      </c>
      <c r="I981" s="534">
        <v>0</v>
      </c>
      <c r="J981" s="534">
        <v>0</v>
      </c>
      <c r="K981" s="534">
        <v>0</v>
      </c>
      <c r="M981" s="617">
        <f t="shared" si="32"/>
        <v>0</v>
      </c>
      <c r="N981" s="617">
        <f t="shared" si="33"/>
        <v>35</v>
      </c>
      <c r="O981" s="617"/>
    </row>
    <row r="982" spans="2:15" ht="15" x14ac:dyDescent="0.25">
      <c r="B982" s="529">
        <v>977001</v>
      </c>
      <c r="C982" s="529">
        <v>978</v>
      </c>
      <c r="E982" s="534">
        <v>0</v>
      </c>
      <c r="F982" s="534">
        <v>0</v>
      </c>
      <c r="G982" s="534">
        <v>35</v>
      </c>
      <c r="I982" s="534">
        <v>0</v>
      </c>
      <c r="J982" s="534">
        <v>0</v>
      </c>
      <c r="K982" s="534">
        <v>0</v>
      </c>
      <c r="M982" s="617">
        <f t="shared" si="32"/>
        <v>0</v>
      </c>
      <c r="N982" s="617">
        <f t="shared" si="33"/>
        <v>35</v>
      </c>
      <c r="O982" s="617"/>
    </row>
    <row r="983" spans="2:15" ht="15" x14ac:dyDescent="0.25">
      <c r="B983" s="529">
        <v>978001</v>
      </c>
      <c r="C983" s="529">
        <v>979</v>
      </c>
      <c r="E983" s="534">
        <v>0</v>
      </c>
      <c r="F983" s="534">
        <v>0</v>
      </c>
      <c r="G983" s="534">
        <v>35</v>
      </c>
      <c r="I983" s="534">
        <v>0</v>
      </c>
      <c r="J983" s="534">
        <v>0</v>
      </c>
      <c r="K983" s="534">
        <v>0</v>
      </c>
      <c r="M983" s="617">
        <f t="shared" si="32"/>
        <v>0</v>
      </c>
      <c r="N983" s="617">
        <f t="shared" si="33"/>
        <v>35</v>
      </c>
      <c r="O983" s="617"/>
    </row>
    <row r="984" spans="2:15" ht="15" x14ac:dyDescent="0.25">
      <c r="B984" s="529">
        <v>979001</v>
      </c>
      <c r="C984" s="529">
        <v>980</v>
      </c>
      <c r="E984" s="534">
        <v>0</v>
      </c>
      <c r="F984" s="534">
        <v>0</v>
      </c>
      <c r="G984" s="534">
        <v>35</v>
      </c>
      <c r="I984" s="534">
        <v>0</v>
      </c>
      <c r="J984" s="534">
        <v>0</v>
      </c>
      <c r="K984" s="534">
        <v>0</v>
      </c>
      <c r="M984" s="617">
        <f t="shared" si="32"/>
        <v>0</v>
      </c>
      <c r="N984" s="617">
        <f t="shared" si="33"/>
        <v>35</v>
      </c>
      <c r="O984" s="617"/>
    </row>
    <row r="985" spans="2:15" ht="15" x14ac:dyDescent="0.25">
      <c r="B985" s="529">
        <v>980001</v>
      </c>
      <c r="C985" s="529">
        <v>981</v>
      </c>
      <c r="E985" s="534">
        <v>0</v>
      </c>
      <c r="F985" s="534">
        <v>0</v>
      </c>
      <c r="G985" s="534">
        <v>35</v>
      </c>
      <c r="I985" s="534">
        <v>0</v>
      </c>
      <c r="J985" s="534">
        <v>0</v>
      </c>
      <c r="K985" s="534">
        <v>0</v>
      </c>
      <c r="M985" s="617">
        <f t="shared" si="32"/>
        <v>0</v>
      </c>
      <c r="N985" s="617">
        <f t="shared" si="33"/>
        <v>35</v>
      </c>
      <c r="O985" s="617"/>
    </row>
    <row r="986" spans="2:15" ht="15" x14ac:dyDescent="0.25">
      <c r="B986" s="529">
        <v>981001</v>
      </c>
      <c r="C986" s="529">
        <v>982</v>
      </c>
      <c r="E986" s="534">
        <v>0</v>
      </c>
      <c r="F986" s="534">
        <v>0</v>
      </c>
      <c r="G986" s="534">
        <v>35</v>
      </c>
      <c r="I986" s="534">
        <v>0</v>
      </c>
      <c r="J986" s="534">
        <v>0</v>
      </c>
      <c r="K986" s="534">
        <v>0</v>
      </c>
      <c r="M986" s="617">
        <f t="shared" si="32"/>
        <v>0</v>
      </c>
      <c r="N986" s="617">
        <f t="shared" si="33"/>
        <v>35</v>
      </c>
      <c r="O986" s="617"/>
    </row>
    <row r="987" spans="2:15" ht="15" x14ac:dyDescent="0.25">
      <c r="B987" s="529">
        <v>982001</v>
      </c>
      <c r="C987" s="529">
        <v>983</v>
      </c>
      <c r="E987" s="534">
        <v>0</v>
      </c>
      <c r="F987" s="534">
        <v>0</v>
      </c>
      <c r="G987" s="534">
        <v>35</v>
      </c>
      <c r="I987" s="534">
        <v>0</v>
      </c>
      <c r="J987" s="534">
        <v>0</v>
      </c>
      <c r="K987" s="534">
        <v>0</v>
      </c>
      <c r="M987" s="617">
        <f t="shared" si="32"/>
        <v>0</v>
      </c>
      <c r="N987" s="617">
        <f t="shared" si="33"/>
        <v>35</v>
      </c>
      <c r="O987" s="617"/>
    </row>
    <row r="988" spans="2:15" ht="15" x14ac:dyDescent="0.25">
      <c r="B988" s="529">
        <v>983001</v>
      </c>
      <c r="C988" s="529">
        <v>984</v>
      </c>
      <c r="E988" s="534">
        <v>0</v>
      </c>
      <c r="F988" s="534">
        <v>0</v>
      </c>
      <c r="G988" s="534">
        <v>35</v>
      </c>
      <c r="I988" s="534">
        <v>0</v>
      </c>
      <c r="J988" s="534">
        <v>0</v>
      </c>
      <c r="K988" s="534">
        <v>0</v>
      </c>
      <c r="M988" s="617">
        <f t="shared" si="32"/>
        <v>0</v>
      </c>
      <c r="N988" s="617">
        <f t="shared" si="33"/>
        <v>35</v>
      </c>
      <c r="O988" s="617"/>
    </row>
    <row r="989" spans="2:15" ht="15" x14ac:dyDescent="0.25">
      <c r="B989" s="529">
        <v>984001</v>
      </c>
      <c r="C989" s="529">
        <v>985</v>
      </c>
      <c r="E989" s="534">
        <v>0</v>
      </c>
      <c r="F989" s="534">
        <v>0</v>
      </c>
      <c r="G989" s="534">
        <v>35</v>
      </c>
      <c r="I989" s="534">
        <v>0</v>
      </c>
      <c r="J989" s="534">
        <v>0</v>
      </c>
      <c r="K989" s="534">
        <v>0</v>
      </c>
      <c r="M989" s="617">
        <f t="shared" si="32"/>
        <v>0</v>
      </c>
      <c r="N989" s="617">
        <f t="shared" si="33"/>
        <v>35</v>
      </c>
      <c r="O989" s="617"/>
    </row>
    <row r="990" spans="2:15" ht="15" x14ac:dyDescent="0.25">
      <c r="B990" s="529">
        <v>985001</v>
      </c>
      <c r="C990" s="529">
        <v>986</v>
      </c>
      <c r="E990" s="534">
        <v>0</v>
      </c>
      <c r="F990" s="534">
        <v>0</v>
      </c>
      <c r="G990" s="534">
        <v>35</v>
      </c>
      <c r="I990" s="534">
        <v>0</v>
      </c>
      <c r="J990" s="534">
        <v>0</v>
      </c>
      <c r="K990" s="534">
        <v>0</v>
      </c>
      <c r="M990" s="617">
        <f t="shared" si="32"/>
        <v>0</v>
      </c>
      <c r="N990" s="617">
        <f t="shared" si="33"/>
        <v>35</v>
      </c>
      <c r="O990" s="617"/>
    </row>
    <row r="991" spans="2:15" ht="15" x14ac:dyDescent="0.25">
      <c r="B991" s="529">
        <v>986001</v>
      </c>
      <c r="C991" s="529">
        <v>987</v>
      </c>
      <c r="E991" s="534">
        <v>1</v>
      </c>
      <c r="F991" s="534">
        <v>987</v>
      </c>
      <c r="G991" s="534">
        <v>35</v>
      </c>
      <c r="I991" s="534">
        <v>0</v>
      </c>
      <c r="J991" s="534">
        <v>0</v>
      </c>
      <c r="K991" s="534">
        <v>0</v>
      </c>
      <c r="M991" s="617">
        <f t="shared" si="32"/>
        <v>1</v>
      </c>
      <c r="N991" s="617">
        <f t="shared" si="33"/>
        <v>35</v>
      </c>
      <c r="O991" s="617"/>
    </row>
    <row r="992" spans="2:15" ht="15" x14ac:dyDescent="0.25">
      <c r="B992" s="529">
        <v>987001</v>
      </c>
      <c r="C992" s="529">
        <v>988</v>
      </c>
      <c r="E992" s="534">
        <v>0</v>
      </c>
      <c r="F992" s="534">
        <v>0</v>
      </c>
      <c r="G992" s="534">
        <v>34</v>
      </c>
      <c r="I992" s="534">
        <v>0</v>
      </c>
      <c r="J992" s="534">
        <v>0</v>
      </c>
      <c r="K992" s="534">
        <v>0</v>
      </c>
      <c r="M992" s="617">
        <f t="shared" si="32"/>
        <v>0</v>
      </c>
      <c r="N992" s="617">
        <f t="shared" si="33"/>
        <v>34</v>
      </c>
      <c r="O992" s="617"/>
    </row>
    <row r="993" spans="2:15" ht="15" x14ac:dyDescent="0.25">
      <c r="B993" s="529">
        <v>988001</v>
      </c>
      <c r="C993" s="529">
        <v>989</v>
      </c>
      <c r="E993" s="534">
        <v>0</v>
      </c>
      <c r="F993" s="534">
        <v>0</v>
      </c>
      <c r="G993" s="534">
        <v>34</v>
      </c>
      <c r="I993" s="534">
        <v>0</v>
      </c>
      <c r="J993" s="534">
        <v>0</v>
      </c>
      <c r="K993" s="534">
        <v>0</v>
      </c>
      <c r="M993" s="617">
        <f t="shared" si="32"/>
        <v>0</v>
      </c>
      <c r="N993" s="617">
        <f t="shared" si="33"/>
        <v>34</v>
      </c>
      <c r="O993" s="617"/>
    </row>
    <row r="994" spans="2:15" ht="15" x14ac:dyDescent="0.25">
      <c r="B994" s="529">
        <v>989001</v>
      </c>
      <c r="C994" s="529">
        <v>990</v>
      </c>
      <c r="E994" s="534">
        <v>0</v>
      </c>
      <c r="F994" s="534">
        <v>0</v>
      </c>
      <c r="G994" s="534">
        <v>34</v>
      </c>
      <c r="I994" s="534">
        <v>0</v>
      </c>
      <c r="J994" s="534">
        <v>0</v>
      </c>
      <c r="K994" s="534">
        <v>0</v>
      </c>
      <c r="M994" s="617">
        <f t="shared" si="32"/>
        <v>0</v>
      </c>
      <c r="N994" s="617">
        <f t="shared" si="33"/>
        <v>34</v>
      </c>
      <c r="O994" s="617"/>
    </row>
    <row r="995" spans="2:15" ht="15" x14ac:dyDescent="0.25">
      <c r="B995" s="529">
        <v>990001</v>
      </c>
      <c r="C995" s="529">
        <v>991</v>
      </c>
      <c r="E995" s="534">
        <v>0</v>
      </c>
      <c r="F995" s="534">
        <v>0</v>
      </c>
      <c r="G995" s="534">
        <v>34</v>
      </c>
      <c r="I995" s="534">
        <v>0</v>
      </c>
      <c r="J995" s="534">
        <v>0</v>
      </c>
      <c r="K995" s="534">
        <v>0</v>
      </c>
      <c r="M995" s="617">
        <f t="shared" si="32"/>
        <v>0</v>
      </c>
      <c r="N995" s="617">
        <f t="shared" si="33"/>
        <v>34</v>
      </c>
      <c r="O995" s="617"/>
    </row>
    <row r="996" spans="2:15" ht="15" x14ac:dyDescent="0.25">
      <c r="B996" s="529">
        <v>991001</v>
      </c>
      <c r="C996" s="529">
        <v>992</v>
      </c>
      <c r="E996" s="534">
        <v>0</v>
      </c>
      <c r="F996" s="534">
        <v>0</v>
      </c>
      <c r="G996" s="534">
        <v>34</v>
      </c>
      <c r="I996" s="534">
        <v>0</v>
      </c>
      <c r="J996" s="534">
        <v>0</v>
      </c>
      <c r="K996" s="534">
        <v>0</v>
      </c>
      <c r="M996" s="617">
        <f t="shared" si="32"/>
        <v>0</v>
      </c>
      <c r="N996" s="617">
        <f t="shared" si="33"/>
        <v>34</v>
      </c>
      <c r="O996" s="617"/>
    </row>
    <row r="997" spans="2:15" ht="15" x14ac:dyDescent="0.25">
      <c r="B997" s="529">
        <v>992001</v>
      </c>
      <c r="C997" s="529">
        <v>993</v>
      </c>
      <c r="E997" s="534">
        <v>0</v>
      </c>
      <c r="F997" s="534">
        <v>0</v>
      </c>
      <c r="G997" s="534">
        <v>34</v>
      </c>
      <c r="I997" s="534">
        <v>0</v>
      </c>
      <c r="J997" s="534">
        <v>0</v>
      </c>
      <c r="K997" s="534">
        <v>0</v>
      </c>
      <c r="M997" s="617">
        <f t="shared" si="32"/>
        <v>0</v>
      </c>
      <c r="N997" s="617">
        <f t="shared" si="33"/>
        <v>34</v>
      </c>
      <c r="O997" s="617"/>
    </row>
    <row r="998" spans="2:15" ht="15" x14ac:dyDescent="0.25">
      <c r="B998" s="529">
        <v>993001</v>
      </c>
      <c r="C998" s="529">
        <v>994</v>
      </c>
      <c r="E998" s="534">
        <v>0</v>
      </c>
      <c r="F998" s="534">
        <v>0</v>
      </c>
      <c r="G998" s="534">
        <v>34</v>
      </c>
      <c r="I998" s="534">
        <v>0</v>
      </c>
      <c r="J998" s="534">
        <v>0</v>
      </c>
      <c r="K998" s="534">
        <v>0</v>
      </c>
      <c r="M998" s="617">
        <f t="shared" si="32"/>
        <v>0</v>
      </c>
      <c r="N998" s="617">
        <f t="shared" si="33"/>
        <v>34</v>
      </c>
      <c r="O998" s="617"/>
    </row>
    <row r="999" spans="2:15" ht="15" x14ac:dyDescent="0.25">
      <c r="B999" s="529">
        <v>994001</v>
      </c>
      <c r="C999" s="529">
        <v>995</v>
      </c>
      <c r="E999" s="534">
        <v>0</v>
      </c>
      <c r="F999" s="534">
        <v>0</v>
      </c>
      <c r="G999" s="534">
        <v>34</v>
      </c>
      <c r="I999" s="534">
        <v>0</v>
      </c>
      <c r="J999" s="534">
        <v>0</v>
      </c>
      <c r="K999" s="534">
        <v>0</v>
      </c>
      <c r="M999" s="617">
        <f t="shared" si="32"/>
        <v>0</v>
      </c>
      <c r="N999" s="617">
        <f t="shared" si="33"/>
        <v>34</v>
      </c>
      <c r="O999" s="617"/>
    </row>
    <row r="1000" spans="2:15" ht="15" x14ac:dyDescent="0.25">
      <c r="B1000" s="529">
        <v>995001</v>
      </c>
      <c r="C1000" s="529">
        <v>996</v>
      </c>
      <c r="E1000" s="534">
        <v>0</v>
      </c>
      <c r="F1000" s="534">
        <v>0</v>
      </c>
      <c r="G1000" s="534">
        <v>34</v>
      </c>
      <c r="I1000" s="534">
        <v>0</v>
      </c>
      <c r="J1000" s="534">
        <v>0</v>
      </c>
      <c r="K1000" s="534">
        <v>0</v>
      </c>
      <c r="M1000" s="617">
        <f t="shared" si="32"/>
        <v>0</v>
      </c>
      <c r="N1000" s="617">
        <f t="shared" si="33"/>
        <v>34</v>
      </c>
      <c r="O1000" s="617"/>
    </row>
    <row r="1001" spans="2:15" ht="15" x14ac:dyDescent="0.25">
      <c r="B1001" s="529">
        <v>996001</v>
      </c>
      <c r="C1001" s="529">
        <v>997</v>
      </c>
      <c r="E1001" s="534">
        <v>0</v>
      </c>
      <c r="F1001" s="534">
        <v>0</v>
      </c>
      <c r="G1001" s="534">
        <v>34</v>
      </c>
      <c r="I1001" s="534">
        <v>0</v>
      </c>
      <c r="J1001" s="534">
        <v>0</v>
      </c>
      <c r="K1001" s="534">
        <v>0</v>
      </c>
      <c r="M1001" s="617">
        <f t="shared" si="32"/>
        <v>0</v>
      </c>
      <c r="N1001" s="617">
        <f t="shared" si="33"/>
        <v>34</v>
      </c>
      <c r="O1001" s="617"/>
    </row>
    <row r="1002" spans="2:15" ht="15" x14ac:dyDescent="0.25">
      <c r="B1002" s="529">
        <v>997001</v>
      </c>
      <c r="C1002" s="529">
        <v>998</v>
      </c>
      <c r="E1002" s="534">
        <v>0</v>
      </c>
      <c r="F1002" s="534">
        <v>0</v>
      </c>
      <c r="G1002" s="534">
        <v>34</v>
      </c>
      <c r="I1002" s="534">
        <v>0</v>
      </c>
      <c r="J1002" s="534">
        <v>0</v>
      </c>
      <c r="K1002" s="534">
        <v>0</v>
      </c>
      <c r="M1002" s="617">
        <f t="shared" si="32"/>
        <v>0</v>
      </c>
      <c r="N1002" s="617">
        <f t="shared" si="33"/>
        <v>34</v>
      </c>
      <c r="O1002" s="617"/>
    </row>
    <row r="1003" spans="2:15" ht="15" x14ac:dyDescent="0.25">
      <c r="B1003" s="529">
        <v>998001</v>
      </c>
      <c r="C1003" s="529">
        <v>999</v>
      </c>
      <c r="E1003" s="534">
        <v>1</v>
      </c>
      <c r="F1003" s="534">
        <v>999</v>
      </c>
      <c r="G1003" s="534">
        <v>34</v>
      </c>
      <c r="I1003" s="534">
        <v>0</v>
      </c>
      <c r="J1003" s="534">
        <v>0</v>
      </c>
      <c r="K1003" s="534">
        <v>0</v>
      </c>
      <c r="M1003" s="617">
        <f t="shared" si="32"/>
        <v>1</v>
      </c>
      <c r="N1003" s="617">
        <f t="shared" si="33"/>
        <v>34</v>
      </c>
      <c r="O1003" s="617"/>
    </row>
    <row r="1004" spans="2:15" ht="15" x14ac:dyDescent="0.25">
      <c r="B1004" s="529">
        <v>999001</v>
      </c>
      <c r="C1004" s="529">
        <v>1000</v>
      </c>
      <c r="E1004" s="534">
        <v>0</v>
      </c>
      <c r="F1004" s="534">
        <v>0</v>
      </c>
      <c r="G1004" s="534">
        <v>33</v>
      </c>
      <c r="I1004" s="534">
        <v>0</v>
      </c>
      <c r="J1004" s="534">
        <v>0</v>
      </c>
      <c r="K1004" s="534">
        <v>0</v>
      </c>
      <c r="M1004" s="617">
        <f t="shared" si="32"/>
        <v>0</v>
      </c>
      <c r="N1004" s="617">
        <f t="shared" si="33"/>
        <v>33</v>
      </c>
      <c r="O1004" s="617"/>
    </row>
    <row r="1005" spans="2:15" ht="15" x14ac:dyDescent="0.25">
      <c r="B1005" s="529">
        <v>1000001</v>
      </c>
      <c r="C1005" s="529">
        <v>1001</v>
      </c>
      <c r="E1005" s="534">
        <v>1</v>
      </c>
      <c r="F1005" s="534">
        <v>1001</v>
      </c>
      <c r="G1005" s="534">
        <v>33</v>
      </c>
      <c r="I1005" s="534">
        <v>0</v>
      </c>
      <c r="J1005" s="534">
        <v>0</v>
      </c>
      <c r="K1005" s="534">
        <v>0</v>
      </c>
      <c r="M1005" s="617">
        <f t="shared" si="32"/>
        <v>1</v>
      </c>
      <c r="N1005" s="617">
        <f t="shared" si="33"/>
        <v>33</v>
      </c>
      <c r="O1005" s="617"/>
    </row>
    <row r="1006" spans="2:15" ht="15" x14ac:dyDescent="0.25">
      <c r="B1006" s="529">
        <v>1001001</v>
      </c>
      <c r="C1006" s="529">
        <v>1002</v>
      </c>
      <c r="E1006" s="534">
        <v>0</v>
      </c>
      <c r="F1006" s="534">
        <v>0</v>
      </c>
      <c r="G1006" s="534">
        <v>32</v>
      </c>
      <c r="I1006" s="534">
        <v>0</v>
      </c>
      <c r="J1006" s="534">
        <v>0</v>
      </c>
      <c r="K1006" s="534">
        <v>0</v>
      </c>
      <c r="M1006" s="617">
        <f t="shared" si="32"/>
        <v>0</v>
      </c>
      <c r="N1006" s="617">
        <f t="shared" si="33"/>
        <v>32</v>
      </c>
      <c r="O1006" s="617"/>
    </row>
    <row r="1007" spans="2:15" ht="15" x14ac:dyDescent="0.25">
      <c r="B1007" s="529">
        <v>1002001</v>
      </c>
      <c r="C1007" s="529">
        <v>1003</v>
      </c>
      <c r="E1007" s="534">
        <v>0</v>
      </c>
      <c r="F1007" s="534">
        <v>0</v>
      </c>
      <c r="G1007" s="534">
        <v>32</v>
      </c>
      <c r="I1007" s="534">
        <v>0</v>
      </c>
      <c r="J1007" s="534">
        <v>0</v>
      </c>
      <c r="K1007" s="534">
        <v>0</v>
      </c>
      <c r="M1007" s="617">
        <f t="shared" si="32"/>
        <v>0</v>
      </c>
      <c r="N1007" s="617">
        <f t="shared" si="33"/>
        <v>32</v>
      </c>
      <c r="O1007" s="617"/>
    </row>
    <row r="1008" spans="2:15" ht="15" x14ac:dyDescent="0.25">
      <c r="B1008" s="529">
        <v>1003001</v>
      </c>
      <c r="C1008" s="529">
        <v>1004</v>
      </c>
      <c r="E1008" s="534">
        <v>0</v>
      </c>
      <c r="F1008" s="534">
        <v>0</v>
      </c>
      <c r="G1008" s="534">
        <v>32</v>
      </c>
      <c r="I1008" s="534">
        <v>0</v>
      </c>
      <c r="J1008" s="534">
        <v>0</v>
      </c>
      <c r="K1008" s="534">
        <v>0</v>
      </c>
      <c r="M1008" s="617">
        <f t="shared" si="32"/>
        <v>0</v>
      </c>
      <c r="N1008" s="617">
        <f t="shared" si="33"/>
        <v>32</v>
      </c>
      <c r="O1008" s="617"/>
    </row>
    <row r="1009" spans="2:15" ht="15" x14ac:dyDescent="0.25">
      <c r="B1009" s="529">
        <v>1004001</v>
      </c>
      <c r="C1009" s="529">
        <v>1005</v>
      </c>
      <c r="E1009" s="534">
        <v>0</v>
      </c>
      <c r="F1009" s="534">
        <v>0</v>
      </c>
      <c r="G1009" s="534">
        <v>32</v>
      </c>
      <c r="I1009" s="534">
        <v>0</v>
      </c>
      <c r="J1009" s="534">
        <v>0</v>
      </c>
      <c r="K1009" s="534">
        <v>0</v>
      </c>
      <c r="M1009" s="617">
        <f t="shared" si="32"/>
        <v>0</v>
      </c>
      <c r="N1009" s="617">
        <f t="shared" si="33"/>
        <v>32</v>
      </c>
      <c r="O1009" s="617"/>
    </row>
    <row r="1010" spans="2:15" ht="15" x14ac:dyDescent="0.25">
      <c r="B1010" s="529">
        <v>1005001</v>
      </c>
      <c r="C1010" s="529">
        <v>1006</v>
      </c>
      <c r="E1010" s="534">
        <v>0</v>
      </c>
      <c r="F1010" s="534">
        <v>0</v>
      </c>
      <c r="G1010" s="534">
        <v>32</v>
      </c>
      <c r="I1010" s="534">
        <v>0</v>
      </c>
      <c r="J1010" s="534">
        <v>0</v>
      </c>
      <c r="K1010" s="534">
        <v>0</v>
      </c>
      <c r="M1010" s="617">
        <f t="shared" si="32"/>
        <v>0</v>
      </c>
      <c r="N1010" s="617">
        <f t="shared" si="33"/>
        <v>32</v>
      </c>
      <c r="O1010" s="617"/>
    </row>
    <row r="1011" spans="2:15" ht="15" x14ac:dyDescent="0.25">
      <c r="B1011" s="529">
        <v>1006001</v>
      </c>
      <c r="C1011" s="529">
        <v>1007</v>
      </c>
      <c r="E1011" s="534">
        <v>0</v>
      </c>
      <c r="F1011" s="534">
        <v>0</v>
      </c>
      <c r="G1011" s="534">
        <v>32</v>
      </c>
      <c r="I1011" s="534">
        <v>0</v>
      </c>
      <c r="J1011" s="534">
        <v>0</v>
      </c>
      <c r="K1011" s="534">
        <v>0</v>
      </c>
      <c r="M1011" s="617">
        <f t="shared" si="32"/>
        <v>0</v>
      </c>
      <c r="N1011" s="617">
        <f t="shared" si="33"/>
        <v>32</v>
      </c>
      <c r="O1011" s="617"/>
    </row>
    <row r="1012" spans="2:15" ht="15" x14ac:dyDescent="0.25">
      <c r="B1012" s="529">
        <v>1007001</v>
      </c>
      <c r="C1012" s="529">
        <v>1008</v>
      </c>
      <c r="E1012" s="534">
        <v>0</v>
      </c>
      <c r="F1012" s="534">
        <v>0</v>
      </c>
      <c r="G1012" s="534">
        <v>32</v>
      </c>
      <c r="I1012" s="534">
        <v>0</v>
      </c>
      <c r="J1012" s="534">
        <v>0</v>
      </c>
      <c r="K1012" s="534">
        <v>0</v>
      </c>
      <c r="M1012" s="617">
        <f t="shared" si="32"/>
        <v>0</v>
      </c>
      <c r="N1012" s="617">
        <f t="shared" si="33"/>
        <v>32</v>
      </c>
      <c r="O1012" s="617"/>
    </row>
    <row r="1013" spans="2:15" ht="15" x14ac:dyDescent="0.25">
      <c r="B1013" s="529">
        <v>1008001</v>
      </c>
      <c r="C1013" s="529">
        <v>1009</v>
      </c>
      <c r="E1013" s="534">
        <v>0</v>
      </c>
      <c r="F1013" s="534">
        <v>0</v>
      </c>
      <c r="G1013" s="534">
        <v>32</v>
      </c>
      <c r="I1013" s="534">
        <v>0</v>
      </c>
      <c r="J1013" s="534">
        <v>0</v>
      </c>
      <c r="K1013" s="534">
        <v>0</v>
      </c>
      <c r="M1013" s="617">
        <f t="shared" si="32"/>
        <v>0</v>
      </c>
      <c r="N1013" s="617">
        <f t="shared" si="33"/>
        <v>32</v>
      </c>
      <c r="O1013" s="617"/>
    </row>
    <row r="1014" spans="2:15" ht="15" x14ac:dyDescent="0.25">
      <c r="B1014" s="529">
        <v>1009001</v>
      </c>
      <c r="C1014" s="529">
        <v>1010</v>
      </c>
      <c r="E1014" s="534">
        <v>0</v>
      </c>
      <c r="F1014" s="534">
        <v>0</v>
      </c>
      <c r="G1014" s="534">
        <v>32</v>
      </c>
      <c r="I1014" s="534">
        <v>0</v>
      </c>
      <c r="J1014" s="534">
        <v>0</v>
      </c>
      <c r="K1014" s="534">
        <v>0</v>
      </c>
      <c r="M1014" s="617">
        <f t="shared" si="32"/>
        <v>0</v>
      </c>
      <c r="N1014" s="617">
        <f t="shared" si="33"/>
        <v>32</v>
      </c>
      <c r="O1014" s="617"/>
    </row>
    <row r="1015" spans="2:15" ht="15" x14ac:dyDescent="0.25">
      <c r="B1015" s="529">
        <v>1010001</v>
      </c>
      <c r="C1015" s="529">
        <v>1011</v>
      </c>
      <c r="E1015" s="534">
        <v>0</v>
      </c>
      <c r="F1015" s="534">
        <v>0</v>
      </c>
      <c r="G1015" s="534">
        <v>32</v>
      </c>
      <c r="I1015" s="534">
        <v>0</v>
      </c>
      <c r="J1015" s="534">
        <v>0</v>
      </c>
      <c r="K1015" s="534">
        <v>0</v>
      </c>
      <c r="M1015" s="617">
        <f t="shared" si="32"/>
        <v>0</v>
      </c>
      <c r="N1015" s="617">
        <f t="shared" si="33"/>
        <v>32</v>
      </c>
      <c r="O1015" s="617"/>
    </row>
    <row r="1016" spans="2:15" ht="15" x14ac:dyDescent="0.25">
      <c r="B1016" s="529">
        <v>1011001</v>
      </c>
      <c r="C1016" s="529">
        <v>1012</v>
      </c>
      <c r="E1016" s="534">
        <v>0</v>
      </c>
      <c r="F1016" s="534">
        <v>0</v>
      </c>
      <c r="G1016" s="534">
        <v>32</v>
      </c>
      <c r="I1016" s="534">
        <v>0</v>
      </c>
      <c r="J1016" s="534">
        <v>0</v>
      </c>
      <c r="K1016" s="534">
        <v>0</v>
      </c>
      <c r="M1016" s="617">
        <f t="shared" si="32"/>
        <v>0</v>
      </c>
      <c r="N1016" s="617">
        <f t="shared" si="33"/>
        <v>32</v>
      </c>
      <c r="O1016" s="617"/>
    </row>
    <row r="1017" spans="2:15" ht="15" x14ac:dyDescent="0.25">
      <c r="B1017" s="529">
        <v>1012001</v>
      </c>
      <c r="C1017" s="529">
        <v>1013</v>
      </c>
      <c r="E1017" s="534">
        <v>0</v>
      </c>
      <c r="F1017" s="534">
        <v>0</v>
      </c>
      <c r="G1017" s="534">
        <v>32</v>
      </c>
      <c r="I1017" s="534">
        <v>0</v>
      </c>
      <c r="J1017" s="534">
        <v>0</v>
      </c>
      <c r="K1017" s="534">
        <v>0</v>
      </c>
      <c r="M1017" s="617">
        <f t="shared" si="32"/>
        <v>0</v>
      </c>
      <c r="N1017" s="617">
        <f t="shared" si="33"/>
        <v>32</v>
      </c>
      <c r="O1017" s="617"/>
    </row>
    <row r="1018" spans="2:15" ht="15" x14ac:dyDescent="0.25">
      <c r="B1018" s="529">
        <v>1013001</v>
      </c>
      <c r="C1018" s="529">
        <v>1014</v>
      </c>
      <c r="E1018" s="534">
        <v>0</v>
      </c>
      <c r="F1018" s="534">
        <v>0</v>
      </c>
      <c r="G1018" s="534">
        <v>32</v>
      </c>
      <c r="I1018" s="534">
        <v>0</v>
      </c>
      <c r="J1018" s="534">
        <v>0</v>
      </c>
      <c r="K1018" s="534">
        <v>0</v>
      </c>
      <c r="M1018" s="617">
        <f t="shared" si="32"/>
        <v>0</v>
      </c>
      <c r="N1018" s="617">
        <f t="shared" si="33"/>
        <v>32</v>
      </c>
      <c r="O1018" s="617"/>
    </row>
    <row r="1019" spans="2:15" ht="15" x14ac:dyDescent="0.25">
      <c r="B1019" s="529">
        <v>1014001</v>
      </c>
      <c r="C1019" s="529">
        <v>1015</v>
      </c>
      <c r="E1019" s="534">
        <v>0</v>
      </c>
      <c r="F1019" s="534">
        <v>0</v>
      </c>
      <c r="G1019" s="534">
        <v>32</v>
      </c>
      <c r="I1019" s="534">
        <v>0</v>
      </c>
      <c r="J1019" s="534">
        <v>0</v>
      </c>
      <c r="K1019" s="534">
        <v>0</v>
      </c>
      <c r="M1019" s="617">
        <f t="shared" si="32"/>
        <v>0</v>
      </c>
      <c r="N1019" s="617">
        <f t="shared" si="33"/>
        <v>32</v>
      </c>
      <c r="O1019" s="617"/>
    </row>
    <row r="1020" spans="2:15" ht="15" x14ac:dyDescent="0.25">
      <c r="B1020" s="529">
        <v>1015001</v>
      </c>
      <c r="C1020" s="529">
        <v>1016</v>
      </c>
      <c r="E1020" s="534">
        <v>0</v>
      </c>
      <c r="F1020" s="534">
        <v>0</v>
      </c>
      <c r="G1020" s="534">
        <v>32</v>
      </c>
      <c r="I1020" s="534">
        <v>0</v>
      </c>
      <c r="J1020" s="534">
        <v>0</v>
      </c>
      <c r="K1020" s="534">
        <v>0</v>
      </c>
      <c r="M1020" s="617">
        <f t="shared" si="32"/>
        <v>0</v>
      </c>
      <c r="N1020" s="617">
        <f t="shared" si="33"/>
        <v>32</v>
      </c>
      <c r="O1020" s="617"/>
    </row>
    <row r="1021" spans="2:15" ht="15" x14ac:dyDescent="0.25">
      <c r="B1021" s="529">
        <v>1016001</v>
      </c>
      <c r="C1021" s="529">
        <v>1017</v>
      </c>
      <c r="E1021" s="534">
        <v>0</v>
      </c>
      <c r="F1021" s="534">
        <v>0</v>
      </c>
      <c r="G1021" s="534">
        <v>32</v>
      </c>
      <c r="I1021" s="534">
        <v>0</v>
      </c>
      <c r="J1021" s="534">
        <v>0</v>
      </c>
      <c r="K1021" s="534">
        <v>0</v>
      </c>
      <c r="M1021" s="617">
        <f t="shared" si="32"/>
        <v>0</v>
      </c>
      <c r="N1021" s="617">
        <f t="shared" si="33"/>
        <v>32</v>
      </c>
      <c r="O1021" s="617"/>
    </row>
    <row r="1022" spans="2:15" ht="15" x14ac:dyDescent="0.25">
      <c r="B1022" s="529">
        <v>1017001</v>
      </c>
      <c r="C1022" s="529">
        <v>1018</v>
      </c>
      <c r="E1022" s="534">
        <v>1</v>
      </c>
      <c r="F1022" s="534">
        <v>1018</v>
      </c>
      <c r="G1022" s="534">
        <v>32</v>
      </c>
      <c r="I1022" s="534">
        <v>0</v>
      </c>
      <c r="J1022" s="534">
        <v>0</v>
      </c>
      <c r="K1022" s="534">
        <v>0</v>
      </c>
      <c r="M1022" s="617">
        <f t="shared" si="32"/>
        <v>1</v>
      </c>
      <c r="N1022" s="617">
        <f t="shared" si="33"/>
        <v>32</v>
      </c>
      <c r="O1022" s="617"/>
    </row>
    <row r="1023" spans="2:15" ht="15" x14ac:dyDescent="0.25">
      <c r="B1023" s="529">
        <v>1018001</v>
      </c>
      <c r="C1023" s="529">
        <v>1019</v>
      </c>
      <c r="E1023" s="534">
        <v>0</v>
      </c>
      <c r="F1023" s="534">
        <v>0</v>
      </c>
      <c r="G1023" s="534">
        <v>31</v>
      </c>
      <c r="I1023" s="534">
        <v>0</v>
      </c>
      <c r="J1023" s="534">
        <v>0</v>
      </c>
      <c r="K1023" s="534">
        <v>0</v>
      </c>
      <c r="M1023" s="617">
        <f t="shared" si="32"/>
        <v>0</v>
      </c>
      <c r="N1023" s="617">
        <f t="shared" si="33"/>
        <v>31</v>
      </c>
      <c r="O1023" s="617"/>
    </row>
    <row r="1024" spans="2:15" ht="15" x14ac:dyDescent="0.25">
      <c r="B1024" s="529">
        <v>1019001</v>
      </c>
      <c r="C1024" s="529">
        <v>1020</v>
      </c>
      <c r="E1024" s="534">
        <v>0</v>
      </c>
      <c r="F1024" s="534">
        <v>0</v>
      </c>
      <c r="G1024" s="534">
        <v>31</v>
      </c>
      <c r="I1024" s="534">
        <v>0</v>
      </c>
      <c r="J1024" s="534">
        <v>0</v>
      </c>
      <c r="K1024" s="534">
        <v>0</v>
      </c>
      <c r="M1024" s="617">
        <f t="shared" si="32"/>
        <v>0</v>
      </c>
      <c r="N1024" s="617">
        <f t="shared" si="33"/>
        <v>31</v>
      </c>
      <c r="O1024" s="617"/>
    </row>
    <row r="1025" spans="2:15" ht="15" x14ac:dyDescent="0.25">
      <c r="B1025" s="529">
        <v>1020001</v>
      </c>
      <c r="C1025" s="529">
        <v>1021</v>
      </c>
      <c r="E1025" s="534">
        <v>0</v>
      </c>
      <c r="F1025" s="534">
        <v>0</v>
      </c>
      <c r="G1025" s="534">
        <v>31</v>
      </c>
      <c r="I1025" s="534">
        <v>0</v>
      </c>
      <c r="J1025" s="534">
        <v>0</v>
      </c>
      <c r="K1025" s="534">
        <v>0</v>
      </c>
      <c r="M1025" s="617">
        <f t="shared" si="32"/>
        <v>0</v>
      </c>
      <c r="N1025" s="617">
        <f t="shared" si="33"/>
        <v>31</v>
      </c>
      <c r="O1025" s="617"/>
    </row>
    <row r="1026" spans="2:15" ht="15" x14ac:dyDescent="0.25">
      <c r="B1026" s="529">
        <v>1021001</v>
      </c>
      <c r="C1026" s="529">
        <v>1022</v>
      </c>
      <c r="E1026" s="534">
        <v>0</v>
      </c>
      <c r="F1026" s="534">
        <v>0</v>
      </c>
      <c r="G1026" s="534">
        <v>31</v>
      </c>
      <c r="I1026" s="534">
        <v>0</v>
      </c>
      <c r="J1026" s="534">
        <v>0</v>
      </c>
      <c r="K1026" s="534">
        <v>0</v>
      </c>
      <c r="M1026" s="617">
        <f t="shared" si="32"/>
        <v>0</v>
      </c>
      <c r="N1026" s="617">
        <f t="shared" si="33"/>
        <v>31</v>
      </c>
      <c r="O1026" s="617"/>
    </row>
    <row r="1027" spans="2:15" ht="15" x14ac:dyDescent="0.25">
      <c r="B1027" s="529">
        <v>1022001</v>
      </c>
      <c r="C1027" s="529">
        <v>1023</v>
      </c>
      <c r="E1027" s="534">
        <v>0</v>
      </c>
      <c r="F1027" s="534">
        <v>0</v>
      </c>
      <c r="G1027" s="534">
        <v>31</v>
      </c>
      <c r="I1027" s="534">
        <v>0</v>
      </c>
      <c r="J1027" s="534">
        <v>0</v>
      </c>
      <c r="K1027" s="534">
        <v>0</v>
      </c>
      <c r="M1027" s="617">
        <f t="shared" si="32"/>
        <v>0</v>
      </c>
      <c r="N1027" s="617">
        <f t="shared" si="33"/>
        <v>31</v>
      </c>
      <c r="O1027" s="617"/>
    </row>
    <row r="1028" spans="2:15" ht="15" x14ac:dyDescent="0.25">
      <c r="B1028" s="529">
        <v>1023001</v>
      </c>
      <c r="C1028" s="529">
        <v>1024</v>
      </c>
      <c r="E1028" s="534">
        <v>0</v>
      </c>
      <c r="F1028" s="534">
        <v>0</v>
      </c>
      <c r="G1028" s="534">
        <v>31</v>
      </c>
      <c r="I1028" s="534">
        <v>0</v>
      </c>
      <c r="J1028" s="534">
        <v>0</v>
      </c>
      <c r="K1028" s="534">
        <v>0</v>
      </c>
      <c r="M1028" s="617">
        <f t="shared" si="32"/>
        <v>0</v>
      </c>
      <c r="N1028" s="617">
        <f t="shared" si="33"/>
        <v>31</v>
      </c>
      <c r="O1028" s="617"/>
    </row>
    <row r="1029" spans="2:15" ht="15" x14ac:dyDescent="0.25">
      <c r="B1029" s="529">
        <v>1024001</v>
      </c>
      <c r="C1029" s="529">
        <v>1025</v>
      </c>
      <c r="E1029" s="534">
        <v>0</v>
      </c>
      <c r="F1029" s="534">
        <v>0</v>
      </c>
      <c r="G1029" s="534">
        <v>31</v>
      </c>
      <c r="I1029" s="534">
        <v>0</v>
      </c>
      <c r="J1029" s="534">
        <v>0</v>
      </c>
      <c r="K1029" s="534">
        <v>0</v>
      </c>
      <c r="M1029" s="617">
        <f t="shared" ref="M1029:M1092" si="34">I1029+E1029</f>
        <v>0</v>
      </c>
      <c r="N1029" s="617">
        <f t="shared" ref="N1029:N1092" si="35">K1029+G1029</f>
        <v>31</v>
      </c>
      <c r="O1029" s="617"/>
    </row>
    <row r="1030" spans="2:15" ht="15" x14ac:dyDescent="0.25">
      <c r="B1030" s="529">
        <v>1025001</v>
      </c>
      <c r="C1030" s="529">
        <v>1026</v>
      </c>
      <c r="E1030" s="534">
        <v>0</v>
      </c>
      <c r="F1030" s="534">
        <v>0</v>
      </c>
      <c r="G1030" s="534">
        <v>31</v>
      </c>
      <c r="I1030" s="534">
        <v>0</v>
      </c>
      <c r="J1030" s="534">
        <v>0</v>
      </c>
      <c r="K1030" s="534">
        <v>0</v>
      </c>
      <c r="M1030" s="617">
        <f t="shared" si="34"/>
        <v>0</v>
      </c>
      <c r="N1030" s="617">
        <f t="shared" si="35"/>
        <v>31</v>
      </c>
      <c r="O1030" s="617"/>
    </row>
    <row r="1031" spans="2:15" ht="15" x14ac:dyDescent="0.25">
      <c r="B1031" s="529">
        <v>1026001</v>
      </c>
      <c r="C1031" s="529">
        <v>1027</v>
      </c>
      <c r="E1031" s="534">
        <v>0</v>
      </c>
      <c r="F1031" s="534">
        <v>0</v>
      </c>
      <c r="G1031" s="534">
        <v>31</v>
      </c>
      <c r="I1031" s="534">
        <v>0</v>
      </c>
      <c r="J1031" s="534">
        <v>0</v>
      </c>
      <c r="K1031" s="534">
        <v>0</v>
      </c>
      <c r="M1031" s="617">
        <f t="shared" si="34"/>
        <v>0</v>
      </c>
      <c r="N1031" s="617">
        <f t="shared" si="35"/>
        <v>31</v>
      </c>
      <c r="O1031" s="617"/>
    </row>
    <row r="1032" spans="2:15" ht="15" x14ac:dyDescent="0.25">
      <c r="B1032" s="529">
        <v>1027001</v>
      </c>
      <c r="C1032" s="529">
        <v>1028</v>
      </c>
      <c r="E1032" s="534">
        <v>0</v>
      </c>
      <c r="F1032" s="534">
        <v>0</v>
      </c>
      <c r="G1032" s="534">
        <v>31</v>
      </c>
      <c r="I1032" s="534">
        <v>0</v>
      </c>
      <c r="J1032" s="534">
        <v>0</v>
      </c>
      <c r="K1032" s="534">
        <v>0</v>
      </c>
      <c r="M1032" s="617">
        <f t="shared" si="34"/>
        <v>0</v>
      </c>
      <c r="N1032" s="617">
        <f t="shared" si="35"/>
        <v>31</v>
      </c>
      <c r="O1032" s="617"/>
    </row>
    <row r="1033" spans="2:15" ht="15" x14ac:dyDescent="0.25">
      <c r="B1033" s="529">
        <v>1028001</v>
      </c>
      <c r="C1033" s="529">
        <v>1029</v>
      </c>
      <c r="E1033" s="534">
        <v>0</v>
      </c>
      <c r="F1033" s="534">
        <v>0</v>
      </c>
      <c r="G1033" s="534">
        <v>31</v>
      </c>
      <c r="I1033" s="534">
        <v>0</v>
      </c>
      <c r="J1033" s="534">
        <v>0</v>
      </c>
      <c r="K1033" s="534">
        <v>0</v>
      </c>
      <c r="M1033" s="617">
        <f t="shared" si="34"/>
        <v>0</v>
      </c>
      <c r="N1033" s="617">
        <f t="shared" si="35"/>
        <v>31</v>
      </c>
      <c r="O1033" s="617"/>
    </row>
    <row r="1034" spans="2:15" ht="15" x14ac:dyDescent="0.25">
      <c r="B1034" s="529">
        <v>1029001</v>
      </c>
      <c r="C1034" s="529">
        <v>1030</v>
      </c>
      <c r="E1034" s="534">
        <v>1</v>
      </c>
      <c r="F1034" s="534">
        <v>1030</v>
      </c>
      <c r="G1034" s="534">
        <v>31</v>
      </c>
      <c r="I1034" s="534">
        <v>0</v>
      </c>
      <c r="J1034" s="534">
        <v>0</v>
      </c>
      <c r="K1034" s="534">
        <v>0</v>
      </c>
      <c r="M1034" s="617">
        <f t="shared" si="34"/>
        <v>1</v>
      </c>
      <c r="N1034" s="617">
        <f t="shared" si="35"/>
        <v>31</v>
      </c>
      <c r="O1034" s="617"/>
    </row>
    <row r="1035" spans="2:15" ht="15" x14ac:dyDescent="0.25">
      <c r="B1035" s="529">
        <v>1030001</v>
      </c>
      <c r="C1035" s="529">
        <v>1031</v>
      </c>
      <c r="E1035" s="534">
        <v>0</v>
      </c>
      <c r="F1035" s="534">
        <v>0</v>
      </c>
      <c r="G1035" s="534">
        <v>30</v>
      </c>
      <c r="I1035" s="534">
        <v>0</v>
      </c>
      <c r="J1035" s="534">
        <v>0</v>
      </c>
      <c r="K1035" s="534">
        <v>0</v>
      </c>
      <c r="M1035" s="617">
        <f t="shared" si="34"/>
        <v>0</v>
      </c>
      <c r="N1035" s="617">
        <f t="shared" si="35"/>
        <v>30</v>
      </c>
      <c r="O1035" s="617"/>
    </row>
    <row r="1036" spans="2:15" ht="15" x14ac:dyDescent="0.25">
      <c r="B1036" s="529">
        <v>1031001</v>
      </c>
      <c r="C1036" s="529">
        <v>1032</v>
      </c>
      <c r="E1036" s="534">
        <v>0</v>
      </c>
      <c r="F1036" s="534">
        <v>0</v>
      </c>
      <c r="G1036" s="534">
        <v>30</v>
      </c>
      <c r="I1036" s="534">
        <v>0</v>
      </c>
      <c r="J1036" s="534">
        <v>0</v>
      </c>
      <c r="K1036" s="534">
        <v>0</v>
      </c>
      <c r="M1036" s="617">
        <f t="shared" si="34"/>
        <v>0</v>
      </c>
      <c r="N1036" s="617">
        <f t="shared" si="35"/>
        <v>30</v>
      </c>
      <c r="O1036" s="617"/>
    </row>
    <row r="1037" spans="2:15" ht="15" x14ac:dyDescent="0.25">
      <c r="B1037" s="529">
        <v>1032001</v>
      </c>
      <c r="C1037" s="529">
        <v>1033</v>
      </c>
      <c r="E1037" s="534">
        <v>0</v>
      </c>
      <c r="F1037" s="534">
        <v>0</v>
      </c>
      <c r="G1037" s="534">
        <v>30</v>
      </c>
      <c r="I1037" s="534">
        <v>0</v>
      </c>
      <c r="J1037" s="534">
        <v>0</v>
      </c>
      <c r="K1037" s="534">
        <v>0</v>
      </c>
      <c r="M1037" s="617">
        <f t="shared" si="34"/>
        <v>0</v>
      </c>
      <c r="N1037" s="617">
        <f t="shared" si="35"/>
        <v>30</v>
      </c>
      <c r="O1037" s="617"/>
    </row>
    <row r="1038" spans="2:15" ht="15" x14ac:dyDescent="0.25">
      <c r="B1038" s="529">
        <v>1033001</v>
      </c>
      <c r="C1038" s="529">
        <v>1034</v>
      </c>
      <c r="E1038" s="534">
        <v>0</v>
      </c>
      <c r="F1038" s="534">
        <v>0</v>
      </c>
      <c r="G1038" s="534">
        <v>30</v>
      </c>
      <c r="I1038" s="534">
        <v>0</v>
      </c>
      <c r="J1038" s="534">
        <v>0</v>
      </c>
      <c r="K1038" s="534">
        <v>0</v>
      </c>
      <c r="M1038" s="617">
        <f t="shared" si="34"/>
        <v>0</v>
      </c>
      <c r="N1038" s="617">
        <f t="shared" si="35"/>
        <v>30</v>
      </c>
      <c r="O1038" s="617"/>
    </row>
    <row r="1039" spans="2:15" ht="15" x14ac:dyDescent="0.25">
      <c r="B1039" s="529">
        <v>1034001</v>
      </c>
      <c r="C1039" s="529">
        <v>1035</v>
      </c>
      <c r="E1039" s="534">
        <v>0</v>
      </c>
      <c r="F1039" s="534">
        <v>0</v>
      </c>
      <c r="G1039" s="534">
        <v>30</v>
      </c>
      <c r="I1039" s="534">
        <v>0</v>
      </c>
      <c r="J1039" s="534">
        <v>0</v>
      </c>
      <c r="K1039" s="534">
        <v>0</v>
      </c>
      <c r="M1039" s="617">
        <f t="shared" si="34"/>
        <v>0</v>
      </c>
      <c r="N1039" s="617">
        <f t="shared" si="35"/>
        <v>30</v>
      </c>
      <c r="O1039" s="617"/>
    </row>
    <row r="1040" spans="2:15" ht="15" x14ac:dyDescent="0.25">
      <c r="B1040" s="529">
        <v>1035001</v>
      </c>
      <c r="C1040" s="529">
        <v>1036</v>
      </c>
      <c r="E1040" s="534">
        <v>0</v>
      </c>
      <c r="F1040" s="534">
        <v>0</v>
      </c>
      <c r="G1040" s="534">
        <v>30</v>
      </c>
      <c r="I1040" s="534">
        <v>0</v>
      </c>
      <c r="J1040" s="534">
        <v>0</v>
      </c>
      <c r="K1040" s="534">
        <v>0</v>
      </c>
      <c r="M1040" s="617">
        <f t="shared" si="34"/>
        <v>0</v>
      </c>
      <c r="N1040" s="617">
        <f t="shared" si="35"/>
        <v>30</v>
      </c>
      <c r="O1040" s="617"/>
    </row>
    <row r="1041" spans="2:15" ht="15" x14ac:dyDescent="0.25">
      <c r="B1041" s="529">
        <v>1036001</v>
      </c>
      <c r="C1041" s="529">
        <v>1037</v>
      </c>
      <c r="E1041" s="534">
        <v>0</v>
      </c>
      <c r="F1041" s="534">
        <v>0</v>
      </c>
      <c r="G1041" s="534">
        <v>30</v>
      </c>
      <c r="I1041" s="534">
        <v>0</v>
      </c>
      <c r="J1041" s="534">
        <v>0</v>
      </c>
      <c r="K1041" s="534">
        <v>0</v>
      </c>
      <c r="M1041" s="617">
        <f t="shared" si="34"/>
        <v>0</v>
      </c>
      <c r="N1041" s="617">
        <f t="shared" si="35"/>
        <v>30</v>
      </c>
      <c r="O1041" s="617"/>
    </row>
    <row r="1042" spans="2:15" ht="15" x14ac:dyDescent="0.25">
      <c r="B1042" s="529">
        <v>1037001</v>
      </c>
      <c r="C1042" s="529">
        <v>1038</v>
      </c>
      <c r="E1042" s="534">
        <v>0</v>
      </c>
      <c r="F1042" s="534">
        <v>0</v>
      </c>
      <c r="G1042" s="534">
        <v>30</v>
      </c>
      <c r="I1042" s="534">
        <v>0</v>
      </c>
      <c r="J1042" s="534">
        <v>0</v>
      </c>
      <c r="K1042" s="534">
        <v>0</v>
      </c>
      <c r="M1042" s="617">
        <f t="shared" si="34"/>
        <v>0</v>
      </c>
      <c r="N1042" s="617">
        <f t="shared" si="35"/>
        <v>30</v>
      </c>
      <c r="O1042" s="617"/>
    </row>
    <row r="1043" spans="2:15" ht="15" x14ac:dyDescent="0.25">
      <c r="B1043" s="529">
        <v>1038001</v>
      </c>
      <c r="C1043" s="529">
        <v>1039</v>
      </c>
      <c r="E1043" s="534">
        <v>0</v>
      </c>
      <c r="F1043" s="534">
        <v>0</v>
      </c>
      <c r="G1043" s="534">
        <v>30</v>
      </c>
      <c r="I1043" s="534">
        <v>0</v>
      </c>
      <c r="J1043" s="534">
        <v>0</v>
      </c>
      <c r="K1043" s="534">
        <v>0</v>
      </c>
      <c r="M1043" s="617">
        <f t="shared" si="34"/>
        <v>0</v>
      </c>
      <c r="N1043" s="617">
        <f t="shared" si="35"/>
        <v>30</v>
      </c>
      <c r="O1043" s="617"/>
    </row>
    <row r="1044" spans="2:15" ht="15" x14ac:dyDescent="0.25">
      <c r="B1044" s="529">
        <v>1039001</v>
      </c>
      <c r="C1044" s="529">
        <v>1040</v>
      </c>
      <c r="E1044" s="534">
        <v>0</v>
      </c>
      <c r="F1044" s="534">
        <v>0</v>
      </c>
      <c r="G1044" s="534">
        <v>30</v>
      </c>
      <c r="I1044" s="534">
        <v>0</v>
      </c>
      <c r="J1044" s="534">
        <v>0</v>
      </c>
      <c r="K1044" s="534">
        <v>0</v>
      </c>
      <c r="M1044" s="617">
        <f t="shared" si="34"/>
        <v>0</v>
      </c>
      <c r="N1044" s="617">
        <f t="shared" si="35"/>
        <v>30</v>
      </c>
      <c r="O1044" s="617"/>
    </row>
    <row r="1045" spans="2:15" ht="15" x14ac:dyDescent="0.25">
      <c r="B1045" s="529">
        <v>1040001</v>
      </c>
      <c r="C1045" s="529">
        <v>1041</v>
      </c>
      <c r="E1045" s="534">
        <v>0</v>
      </c>
      <c r="F1045" s="534">
        <v>0</v>
      </c>
      <c r="G1045" s="534">
        <v>30</v>
      </c>
      <c r="I1045" s="534">
        <v>0</v>
      </c>
      <c r="J1045" s="534">
        <v>0</v>
      </c>
      <c r="K1045" s="534">
        <v>0</v>
      </c>
      <c r="M1045" s="617">
        <f t="shared" si="34"/>
        <v>0</v>
      </c>
      <c r="N1045" s="617">
        <f t="shared" si="35"/>
        <v>30</v>
      </c>
      <c r="O1045" s="617"/>
    </row>
    <row r="1046" spans="2:15" ht="15" x14ac:dyDescent="0.25">
      <c r="B1046" s="529">
        <v>1041001</v>
      </c>
      <c r="C1046" s="529">
        <v>1042</v>
      </c>
      <c r="E1046" s="534">
        <v>0</v>
      </c>
      <c r="F1046" s="534">
        <v>0</v>
      </c>
      <c r="G1046" s="534">
        <v>30</v>
      </c>
      <c r="I1046" s="534">
        <v>0</v>
      </c>
      <c r="J1046" s="534">
        <v>0</v>
      </c>
      <c r="K1046" s="534">
        <v>0</v>
      </c>
      <c r="M1046" s="617">
        <f t="shared" si="34"/>
        <v>0</v>
      </c>
      <c r="N1046" s="617">
        <f t="shared" si="35"/>
        <v>30</v>
      </c>
      <c r="O1046" s="617"/>
    </row>
    <row r="1047" spans="2:15" ht="15" x14ac:dyDescent="0.25">
      <c r="B1047" s="529">
        <v>1042001</v>
      </c>
      <c r="C1047" s="529">
        <v>1043</v>
      </c>
      <c r="E1047" s="534">
        <v>0</v>
      </c>
      <c r="F1047" s="534">
        <v>0</v>
      </c>
      <c r="G1047" s="534">
        <v>30</v>
      </c>
      <c r="I1047" s="534">
        <v>0</v>
      </c>
      <c r="J1047" s="534">
        <v>0</v>
      </c>
      <c r="K1047" s="534">
        <v>0</v>
      </c>
      <c r="M1047" s="617">
        <f t="shared" si="34"/>
        <v>0</v>
      </c>
      <c r="N1047" s="617">
        <f t="shared" si="35"/>
        <v>30</v>
      </c>
      <c r="O1047" s="617"/>
    </row>
    <row r="1048" spans="2:15" ht="15" x14ac:dyDescent="0.25">
      <c r="B1048" s="529">
        <v>1043001</v>
      </c>
      <c r="C1048" s="529">
        <v>1044</v>
      </c>
      <c r="E1048" s="534">
        <v>0</v>
      </c>
      <c r="F1048" s="534">
        <v>0</v>
      </c>
      <c r="G1048" s="534">
        <v>30</v>
      </c>
      <c r="I1048" s="534">
        <v>0</v>
      </c>
      <c r="J1048" s="534">
        <v>0</v>
      </c>
      <c r="K1048" s="534">
        <v>0</v>
      </c>
      <c r="M1048" s="617">
        <f t="shared" si="34"/>
        <v>0</v>
      </c>
      <c r="N1048" s="617">
        <f t="shared" si="35"/>
        <v>30</v>
      </c>
      <c r="O1048" s="617"/>
    </row>
    <row r="1049" spans="2:15" ht="15" x14ac:dyDescent="0.25">
      <c r="B1049" s="529">
        <v>1044001</v>
      </c>
      <c r="C1049" s="529">
        <v>1045</v>
      </c>
      <c r="E1049" s="534">
        <v>0</v>
      </c>
      <c r="F1049" s="534">
        <v>0</v>
      </c>
      <c r="G1049" s="534">
        <v>30</v>
      </c>
      <c r="I1049" s="534">
        <v>0</v>
      </c>
      <c r="J1049" s="534">
        <v>0</v>
      </c>
      <c r="K1049" s="534">
        <v>0</v>
      </c>
      <c r="M1049" s="617">
        <f t="shared" si="34"/>
        <v>0</v>
      </c>
      <c r="N1049" s="617">
        <f t="shared" si="35"/>
        <v>30</v>
      </c>
      <c r="O1049" s="617"/>
    </row>
    <row r="1050" spans="2:15" ht="15" x14ac:dyDescent="0.25">
      <c r="B1050" s="529">
        <v>1045001</v>
      </c>
      <c r="C1050" s="529">
        <v>1046</v>
      </c>
      <c r="E1050" s="534">
        <v>0</v>
      </c>
      <c r="F1050" s="534">
        <v>0</v>
      </c>
      <c r="G1050" s="534">
        <v>30</v>
      </c>
      <c r="I1050" s="534">
        <v>0</v>
      </c>
      <c r="J1050" s="534">
        <v>0</v>
      </c>
      <c r="K1050" s="534">
        <v>0</v>
      </c>
      <c r="M1050" s="617">
        <f t="shared" si="34"/>
        <v>0</v>
      </c>
      <c r="N1050" s="617">
        <f t="shared" si="35"/>
        <v>30</v>
      </c>
      <c r="O1050" s="617"/>
    </row>
    <row r="1051" spans="2:15" ht="15" x14ac:dyDescent="0.25">
      <c r="B1051" s="529">
        <v>1046001</v>
      </c>
      <c r="C1051" s="529">
        <v>1047</v>
      </c>
      <c r="E1051" s="534">
        <v>0</v>
      </c>
      <c r="F1051" s="534">
        <v>0</v>
      </c>
      <c r="G1051" s="534">
        <v>30</v>
      </c>
      <c r="I1051" s="534">
        <v>0</v>
      </c>
      <c r="J1051" s="534">
        <v>0</v>
      </c>
      <c r="K1051" s="534">
        <v>0</v>
      </c>
      <c r="M1051" s="617">
        <f t="shared" si="34"/>
        <v>0</v>
      </c>
      <c r="N1051" s="617">
        <f t="shared" si="35"/>
        <v>30</v>
      </c>
      <c r="O1051" s="617"/>
    </row>
    <row r="1052" spans="2:15" ht="15" x14ac:dyDescent="0.25">
      <c r="B1052" s="529">
        <v>1047001</v>
      </c>
      <c r="C1052" s="529">
        <v>1048</v>
      </c>
      <c r="E1052" s="534">
        <v>0</v>
      </c>
      <c r="F1052" s="534">
        <v>0</v>
      </c>
      <c r="G1052" s="534">
        <v>30</v>
      </c>
      <c r="I1052" s="534">
        <v>0</v>
      </c>
      <c r="J1052" s="534">
        <v>0</v>
      </c>
      <c r="K1052" s="534">
        <v>0</v>
      </c>
      <c r="M1052" s="617">
        <f t="shared" si="34"/>
        <v>0</v>
      </c>
      <c r="N1052" s="617">
        <f t="shared" si="35"/>
        <v>30</v>
      </c>
      <c r="O1052" s="617"/>
    </row>
    <row r="1053" spans="2:15" ht="15" x14ac:dyDescent="0.25">
      <c r="B1053" s="529">
        <v>1048001</v>
      </c>
      <c r="C1053" s="529">
        <v>1049</v>
      </c>
      <c r="E1053" s="534">
        <v>0</v>
      </c>
      <c r="F1053" s="534">
        <v>0</v>
      </c>
      <c r="G1053" s="534">
        <v>30</v>
      </c>
      <c r="I1053" s="534">
        <v>0</v>
      </c>
      <c r="J1053" s="534">
        <v>0</v>
      </c>
      <c r="K1053" s="534">
        <v>0</v>
      </c>
      <c r="M1053" s="617">
        <f t="shared" si="34"/>
        <v>0</v>
      </c>
      <c r="N1053" s="617">
        <f t="shared" si="35"/>
        <v>30</v>
      </c>
      <c r="O1053" s="617"/>
    </row>
    <row r="1054" spans="2:15" ht="15" x14ac:dyDescent="0.25">
      <c r="B1054" s="529">
        <v>1049001</v>
      </c>
      <c r="C1054" s="529">
        <v>1050</v>
      </c>
      <c r="E1054" s="534">
        <v>0</v>
      </c>
      <c r="F1054" s="534">
        <v>0</v>
      </c>
      <c r="G1054" s="534">
        <v>30</v>
      </c>
      <c r="I1054" s="534">
        <v>0</v>
      </c>
      <c r="J1054" s="534">
        <v>0</v>
      </c>
      <c r="K1054" s="534">
        <v>0</v>
      </c>
      <c r="M1054" s="617">
        <f t="shared" si="34"/>
        <v>0</v>
      </c>
      <c r="N1054" s="617">
        <f t="shared" si="35"/>
        <v>30</v>
      </c>
      <c r="O1054" s="617"/>
    </row>
    <row r="1055" spans="2:15" ht="15" x14ac:dyDescent="0.25">
      <c r="B1055" s="529">
        <v>1050001</v>
      </c>
      <c r="C1055" s="529">
        <v>1051</v>
      </c>
      <c r="E1055" s="534">
        <v>0</v>
      </c>
      <c r="F1055" s="534">
        <v>0</v>
      </c>
      <c r="G1055" s="534">
        <v>30</v>
      </c>
      <c r="I1055" s="534">
        <v>0</v>
      </c>
      <c r="J1055" s="534">
        <v>0</v>
      </c>
      <c r="K1055" s="534">
        <v>0</v>
      </c>
      <c r="M1055" s="617">
        <f t="shared" si="34"/>
        <v>0</v>
      </c>
      <c r="N1055" s="617">
        <f t="shared" si="35"/>
        <v>30</v>
      </c>
      <c r="O1055" s="617"/>
    </row>
    <row r="1056" spans="2:15" ht="15" x14ac:dyDescent="0.25">
      <c r="B1056" s="529">
        <v>1051001</v>
      </c>
      <c r="C1056" s="529">
        <v>1052</v>
      </c>
      <c r="E1056" s="534">
        <v>0</v>
      </c>
      <c r="F1056" s="534">
        <v>0</v>
      </c>
      <c r="G1056" s="534">
        <v>30</v>
      </c>
      <c r="I1056" s="534">
        <v>0</v>
      </c>
      <c r="J1056" s="534">
        <v>0</v>
      </c>
      <c r="K1056" s="534">
        <v>0</v>
      </c>
      <c r="M1056" s="617">
        <f t="shared" si="34"/>
        <v>0</v>
      </c>
      <c r="N1056" s="617">
        <f t="shared" si="35"/>
        <v>30</v>
      </c>
      <c r="O1056" s="617"/>
    </row>
    <row r="1057" spans="2:15" ht="15" x14ac:dyDescent="0.25">
      <c r="B1057" s="529">
        <v>1052001</v>
      </c>
      <c r="C1057" s="529">
        <v>1053</v>
      </c>
      <c r="E1057" s="534">
        <v>0</v>
      </c>
      <c r="F1057" s="534">
        <v>0</v>
      </c>
      <c r="G1057" s="534">
        <v>30</v>
      </c>
      <c r="I1057" s="534">
        <v>0</v>
      </c>
      <c r="J1057" s="534">
        <v>0</v>
      </c>
      <c r="K1057" s="534">
        <v>0</v>
      </c>
      <c r="M1057" s="617">
        <f t="shared" si="34"/>
        <v>0</v>
      </c>
      <c r="N1057" s="617">
        <f t="shared" si="35"/>
        <v>30</v>
      </c>
      <c r="O1057" s="617"/>
    </row>
    <row r="1058" spans="2:15" ht="15" x14ac:dyDescent="0.25">
      <c r="B1058" s="529">
        <v>1053001</v>
      </c>
      <c r="C1058" s="529">
        <v>1054</v>
      </c>
      <c r="E1058" s="534">
        <v>0</v>
      </c>
      <c r="F1058" s="534">
        <v>0</v>
      </c>
      <c r="G1058" s="534">
        <v>30</v>
      </c>
      <c r="I1058" s="534">
        <v>0</v>
      </c>
      <c r="J1058" s="534">
        <v>0</v>
      </c>
      <c r="K1058" s="534">
        <v>0</v>
      </c>
      <c r="M1058" s="617">
        <f t="shared" si="34"/>
        <v>0</v>
      </c>
      <c r="N1058" s="617">
        <f t="shared" si="35"/>
        <v>30</v>
      </c>
      <c r="O1058" s="617"/>
    </row>
    <row r="1059" spans="2:15" ht="15" x14ac:dyDescent="0.25">
      <c r="B1059" s="529">
        <v>1054001</v>
      </c>
      <c r="C1059" s="529">
        <v>1055</v>
      </c>
      <c r="E1059" s="534">
        <v>0</v>
      </c>
      <c r="F1059" s="534">
        <v>0</v>
      </c>
      <c r="G1059" s="534">
        <v>30</v>
      </c>
      <c r="I1059" s="534">
        <v>0</v>
      </c>
      <c r="J1059" s="534">
        <v>0</v>
      </c>
      <c r="K1059" s="534">
        <v>0</v>
      </c>
      <c r="M1059" s="617">
        <f t="shared" si="34"/>
        <v>0</v>
      </c>
      <c r="N1059" s="617">
        <f t="shared" si="35"/>
        <v>30</v>
      </c>
      <c r="O1059" s="617"/>
    </row>
    <row r="1060" spans="2:15" ht="15" x14ac:dyDescent="0.25">
      <c r="B1060" s="529">
        <v>1055001</v>
      </c>
      <c r="C1060" s="529">
        <v>1056</v>
      </c>
      <c r="E1060" s="534">
        <v>0</v>
      </c>
      <c r="F1060" s="534">
        <v>0</v>
      </c>
      <c r="G1060" s="534">
        <v>30</v>
      </c>
      <c r="I1060" s="534">
        <v>0</v>
      </c>
      <c r="J1060" s="534">
        <v>0</v>
      </c>
      <c r="K1060" s="534">
        <v>0</v>
      </c>
      <c r="M1060" s="617">
        <f t="shared" si="34"/>
        <v>0</v>
      </c>
      <c r="N1060" s="617">
        <f t="shared" si="35"/>
        <v>30</v>
      </c>
      <c r="O1060" s="617"/>
    </row>
    <row r="1061" spans="2:15" ht="15" x14ac:dyDescent="0.25">
      <c r="B1061" s="529">
        <v>1056001</v>
      </c>
      <c r="C1061" s="529">
        <v>1057</v>
      </c>
      <c r="E1061" s="534">
        <v>0</v>
      </c>
      <c r="F1061" s="534">
        <v>0</v>
      </c>
      <c r="G1061" s="534">
        <v>30</v>
      </c>
      <c r="I1061" s="534">
        <v>0</v>
      </c>
      <c r="J1061" s="534">
        <v>0</v>
      </c>
      <c r="K1061" s="534">
        <v>0</v>
      </c>
      <c r="M1061" s="617">
        <f t="shared" si="34"/>
        <v>0</v>
      </c>
      <c r="N1061" s="617">
        <f t="shared" si="35"/>
        <v>30</v>
      </c>
      <c r="O1061" s="617"/>
    </row>
    <row r="1062" spans="2:15" ht="15" x14ac:dyDescent="0.25">
      <c r="B1062" s="529">
        <v>1057001</v>
      </c>
      <c r="C1062" s="529">
        <v>1058</v>
      </c>
      <c r="E1062" s="534">
        <v>0</v>
      </c>
      <c r="F1062" s="534">
        <v>0</v>
      </c>
      <c r="G1062" s="534">
        <v>30</v>
      </c>
      <c r="I1062" s="534">
        <v>0</v>
      </c>
      <c r="J1062" s="534">
        <v>0</v>
      </c>
      <c r="K1062" s="534">
        <v>0</v>
      </c>
      <c r="M1062" s="617">
        <f t="shared" si="34"/>
        <v>0</v>
      </c>
      <c r="N1062" s="617">
        <f t="shared" si="35"/>
        <v>30</v>
      </c>
      <c r="O1062" s="617"/>
    </row>
    <row r="1063" spans="2:15" ht="15" x14ac:dyDescent="0.25">
      <c r="B1063" s="529">
        <v>1058001</v>
      </c>
      <c r="C1063" s="529">
        <v>1059</v>
      </c>
      <c r="E1063" s="534">
        <v>0</v>
      </c>
      <c r="F1063" s="534">
        <v>0</v>
      </c>
      <c r="G1063" s="534">
        <v>30</v>
      </c>
      <c r="I1063" s="534">
        <v>0</v>
      </c>
      <c r="J1063" s="534">
        <v>0</v>
      </c>
      <c r="K1063" s="534">
        <v>0</v>
      </c>
      <c r="M1063" s="617">
        <f t="shared" si="34"/>
        <v>0</v>
      </c>
      <c r="N1063" s="617">
        <f t="shared" si="35"/>
        <v>30</v>
      </c>
      <c r="O1063" s="617"/>
    </row>
    <row r="1064" spans="2:15" ht="15" x14ac:dyDescent="0.25">
      <c r="B1064" s="529">
        <v>1059001</v>
      </c>
      <c r="C1064" s="529">
        <v>1060</v>
      </c>
      <c r="E1064" s="534">
        <v>0</v>
      </c>
      <c r="F1064" s="534">
        <v>0</v>
      </c>
      <c r="G1064" s="534">
        <v>30</v>
      </c>
      <c r="I1064" s="534">
        <v>0</v>
      </c>
      <c r="J1064" s="534">
        <v>0</v>
      </c>
      <c r="K1064" s="534">
        <v>0</v>
      </c>
      <c r="M1064" s="617">
        <f t="shared" si="34"/>
        <v>0</v>
      </c>
      <c r="N1064" s="617">
        <f t="shared" si="35"/>
        <v>30</v>
      </c>
      <c r="O1064" s="617"/>
    </row>
    <row r="1065" spans="2:15" ht="15" x14ac:dyDescent="0.25">
      <c r="B1065" s="529">
        <v>1060001</v>
      </c>
      <c r="C1065" s="529">
        <v>1061</v>
      </c>
      <c r="E1065" s="534">
        <v>0</v>
      </c>
      <c r="F1065" s="534">
        <v>0</v>
      </c>
      <c r="G1065" s="534">
        <v>30</v>
      </c>
      <c r="I1065" s="534">
        <v>0</v>
      </c>
      <c r="J1065" s="534">
        <v>0</v>
      </c>
      <c r="K1065" s="534">
        <v>0</v>
      </c>
      <c r="M1065" s="617">
        <f t="shared" si="34"/>
        <v>0</v>
      </c>
      <c r="N1065" s="617">
        <f t="shared" si="35"/>
        <v>30</v>
      </c>
      <c r="O1065" s="617"/>
    </row>
    <row r="1066" spans="2:15" ht="15" x14ac:dyDescent="0.25">
      <c r="B1066" s="529">
        <v>1061001</v>
      </c>
      <c r="C1066" s="529">
        <v>1062</v>
      </c>
      <c r="E1066" s="534">
        <v>0</v>
      </c>
      <c r="F1066" s="534">
        <v>0</v>
      </c>
      <c r="G1066" s="534">
        <v>30</v>
      </c>
      <c r="I1066" s="534">
        <v>0</v>
      </c>
      <c r="J1066" s="534">
        <v>0</v>
      </c>
      <c r="K1066" s="534">
        <v>0</v>
      </c>
      <c r="M1066" s="617">
        <f t="shared" si="34"/>
        <v>0</v>
      </c>
      <c r="N1066" s="617">
        <f t="shared" si="35"/>
        <v>30</v>
      </c>
      <c r="O1066" s="617"/>
    </row>
    <row r="1067" spans="2:15" ht="15" x14ac:dyDescent="0.25">
      <c r="B1067" s="529">
        <v>1062001</v>
      </c>
      <c r="C1067" s="529">
        <v>1063</v>
      </c>
      <c r="E1067" s="534">
        <v>0</v>
      </c>
      <c r="F1067" s="534">
        <v>0</v>
      </c>
      <c r="G1067" s="534">
        <v>30</v>
      </c>
      <c r="I1067" s="534">
        <v>0</v>
      </c>
      <c r="J1067" s="534">
        <v>0</v>
      </c>
      <c r="K1067" s="534">
        <v>0</v>
      </c>
      <c r="M1067" s="617">
        <f t="shared" si="34"/>
        <v>0</v>
      </c>
      <c r="N1067" s="617">
        <f t="shared" si="35"/>
        <v>30</v>
      </c>
      <c r="O1067" s="617"/>
    </row>
    <row r="1068" spans="2:15" ht="15" x14ac:dyDescent="0.25">
      <c r="B1068" s="529">
        <v>1063001</v>
      </c>
      <c r="C1068" s="529">
        <v>1064</v>
      </c>
      <c r="E1068" s="534">
        <v>0</v>
      </c>
      <c r="F1068" s="534">
        <v>0</v>
      </c>
      <c r="G1068" s="534">
        <v>30</v>
      </c>
      <c r="I1068" s="534">
        <v>0</v>
      </c>
      <c r="J1068" s="534">
        <v>0</v>
      </c>
      <c r="K1068" s="534">
        <v>0</v>
      </c>
      <c r="M1068" s="617">
        <f t="shared" si="34"/>
        <v>0</v>
      </c>
      <c r="N1068" s="617">
        <f t="shared" si="35"/>
        <v>30</v>
      </c>
      <c r="O1068" s="617"/>
    </row>
    <row r="1069" spans="2:15" ht="15" x14ac:dyDescent="0.25">
      <c r="B1069" s="529">
        <v>1064001</v>
      </c>
      <c r="C1069" s="529">
        <v>1065</v>
      </c>
      <c r="E1069" s="534">
        <v>0</v>
      </c>
      <c r="F1069" s="534">
        <v>0</v>
      </c>
      <c r="G1069" s="534">
        <v>30</v>
      </c>
      <c r="I1069" s="534">
        <v>0</v>
      </c>
      <c r="J1069" s="534">
        <v>0</v>
      </c>
      <c r="K1069" s="534">
        <v>0</v>
      </c>
      <c r="M1069" s="617">
        <f t="shared" si="34"/>
        <v>0</v>
      </c>
      <c r="N1069" s="617">
        <f t="shared" si="35"/>
        <v>30</v>
      </c>
      <c r="O1069" s="617"/>
    </row>
    <row r="1070" spans="2:15" ht="15" x14ac:dyDescent="0.25">
      <c r="B1070" s="529">
        <v>1065001</v>
      </c>
      <c r="C1070" s="529">
        <v>1066</v>
      </c>
      <c r="E1070" s="534">
        <v>0</v>
      </c>
      <c r="F1070" s="534">
        <v>0</v>
      </c>
      <c r="G1070" s="534">
        <v>30</v>
      </c>
      <c r="I1070" s="534">
        <v>0</v>
      </c>
      <c r="J1070" s="534">
        <v>0</v>
      </c>
      <c r="K1070" s="534">
        <v>0</v>
      </c>
      <c r="M1070" s="617">
        <f t="shared" si="34"/>
        <v>0</v>
      </c>
      <c r="N1070" s="617">
        <f t="shared" si="35"/>
        <v>30</v>
      </c>
      <c r="O1070" s="617"/>
    </row>
    <row r="1071" spans="2:15" ht="15" x14ac:dyDescent="0.25">
      <c r="B1071" s="529">
        <v>1066001</v>
      </c>
      <c r="C1071" s="529">
        <v>1067</v>
      </c>
      <c r="E1071" s="534">
        <v>0</v>
      </c>
      <c r="F1071" s="534">
        <v>0</v>
      </c>
      <c r="G1071" s="534">
        <v>30</v>
      </c>
      <c r="I1071" s="534">
        <v>0</v>
      </c>
      <c r="J1071" s="534">
        <v>0</v>
      </c>
      <c r="K1071" s="534">
        <v>0</v>
      </c>
      <c r="M1071" s="617">
        <f t="shared" si="34"/>
        <v>0</v>
      </c>
      <c r="N1071" s="617">
        <f t="shared" si="35"/>
        <v>30</v>
      </c>
      <c r="O1071" s="617"/>
    </row>
    <row r="1072" spans="2:15" ht="15" x14ac:dyDescent="0.25">
      <c r="B1072" s="529">
        <v>1067001</v>
      </c>
      <c r="C1072" s="529">
        <v>1068</v>
      </c>
      <c r="E1072" s="534">
        <v>0</v>
      </c>
      <c r="F1072" s="534">
        <v>0</v>
      </c>
      <c r="G1072" s="534">
        <v>30</v>
      </c>
      <c r="I1072" s="534">
        <v>0</v>
      </c>
      <c r="J1072" s="534">
        <v>0</v>
      </c>
      <c r="K1072" s="534">
        <v>0</v>
      </c>
      <c r="M1072" s="617">
        <f t="shared" si="34"/>
        <v>0</v>
      </c>
      <c r="N1072" s="617">
        <f t="shared" si="35"/>
        <v>30</v>
      </c>
      <c r="O1072" s="617"/>
    </row>
    <row r="1073" spans="2:15" ht="15" x14ac:dyDescent="0.25">
      <c r="B1073" s="529">
        <v>1068001</v>
      </c>
      <c r="C1073" s="529">
        <v>1069</v>
      </c>
      <c r="E1073" s="534">
        <v>0</v>
      </c>
      <c r="F1073" s="534">
        <v>0</v>
      </c>
      <c r="G1073" s="534">
        <v>30</v>
      </c>
      <c r="I1073" s="534">
        <v>0</v>
      </c>
      <c r="J1073" s="534">
        <v>0</v>
      </c>
      <c r="K1073" s="534">
        <v>0</v>
      </c>
      <c r="M1073" s="617">
        <f t="shared" si="34"/>
        <v>0</v>
      </c>
      <c r="N1073" s="617">
        <f t="shared" si="35"/>
        <v>30</v>
      </c>
      <c r="O1073" s="617"/>
    </row>
    <row r="1074" spans="2:15" ht="15" x14ac:dyDescent="0.25">
      <c r="B1074" s="529">
        <v>1069001</v>
      </c>
      <c r="C1074" s="529">
        <v>1070</v>
      </c>
      <c r="E1074" s="534">
        <v>0</v>
      </c>
      <c r="F1074" s="534">
        <v>0</v>
      </c>
      <c r="G1074" s="534">
        <v>30</v>
      </c>
      <c r="I1074" s="534">
        <v>0</v>
      </c>
      <c r="J1074" s="534">
        <v>0</v>
      </c>
      <c r="K1074" s="534">
        <v>0</v>
      </c>
      <c r="M1074" s="617">
        <f t="shared" si="34"/>
        <v>0</v>
      </c>
      <c r="N1074" s="617">
        <f t="shared" si="35"/>
        <v>30</v>
      </c>
      <c r="O1074" s="617"/>
    </row>
    <row r="1075" spans="2:15" ht="15" x14ac:dyDescent="0.25">
      <c r="B1075" s="529">
        <v>1070001</v>
      </c>
      <c r="C1075" s="529">
        <v>1071</v>
      </c>
      <c r="E1075" s="534">
        <v>0</v>
      </c>
      <c r="F1075" s="534">
        <v>0</v>
      </c>
      <c r="G1075" s="534">
        <v>30</v>
      </c>
      <c r="I1075" s="534">
        <v>0</v>
      </c>
      <c r="J1075" s="534">
        <v>0</v>
      </c>
      <c r="K1075" s="534">
        <v>0</v>
      </c>
      <c r="M1075" s="617">
        <f t="shared" si="34"/>
        <v>0</v>
      </c>
      <c r="N1075" s="617">
        <f t="shared" si="35"/>
        <v>30</v>
      </c>
      <c r="O1075" s="617"/>
    </row>
    <row r="1076" spans="2:15" ht="15" x14ac:dyDescent="0.25">
      <c r="B1076" s="529">
        <v>1071001</v>
      </c>
      <c r="C1076" s="529">
        <v>1072</v>
      </c>
      <c r="E1076" s="534">
        <v>0</v>
      </c>
      <c r="F1076" s="534">
        <v>0</v>
      </c>
      <c r="G1076" s="534">
        <v>30</v>
      </c>
      <c r="I1076" s="534">
        <v>0</v>
      </c>
      <c r="J1076" s="534">
        <v>0</v>
      </c>
      <c r="K1076" s="534">
        <v>0</v>
      </c>
      <c r="M1076" s="617">
        <f t="shared" si="34"/>
        <v>0</v>
      </c>
      <c r="N1076" s="617">
        <f t="shared" si="35"/>
        <v>30</v>
      </c>
      <c r="O1076" s="617"/>
    </row>
    <row r="1077" spans="2:15" ht="15" x14ac:dyDescent="0.25">
      <c r="B1077" s="529">
        <v>1072001</v>
      </c>
      <c r="C1077" s="529">
        <v>1073</v>
      </c>
      <c r="E1077" s="534">
        <v>0</v>
      </c>
      <c r="F1077" s="534">
        <v>0</v>
      </c>
      <c r="G1077" s="534">
        <v>30</v>
      </c>
      <c r="I1077" s="534">
        <v>0</v>
      </c>
      <c r="J1077" s="534">
        <v>0</v>
      </c>
      <c r="K1077" s="534">
        <v>0</v>
      </c>
      <c r="M1077" s="617">
        <f t="shared" si="34"/>
        <v>0</v>
      </c>
      <c r="N1077" s="617">
        <f t="shared" si="35"/>
        <v>30</v>
      </c>
      <c r="O1077" s="617"/>
    </row>
    <row r="1078" spans="2:15" ht="15" x14ac:dyDescent="0.25">
      <c r="B1078" s="529">
        <v>1073001</v>
      </c>
      <c r="C1078" s="529">
        <v>1074</v>
      </c>
      <c r="E1078" s="534">
        <v>0</v>
      </c>
      <c r="F1078" s="534">
        <v>0</v>
      </c>
      <c r="G1078" s="534">
        <v>30</v>
      </c>
      <c r="I1078" s="534">
        <v>0</v>
      </c>
      <c r="J1078" s="534">
        <v>0</v>
      </c>
      <c r="K1078" s="534">
        <v>0</v>
      </c>
      <c r="M1078" s="617">
        <f t="shared" si="34"/>
        <v>0</v>
      </c>
      <c r="N1078" s="617">
        <f t="shared" si="35"/>
        <v>30</v>
      </c>
      <c r="O1078" s="617"/>
    </row>
    <row r="1079" spans="2:15" ht="15" x14ac:dyDescent="0.25">
      <c r="B1079" s="529">
        <v>1074001</v>
      </c>
      <c r="C1079" s="529">
        <v>1075</v>
      </c>
      <c r="E1079" s="534">
        <v>0</v>
      </c>
      <c r="F1079" s="534">
        <v>0</v>
      </c>
      <c r="G1079" s="534">
        <v>30</v>
      </c>
      <c r="I1079" s="534">
        <v>0</v>
      </c>
      <c r="J1079" s="534">
        <v>0</v>
      </c>
      <c r="K1079" s="534">
        <v>0</v>
      </c>
      <c r="M1079" s="617">
        <f t="shared" si="34"/>
        <v>0</v>
      </c>
      <c r="N1079" s="617">
        <f t="shared" si="35"/>
        <v>30</v>
      </c>
      <c r="O1079" s="617"/>
    </row>
    <row r="1080" spans="2:15" ht="15" x14ac:dyDescent="0.25">
      <c r="B1080" s="529">
        <v>1075001</v>
      </c>
      <c r="C1080" s="529">
        <v>1076</v>
      </c>
      <c r="E1080" s="534">
        <v>0</v>
      </c>
      <c r="F1080" s="534">
        <v>0</v>
      </c>
      <c r="G1080" s="534">
        <v>30</v>
      </c>
      <c r="I1080" s="534">
        <v>0</v>
      </c>
      <c r="J1080" s="534">
        <v>0</v>
      </c>
      <c r="K1080" s="534">
        <v>0</v>
      </c>
      <c r="M1080" s="617">
        <f t="shared" si="34"/>
        <v>0</v>
      </c>
      <c r="N1080" s="617">
        <f t="shared" si="35"/>
        <v>30</v>
      </c>
      <c r="O1080" s="617"/>
    </row>
    <row r="1081" spans="2:15" ht="15" x14ac:dyDescent="0.25">
      <c r="B1081" s="529">
        <v>1076001</v>
      </c>
      <c r="C1081" s="529">
        <v>1077</v>
      </c>
      <c r="E1081" s="534">
        <v>0</v>
      </c>
      <c r="F1081" s="534">
        <v>0</v>
      </c>
      <c r="G1081" s="534">
        <v>30</v>
      </c>
      <c r="I1081" s="534">
        <v>0</v>
      </c>
      <c r="J1081" s="534">
        <v>0</v>
      </c>
      <c r="K1081" s="534">
        <v>0</v>
      </c>
      <c r="M1081" s="617">
        <f t="shared" si="34"/>
        <v>0</v>
      </c>
      <c r="N1081" s="617">
        <f t="shared" si="35"/>
        <v>30</v>
      </c>
      <c r="O1081" s="617"/>
    </row>
    <row r="1082" spans="2:15" ht="15" x14ac:dyDescent="0.25">
      <c r="B1082" s="529">
        <v>1077001</v>
      </c>
      <c r="C1082" s="529">
        <v>1078</v>
      </c>
      <c r="E1082" s="534">
        <v>1</v>
      </c>
      <c r="F1082" s="534">
        <v>1078</v>
      </c>
      <c r="G1082" s="534">
        <v>30</v>
      </c>
      <c r="I1082" s="534">
        <v>0</v>
      </c>
      <c r="J1082" s="534">
        <v>0</v>
      </c>
      <c r="K1082" s="534">
        <v>0</v>
      </c>
      <c r="M1082" s="617">
        <f t="shared" si="34"/>
        <v>1</v>
      </c>
      <c r="N1082" s="617">
        <f t="shared" si="35"/>
        <v>30</v>
      </c>
      <c r="O1082" s="617"/>
    </row>
    <row r="1083" spans="2:15" ht="15" x14ac:dyDescent="0.25">
      <c r="B1083" s="529">
        <v>1078001</v>
      </c>
      <c r="C1083" s="529">
        <v>1079</v>
      </c>
      <c r="E1083" s="534">
        <v>0</v>
      </c>
      <c r="F1083" s="534">
        <v>0</v>
      </c>
      <c r="G1083" s="534">
        <v>29</v>
      </c>
      <c r="I1083" s="534">
        <v>0</v>
      </c>
      <c r="J1083" s="534">
        <v>0</v>
      </c>
      <c r="K1083" s="534">
        <v>0</v>
      </c>
      <c r="M1083" s="617">
        <f t="shared" si="34"/>
        <v>0</v>
      </c>
      <c r="N1083" s="617">
        <f t="shared" si="35"/>
        <v>29</v>
      </c>
      <c r="O1083" s="617"/>
    </row>
    <row r="1084" spans="2:15" ht="15" x14ac:dyDescent="0.25">
      <c r="B1084" s="529">
        <v>1079001</v>
      </c>
      <c r="C1084" s="529">
        <v>1080</v>
      </c>
      <c r="E1084" s="534">
        <v>0</v>
      </c>
      <c r="F1084" s="534">
        <v>0</v>
      </c>
      <c r="G1084" s="534">
        <v>29</v>
      </c>
      <c r="I1084" s="534">
        <v>0</v>
      </c>
      <c r="J1084" s="534">
        <v>0</v>
      </c>
      <c r="K1084" s="534">
        <v>0</v>
      </c>
      <c r="M1084" s="617">
        <f t="shared" si="34"/>
        <v>0</v>
      </c>
      <c r="N1084" s="617">
        <f t="shared" si="35"/>
        <v>29</v>
      </c>
      <c r="O1084" s="617"/>
    </row>
    <row r="1085" spans="2:15" ht="15" x14ac:dyDescent="0.25">
      <c r="B1085" s="529">
        <v>1080001</v>
      </c>
      <c r="C1085" s="529">
        <v>1081</v>
      </c>
      <c r="E1085" s="534">
        <v>0</v>
      </c>
      <c r="F1085" s="534">
        <v>0</v>
      </c>
      <c r="G1085" s="534">
        <v>29</v>
      </c>
      <c r="I1085" s="534">
        <v>0</v>
      </c>
      <c r="J1085" s="534">
        <v>0</v>
      </c>
      <c r="K1085" s="534">
        <v>0</v>
      </c>
      <c r="M1085" s="617">
        <f t="shared" si="34"/>
        <v>0</v>
      </c>
      <c r="N1085" s="617">
        <f t="shared" si="35"/>
        <v>29</v>
      </c>
      <c r="O1085" s="617"/>
    </row>
    <row r="1086" spans="2:15" ht="15" x14ac:dyDescent="0.25">
      <c r="B1086" s="529">
        <v>1081001</v>
      </c>
      <c r="C1086" s="529">
        <v>1082</v>
      </c>
      <c r="E1086" s="534">
        <v>1</v>
      </c>
      <c r="F1086" s="534">
        <v>1082</v>
      </c>
      <c r="G1086" s="534">
        <v>29</v>
      </c>
      <c r="I1086" s="534">
        <v>0</v>
      </c>
      <c r="J1086" s="534">
        <v>0</v>
      </c>
      <c r="K1086" s="534">
        <v>0</v>
      </c>
      <c r="M1086" s="617">
        <f t="shared" si="34"/>
        <v>1</v>
      </c>
      <c r="N1086" s="617">
        <f t="shared" si="35"/>
        <v>29</v>
      </c>
      <c r="O1086" s="617"/>
    </row>
    <row r="1087" spans="2:15" ht="15" x14ac:dyDescent="0.25">
      <c r="B1087" s="529">
        <v>1082001</v>
      </c>
      <c r="C1087" s="529">
        <v>1083</v>
      </c>
      <c r="E1087" s="534">
        <v>0</v>
      </c>
      <c r="F1087" s="534">
        <v>0</v>
      </c>
      <c r="G1087" s="534">
        <v>28</v>
      </c>
      <c r="I1087" s="534">
        <v>0</v>
      </c>
      <c r="J1087" s="534">
        <v>0</v>
      </c>
      <c r="K1087" s="534">
        <v>0</v>
      </c>
      <c r="M1087" s="617">
        <f t="shared" si="34"/>
        <v>0</v>
      </c>
      <c r="N1087" s="617">
        <f t="shared" si="35"/>
        <v>28</v>
      </c>
      <c r="O1087" s="617"/>
    </row>
    <row r="1088" spans="2:15" ht="15" x14ac:dyDescent="0.25">
      <c r="B1088" s="529">
        <v>1083001</v>
      </c>
      <c r="C1088" s="529">
        <v>1084</v>
      </c>
      <c r="E1088" s="534">
        <v>0</v>
      </c>
      <c r="F1088" s="534">
        <v>0</v>
      </c>
      <c r="G1088" s="534">
        <v>28</v>
      </c>
      <c r="I1088" s="534">
        <v>0</v>
      </c>
      <c r="J1088" s="534">
        <v>0</v>
      </c>
      <c r="K1088" s="534">
        <v>0</v>
      </c>
      <c r="M1088" s="617">
        <f t="shared" si="34"/>
        <v>0</v>
      </c>
      <c r="N1088" s="617">
        <f t="shared" si="35"/>
        <v>28</v>
      </c>
      <c r="O1088" s="617"/>
    </row>
    <row r="1089" spans="2:15" ht="15" x14ac:dyDescent="0.25">
      <c r="B1089" s="529">
        <v>1084001</v>
      </c>
      <c r="C1089" s="529">
        <v>1085</v>
      </c>
      <c r="E1089" s="534">
        <v>0</v>
      </c>
      <c r="F1089" s="534">
        <v>0</v>
      </c>
      <c r="G1089" s="534">
        <v>28</v>
      </c>
      <c r="I1089" s="534">
        <v>0</v>
      </c>
      <c r="J1089" s="534">
        <v>0</v>
      </c>
      <c r="K1089" s="534">
        <v>0</v>
      </c>
      <c r="M1089" s="617">
        <f t="shared" si="34"/>
        <v>0</v>
      </c>
      <c r="N1089" s="617">
        <f t="shared" si="35"/>
        <v>28</v>
      </c>
      <c r="O1089" s="617"/>
    </row>
    <row r="1090" spans="2:15" ht="15" x14ac:dyDescent="0.25">
      <c r="B1090" s="529">
        <v>1085001</v>
      </c>
      <c r="C1090" s="529">
        <v>1086</v>
      </c>
      <c r="E1090" s="534">
        <v>0</v>
      </c>
      <c r="F1090" s="534">
        <v>0</v>
      </c>
      <c r="G1090" s="534">
        <v>28</v>
      </c>
      <c r="I1090" s="534">
        <v>0</v>
      </c>
      <c r="J1090" s="534">
        <v>0</v>
      </c>
      <c r="K1090" s="534">
        <v>0</v>
      </c>
      <c r="M1090" s="617">
        <f t="shared" si="34"/>
        <v>0</v>
      </c>
      <c r="N1090" s="617">
        <f t="shared" si="35"/>
        <v>28</v>
      </c>
      <c r="O1090" s="617"/>
    </row>
    <row r="1091" spans="2:15" ht="15" x14ac:dyDescent="0.25">
      <c r="B1091" s="529">
        <v>1086001</v>
      </c>
      <c r="C1091" s="529">
        <v>1087</v>
      </c>
      <c r="E1091" s="534">
        <v>0</v>
      </c>
      <c r="F1091" s="534">
        <v>0</v>
      </c>
      <c r="G1091" s="534">
        <v>28</v>
      </c>
      <c r="I1091" s="534">
        <v>0</v>
      </c>
      <c r="J1091" s="534">
        <v>0</v>
      </c>
      <c r="K1091" s="534">
        <v>0</v>
      </c>
      <c r="M1091" s="617">
        <f t="shared" si="34"/>
        <v>0</v>
      </c>
      <c r="N1091" s="617">
        <f t="shared" si="35"/>
        <v>28</v>
      </c>
      <c r="O1091" s="617"/>
    </row>
    <row r="1092" spans="2:15" ht="15" x14ac:dyDescent="0.25">
      <c r="B1092" s="529">
        <v>1087001</v>
      </c>
      <c r="C1092" s="529">
        <v>1088</v>
      </c>
      <c r="E1092" s="534">
        <v>0</v>
      </c>
      <c r="F1092" s="534">
        <v>0</v>
      </c>
      <c r="G1092" s="534">
        <v>28</v>
      </c>
      <c r="I1092" s="534">
        <v>0</v>
      </c>
      <c r="J1092" s="534">
        <v>0</v>
      </c>
      <c r="K1092" s="534">
        <v>0</v>
      </c>
      <c r="M1092" s="617">
        <f t="shared" si="34"/>
        <v>0</v>
      </c>
      <c r="N1092" s="617">
        <f t="shared" si="35"/>
        <v>28</v>
      </c>
      <c r="O1092" s="617"/>
    </row>
    <row r="1093" spans="2:15" ht="15" x14ac:dyDescent="0.25">
      <c r="B1093" s="529">
        <v>1088001</v>
      </c>
      <c r="C1093" s="529">
        <v>1089</v>
      </c>
      <c r="E1093" s="534">
        <v>0</v>
      </c>
      <c r="F1093" s="534">
        <v>0</v>
      </c>
      <c r="G1093" s="534">
        <v>28</v>
      </c>
      <c r="I1093" s="534">
        <v>0</v>
      </c>
      <c r="J1093" s="534">
        <v>0</v>
      </c>
      <c r="K1093" s="534">
        <v>0</v>
      </c>
      <c r="M1093" s="617">
        <f t="shared" ref="M1093:M1156" si="36">I1093+E1093</f>
        <v>0</v>
      </c>
      <c r="N1093" s="617">
        <f t="shared" ref="N1093:N1156" si="37">K1093+G1093</f>
        <v>28</v>
      </c>
      <c r="O1093" s="617"/>
    </row>
    <row r="1094" spans="2:15" ht="15" x14ac:dyDescent="0.25">
      <c r="B1094" s="529">
        <v>1089001</v>
      </c>
      <c r="C1094" s="529">
        <v>1090</v>
      </c>
      <c r="E1094" s="534">
        <v>0</v>
      </c>
      <c r="F1094" s="534">
        <v>0</v>
      </c>
      <c r="G1094" s="534">
        <v>28</v>
      </c>
      <c r="I1094" s="534">
        <v>0</v>
      </c>
      <c r="J1094" s="534">
        <v>0</v>
      </c>
      <c r="K1094" s="534">
        <v>0</v>
      </c>
      <c r="M1094" s="617">
        <f t="shared" si="36"/>
        <v>0</v>
      </c>
      <c r="N1094" s="617">
        <f t="shared" si="37"/>
        <v>28</v>
      </c>
      <c r="O1094" s="617"/>
    </row>
    <row r="1095" spans="2:15" ht="15" x14ac:dyDescent="0.25">
      <c r="B1095" s="529">
        <v>1090001</v>
      </c>
      <c r="C1095" s="529">
        <v>1091</v>
      </c>
      <c r="E1095" s="534">
        <v>0</v>
      </c>
      <c r="F1095" s="534">
        <v>0</v>
      </c>
      <c r="G1095" s="534">
        <v>28</v>
      </c>
      <c r="I1095" s="534">
        <v>0</v>
      </c>
      <c r="J1095" s="534">
        <v>0</v>
      </c>
      <c r="K1095" s="534">
        <v>0</v>
      </c>
      <c r="M1095" s="617">
        <f t="shared" si="36"/>
        <v>0</v>
      </c>
      <c r="N1095" s="617">
        <f t="shared" si="37"/>
        <v>28</v>
      </c>
      <c r="O1095" s="617"/>
    </row>
    <row r="1096" spans="2:15" ht="15" x14ac:dyDescent="0.25">
      <c r="B1096" s="529">
        <v>1091001</v>
      </c>
      <c r="C1096" s="529">
        <v>1092</v>
      </c>
      <c r="E1096" s="534">
        <v>0</v>
      </c>
      <c r="F1096" s="534">
        <v>0</v>
      </c>
      <c r="G1096" s="534">
        <v>28</v>
      </c>
      <c r="I1096" s="534">
        <v>0</v>
      </c>
      <c r="J1096" s="534">
        <v>0</v>
      </c>
      <c r="K1096" s="534">
        <v>0</v>
      </c>
      <c r="M1096" s="617">
        <f t="shared" si="36"/>
        <v>0</v>
      </c>
      <c r="N1096" s="617">
        <f t="shared" si="37"/>
        <v>28</v>
      </c>
      <c r="O1096" s="617"/>
    </row>
    <row r="1097" spans="2:15" ht="15" x14ac:dyDescent="0.25">
      <c r="B1097" s="529">
        <v>1092001</v>
      </c>
      <c r="C1097" s="529">
        <v>1093</v>
      </c>
      <c r="E1097" s="534">
        <v>0</v>
      </c>
      <c r="F1097" s="534">
        <v>0</v>
      </c>
      <c r="G1097" s="534">
        <v>28</v>
      </c>
      <c r="I1097" s="534">
        <v>0</v>
      </c>
      <c r="J1097" s="534">
        <v>0</v>
      </c>
      <c r="K1097" s="534">
        <v>0</v>
      </c>
      <c r="M1097" s="617">
        <f t="shared" si="36"/>
        <v>0</v>
      </c>
      <c r="N1097" s="617">
        <f t="shared" si="37"/>
        <v>28</v>
      </c>
      <c r="O1097" s="617"/>
    </row>
    <row r="1098" spans="2:15" ht="15" x14ac:dyDescent="0.25">
      <c r="B1098" s="529">
        <v>1093001</v>
      </c>
      <c r="C1098" s="529">
        <v>1094</v>
      </c>
      <c r="E1098" s="534">
        <v>0</v>
      </c>
      <c r="F1098" s="534">
        <v>0</v>
      </c>
      <c r="G1098" s="534">
        <v>28</v>
      </c>
      <c r="I1098" s="534">
        <v>0</v>
      </c>
      <c r="J1098" s="534">
        <v>0</v>
      </c>
      <c r="K1098" s="534">
        <v>0</v>
      </c>
      <c r="M1098" s="617">
        <f t="shared" si="36"/>
        <v>0</v>
      </c>
      <c r="N1098" s="617">
        <f t="shared" si="37"/>
        <v>28</v>
      </c>
      <c r="O1098" s="617"/>
    </row>
    <row r="1099" spans="2:15" ht="15" x14ac:dyDescent="0.25">
      <c r="B1099" s="529">
        <v>1094001</v>
      </c>
      <c r="C1099" s="529">
        <v>1095</v>
      </c>
      <c r="E1099" s="534">
        <v>0</v>
      </c>
      <c r="F1099" s="534">
        <v>0</v>
      </c>
      <c r="G1099" s="534">
        <v>28</v>
      </c>
      <c r="I1099" s="534">
        <v>0</v>
      </c>
      <c r="J1099" s="534">
        <v>0</v>
      </c>
      <c r="K1099" s="534">
        <v>0</v>
      </c>
      <c r="M1099" s="617">
        <f t="shared" si="36"/>
        <v>0</v>
      </c>
      <c r="N1099" s="617">
        <f t="shared" si="37"/>
        <v>28</v>
      </c>
      <c r="O1099" s="617"/>
    </row>
    <row r="1100" spans="2:15" ht="15" x14ac:dyDescent="0.25">
      <c r="B1100" s="529">
        <v>1095001</v>
      </c>
      <c r="C1100" s="529">
        <v>1096</v>
      </c>
      <c r="E1100" s="534">
        <v>0</v>
      </c>
      <c r="F1100" s="534">
        <v>0</v>
      </c>
      <c r="G1100" s="534">
        <v>28</v>
      </c>
      <c r="I1100" s="534">
        <v>0</v>
      </c>
      <c r="J1100" s="534">
        <v>0</v>
      </c>
      <c r="K1100" s="534">
        <v>0</v>
      </c>
      <c r="M1100" s="617">
        <f t="shared" si="36"/>
        <v>0</v>
      </c>
      <c r="N1100" s="617">
        <f t="shared" si="37"/>
        <v>28</v>
      </c>
      <c r="O1100" s="617"/>
    </row>
    <row r="1101" spans="2:15" ht="15" x14ac:dyDescent="0.25">
      <c r="B1101" s="529">
        <v>1096001</v>
      </c>
      <c r="C1101" s="529">
        <v>1097</v>
      </c>
      <c r="E1101" s="534">
        <v>0</v>
      </c>
      <c r="F1101" s="534">
        <v>0</v>
      </c>
      <c r="G1101" s="534">
        <v>28</v>
      </c>
      <c r="I1101" s="534">
        <v>0</v>
      </c>
      <c r="J1101" s="534">
        <v>0</v>
      </c>
      <c r="K1101" s="534">
        <v>0</v>
      </c>
      <c r="M1101" s="617">
        <f t="shared" si="36"/>
        <v>0</v>
      </c>
      <c r="N1101" s="617">
        <f t="shared" si="37"/>
        <v>28</v>
      </c>
      <c r="O1101" s="617"/>
    </row>
    <row r="1102" spans="2:15" ht="15" x14ac:dyDescent="0.25">
      <c r="B1102" s="529">
        <v>1097001</v>
      </c>
      <c r="C1102" s="529">
        <v>1098</v>
      </c>
      <c r="E1102" s="534">
        <v>0</v>
      </c>
      <c r="F1102" s="534">
        <v>0</v>
      </c>
      <c r="G1102" s="534">
        <v>28</v>
      </c>
      <c r="I1102" s="534">
        <v>0</v>
      </c>
      <c r="J1102" s="534">
        <v>0</v>
      </c>
      <c r="K1102" s="534">
        <v>0</v>
      </c>
      <c r="M1102" s="617">
        <f t="shared" si="36"/>
        <v>0</v>
      </c>
      <c r="N1102" s="617">
        <f t="shared" si="37"/>
        <v>28</v>
      </c>
      <c r="O1102" s="617"/>
    </row>
    <row r="1103" spans="2:15" ht="15" x14ac:dyDescent="0.25">
      <c r="B1103" s="529">
        <v>1098001</v>
      </c>
      <c r="C1103" s="529">
        <v>1099</v>
      </c>
      <c r="E1103" s="534">
        <v>0</v>
      </c>
      <c r="F1103" s="534">
        <v>0</v>
      </c>
      <c r="G1103" s="534">
        <v>28</v>
      </c>
      <c r="I1103" s="534">
        <v>0</v>
      </c>
      <c r="J1103" s="534">
        <v>0</v>
      </c>
      <c r="K1103" s="534">
        <v>0</v>
      </c>
      <c r="M1103" s="617">
        <f t="shared" si="36"/>
        <v>0</v>
      </c>
      <c r="N1103" s="617">
        <f t="shared" si="37"/>
        <v>28</v>
      </c>
      <c r="O1103" s="617"/>
    </row>
    <row r="1104" spans="2:15" ht="15" x14ac:dyDescent="0.25">
      <c r="B1104" s="529">
        <v>1099001</v>
      </c>
      <c r="C1104" s="529">
        <v>1100</v>
      </c>
      <c r="E1104" s="534">
        <v>0</v>
      </c>
      <c r="F1104" s="534">
        <v>0</v>
      </c>
      <c r="G1104" s="534">
        <v>28</v>
      </c>
      <c r="I1104" s="534">
        <v>0</v>
      </c>
      <c r="J1104" s="534">
        <v>0</v>
      </c>
      <c r="K1104" s="534">
        <v>0</v>
      </c>
      <c r="M1104" s="617">
        <f t="shared" si="36"/>
        <v>0</v>
      </c>
      <c r="N1104" s="617">
        <f t="shared" si="37"/>
        <v>28</v>
      </c>
      <c r="O1104" s="617"/>
    </row>
    <row r="1105" spans="2:15" ht="15" x14ac:dyDescent="0.25">
      <c r="B1105" s="529">
        <v>1100001</v>
      </c>
      <c r="C1105" s="529">
        <v>1101</v>
      </c>
      <c r="E1105" s="534">
        <v>0</v>
      </c>
      <c r="F1105" s="534">
        <v>0</v>
      </c>
      <c r="G1105" s="534">
        <v>28</v>
      </c>
      <c r="I1105" s="534">
        <v>0</v>
      </c>
      <c r="J1105" s="534">
        <v>0</v>
      </c>
      <c r="K1105" s="534">
        <v>0</v>
      </c>
      <c r="M1105" s="617">
        <f t="shared" si="36"/>
        <v>0</v>
      </c>
      <c r="N1105" s="617">
        <f t="shared" si="37"/>
        <v>28</v>
      </c>
      <c r="O1105" s="617"/>
    </row>
    <row r="1106" spans="2:15" ht="15" x14ac:dyDescent="0.25">
      <c r="B1106" s="529">
        <v>1101001</v>
      </c>
      <c r="C1106" s="529">
        <v>1102</v>
      </c>
      <c r="E1106" s="534">
        <v>0</v>
      </c>
      <c r="F1106" s="534">
        <v>0</v>
      </c>
      <c r="G1106" s="534">
        <v>28</v>
      </c>
      <c r="I1106" s="534">
        <v>0</v>
      </c>
      <c r="J1106" s="534">
        <v>0</v>
      </c>
      <c r="K1106" s="534">
        <v>0</v>
      </c>
      <c r="M1106" s="617">
        <f t="shared" si="36"/>
        <v>0</v>
      </c>
      <c r="N1106" s="617">
        <f t="shared" si="37"/>
        <v>28</v>
      </c>
      <c r="O1106" s="617"/>
    </row>
    <row r="1107" spans="2:15" ht="15" x14ac:dyDescent="0.25">
      <c r="B1107" s="529">
        <v>1102001</v>
      </c>
      <c r="C1107" s="529">
        <v>1103</v>
      </c>
      <c r="E1107" s="534">
        <v>0</v>
      </c>
      <c r="F1107" s="534">
        <v>0</v>
      </c>
      <c r="G1107" s="534">
        <v>28</v>
      </c>
      <c r="I1107" s="534">
        <v>0</v>
      </c>
      <c r="J1107" s="534">
        <v>0</v>
      </c>
      <c r="K1107" s="534">
        <v>0</v>
      </c>
      <c r="M1107" s="617">
        <f t="shared" si="36"/>
        <v>0</v>
      </c>
      <c r="N1107" s="617">
        <f t="shared" si="37"/>
        <v>28</v>
      </c>
      <c r="O1107" s="617"/>
    </row>
    <row r="1108" spans="2:15" ht="15" x14ac:dyDescent="0.25">
      <c r="B1108" s="529">
        <v>1103001</v>
      </c>
      <c r="C1108" s="529">
        <v>1104</v>
      </c>
      <c r="E1108" s="534">
        <v>0</v>
      </c>
      <c r="F1108" s="534">
        <v>0</v>
      </c>
      <c r="G1108" s="534">
        <v>28</v>
      </c>
      <c r="I1108" s="534">
        <v>0</v>
      </c>
      <c r="J1108" s="534">
        <v>0</v>
      </c>
      <c r="K1108" s="534">
        <v>0</v>
      </c>
      <c r="M1108" s="617">
        <f t="shared" si="36"/>
        <v>0</v>
      </c>
      <c r="N1108" s="617">
        <f t="shared" si="37"/>
        <v>28</v>
      </c>
      <c r="O1108" s="617"/>
    </row>
    <row r="1109" spans="2:15" ht="15" x14ac:dyDescent="0.25">
      <c r="B1109" s="529">
        <v>1104001</v>
      </c>
      <c r="C1109" s="529">
        <v>1105</v>
      </c>
      <c r="E1109" s="534">
        <v>0</v>
      </c>
      <c r="F1109" s="534">
        <v>0</v>
      </c>
      <c r="G1109" s="534">
        <v>28</v>
      </c>
      <c r="I1109" s="534">
        <v>0</v>
      </c>
      <c r="J1109" s="534">
        <v>0</v>
      </c>
      <c r="K1109" s="534">
        <v>0</v>
      </c>
      <c r="M1109" s="617">
        <f t="shared" si="36"/>
        <v>0</v>
      </c>
      <c r="N1109" s="617">
        <f t="shared" si="37"/>
        <v>28</v>
      </c>
      <c r="O1109" s="617"/>
    </row>
    <row r="1110" spans="2:15" ht="15" x14ac:dyDescent="0.25">
      <c r="B1110" s="529">
        <v>1105001</v>
      </c>
      <c r="C1110" s="529">
        <v>1106</v>
      </c>
      <c r="E1110" s="534">
        <v>0</v>
      </c>
      <c r="F1110" s="534">
        <v>0</v>
      </c>
      <c r="G1110" s="534">
        <v>28</v>
      </c>
      <c r="I1110" s="534">
        <v>0</v>
      </c>
      <c r="J1110" s="534">
        <v>0</v>
      </c>
      <c r="K1110" s="534">
        <v>0</v>
      </c>
      <c r="M1110" s="617">
        <f t="shared" si="36"/>
        <v>0</v>
      </c>
      <c r="N1110" s="617">
        <f t="shared" si="37"/>
        <v>28</v>
      </c>
      <c r="O1110" s="617"/>
    </row>
    <row r="1111" spans="2:15" ht="15" x14ac:dyDescent="0.25">
      <c r="B1111" s="529">
        <v>1106001</v>
      </c>
      <c r="C1111" s="529">
        <v>1107</v>
      </c>
      <c r="E1111" s="534">
        <v>0</v>
      </c>
      <c r="F1111" s="534">
        <v>0</v>
      </c>
      <c r="G1111" s="534">
        <v>28</v>
      </c>
      <c r="I1111" s="534">
        <v>0</v>
      </c>
      <c r="J1111" s="534">
        <v>0</v>
      </c>
      <c r="K1111" s="534">
        <v>0</v>
      </c>
      <c r="M1111" s="617">
        <f t="shared" si="36"/>
        <v>0</v>
      </c>
      <c r="N1111" s="617">
        <f t="shared" si="37"/>
        <v>28</v>
      </c>
      <c r="O1111" s="617"/>
    </row>
    <row r="1112" spans="2:15" ht="15" x14ac:dyDescent="0.25">
      <c r="B1112" s="529">
        <v>1107001</v>
      </c>
      <c r="C1112" s="529">
        <v>1108</v>
      </c>
      <c r="E1112" s="534">
        <v>0</v>
      </c>
      <c r="F1112" s="534">
        <v>0</v>
      </c>
      <c r="G1112" s="534">
        <v>28</v>
      </c>
      <c r="I1112" s="534">
        <v>0</v>
      </c>
      <c r="J1112" s="534">
        <v>0</v>
      </c>
      <c r="K1112" s="534">
        <v>0</v>
      </c>
      <c r="M1112" s="617">
        <f t="shared" si="36"/>
        <v>0</v>
      </c>
      <c r="N1112" s="617">
        <f t="shared" si="37"/>
        <v>28</v>
      </c>
      <c r="O1112" s="617"/>
    </row>
    <row r="1113" spans="2:15" ht="15" x14ac:dyDescent="0.25">
      <c r="B1113" s="529">
        <v>1108001</v>
      </c>
      <c r="C1113" s="529">
        <v>1109</v>
      </c>
      <c r="E1113" s="534">
        <v>0</v>
      </c>
      <c r="F1113" s="534">
        <v>0</v>
      </c>
      <c r="G1113" s="534">
        <v>28</v>
      </c>
      <c r="I1113" s="534">
        <v>0</v>
      </c>
      <c r="J1113" s="534">
        <v>0</v>
      </c>
      <c r="K1113" s="534">
        <v>0</v>
      </c>
      <c r="M1113" s="617">
        <f t="shared" si="36"/>
        <v>0</v>
      </c>
      <c r="N1113" s="617">
        <f t="shared" si="37"/>
        <v>28</v>
      </c>
      <c r="O1113" s="617"/>
    </row>
    <row r="1114" spans="2:15" ht="15" x14ac:dyDescent="0.25">
      <c r="B1114" s="529">
        <v>1109001</v>
      </c>
      <c r="C1114" s="529">
        <v>1110</v>
      </c>
      <c r="E1114" s="534">
        <v>0</v>
      </c>
      <c r="F1114" s="534">
        <v>0</v>
      </c>
      <c r="G1114" s="534">
        <v>28</v>
      </c>
      <c r="I1114" s="534">
        <v>0</v>
      </c>
      <c r="J1114" s="534">
        <v>0</v>
      </c>
      <c r="K1114" s="534">
        <v>0</v>
      </c>
      <c r="M1114" s="617">
        <f t="shared" si="36"/>
        <v>0</v>
      </c>
      <c r="N1114" s="617">
        <f t="shared" si="37"/>
        <v>28</v>
      </c>
      <c r="O1114" s="617"/>
    </row>
    <row r="1115" spans="2:15" ht="15" x14ac:dyDescent="0.25">
      <c r="B1115" s="529">
        <v>1110001</v>
      </c>
      <c r="C1115" s="529">
        <v>1111</v>
      </c>
      <c r="E1115" s="534">
        <v>0</v>
      </c>
      <c r="F1115" s="534">
        <v>0</v>
      </c>
      <c r="G1115" s="534">
        <v>28</v>
      </c>
      <c r="I1115" s="534">
        <v>0</v>
      </c>
      <c r="J1115" s="534">
        <v>0</v>
      </c>
      <c r="K1115" s="534">
        <v>0</v>
      </c>
      <c r="M1115" s="617">
        <f t="shared" si="36"/>
        <v>0</v>
      </c>
      <c r="N1115" s="617">
        <f t="shared" si="37"/>
        <v>28</v>
      </c>
      <c r="O1115" s="617"/>
    </row>
    <row r="1116" spans="2:15" ht="15" x14ac:dyDescent="0.25">
      <c r="B1116" s="529">
        <v>1111001</v>
      </c>
      <c r="C1116" s="529">
        <v>1112</v>
      </c>
      <c r="E1116" s="534">
        <v>0</v>
      </c>
      <c r="F1116" s="534">
        <v>0</v>
      </c>
      <c r="G1116" s="534">
        <v>28</v>
      </c>
      <c r="I1116" s="534">
        <v>0</v>
      </c>
      <c r="J1116" s="534">
        <v>0</v>
      </c>
      <c r="K1116" s="534">
        <v>0</v>
      </c>
      <c r="M1116" s="617">
        <f t="shared" si="36"/>
        <v>0</v>
      </c>
      <c r="N1116" s="617">
        <f t="shared" si="37"/>
        <v>28</v>
      </c>
      <c r="O1116" s="617"/>
    </row>
    <row r="1117" spans="2:15" ht="15" x14ac:dyDescent="0.25">
      <c r="B1117" s="529">
        <v>1112001</v>
      </c>
      <c r="C1117" s="529">
        <v>1113</v>
      </c>
      <c r="E1117" s="534">
        <v>0</v>
      </c>
      <c r="F1117" s="534">
        <v>0</v>
      </c>
      <c r="G1117" s="534">
        <v>28</v>
      </c>
      <c r="I1117" s="534">
        <v>0</v>
      </c>
      <c r="J1117" s="534">
        <v>0</v>
      </c>
      <c r="K1117" s="534">
        <v>0</v>
      </c>
      <c r="M1117" s="617">
        <f t="shared" si="36"/>
        <v>0</v>
      </c>
      <c r="N1117" s="617">
        <f t="shared" si="37"/>
        <v>28</v>
      </c>
      <c r="O1117" s="617"/>
    </row>
    <row r="1118" spans="2:15" ht="15" x14ac:dyDescent="0.25">
      <c r="B1118" s="529">
        <v>1113001</v>
      </c>
      <c r="C1118" s="529">
        <v>1114</v>
      </c>
      <c r="E1118" s="534">
        <v>0</v>
      </c>
      <c r="F1118" s="534">
        <v>0</v>
      </c>
      <c r="G1118" s="534">
        <v>28</v>
      </c>
      <c r="I1118" s="534">
        <v>0</v>
      </c>
      <c r="J1118" s="534">
        <v>0</v>
      </c>
      <c r="K1118" s="534">
        <v>0</v>
      </c>
      <c r="M1118" s="617">
        <f t="shared" si="36"/>
        <v>0</v>
      </c>
      <c r="N1118" s="617">
        <f t="shared" si="37"/>
        <v>28</v>
      </c>
      <c r="O1118" s="617"/>
    </row>
    <row r="1119" spans="2:15" ht="15" x14ac:dyDescent="0.25">
      <c r="B1119" s="529">
        <v>1114001</v>
      </c>
      <c r="C1119" s="529">
        <v>1115</v>
      </c>
      <c r="E1119" s="534">
        <v>0</v>
      </c>
      <c r="F1119" s="534">
        <v>0</v>
      </c>
      <c r="G1119" s="534">
        <v>28</v>
      </c>
      <c r="I1119" s="534">
        <v>0</v>
      </c>
      <c r="J1119" s="534">
        <v>0</v>
      </c>
      <c r="K1119" s="534">
        <v>0</v>
      </c>
      <c r="M1119" s="617">
        <f t="shared" si="36"/>
        <v>0</v>
      </c>
      <c r="N1119" s="617">
        <f t="shared" si="37"/>
        <v>28</v>
      </c>
      <c r="O1119" s="617"/>
    </row>
    <row r="1120" spans="2:15" ht="15" x14ac:dyDescent="0.25">
      <c r="B1120" s="529">
        <v>1115001</v>
      </c>
      <c r="C1120" s="529">
        <v>1116</v>
      </c>
      <c r="E1120" s="534">
        <v>0</v>
      </c>
      <c r="F1120" s="534">
        <v>0</v>
      </c>
      <c r="G1120" s="534">
        <v>28</v>
      </c>
      <c r="I1120" s="534">
        <v>0</v>
      </c>
      <c r="J1120" s="534">
        <v>0</v>
      </c>
      <c r="K1120" s="534">
        <v>0</v>
      </c>
      <c r="M1120" s="617">
        <f t="shared" si="36"/>
        <v>0</v>
      </c>
      <c r="N1120" s="617">
        <f t="shared" si="37"/>
        <v>28</v>
      </c>
      <c r="O1120" s="617"/>
    </row>
    <row r="1121" spans="2:15" ht="15" x14ac:dyDescent="0.25">
      <c r="B1121" s="529">
        <v>1116001</v>
      </c>
      <c r="C1121" s="529">
        <v>1117</v>
      </c>
      <c r="E1121" s="534">
        <v>0</v>
      </c>
      <c r="F1121" s="534">
        <v>0</v>
      </c>
      <c r="G1121" s="534">
        <v>28</v>
      </c>
      <c r="I1121" s="534">
        <v>0</v>
      </c>
      <c r="J1121" s="534">
        <v>0</v>
      </c>
      <c r="K1121" s="534">
        <v>0</v>
      </c>
      <c r="M1121" s="617">
        <f t="shared" si="36"/>
        <v>0</v>
      </c>
      <c r="N1121" s="617">
        <f t="shared" si="37"/>
        <v>28</v>
      </c>
      <c r="O1121" s="617"/>
    </row>
    <row r="1122" spans="2:15" ht="15" x14ac:dyDescent="0.25">
      <c r="B1122" s="529">
        <v>1117001</v>
      </c>
      <c r="C1122" s="529">
        <v>1118</v>
      </c>
      <c r="E1122" s="534">
        <v>0</v>
      </c>
      <c r="F1122" s="534">
        <v>0</v>
      </c>
      <c r="G1122" s="534">
        <v>28</v>
      </c>
      <c r="I1122" s="534">
        <v>0</v>
      </c>
      <c r="J1122" s="534">
        <v>0</v>
      </c>
      <c r="K1122" s="534">
        <v>0</v>
      </c>
      <c r="M1122" s="617">
        <f t="shared" si="36"/>
        <v>0</v>
      </c>
      <c r="N1122" s="617">
        <f t="shared" si="37"/>
        <v>28</v>
      </c>
      <c r="O1122" s="617"/>
    </row>
    <row r="1123" spans="2:15" ht="15" x14ac:dyDescent="0.25">
      <c r="B1123" s="529">
        <v>1118001</v>
      </c>
      <c r="C1123" s="529">
        <v>1119</v>
      </c>
      <c r="E1123" s="534">
        <v>0</v>
      </c>
      <c r="F1123" s="534">
        <v>0</v>
      </c>
      <c r="G1123" s="534">
        <v>28</v>
      </c>
      <c r="I1123" s="534">
        <v>0</v>
      </c>
      <c r="J1123" s="534">
        <v>0</v>
      </c>
      <c r="K1123" s="534">
        <v>0</v>
      </c>
      <c r="M1123" s="617">
        <f t="shared" si="36"/>
        <v>0</v>
      </c>
      <c r="N1123" s="617">
        <f t="shared" si="37"/>
        <v>28</v>
      </c>
      <c r="O1123" s="617"/>
    </row>
    <row r="1124" spans="2:15" ht="15" x14ac:dyDescent="0.25">
      <c r="B1124" s="529">
        <v>1119001</v>
      </c>
      <c r="C1124" s="529">
        <v>1120</v>
      </c>
      <c r="E1124" s="534">
        <v>0</v>
      </c>
      <c r="F1124" s="534">
        <v>0</v>
      </c>
      <c r="G1124" s="534">
        <v>28</v>
      </c>
      <c r="I1124" s="534">
        <v>0</v>
      </c>
      <c r="J1124" s="534">
        <v>0</v>
      </c>
      <c r="K1124" s="534">
        <v>0</v>
      </c>
      <c r="M1124" s="617">
        <f t="shared" si="36"/>
        <v>0</v>
      </c>
      <c r="N1124" s="617">
        <f t="shared" si="37"/>
        <v>28</v>
      </c>
      <c r="O1124" s="617"/>
    </row>
    <row r="1125" spans="2:15" ht="15" x14ac:dyDescent="0.25">
      <c r="B1125" s="529">
        <v>1120001</v>
      </c>
      <c r="C1125" s="529">
        <v>1121</v>
      </c>
      <c r="E1125" s="534">
        <v>1</v>
      </c>
      <c r="F1125" s="534">
        <v>1121</v>
      </c>
      <c r="G1125" s="534">
        <v>28</v>
      </c>
      <c r="I1125" s="534">
        <v>0</v>
      </c>
      <c r="J1125" s="534">
        <v>0</v>
      </c>
      <c r="K1125" s="534">
        <v>0</v>
      </c>
      <c r="M1125" s="617">
        <f t="shared" si="36"/>
        <v>1</v>
      </c>
      <c r="N1125" s="617">
        <f t="shared" si="37"/>
        <v>28</v>
      </c>
      <c r="O1125" s="617"/>
    </row>
    <row r="1126" spans="2:15" ht="15" x14ac:dyDescent="0.25">
      <c r="B1126" s="529">
        <v>1121001</v>
      </c>
      <c r="C1126" s="529">
        <v>1122</v>
      </c>
      <c r="E1126" s="534">
        <v>0</v>
      </c>
      <c r="F1126" s="534">
        <v>0</v>
      </c>
      <c r="G1126" s="534">
        <v>27</v>
      </c>
      <c r="I1126" s="534">
        <v>0</v>
      </c>
      <c r="J1126" s="534">
        <v>0</v>
      </c>
      <c r="K1126" s="534">
        <v>0</v>
      </c>
      <c r="M1126" s="617">
        <f t="shared" si="36"/>
        <v>0</v>
      </c>
      <c r="N1126" s="617">
        <f t="shared" si="37"/>
        <v>27</v>
      </c>
      <c r="O1126" s="617"/>
    </row>
    <row r="1127" spans="2:15" ht="15" x14ac:dyDescent="0.25">
      <c r="B1127" s="529">
        <v>1122001</v>
      </c>
      <c r="C1127" s="529">
        <v>1123</v>
      </c>
      <c r="E1127" s="534">
        <v>0</v>
      </c>
      <c r="F1127" s="534">
        <v>0</v>
      </c>
      <c r="G1127" s="534">
        <v>27</v>
      </c>
      <c r="I1127" s="534">
        <v>0</v>
      </c>
      <c r="J1127" s="534">
        <v>0</v>
      </c>
      <c r="K1127" s="534">
        <v>0</v>
      </c>
      <c r="M1127" s="617">
        <f t="shared" si="36"/>
        <v>0</v>
      </c>
      <c r="N1127" s="617">
        <f t="shared" si="37"/>
        <v>27</v>
      </c>
      <c r="O1127" s="617"/>
    </row>
    <row r="1128" spans="2:15" ht="15" x14ac:dyDescent="0.25">
      <c r="B1128" s="529">
        <v>1123001</v>
      </c>
      <c r="C1128" s="529">
        <v>1124</v>
      </c>
      <c r="E1128" s="534">
        <v>0</v>
      </c>
      <c r="F1128" s="534">
        <v>0</v>
      </c>
      <c r="G1128" s="534">
        <v>27</v>
      </c>
      <c r="I1128" s="534">
        <v>0</v>
      </c>
      <c r="J1128" s="534">
        <v>0</v>
      </c>
      <c r="K1128" s="534">
        <v>0</v>
      </c>
      <c r="M1128" s="617">
        <f t="shared" si="36"/>
        <v>0</v>
      </c>
      <c r="N1128" s="617">
        <f t="shared" si="37"/>
        <v>27</v>
      </c>
      <c r="O1128" s="617"/>
    </row>
    <row r="1129" spans="2:15" ht="15" x14ac:dyDescent="0.25">
      <c r="B1129" s="529">
        <v>1124001</v>
      </c>
      <c r="C1129" s="529">
        <v>1125</v>
      </c>
      <c r="E1129" s="534">
        <v>0</v>
      </c>
      <c r="F1129" s="534">
        <v>0</v>
      </c>
      <c r="G1129" s="534">
        <v>27</v>
      </c>
      <c r="I1129" s="534">
        <v>0</v>
      </c>
      <c r="J1129" s="534">
        <v>0</v>
      </c>
      <c r="K1129" s="534">
        <v>0</v>
      </c>
      <c r="M1129" s="617">
        <f t="shared" si="36"/>
        <v>0</v>
      </c>
      <c r="N1129" s="617">
        <f t="shared" si="37"/>
        <v>27</v>
      </c>
      <c r="O1129" s="617"/>
    </row>
    <row r="1130" spans="2:15" ht="15" x14ac:dyDescent="0.25">
      <c r="B1130" s="529">
        <v>1125001</v>
      </c>
      <c r="C1130" s="529">
        <v>1126</v>
      </c>
      <c r="E1130" s="534">
        <v>0</v>
      </c>
      <c r="F1130" s="534">
        <v>0</v>
      </c>
      <c r="G1130" s="534">
        <v>27</v>
      </c>
      <c r="I1130" s="534">
        <v>0</v>
      </c>
      <c r="J1130" s="534">
        <v>0</v>
      </c>
      <c r="K1130" s="534">
        <v>0</v>
      </c>
      <c r="M1130" s="617">
        <f t="shared" si="36"/>
        <v>0</v>
      </c>
      <c r="N1130" s="617">
        <f t="shared" si="37"/>
        <v>27</v>
      </c>
      <c r="O1130" s="617"/>
    </row>
    <row r="1131" spans="2:15" ht="15" x14ac:dyDescent="0.25">
      <c r="B1131" s="529">
        <v>1126001</v>
      </c>
      <c r="C1131" s="529">
        <v>1127</v>
      </c>
      <c r="E1131" s="534">
        <v>0</v>
      </c>
      <c r="F1131" s="534">
        <v>0</v>
      </c>
      <c r="G1131" s="534">
        <v>27</v>
      </c>
      <c r="I1131" s="534">
        <v>0</v>
      </c>
      <c r="J1131" s="534">
        <v>0</v>
      </c>
      <c r="K1131" s="534">
        <v>0</v>
      </c>
      <c r="M1131" s="617">
        <f t="shared" si="36"/>
        <v>0</v>
      </c>
      <c r="N1131" s="617">
        <f t="shared" si="37"/>
        <v>27</v>
      </c>
      <c r="O1131" s="617"/>
    </row>
    <row r="1132" spans="2:15" ht="15" x14ac:dyDescent="0.25">
      <c r="B1132" s="529">
        <v>1127001</v>
      </c>
      <c r="C1132" s="529">
        <v>1128</v>
      </c>
      <c r="E1132" s="534">
        <v>0</v>
      </c>
      <c r="F1132" s="534">
        <v>0</v>
      </c>
      <c r="G1132" s="534">
        <v>27</v>
      </c>
      <c r="I1132" s="534">
        <v>0</v>
      </c>
      <c r="J1132" s="534">
        <v>0</v>
      </c>
      <c r="K1132" s="534">
        <v>0</v>
      </c>
      <c r="M1132" s="617">
        <f t="shared" si="36"/>
        <v>0</v>
      </c>
      <c r="N1132" s="617">
        <f t="shared" si="37"/>
        <v>27</v>
      </c>
      <c r="O1132" s="617"/>
    </row>
    <row r="1133" spans="2:15" ht="15" x14ac:dyDescent="0.25">
      <c r="B1133" s="529">
        <v>1128001</v>
      </c>
      <c r="C1133" s="529">
        <v>1129</v>
      </c>
      <c r="E1133" s="534">
        <v>0</v>
      </c>
      <c r="F1133" s="534">
        <v>0</v>
      </c>
      <c r="G1133" s="534">
        <v>27</v>
      </c>
      <c r="I1133" s="534">
        <v>0</v>
      </c>
      <c r="J1133" s="534">
        <v>0</v>
      </c>
      <c r="K1133" s="534">
        <v>0</v>
      </c>
      <c r="M1133" s="617">
        <f t="shared" si="36"/>
        <v>0</v>
      </c>
      <c r="N1133" s="617">
        <f t="shared" si="37"/>
        <v>27</v>
      </c>
      <c r="O1133" s="617"/>
    </row>
    <row r="1134" spans="2:15" ht="15" x14ac:dyDescent="0.25">
      <c r="B1134" s="529">
        <v>1129001</v>
      </c>
      <c r="C1134" s="529">
        <v>1130</v>
      </c>
      <c r="E1134" s="534">
        <v>0</v>
      </c>
      <c r="F1134" s="534">
        <v>0</v>
      </c>
      <c r="G1134" s="534">
        <v>27</v>
      </c>
      <c r="I1134" s="534">
        <v>0</v>
      </c>
      <c r="J1134" s="534">
        <v>0</v>
      </c>
      <c r="K1134" s="534">
        <v>0</v>
      </c>
      <c r="M1134" s="617">
        <f t="shared" si="36"/>
        <v>0</v>
      </c>
      <c r="N1134" s="617">
        <f t="shared" si="37"/>
        <v>27</v>
      </c>
      <c r="O1134" s="617"/>
    </row>
    <row r="1135" spans="2:15" ht="15" x14ac:dyDescent="0.25">
      <c r="B1135" s="529">
        <v>1130001</v>
      </c>
      <c r="C1135" s="529">
        <v>1131</v>
      </c>
      <c r="E1135" s="534">
        <v>0</v>
      </c>
      <c r="F1135" s="534">
        <v>0</v>
      </c>
      <c r="G1135" s="534">
        <v>27</v>
      </c>
      <c r="I1135" s="534">
        <v>0</v>
      </c>
      <c r="J1135" s="534">
        <v>0</v>
      </c>
      <c r="K1135" s="534">
        <v>0</v>
      </c>
      <c r="M1135" s="617">
        <f t="shared" si="36"/>
        <v>0</v>
      </c>
      <c r="N1135" s="617">
        <f t="shared" si="37"/>
        <v>27</v>
      </c>
      <c r="O1135" s="617"/>
    </row>
    <row r="1136" spans="2:15" ht="15" x14ac:dyDescent="0.25">
      <c r="B1136" s="529">
        <v>1131001</v>
      </c>
      <c r="C1136" s="529">
        <v>1132</v>
      </c>
      <c r="E1136" s="534">
        <v>0</v>
      </c>
      <c r="F1136" s="534">
        <v>0</v>
      </c>
      <c r="G1136" s="534">
        <v>27</v>
      </c>
      <c r="I1136" s="534">
        <v>0</v>
      </c>
      <c r="J1136" s="534">
        <v>0</v>
      </c>
      <c r="K1136" s="534">
        <v>0</v>
      </c>
      <c r="M1136" s="617">
        <f t="shared" si="36"/>
        <v>0</v>
      </c>
      <c r="N1136" s="617">
        <f t="shared" si="37"/>
        <v>27</v>
      </c>
      <c r="O1136" s="617"/>
    </row>
    <row r="1137" spans="2:15" ht="15" x14ac:dyDescent="0.25">
      <c r="B1137" s="529">
        <v>1132001</v>
      </c>
      <c r="C1137" s="529">
        <v>1133</v>
      </c>
      <c r="E1137" s="534">
        <v>0</v>
      </c>
      <c r="F1137" s="534">
        <v>0</v>
      </c>
      <c r="G1137" s="534">
        <v>27</v>
      </c>
      <c r="I1137" s="534">
        <v>0</v>
      </c>
      <c r="J1137" s="534">
        <v>0</v>
      </c>
      <c r="K1137" s="534">
        <v>0</v>
      </c>
      <c r="M1137" s="617">
        <f t="shared" si="36"/>
        <v>0</v>
      </c>
      <c r="N1137" s="617">
        <f t="shared" si="37"/>
        <v>27</v>
      </c>
      <c r="O1137" s="617"/>
    </row>
    <row r="1138" spans="2:15" ht="15" x14ac:dyDescent="0.25">
      <c r="B1138" s="529">
        <v>1133001</v>
      </c>
      <c r="C1138" s="529">
        <v>1134</v>
      </c>
      <c r="E1138" s="534">
        <v>0</v>
      </c>
      <c r="F1138" s="534">
        <v>0</v>
      </c>
      <c r="G1138" s="534">
        <v>27</v>
      </c>
      <c r="I1138" s="534">
        <v>0</v>
      </c>
      <c r="J1138" s="534">
        <v>0</v>
      </c>
      <c r="K1138" s="534">
        <v>0</v>
      </c>
      <c r="M1138" s="617">
        <f t="shared" si="36"/>
        <v>0</v>
      </c>
      <c r="N1138" s="617">
        <f t="shared" si="37"/>
        <v>27</v>
      </c>
      <c r="O1138" s="617"/>
    </row>
    <row r="1139" spans="2:15" ht="15" x14ac:dyDescent="0.25">
      <c r="B1139" s="529">
        <v>1134001</v>
      </c>
      <c r="C1139" s="529">
        <v>1135</v>
      </c>
      <c r="E1139" s="534">
        <v>0</v>
      </c>
      <c r="F1139" s="534">
        <v>0</v>
      </c>
      <c r="G1139" s="534">
        <v>27</v>
      </c>
      <c r="I1139" s="534">
        <v>0</v>
      </c>
      <c r="J1139" s="534">
        <v>0</v>
      </c>
      <c r="K1139" s="534">
        <v>0</v>
      </c>
      <c r="M1139" s="617">
        <f t="shared" si="36"/>
        <v>0</v>
      </c>
      <c r="N1139" s="617">
        <f t="shared" si="37"/>
        <v>27</v>
      </c>
      <c r="O1139" s="617"/>
    </row>
    <row r="1140" spans="2:15" ht="15" x14ac:dyDescent="0.25">
      <c r="B1140" s="529">
        <v>1135001</v>
      </c>
      <c r="C1140" s="529">
        <v>1136</v>
      </c>
      <c r="E1140" s="534">
        <v>0</v>
      </c>
      <c r="F1140" s="534">
        <v>0</v>
      </c>
      <c r="G1140" s="534">
        <v>27</v>
      </c>
      <c r="I1140" s="534">
        <v>0</v>
      </c>
      <c r="J1140" s="534">
        <v>0</v>
      </c>
      <c r="K1140" s="534">
        <v>0</v>
      </c>
      <c r="M1140" s="617">
        <f t="shared" si="36"/>
        <v>0</v>
      </c>
      <c r="N1140" s="617">
        <f t="shared" si="37"/>
        <v>27</v>
      </c>
      <c r="O1140" s="617"/>
    </row>
    <row r="1141" spans="2:15" ht="15" x14ac:dyDescent="0.25">
      <c r="B1141" s="529">
        <v>1136001</v>
      </c>
      <c r="C1141" s="529">
        <v>1137</v>
      </c>
      <c r="E1141" s="534">
        <v>0</v>
      </c>
      <c r="F1141" s="534">
        <v>0</v>
      </c>
      <c r="G1141" s="534">
        <v>27</v>
      </c>
      <c r="I1141" s="534">
        <v>0</v>
      </c>
      <c r="J1141" s="534">
        <v>0</v>
      </c>
      <c r="K1141" s="534">
        <v>0</v>
      </c>
      <c r="M1141" s="617">
        <f t="shared" si="36"/>
        <v>0</v>
      </c>
      <c r="N1141" s="617">
        <f t="shared" si="37"/>
        <v>27</v>
      </c>
      <c r="O1141" s="617"/>
    </row>
    <row r="1142" spans="2:15" ht="15" x14ac:dyDescent="0.25">
      <c r="B1142" s="529">
        <v>1137001</v>
      </c>
      <c r="C1142" s="529">
        <v>1138</v>
      </c>
      <c r="E1142" s="534">
        <v>0</v>
      </c>
      <c r="F1142" s="534">
        <v>0</v>
      </c>
      <c r="G1142" s="534">
        <v>27</v>
      </c>
      <c r="I1142" s="534">
        <v>0</v>
      </c>
      <c r="J1142" s="534">
        <v>0</v>
      </c>
      <c r="K1142" s="534">
        <v>0</v>
      </c>
      <c r="M1142" s="617">
        <f t="shared" si="36"/>
        <v>0</v>
      </c>
      <c r="N1142" s="617">
        <f t="shared" si="37"/>
        <v>27</v>
      </c>
      <c r="O1142" s="617"/>
    </row>
    <row r="1143" spans="2:15" ht="15" x14ac:dyDescent="0.25">
      <c r="B1143" s="529">
        <v>1138001</v>
      </c>
      <c r="C1143" s="529">
        <v>1139</v>
      </c>
      <c r="E1143" s="534">
        <v>0</v>
      </c>
      <c r="F1143" s="534">
        <v>0</v>
      </c>
      <c r="G1143" s="534">
        <v>27</v>
      </c>
      <c r="I1143" s="534">
        <v>0</v>
      </c>
      <c r="J1143" s="534">
        <v>0</v>
      </c>
      <c r="K1143" s="534">
        <v>0</v>
      </c>
      <c r="M1143" s="617">
        <f t="shared" si="36"/>
        <v>0</v>
      </c>
      <c r="N1143" s="617">
        <f t="shared" si="37"/>
        <v>27</v>
      </c>
      <c r="O1143" s="617"/>
    </row>
    <row r="1144" spans="2:15" ht="15" x14ac:dyDescent="0.25">
      <c r="B1144" s="529">
        <v>1139001</v>
      </c>
      <c r="C1144" s="529">
        <v>1140</v>
      </c>
      <c r="E1144" s="534">
        <v>0</v>
      </c>
      <c r="F1144" s="534">
        <v>0</v>
      </c>
      <c r="G1144" s="534">
        <v>27</v>
      </c>
      <c r="I1144" s="534">
        <v>0</v>
      </c>
      <c r="J1144" s="534">
        <v>0</v>
      </c>
      <c r="K1144" s="534">
        <v>0</v>
      </c>
      <c r="M1144" s="617">
        <f t="shared" si="36"/>
        <v>0</v>
      </c>
      <c r="N1144" s="617">
        <f t="shared" si="37"/>
        <v>27</v>
      </c>
      <c r="O1144" s="617"/>
    </row>
    <row r="1145" spans="2:15" ht="15" x14ac:dyDescent="0.25">
      <c r="B1145" s="529">
        <v>1140001</v>
      </c>
      <c r="C1145" s="529">
        <v>1141</v>
      </c>
      <c r="E1145" s="534">
        <v>0</v>
      </c>
      <c r="F1145" s="534">
        <v>0</v>
      </c>
      <c r="G1145" s="534">
        <v>27</v>
      </c>
      <c r="I1145" s="534">
        <v>0</v>
      </c>
      <c r="J1145" s="534">
        <v>0</v>
      </c>
      <c r="K1145" s="534">
        <v>0</v>
      </c>
      <c r="M1145" s="617">
        <f t="shared" si="36"/>
        <v>0</v>
      </c>
      <c r="N1145" s="617">
        <f t="shared" si="37"/>
        <v>27</v>
      </c>
      <c r="O1145" s="617"/>
    </row>
    <row r="1146" spans="2:15" ht="15" x14ac:dyDescent="0.25">
      <c r="B1146" s="529">
        <v>1141001</v>
      </c>
      <c r="C1146" s="529">
        <v>1142</v>
      </c>
      <c r="E1146" s="534">
        <v>0</v>
      </c>
      <c r="F1146" s="534">
        <v>0</v>
      </c>
      <c r="G1146" s="534">
        <v>27</v>
      </c>
      <c r="I1146" s="534">
        <v>0</v>
      </c>
      <c r="J1146" s="534">
        <v>0</v>
      </c>
      <c r="K1146" s="534">
        <v>0</v>
      </c>
      <c r="M1146" s="617">
        <f t="shared" si="36"/>
        <v>0</v>
      </c>
      <c r="N1146" s="617">
        <f t="shared" si="37"/>
        <v>27</v>
      </c>
      <c r="O1146" s="617"/>
    </row>
    <row r="1147" spans="2:15" ht="15" x14ac:dyDescent="0.25">
      <c r="B1147" s="529">
        <v>1142001</v>
      </c>
      <c r="C1147" s="529">
        <v>1143</v>
      </c>
      <c r="E1147" s="534">
        <v>0</v>
      </c>
      <c r="F1147" s="534">
        <v>0</v>
      </c>
      <c r="G1147" s="534">
        <v>27</v>
      </c>
      <c r="I1147" s="534">
        <v>0</v>
      </c>
      <c r="J1147" s="534">
        <v>0</v>
      </c>
      <c r="K1147" s="534">
        <v>0</v>
      </c>
      <c r="M1147" s="617">
        <f t="shared" si="36"/>
        <v>0</v>
      </c>
      <c r="N1147" s="617">
        <f t="shared" si="37"/>
        <v>27</v>
      </c>
      <c r="O1147" s="617"/>
    </row>
    <row r="1148" spans="2:15" ht="15" x14ac:dyDescent="0.25">
      <c r="B1148" s="529">
        <v>1143001</v>
      </c>
      <c r="C1148" s="529">
        <v>1144</v>
      </c>
      <c r="E1148" s="534">
        <v>0</v>
      </c>
      <c r="F1148" s="534">
        <v>0</v>
      </c>
      <c r="G1148" s="534">
        <v>27</v>
      </c>
      <c r="I1148" s="534">
        <v>0</v>
      </c>
      <c r="J1148" s="534">
        <v>0</v>
      </c>
      <c r="K1148" s="534">
        <v>0</v>
      </c>
      <c r="M1148" s="617">
        <f t="shared" si="36"/>
        <v>0</v>
      </c>
      <c r="N1148" s="617">
        <f t="shared" si="37"/>
        <v>27</v>
      </c>
      <c r="O1148" s="617"/>
    </row>
    <row r="1149" spans="2:15" ht="15" x14ac:dyDescent="0.25">
      <c r="B1149" s="529">
        <v>1144001</v>
      </c>
      <c r="C1149" s="529">
        <v>1145</v>
      </c>
      <c r="E1149" s="534">
        <v>0</v>
      </c>
      <c r="F1149" s="534">
        <v>0</v>
      </c>
      <c r="G1149" s="534">
        <v>27</v>
      </c>
      <c r="I1149" s="534">
        <v>0</v>
      </c>
      <c r="J1149" s="534">
        <v>0</v>
      </c>
      <c r="K1149" s="534">
        <v>0</v>
      </c>
      <c r="M1149" s="617">
        <f t="shared" si="36"/>
        <v>0</v>
      </c>
      <c r="N1149" s="617">
        <f t="shared" si="37"/>
        <v>27</v>
      </c>
      <c r="O1149" s="617"/>
    </row>
    <row r="1150" spans="2:15" ht="15" x14ac:dyDescent="0.25">
      <c r="B1150" s="529">
        <v>1145001</v>
      </c>
      <c r="C1150" s="529">
        <v>1146</v>
      </c>
      <c r="E1150" s="534">
        <v>0</v>
      </c>
      <c r="F1150" s="534">
        <v>0</v>
      </c>
      <c r="G1150" s="534">
        <v>27</v>
      </c>
      <c r="I1150" s="534">
        <v>0</v>
      </c>
      <c r="J1150" s="534">
        <v>0</v>
      </c>
      <c r="K1150" s="534">
        <v>0</v>
      </c>
      <c r="M1150" s="617">
        <f t="shared" si="36"/>
        <v>0</v>
      </c>
      <c r="N1150" s="617">
        <f t="shared" si="37"/>
        <v>27</v>
      </c>
      <c r="O1150" s="617"/>
    </row>
    <row r="1151" spans="2:15" ht="15" x14ac:dyDescent="0.25">
      <c r="B1151" s="529">
        <v>1146001</v>
      </c>
      <c r="C1151" s="529">
        <v>1147</v>
      </c>
      <c r="E1151" s="534">
        <v>0</v>
      </c>
      <c r="F1151" s="534">
        <v>0</v>
      </c>
      <c r="G1151" s="534">
        <v>27</v>
      </c>
      <c r="I1151" s="534">
        <v>0</v>
      </c>
      <c r="J1151" s="534">
        <v>0</v>
      </c>
      <c r="K1151" s="534">
        <v>0</v>
      </c>
      <c r="M1151" s="617">
        <f t="shared" si="36"/>
        <v>0</v>
      </c>
      <c r="N1151" s="617">
        <f t="shared" si="37"/>
        <v>27</v>
      </c>
      <c r="O1151" s="617"/>
    </row>
    <row r="1152" spans="2:15" ht="15" x14ac:dyDescent="0.25">
      <c r="B1152" s="529">
        <v>1147001</v>
      </c>
      <c r="C1152" s="529">
        <v>1148</v>
      </c>
      <c r="E1152" s="534">
        <v>0</v>
      </c>
      <c r="F1152" s="534">
        <v>0</v>
      </c>
      <c r="G1152" s="534">
        <v>27</v>
      </c>
      <c r="I1152" s="534">
        <v>0</v>
      </c>
      <c r="J1152" s="534">
        <v>0</v>
      </c>
      <c r="K1152" s="534">
        <v>0</v>
      </c>
      <c r="M1152" s="617">
        <f t="shared" si="36"/>
        <v>0</v>
      </c>
      <c r="N1152" s="617">
        <f t="shared" si="37"/>
        <v>27</v>
      </c>
      <c r="O1152" s="617"/>
    </row>
    <row r="1153" spans="2:15" ht="15" x14ac:dyDescent="0.25">
      <c r="B1153" s="529">
        <v>1148001</v>
      </c>
      <c r="C1153" s="529">
        <v>1149</v>
      </c>
      <c r="E1153" s="534">
        <v>0</v>
      </c>
      <c r="F1153" s="534">
        <v>0</v>
      </c>
      <c r="G1153" s="534">
        <v>27</v>
      </c>
      <c r="I1153" s="534">
        <v>0</v>
      </c>
      <c r="J1153" s="534">
        <v>0</v>
      </c>
      <c r="K1153" s="534">
        <v>0</v>
      </c>
      <c r="M1153" s="617">
        <f t="shared" si="36"/>
        <v>0</v>
      </c>
      <c r="N1153" s="617">
        <f t="shared" si="37"/>
        <v>27</v>
      </c>
      <c r="O1153" s="617"/>
    </row>
    <row r="1154" spans="2:15" ht="15" x14ac:dyDescent="0.25">
      <c r="B1154" s="529">
        <v>1149001</v>
      </c>
      <c r="C1154" s="529">
        <v>1150</v>
      </c>
      <c r="E1154" s="534">
        <v>1</v>
      </c>
      <c r="F1154" s="534">
        <v>1150</v>
      </c>
      <c r="G1154" s="534">
        <v>27</v>
      </c>
      <c r="I1154" s="534">
        <v>0</v>
      </c>
      <c r="J1154" s="534">
        <v>0</v>
      </c>
      <c r="K1154" s="534">
        <v>0</v>
      </c>
      <c r="M1154" s="617">
        <f t="shared" si="36"/>
        <v>1</v>
      </c>
      <c r="N1154" s="617">
        <f t="shared" si="37"/>
        <v>27</v>
      </c>
      <c r="O1154" s="617"/>
    </row>
    <row r="1155" spans="2:15" ht="15" x14ac:dyDescent="0.25">
      <c r="B1155" s="529">
        <v>1150001</v>
      </c>
      <c r="C1155" s="529">
        <v>1151</v>
      </c>
      <c r="E1155" s="534">
        <v>0</v>
      </c>
      <c r="F1155" s="534">
        <v>0</v>
      </c>
      <c r="G1155" s="534">
        <v>26</v>
      </c>
      <c r="I1155" s="534">
        <v>0</v>
      </c>
      <c r="J1155" s="534">
        <v>0</v>
      </c>
      <c r="K1155" s="534">
        <v>0</v>
      </c>
      <c r="M1155" s="617">
        <f t="shared" si="36"/>
        <v>0</v>
      </c>
      <c r="N1155" s="617">
        <f t="shared" si="37"/>
        <v>26</v>
      </c>
      <c r="O1155" s="617"/>
    </row>
    <row r="1156" spans="2:15" ht="15" x14ac:dyDescent="0.25">
      <c r="B1156" s="529">
        <v>1151001</v>
      </c>
      <c r="C1156" s="529">
        <v>1152</v>
      </c>
      <c r="E1156" s="534">
        <v>0</v>
      </c>
      <c r="F1156" s="534">
        <v>0</v>
      </c>
      <c r="G1156" s="534">
        <v>26</v>
      </c>
      <c r="I1156" s="534">
        <v>0</v>
      </c>
      <c r="J1156" s="534">
        <v>0</v>
      </c>
      <c r="K1156" s="534">
        <v>0</v>
      </c>
      <c r="M1156" s="617">
        <f t="shared" si="36"/>
        <v>0</v>
      </c>
      <c r="N1156" s="617">
        <f t="shared" si="37"/>
        <v>26</v>
      </c>
      <c r="O1156" s="617"/>
    </row>
    <row r="1157" spans="2:15" ht="15" x14ac:dyDescent="0.25">
      <c r="B1157" s="529">
        <v>1152001</v>
      </c>
      <c r="C1157" s="529">
        <v>1153</v>
      </c>
      <c r="E1157" s="534">
        <v>0</v>
      </c>
      <c r="F1157" s="534">
        <v>0</v>
      </c>
      <c r="G1157" s="534">
        <v>26</v>
      </c>
      <c r="I1157" s="534">
        <v>0</v>
      </c>
      <c r="J1157" s="534">
        <v>0</v>
      </c>
      <c r="K1157" s="534">
        <v>0</v>
      </c>
      <c r="M1157" s="617">
        <f t="shared" ref="M1157:M1220" si="38">I1157+E1157</f>
        <v>0</v>
      </c>
      <c r="N1157" s="617">
        <f t="shared" ref="N1157:N1220" si="39">K1157+G1157</f>
        <v>26</v>
      </c>
      <c r="O1157" s="617"/>
    </row>
    <row r="1158" spans="2:15" ht="15" x14ac:dyDescent="0.25">
      <c r="B1158" s="529">
        <v>1153001</v>
      </c>
      <c r="C1158" s="529">
        <v>1154</v>
      </c>
      <c r="E1158" s="534">
        <v>0</v>
      </c>
      <c r="F1158" s="534">
        <v>0</v>
      </c>
      <c r="G1158" s="534">
        <v>26</v>
      </c>
      <c r="I1158" s="534">
        <v>0</v>
      </c>
      <c r="J1158" s="534">
        <v>0</v>
      </c>
      <c r="K1158" s="534">
        <v>0</v>
      </c>
      <c r="M1158" s="617">
        <f t="shared" si="38"/>
        <v>0</v>
      </c>
      <c r="N1158" s="617">
        <f t="shared" si="39"/>
        <v>26</v>
      </c>
      <c r="O1158" s="617"/>
    </row>
    <row r="1159" spans="2:15" ht="15" x14ac:dyDescent="0.25">
      <c r="B1159" s="529">
        <v>1154001</v>
      </c>
      <c r="C1159" s="529">
        <v>1155</v>
      </c>
      <c r="E1159" s="534">
        <v>0</v>
      </c>
      <c r="F1159" s="534">
        <v>0</v>
      </c>
      <c r="G1159" s="534">
        <v>26</v>
      </c>
      <c r="I1159" s="534">
        <v>0</v>
      </c>
      <c r="J1159" s="534">
        <v>0</v>
      </c>
      <c r="K1159" s="534">
        <v>0</v>
      </c>
      <c r="M1159" s="617">
        <f t="shared" si="38"/>
        <v>0</v>
      </c>
      <c r="N1159" s="617">
        <f t="shared" si="39"/>
        <v>26</v>
      </c>
      <c r="O1159" s="617"/>
    </row>
    <row r="1160" spans="2:15" ht="15" x14ac:dyDescent="0.25">
      <c r="B1160" s="529">
        <v>1155001</v>
      </c>
      <c r="C1160" s="529">
        <v>1156</v>
      </c>
      <c r="E1160" s="534">
        <v>0</v>
      </c>
      <c r="F1160" s="534">
        <v>0</v>
      </c>
      <c r="G1160" s="534">
        <v>26</v>
      </c>
      <c r="I1160" s="534">
        <v>0</v>
      </c>
      <c r="J1160" s="534">
        <v>0</v>
      </c>
      <c r="K1160" s="534">
        <v>0</v>
      </c>
      <c r="M1160" s="617">
        <f t="shared" si="38"/>
        <v>0</v>
      </c>
      <c r="N1160" s="617">
        <f t="shared" si="39"/>
        <v>26</v>
      </c>
      <c r="O1160" s="617"/>
    </row>
    <row r="1161" spans="2:15" ht="15" x14ac:dyDescent="0.25">
      <c r="B1161" s="529">
        <v>1156001</v>
      </c>
      <c r="C1161" s="529">
        <v>1157</v>
      </c>
      <c r="E1161" s="534">
        <v>0</v>
      </c>
      <c r="F1161" s="534">
        <v>0</v>
      </c>
      <c r="G1161" s="534">
        <v>26</v>
      </c>
      <c r="I1161" s="534">
        <v>0</v>
      </c>
      <c r="J1161" s="534">
        <v>0</v>
      </c>
      <c r="K1161" s="534">
        <v>0</v>
      </c>
      <c r="M1161" s="617">
        <f t="shared" si="38"/>
        <v>0</v>
      </c>
      <c r="N1161" s="617">
        <f t="shared" si="39"/>
        <v>26</v>
      </c>
      <c r="O1161" s="617"/>
    </row>
    <row r="1162" spans="2:15" ht="15" x14ac:dyDescent="0.25">
      <c r="B1162" s="529">
        <v>1157001</v>
      </c>
      <c r="C1162" s="529">
        <v>1158</v>
      </c>
      <c r="E1162" s="534">
        <v>0</v>
      </c>
      <c r="F1162" s="534">
        <v>0</v>
      </c>
      <c r="G1162" s="534">
        <v>26</v>
      </c>
      <c r="I1162" s="534">
        <v>0</v>
      </c>
      <c r="J1162" s="534">
        <v>0</v>
      </c>
      <c r="K1162" s="534">
        <v>0</v>
      </c>
      <c r="M1162" s="617">
        <f t="shared" si="38"/>
        <v>0</v>
      </c>
      <c r="N1162" s="617">
        <f t="shared" si="39"/>
        <v>26</v>
      </c>
      <c r="O1162" s="617"/>
    </row>
    <row r="1163" spans="2:15" ht="15" x14ac:dyDescent="0.25">
      <c r="B1163" s="529">
        <v>1158001</v>
      </c>
      <c r="C1163" s="529">
        <v>1159</v>
      </c>
      <c r="E1163" s="534">
        <v>0</v>
      </c>
      <c r="F1163" s="534">
        <v>0</v>
      </c>
      <c r="G1163" s="534">
        <v>26</v>
      </c>
      <c r="I1163" s="534">
        <v>0</v>
      </c>
      <c r="J1163" s="534">
        <v>0</v>
      </c>
      <c r="K1163" s="534">
        <v>0</v>
      </c>
      <c r="M1163" s="617">
        <f t="shared" si="38"/>
        <v>0</v>
      </c>
      <c r="N1163" s="617">
        <f t="shared" si="39"/>
        <v>26</v>
      </c>
      <c r="O1163" s="617"/>
    </row>
    <row r="1164" spans="2:15" ht="15" x14ac:dyDescent="0.25">
      <c r="B1164" s="529">
        <v>1159001</v>
      </c>
      <c r="C1164" s="529">
        <v>1160</v>
      </c>
      <c r="E1164" s="534">
        <v>0</v>
      </c>
      <c r="F1164" s="534">
        <v>0</v>
      </c>
      <c r="G1164" s="534">
        <v>26</v>
      </c>
      <c r="I1164" s="534">
        <v>0</v>
      </c>
      <c r="J1164" s="534">
        <v>0</v>
      </c>
      <c r="K1164" s="534">
        <v>0</v>
      </c>
      <c r="M1164" s="617">
        <f t="shared" si="38"/>
        <v>0</v>
      </c>
      <c r="N1164" s="617">
        <f t="shared" si="39"/>
        <v>26</v>
      </c>
      <c r="O1164" s="617"/>
    </row>
    <row r="1165" spans="2:15" ht="15" x14ac:dyDescent="0.25">
      <c r="B1165" s="529">
        <v>1160001</v>
      </c>
      <c r="C1165" s="529">
        <v>1161</v>
      </c>
      <c r="E1165" s="534">
        <v>0</v>
      </c>
      <c r="F1165" s="534">
        <v>0</v>
      </c>
      <c r="G1165" s="534">
        <v>26</v>
      </c>
      <c r="I1165" s="534">
        <v>0</v>
      </c>
      <c r="J1165" s="534">
        <v>0</v>
      </c>
      <c r="K1165" s="534">
        <v>0</v>
      </c>
      <c r="M1165" s="617">
        <f t="shared" si="38"/>
        <v>0</v>
      </c>
      <c r="N1165" s="617">
        <f t="shared" si="39"/>
        <v>26</v>
      </c>
      <c r="O1165" s="617"/>
    </row>
    <row r="1166" spans="2:15" ht="15" x14ac:dyDescent="0.25">
      <c r="B1166" s="529">
        <v>1161001</v>
      </c>
      <c r="C1166" s="529">
        <v>1162</v>
      </c>
      <c r="E1166" s="534">
        <v>0</v>
      </c>
      <c r="F1166" s="534">
        <v>0</v>
      </c>
      <c r="G1166" s="534">
        <v>26</v>
      </c>
      <c r="I1166" s="534">
        <v>0</v>
      </c>
      <c r="J1166" s="534">
        <v>0</v>
      </c>
      <c r="K1166" s="534">
        <v>0</v>
      </c>
      <c r="M1166" s="617">
        <f t="shared" si="38"/>
        <v>0</v>
      </c>
      <c r="N1166" s="617">
        <f t="shared" si="39"/>
        <v>26</v>
      </c>
      <c r="O1166" s="617"/>
    </row>
    <row r="1167" spans="2:15" ht="15" x14ac:dyDescent="0.25">
      <c r="B1167" s="529">
        <v>1162001</v>
      </c>
      <c r="C1167" s="529">
        <v>1163</v>
      </c>
      <c r="E1167" s="534">
        <v>0</v>
      </c>
      <c r="F1167" s="534">
        <v>0</v>
      </c>
      <c r="G1167" s="534">
        <v>26</v>
      </c>
      <c r="I1167" s="534">
        <v>0</v>
      </c>
      <c r="J1167" s="534">
        <v>0</v>
      </c>
      <c r="K1167" s="534">
        <v>0</v>
      </c>
      <c r="M1167" s="617">
        <f t="shared" si="38"/>
        <v>0</v>
      </c>
      <c r="N1167" s="617">
        <f t="shared" si="39"/>
        <v>26</v>
      </c>
      <c r="O1167" s="617"/>
    </row>
    <row r="1168" spans="2:15" ht="15" x14ac:dyDescent="0.25">
      <c r="B1168" s="529">
        <v>1163001</v>
      </c>
      <c r="C1168" s="529">
        <v>1164</v>
      </c>
      <c r="E1168" s="534">
        <v>0</v>
      </c>
      <c r="F1168" s="534">
        <v>0</v>
      </c>
      <c r="G1168" s="534">
        <v>26</v>
      </c>
      <c r="I1168" s="534">
        <v>0</v>
      </c>
      <c r="J1168" s="534">
        <v>0</v>
      </c>
      <c r="K1168" s="534">
        <v>0</v>
      </c>
      <c r="M1168" s="617">
        <f t="shared" si="38"/>
        <v>0</v>
      </c>
      <c r="N1168" s="617">
        <f t="shared" si="39"/>
        <v>26</v>
      </c>
      <c r="O1168" s="617"/>
    </row>
    <row r="1169" spans="2:15" ht="15" x14ac:dyDescent="0.25">
      <c r="B1169" s="529">
        <v>1164001</v>
      </c>
      <c r="C1169" s="529">
        <v>1165</v>
      </c>
      <c r="E1169" s="534">
        <v>0</v>
      </c>
      <c r="F1169" s="534">
        <v>0</v>
      </c>
      <c r="G1169" s="534">
        <v>26</v>
      </c>
      <c r="I1169" s="534">
        <v>0</v>
      </c>
      <c r="J1169" s="534">
        <v>0</v>
      </c>
      <c r="K1169" s="534">
        <v>0</v>
      </c>
      <c r="M1169" s="617">
        <f t="shared" si="38"/>
        <v>0</v>
      </c>
      <c r="N1169" s="617">
        <f t="shared" si="39"/>
        <v>26</v>
      </c>
      <c r="O1169" s="617"/>
    </row>
    <row r="1170" spans="2:15" ht="15" x14ac:dyDescent="0.25">
      <c r="B1170" s="529">
        <v>1165001</v>
      </c>
      <c r="C1170" s="529">
        <v>1166</v>
      </c>
      <c r="E1170" s="534">
        <v>0</v>
      </c>
      <c r="F1170" s="534">
        <v>0</v>
      </c>
      <c r="G1170" s="534">
        <v>26</v>
      </c>
      <c r="I1170" s="534">
        <v>0</v>
      </c>
      <c r="J1170" s="534">
        <v>0</v>
      </c>
      <c r="K1170" s="534">
        <v>0</v>
      </c>
      <c r="M1170" s="617">
        <f t="shared" si="38"/>
        <v>0</v>
      </c>
      <c r="N1170" s="617">
        <f t="shared" si="39"/>
        <v>26</v>
      </c>
      <c r="O1170" s="617"/>
    </row>
    <row r="1171" spans="2:15" ht="15" x14ac:dyDescent="0.25">
      <c r="B1171" s="529">
        <v>1166001</v>
      </c>
      <c r="C1171" s="529">
        <v>1167</v>
      </c>
      <c r="E1171" s="534">
        <v>0</v>
      </c>
      <c r="F1171" s="534">
        <v>0</v>
      </c>
      <c r="G1171" s="534">
        <v>26</v>
      </c>
      <c r="I1171" s="534">
        <v>0</v>
      </c>
      <c r="J1171" s="534">
        <v>0</v>
      </c>
      <c r="K1171" s="534">
        <v>0</v>
      </c>
      <c r="M1171" s="617">
        <f t="shared" si="38"/>
        <v>0</v>
      </c>
      <c r="N1171" s="617">
        <f t="shared" si="39"/>
        <v>26</v>
      </c>
      <c r="O1171" s="617"/>
    </row>
    <row r="1172" spans="2:15" ht="15" x14ac:dyDescent="0.25">
      <c r="B1172" s="529">
        <v>1167001</v>
      </c>
      <c r="C1172" s="529">
        <v>1168</v>
      </c>
      <c r="E1172" s="534">
        <v>0</v>
      </c>
      <c r="F1172" s="534">
        <v>0</v>
      </c>
      <c r="G1172" s="534">
        <v>26</v>
      </c>
      <c r="I1172" s="534">
        <v>0</v>
      </c>
      <c r="J1172" s="534">
        <v>0</v>
      </c>
      <c r="K1172" s="534">
        <v>0</v>
      </c>
      <c r="M1172" s="617">
        <f t="shared" si="38"/>
        <v>0</v>
      </c>
      <c r="N1172" s="617">
        <f t="shared" si="39"/>
        <v>26</v>
      </c>
      <c r="O1172" s="617"/>
    </row>
    <row r="1173" spans="2:15" ht="15" x14ac:dyDescent="0.25">
      <c r="B1173" s="529">
        <v>1168001</v>
      </c>
      <c r="C1173" s="529">
        <v>1169</v>
      </c>
      <c r="E1173" s="534">
        <v>0</v>
      </c>
      <c r="F1173" s="534">
        <v>0</v>
      </c>
      <c r="G1173" s="534">
        <v>26</v>
      </c>
      <c r="I1173" s="534">
        <v>0</v>
      </c>
      <c r="J1173" s="534">
        <v>0</v>
      </c>
      <c r="K1173" s="534">
        <v>0</v>
      </c>
      <c r="M1173" s="617">
        <f t="shared" si="38"/>
        <v>0</v>
      </c>
      <c r="N1173" s="617">
        <f t="shared" si="39"/>
        <v>26</v>
      </c>
      <c r="O1173" s="617"/>
    </row>
    <row r="1174" spans="2:15" ht="15" x14ac:dyDescent="0.25">
      <c r="B1174" s="529">
        <v>1169001</v>
      </c>
      <c r="C1174" s="529">
        <v>1170</v>
      </c>
      <c r="E1174" s="534">
        <v>0</v>
      </c>
      <c r="F1174" s="534">
        <v>0</v>
      </c>
      <c r="G1174" s="534">
        <v>26</v>
      </c>
      <c r="I1174" s="534">
        <v>0</v>
      </c>
      <c r="J1174" s="534">
        <v>0</v>
      </c>
      <c r="K1174" s="534">
        <v>0</v>
      </c>
      <c r="M1174" s="617">
        <f t="shared" si="38"/>
        <v>0</v>
      </c>
      <c r="N1174" s="617">
        <f t="shared" si="39"/>
        <v>26</v>
      </c>
      <c r="O1174" s="617"/>
    </row>
    <row r="1175" spans="2:15" ht="15" x14ac:dyDescent="0.25">
      <c r="B1175" s="529">
        <v>1170001</v>
      </c>
      <c r="C1175" s="529">
        <v>1171</v>
      </c>
      <c r="E1175" s="534">
        <v>0</v>
      </c>
      <c r="F1175" s="534">
        <v>0</v>
      </c>
      <c r="G1175" s="534">
        <v>26</v>
      </c>
      <c r="I1175" s="534">
        <v>0</v>
      </c>
      <c r="J1175" s="534">
        <v>0</v>
      </c>
      <c r="K1175" s="534">
        <v>0</v>
      </c>
      <c r="M1175" s="617">
        <f t="shared" si="38"/>
        <v>0</v>
      </c>
      <c r="N1175" s="617">
        <f t="shared" si="39"/>
        <v>26</v>
      </c>
      <c r="O1175" s="617"/>
    </row>
    <row r="1176" spans="2:15" ht="15" x14ac:dyDescent="0.25">
      <c r="B1176" s="529">
        <v>1171001</v>
      </c>
      <c r="C1176" s="529">
        <v>1172</v>
      </c>
      <c r="E1176" s="534">
        <v>0</v>
      </c>
      <c r="F1176" s="534">
        <v>0</v>
      </c>
      <c r="G1176" s="534">
        <v>26</v>
      </c>
      <c r="I1176" s="534">
        <v>0</v>
      </c>
      <c r="J1176" s="534">
        <v>0</v>
      </c>
      <c r="K1176" s="534">
        <v>0</v>
      </c>
      <c r="M1176" s="617">
        <f t="shared" si="38"/>
        <v>0</v>
      </c>
      <c r="N1176" s="617">
        <f t="shared" si="39"/>
        <v>26</v>
      </c>
      <c r="O1176" s="617"/>
    </row>
    <row r="1177" spans="2:15" ht="15" x14ac:dyDescent="0.25">
      <c r="B1177" s="529">
        <v>1172001</v>
      </c>
      <c r="C1177" s="529">
        <v>1173</v>
      </c>
      <c r="E1177" s="534">
        <v>0</v>
      </c>
      <c r="F1177" s="534">
        <v>0</v>
      </c>
      <c r="G1177" s="534">
        <v>26</v>
      </c>
      <c r="I1177" s="534">
        <v>0</v>
      </c>
      <c r="J1177" s="534">
        <v>0</v>
      </c>
      <c r="K1177" s="534">
        <v>0</v>
      </c>
      <c r="M1177" s="617">
        <f t="shared" si="38"/>
        <v>0</v>
      </c>
      <c r="N1177" s="617">
        <f t="shared" si="39"/>
        <v>26</v>
      </c>
      <c r="O1177" s="617"/>
    </row>
    <row r="1178" spans="2:15" ht="15" x14ac:dyDescent="0.25">
      <c r="B1178" s="529">
        <v>1173001</v>
      </c>
      <c r="C1178" s="529">
        <v>1174</v>
      </c>
      <c r="E1178" s="534">
        <v>0</v>
      </c>
      <c r="F1178" s="534">
        <v>0</v>
      </c>
      <c r="G1178" s="534">
        <v>26</v>
      </c>
      <c r="I1178" s="534">
        <v>0</v>
      </c>
      <c r="J1178" s="534">
        <v>0</v>
      </c>
      <c r="K1178" s="534">
        <v>0</v>
      </c>
      <c r="M1178" s="617">
        <f t="shared" si="38"/>
        <v>0</v>
      </c>
      <c r="N1178" s="617">
        <f t="shared" si="39"/>
        <v>26</v>
      </c>
      <c r="O1178" s="617"/>
    </row>
    <row r="1179" spans="2:15" ht="15" x14ac:dyDescent="0.25">
      <c r="B1179" s="529">
        <v>1174001</v>
      </c>
      <c r="C1179" s="529">
        <v>1175</v>
      </c>
      <c r="E1179" s="534">
        <v>0</v>
      </c>
      <c r="F1179" s="534">
        <v>0</v>
      </c>
      <c r="G1179" s="534">
        <v>26</v>
      </c>
      <c r="I1179" s="534">
        <v>0</v>
      </c>
      <c r="J1179" s="534">
        <v>0</v>
      </c>
      <c r="K1179" s="534">
        <v>0</v>
      </c>
      <c r="M1179" s="617">
        <f t="shared" si="38"/>
        <v>0</v>
      </c>
      <c r="N1179" s="617">
        <f t="shared" si="39"/>
        <v>26</v>
      </c>
      <c r="O1179" s="617"/>
    </row>
    <row r="1180" spans="2:15" ht="15" x14ac:dyDescent="0.25">
      <c r="B1180" s="529">
        <v>1175001</v>
      </c>
      <c r="C1180" s="529">
        <v>1176</v>
      </c>
      <c r="E1180" s="534">
        <v>0</v>
      </c>
      <c r="F1180" s="534">
        <v>0</v>
      </c>
      <c r="G1180" s="534">
        <v>26</v>
      </c>
      <c r="I1180" s="534">
        <v>0</v>
      </c>
      <c r="J1180" s="534">
        <v>0</v>
      </c>
      <c r="K1180" s="534">
        <v>0</v>
      </c>
      <c r="M1180" s="617">
        <f t="shared" si="38"/>
        <v>0</v>
      </c>
      <c r="N1180" s="617">
        <f t="shared" si="39"/>
        <v>26</v>
      </c>
      <c r="O1180" s="617"/>
    </row>
    <row r="1181" spans="2:15" ht="15" x14ac:dyDescent="0.25">
      <c r="B1181" s="529">
        <v>1176001</v>
      </c>
      <c r="C1181" s="529">
        <v>1177</v>
      </c>
      <c r="E1181" s="534">
        <v>0</v>
      </c>
      <c r="F1181" s="534">
        <v>0</v>
      </c>
      <c r="G1181" s="534">
        <v>26</v>
      </c>
      <c r="I1181" s="534">
        <v>0</v>
      </c>
      <c r="J1181" s="534">
        <v>0</v>
      </c>
      <c r="K1181" s="534">
        <v>0</v>
      </c>
      <c r="M1181" s="617">
        <f t="shared" si="38"/>
        <v>0</v>
      </c>
      <c r="N1181" s="617">
        <f t="shared" si="39"/>
        <v>26</v>
      </c>
      <c r="O1181" s="617"/>
    </row>
    <row r="1182" spans="2:15" ht="15" x14ac:dyDescent="0.25">
      <c r="B1182" s="529">
        <v>1177001</v>
      </c>
      <c r="C1182" s="529">
        <v>1178</v>
      </c>
      <c r="E1182" s="534">
        <v>0</v>
      </c>
      <c r="F1182" s="534">
        <v>0</v>
      </c>
      <c r="G1182" s="534">
        <v>26</v>
      </c>
      <c r="I1182" s="534">
        <v>0</v>
      </c>
      <c r="J1182" s="534">
        <v>0</v>
      </c>
      <c r="K1182" s="534">
        <v>0</v>
      </c>
      <c r="M1182" s="617">
        <f t="shared" si="38"/>
        <v>0</v>
      </c>
      <c r="N1182" s="617">
        <f t="shared" si="39"/>
        <v>26</v>
      </c>
      <c r="O1182" s="617"/>
    </row>
    <row r="1183" spans="2:15" ht="15" x14ac:dyDescent="0.25">
      <c r="B1183" s="529">
        <v>1178001</v>
      </c>
      <c r="C1183" s="529">
        <v>1179</v>
      </c>
      <c r="E1183" s="534">
        <v>0</v>
      </c>
      <c r="F1183" s="534">
        <v>0</v>
      </c>
      <c r="G1183" s="534">
        <v>26</v>
      </c>
      <c r="I1183" s="534">
        <v>0</v>
      </c>
      <c r="J1183" s="534">
        <v>0</v>
      </c>
      <c r="K1183" s="534">
        <v>0</v>
      </c>
      <c r="M1183" s="617">
        <f t="shared" si="38"/>
        <v>0</v>
      </c>
      <c r="N1183" s="617">
        <f t="shared" si="39"/>
        <v>26</v>
      </c>
      <c r="O1183" s="617"/>
    </row>
    <row r="1184" spans="2:15" ht="15" x14ac:dyDescent="0.25">
      <c r="B1184" s="529">
        <v>1179001</v>
      </c>
      <c r="C1184" s="529">
        <v>1180</v>
      </c>
      <c r="E1184" s="534">
        <v>0</v>
      </c>
      <c r="F1184" s="534">
        <v>0</v>
      </c>
      <c r="G1184" s="534">
        <v>26</v>
      </c>
      <c r="I1184" s="534">
        <v>0</v>
      </c>
      <c r="J1184" s="534">
        <v>0</v>
      </c>
      <c r="K1184" s="534">
        <v>0</v>
      </c>
      <c r="M1184" s="617">
        <f t="shared" si="38"/>
        <v>0</v>
      </c>
      <c r="N1184" s="617">
        <f t="shared" si="39"/>
        <v>26</v>
      </c>
      <c r="O1184" s="617"/>
    </row>
    <row r="1185" spans="2:15" ht="15" x14ac:dyDescent="0.25">
      <c r="B1185" s="529">
        <v>1180001</v>
      </c>
      <c r="C1185" s="529">
        <v>1181</v>
      </c>
      <c r="E1185" s="534">
        <v>0</v>
      </c>
      <c r="F1185" s="534">
        <v>0</v>
      </c>
      <c r="G1185" s="534">
        <v>26</v>
      </c>
      <c r="I1185" s="534">
        <v>0</v>
      </c>
      <c r="J1185" s="534">
        <v>0</v>
      </c>
      <c r="K1185" s="534">
        <v>0</v>
      </c>
      <c r="M1185" s="617">
        <f t="shared" si="38"/>
        <v>0</v>
      </c>
      <c r="N1185" s="617">
        <f t="shared" si="39"/>
        <v>26</v>
      </c>
      <c r="O1185" s="617"/>
    </row>
    <row r="1186" spans="2:15" ht="15" x14ac:dyDescent="0.25">
      <c r="B1186" s="529">
        <v>1181001</v>
      </c>
      <c r="C1186" s="529">
        <v>1182</v>
      </c>
      <c r="E1186" s="534">
        <v>1</v>
      </c>
      <c r="F1186" s="534">
        <v>1182</v>
      </c>
      <c r="G1186" s="534">
        <v>26</v>
      </c>
      <c r="I1186" s="534">
        <v>0</v>
      </c>
      <c r="J1186" s="534">
        <v>0</v>
      </c>
      <c r="K1186" s="534">
        <v>0</v>
      </c>
      <c r="M1186" s="617">
        <f t="shared" si="38"/>
        <v>1</v>
      </c>
      <c r="N1186" s="617">
        <f t="shared" si="39"/>
        <v>26</v>
      </c>
      <c r="O1186" s="617"/>
    </row>
    <row r="1187" spans="2:15" ht="15" x14ac:dyDescent="0.25">
      <c r="B1187" s="529">
        <v>1182001</v>
      </c>
      <c r="C1187" s="529">
        <v>1183</v>
      </c>
      <c r="E1187" s="534">
        <v>0</v>
      </c>
      <c r="F1187" s="534">
        <v>0</v>
      </c>
      <c r="G1187" s="534">
        <v>25</v>
      </c>
      <c r="I1187" s="534">
        <v>0</v>
      </c>
      <c r="J1187" s="534">
        <v>0</v>
      </c>
      <c r="K1187" s="534">
        <v>0</v>
      </c>
      <c r="M1187" s="617">
        <f t="shared" si="38"/>
        <v>0</v>
      </c>
      <c r="N1187" s="617">
        <f t="shared" si="39"/>
        <v>25</v>
      </c>
      <c r="O1187" s="617"/>
    </row>
    <row r="1188" spans="2:15" ht="15" x14ac:dyDescent="0.25">
      <c r="B1188" s="529">
        <v>1183001</v>
      </c>
      <c r="C1188" s="529">
        <v>1184</v>
      </c>
      <c r="E1188" s="534">
        <v>0</v>
      </c>
      <c r="F1188" s="534">
        <v>0</v>
      </c>
      <c r="G1188" s="534">
        <v>25</v>
      </c>
      <c r="I1188" s="534">
        <v>0</v>
      </c>
      <c r="J1188" s="534">
        <v>0</v>
      </c>
      <c r="K1188" s="534">
        <v>0</v>
      </c>
      <c r="M1188" s="617">
        <f t="shared" si="38"/>
        <v>0</v>
      </c>
      <c r="N1188" s="617">
        <f t="shared" si="39"/>
        <v>25</v>
      </c>
      <c r="O1188" s="617"/>
    </row>
    <row r="1189" spans="2:15" ht="15" x14ac:dyDescent="0.25">
      <c r="B1189" s="529">
        <v>1184001</v>
      </c>
      <c r="C1189" s="529">
        <v>1185</v>
      </c>
      <c r="E1189" s="534">
        <v>0</v>
      </c>
      <c r="F1189" s="534">
        <v>0</v>
      </c>
      <c r="G1189" s="534">
        <v>25</v>
      </c>
      <c r="I1189" s="534">
        <v>0</v>
      </c>
      <c r="J1189" s="534">
        <v>0</v>
      </c>
      <c r="K1189" s="534">
        <v>0</v>
      </c>
      <c r="M1189" s="617">
        <f t="shared" si="38"/>
        <v>0</v>
      </c>
      <c r="N1189" s="617">
        <f t="shared" si="39"/>
        <v>25</v>
      </c>
      <c r="O1189" s="617"/>
    </row>
    <row r="1190" spans="2:15" ht="15" x14ac:dyDescent="0.25">
      <c r="B1190" s="529">
        <v>1185001</v>
      </c>
      <c r="C1190" s="529">
        <v>1186</v>
      </c>
      <c r="E1190" s="534">
        <v>0</v>
      </c>
      <c r="F1190" s="534">
        <v>0</v>
      </c>
      <c r="G1190" s="534">
        <v>25</v>
      </c>
      <c r="I1190" s="534">
        <v>0</v>
      </c>
      <c r="J1190" s="534">
        <v>0</v>
      </c>
      <c r="K1190" s="534">
        <v>0</v>
      </c>
      <c r="M1190" s="617">
        <f t="shared" si="38"/>
        <v>0</v>
      </c>
      <c r="N1190" s="617">
        <f t="shared" si="39"/>
        <v>25</v>
      </c>
      <c r="O1190" s="617"/>
    </row>
    <row r="1191" spans="2:15" ht="15" x14ac:dyDescent="0.25">
      <c r="B1191" s="529">
        <v>1186001</v>
      </c>
      <c r="C1191" s="529">
        <v>1187</v>
      </c>
      <c r="E1191" s="534">
        <v>0</v>
      </c>
      <c r="F1191" s="534">
        <v>0</v>
      </c>
      <c r="G1191" s="534">
        <v>25</v>
      </c>
      <c r="I1191" s="534">
        <v>0</v>
      </c>
      <c r="J1191" s="534">
        <v>0</v>
      </c>
      <c r="K1191" s="534">
        <v>0</v>
      </c>
      <c r="M1191" s="617">
        <f t="shared" si="38"/>
        <v>0</v>
      </c>
      <c r="N1191" s="617">
        <f t="shared" si="39"/>
        <v>25</v>
      </c>
      <c r="O1191" s="617"/>
    </row>
    <row r="1192" spans="2:15" ht="15" x14ac:dyDescent="0.25">
      <c r="B1192" s="529">
        <v>1187001</v>
      </c>
      <c r="C1192" s="529">
        <v>1188</v>
      </c>
      <c r="E1192" s="534">
        <v>0</v>
      </c>
      <c r="F1192" s="534">
        <v>0</v>
      </c>
      <c r="G1192" s="534">
        <v>25</v>
      </c>
      <c r="I1192" s="534">
        <v>0</v>
      </c>
      <c r="J1192" s="534">
        <v>0</v>
      </c>
      <c r="K1192" s="534">
        <v>0</v>
      </c>
      <c r="M1192" s="617">
        <f t="shared" si="38"/>
        <v>0</v>
      </c>
      <c r="N1192" s="617">
        <f t="shared" si="39"/>
        <v>25</v>
      </c>
      <c r="O1192" s="617"/>
    </row>
    <row r="1193" spans="2:15" ht="15" x14ac:dyDescent="0.25">
      <c r="B1193" s="529">
        <v>1188001</v>
      </c>
      <c r="C1193" s="529">
        <v>1189</v>
      </c>
      <c r="E1193" s="534">
        <v>0</v>
      </c>
      <c r="F1193" s="534">
        <v>0</v>
      </c>
      <c r="G1193" s="534">
        <v>25</v>
      </c>
      <c r="I1193" s="534">
        <v>0</v>
      </c>
      <c r="J1193" s="534">
        <v>0</v>
      </c>
      <c r="K1193" s="534">
        <v>0</v>
      </c>
      <c r="M1193" s="617">
        <f t="shared" si="38"/>
        <v>0</v>
      </c>
      <c r="N1193" s="617">
        <f t="shared" si="39"/>
        <v>25</v>
      </c>
      <c r="O1193" s="617"/>
    </row>
    <row r="1194" spans="2:15" ht="15" x14ac:dyDescent="0.25">
      <c r="B1194" s="529">
        <v>1189001</v>
      </c>
      <c r="C1194" s="529">
        <v>1190</v>
      </c>
      <c r="E1194" s="534">
        <v>0</v>
      </c>
      <c r="F1194" s="534">
        <v>0</v>
      </c>
      <c r="G1194" s="534">
        <v>25</v>
      </c>
      <c r="I1194" s="534">
        <v>0</v>
      </c>
      <c r="J1194" s="534">
        <v>0</v>
      </c>
      <c r="K1194" s="534">
        <v>0</v>
      </c>
      <c r="M1194" s="617">
        <f t="shared" si="38"/>
        <v>0</v>
      </c>
      <c r="N1194" s="617">
        <f t="shared" si="39"/>
        <v>25</v>
      </c>
      <c r="O1194" s="617"/>
    </row>
    <row r="1195" spans="2:15" ht="15" x14ac:dyDescent="0.25">
      <c r="B1195" s="529">
        <v>1190001</v>
      </c>
      <c r="C1195" s="529">
        <v>1191</v>
      </c>
      <c r="E1195" s="534">
        <v>0</v>
      </c>
      <c r="F1195" s="534">
        <v>0</v>
      </c>
      <c r="G1195" s="534">
        <v>25</v>
      </c>
      <c r="I1195" s="534">
        <v>0</v>
      </c>
      <c r="J1195" s="534">
        <v>0</v>
      </c>
      <c r="K1195" s="534">
        <v>0</v>
      </c>
      <c r="M1195" s="617">
        <f t="shared" si="38"/>
        <v>0</v>
      </c>
      <c r="N1195" s="617">
        <f t="shared" si="39"/>
        <v>25</v>
      </c>
      <c r="O1195" s="617"/>
    </row>
    <row r="1196" spans="2:15" ht="15" x14ac:dyDescent="0.25">
      <c r="B1196" s="529">
        <v>1191001</v>
      </c>
      <c r="C1196" s="529">
        <v>1192</v>
      </c>
      <c r="E1196" s="534">
        <v>0</v>
      </c>
      <c r="F1196" s="534">
        <v>0</v>
      </c>
      <c r="G1196" s="534">
        <v>25</v>
      </c>
      <c r="I1196" s="534">
        <v>0</v>
      </c>
      <c r="J1196" s="534">
        <v>0</v>
      </c>
      <c r="K1196" s="534">
        <v>0</v>
      </c>
      <c r="M1196" s="617">
        <f t="shared" si="38"/>
        <v>0</v>
      </c>
      <c r="N1196" s="617">
        <f t="shared" si="39"/>
        <v>25</v>
      </c>
      <c r="O1196" s="617"/>
    </row>
    <row r="1197" spans="2:15" ht="15" x14ac:dyDescent="0.25">
      <c r="B1197" s="529">
        <v>1192001</v>
      </c>
      <c r="C1197" s="529">
        <v>1193</v>
      </c>
      <c r="E1197" s="534">
        <v>0</v>
      </c>
      <c r="F1197" s="534">
        <v>0</v>
      </c>
      <c r="G1197" s="534">
        <v>25</v>
      </c>
      <c r="I1197" s="534">
        <v>0</v>
      </c>
      <c r="J1197" s="534">
        <v>0</v>
      </c>
      <c r="K1197" s="534">
        <v>0</v>
      </c>
      <c r="M1197" s="617">
        <f t="shared" si="38"/>
        <v>0</v>
      </c>
      <c r="N1197" s="617">
        <f t="shared" si="39"/>
        <v>25</v>
      </c>
      <c r="O1197" s="617"/>
    </row>
    <row r="1198" spans="2:15" ht="15" x14ac:dyDescent="0.25">
      <c r="B1198" s="529">
        <v>1193001</v>
      </c>
      <c r="C1198" s="529">
        <v>1194</v>
      </c>
      <c r="E1198" s="534">
        <v>0</v>
      </c>
      <c r="F1198" s="534">
        <v>0</v>
      </c>
      <c r="G1198" s="534">
        <v>25</v>
      </c>
      <c r="I1198" s="534">
        <v>0</v>
      </c>
      <c r="J1198" s="534">
        <v>0</v>
      </c>
      <c r="K1198" s="534">
        <v>0</v>
      </c>
      <c r="M1198" s="617">
        <f t="shared" si="38"/>
        <v>0</v>
      </c>
      <c r="N1198" s="617">
        <f t="shared" si="39"/>
        <v>25</v>
      </c>
      <c r="O1198" s="617"/>
    </row>
    <row r="1199" spans="2:15" ht="15" x14ac:dyDescent="0.25">
      <c r="B1199" s="529">
        <v>1194001</v>
      </c>
      <c r="C1199" s="529">
        <v>1195</v>
      </c>
      <c r="E1199" s="534">
        <v>0</v>
      </c>
      <c r="F1199" s="534">
        <v>0</v>
      </c>
      <c r="G1199" s="534">
        <v>25</v>
      </c>
      <c r="I1199" s="534">
        <v>0</v>
      </c>
      <c r="J1199" s="534">
        <v>0</v>
      </c>
      <c r="K1199" s="534">
        <v>0</v>
      </c>
      <c r="M1199" s="617">
        <f t="shared" si="38"/>
        <v>0</v>
      </c>
      <c r="N1199" s="617">
        <f t="shared" si="39"/>
        <v>25</v>
      </c>
      <c r="O1199" s="617"/>
    </row>
    <row r="1200" spans="2:15" ht="15" x14ac:dyDescent="0.25">
      <c r="B1200" s="529">
        <v>1195001</v>
      </c>
      <c r="C1200" s="529">
        <v>1196</v>
      </c>
      <c r="E1200" s="534">
        <v>0</v>
      </c>
      <c r="F1200" s="534">
        <v>0</v>
      </c>
      <c r="G1200" s="534">
        <v>25</v>
      </c>
      <c r="I1200" s="534">
        <v>0</v>
      </c>
      <c r="J1200" s="534">
        <v>0</v>
      </c>
      <c r="K1200" s="534">
        <v>0</v>
      </c>
      <c r="M1200" s="617">
        <f t="shared" si="38"/>
        <v>0</v>
      </c>
      <c r="N1200" s="617">
        <f t="shared" si="39"/>
        <v>25</v>
      </c>
      <c r="O1200" s="617"/>
    </row>
    <row r="1201" spans="2:15" ht="15" x14ac:dyDescent="0.25">
      <c r="B1201" s="529">
        <v>1196001</v>
      </c>
      <c r="C1201" s="529">
        <v>1197</v>
      </c>
      <c r="E1201" s="534">
        <v>0</v>
      </c>
      <c r="F1201" s="534">
        <v>0</v>
      </c>
      <c r="G1201" s="534">
        <v>25</v>
      </c>
      <c r="I1201" s="534">
        <v>0</v>
      </c>
      <c r="J1201" s="534">
        <v>0</v>
      </c>
      <c r="K1201" s="534">
        <v>0</v>
      </c>
      <c r="M1201" s="617">
        <f t="shared" si="38"/>
        <v>0</v>
      </c>
      <c r="N1201" s="617">
        <f t="shared" si="39"/>
        <v>25</v>
      </c>
      <c r="O1201" s="617"/>
    </row>
    <row r="1202" spans="2:15" ht="15" x14ac:dyDescent="0.25">
      <c r="B1202" s="529">
        <v>1197001</v>
      </c>
      <c r="C1202" s="529">
        <v>1198</v>
      </c>
      <c r="E1202" s="534">
        <v>0</v>
      </c>
      <c r="F1202" s="534">
        <v>0</v>
      </c>
      <c r="G1202" s="534">
        <v>25</v>
      </c>
      <c r="I1202" s="534">
        <v>0</v>
      </c>
      <c r="J1202" s="534">
        <v>0</v>
      </c>
      <c r="K1202" s="534">
        <v>0</v>
      </c>
      <c r="M1202" s="617">
        <f t="shared" si="38"/>
        <v>0</v>
      </c>
      <c r="N1202" s="617">
        <f t="shared" si="39"/>
        <v>25</v>
      </c>
      <c r="O1202" s="617"/>
    </row>
    <row r="1203" spans="2:15" ht="15" x14ac:dyDescent="0.25">
      <c r="B1203" s="529">
        <v>1198001</v>
      </c>
      <c r="C1203" s="529">
        <v>1199</v>
      </c>
      <c r="E1203" s="534">
        <v>0</v>
      </c>
      <c r="F1203" s="534">
        <v>0</v>
      </c>
      <c r="G1203" s="534">
        <v>25</v>
      </c>
      <c r="I1203" s="534">
        <v>0</v>
      </c>
      <c r="J1203" s="534">
        <v>0</v>
      </c>
      <c r="K1203" s="534">
        <v>0</v>
      </c>
      <c r="M1203" s="617">
        <f t="shared" si="38"/>
        <v>0</v>
      </c>
      <c r="N1203" s="617">
        <f t="shared" si="39"/>
        <v>25</v>
      </c>
      <c r="O1203" s="617"/>
    </row>
    <row r="1204" spans="2:15" ht="15" x14ac:dyDescent="0.25">
      <c r="B1204" s="529">
        <v>1199001</v>
      </c>
      <c r="C1204" s="529">
        <v>1200</v>
      </c>
      <c r="E1204" s="534">
        <v>0</v>
      </c>
      <c r="F1204" s="534">
        <v>0</v>
      </c>
      <c r="G1204" s="534">
        <v>25</v>
      </c>
      <c r="I1204" s="534">
        <v>0</v>
      </c>
      <c r="J1204" s="534">
        <v>0</v>
      </c>
      <c r="K1204" s="534">
        <v>0</v>
      </c>
      <c r="M1204" s="617">
        <f t="shared" si="38"/>
        <v>0</v>
      </c>
      <c r="N1204" s="617">
        <f t="shared" si="39"/>
        <v>25</v>
      </c>
      <c r="O1204" s="617"/>
    </row>
    <row r="1205" spans="2:15" ht="15" x14ac:dyDescent="0.25">
      <c r="B1205" s="529">
        <v>1200001</v>
      </c>
      <c r="C1205" s="529">
        <v>1201</v>
      </c>
      <c r="E1205" s="534">
        <v>0</v>
      </c>
      <c r="F1205" s="534">
        <v>0</v>
      </c>
      <c r="G1205" s="534">
        <v>25</v>
      </c>
      <c r="I1205" s="534">
        <v>0</v>
      </c>
      <c r="J1205" s="534">
        <v>0</v>
      </c>
      <c r="K1205" s="534">
        <v>0</v>
      </c>
      <c r="M1205" s="617">
        <f t="shared" si="38"/>
        <v>0</v>
      </c>
      <c r="N1205" s="617">
        <f t="shared" si="39"/>
        <v>25</v>
      </c>
      <c r="O1205" s="617"/>
    </row>
    <row r="1206" spans="2:15" ht="15" x14ac:dyDescent="0.25">
      <c r="B1206" s="529">
        <v>1201001</v>
      </c>
      <c r="C1206" s="529">
        <v>1202</v>
      </c>
      <c r="E1206" s="534">
        <v>0</v>
      </c>
      <c r="F1206" s="534">
        <v>0</v>
      </c>
      <c r="G1206" s="534">
        <v>25</v>
      </c>
      <c r="I1206" s="534">
        <v>0</v>
      </c>
      <c r="J1206" s="534">
        <v>0</v>
      </c>
      <c r="K1206" s="534">
        <v>0</v>
      </c>
      <c r="M1206" s="617">
        <f t="shared" si="38"/>
        <v>0</v>
      </c>
      <c r="N1206" s="617">
        <f t="shared" si="39"/>
        <v>25</v>
      </c>
      <c r="O1206" s="617"/>
    </row>
    <row r="1207" spans="2:15" ht="15" x14ac:dyDescent="0.25">
      <c r="B1207" s="529">
        <v>1202001</v>
      </c>
      <c r="C1207" s="529">
        <v>1203</v>
      </c>
      <c r="E1207" s="534">
        <v>0</v>
      </c>
      <c r="F1207" s="534">
        <v>0</v>
      </c>
      <c r="G1207" s="534">
        <v>25</v>
      </c>
      <c r="I1207" s="534">
        <v>0</v>
      </c>
      <c r="J1207" s="534">
        <v>0</v>
      </c>
      <c r="K1207" s="534">
        <v>0</v>
      </c>
      <c r="M1207" s="617">
        <f t="shared" si="38"/>
        <v>0</v>
      </c>
      <c r="N1207" s="617">
        <f t="shared" si="39"/>
        <v>25</v>
      </c>
      <c r="O1207" s="617"/>
    </row>
    <row r="1208" spans="2:15" ht="15" x14ac:dyDescent="0.25">
      <c r="B1208" s="529">
        <v>1203001</v>
      </c>
      <c r="C1208" s="529">
        <v>1204</v>
      </c>
      <c r="E1208" s="534">
        <v>0</v>
      </c>
      <c r="F1208" s="534">
        <v>0</v>
      </c>
      <c r="G1208" s="534">
        <v>25</v>
      </c>
      <c r="I1208" s="534">
        <v>0</v>
      </c>
      <c r="J1208" s="534">
        <v>0</v>
      </c>
      <c r="K1208" s="534">
        <v>0</v>
      </c>
      <c r="M1208" s="617">
        <f t="shared" si="38"/>
        <v>0</v>
      </c>
      <c r="N1208" s="617">
        <f t="shared" si="39"/>
        <v>25</v>
      </c>
      <c r="O1208" s="617"/>
    </row>
    <row r="1209" spans="2:15" ht="15" x14ac:dyDescent="0.25">
      <c r="B1209" s="529">
        <v>1204001</v>
      </c>
      <c r="C1209" s="529">
        <v>1205</v>
      </c>
      <c r="E1209" s="534">
        <v>0</v>
      </c>
      <c r="F1209" s="534">
        <v>0</v>
      </c>
      <c r="G1209" s="534">
        <v>25</v>
      </c>
      <c r="I1209" s="534">
        <v>0</v>
      </c>
      <c r="J1209" s="534">
        <v>0</v>
      </c>
      <c r="K1209" s="534">
        <v>0</v>
      </c>
      <c r="M1209" s="617">
        <f t="shared" si="38"/>
        <v>0</v>
      </c>
      <c r="N1209" s="617">
        <f t="shared" si="39"/>
        <v>25</v>
      </c>
      <c r="O1209" s="617"/>
    </row>
    <row r="1210" spans="2:15" ht="15" x14ac:dyDescent="0.25">
      <c r="B1210" s="529">
        <v>1205001</v>
      </c>
      <c r="C1210" s="529">
        <v>1206</v>
      </c>
      <c r="E1210" s="534">
        <v>0</v>
      </c>
      <c r="F1210" s="534">
        <v>0</v>
      </c>
      <c r="G1210" s="534">
        <v>25</v>
      </c>
      <c r="I1210" s="534">
        <v>0</v>
      </c>
      <c r="J1210" s="534">
        <v>0</v>
      </c>
      <c r="K1210" s="534">
        <v>0</v>
      </c>
      <c r="M1210" s="617">
        <f t="shared" si="38"/>
        <v>0</v>
      </c>
      <c r="N1210" s="617">
        <f t="shared" si="39"/>
        <v>25</v>
      </c>
      <c r="O1210" s="617"/>
    </row>
    <row r="1211" spans="2:15" ht="15" x14ac:dyDescent="0.25">
      <c r="B1211" s="529">
        <v>1206001</v>
      </c>
      <c r="C1211" s="529">
        <v>1207</v>
      </c>
      <c r="E1211" s="534">
        <v>0</v>
      </c>
      <c r="F1211" s="534">
        <v>0</v>
      </c>
      <c r="G1211" s="534">
        <v>25</v>
      </c>
      <c r="I1211" s="534">
        <v>0</v>
      </c>
      <c r="J1211" s="534">
        <v>0</v>
      </c>
      <c r="K1211" s="534">
        <v>0</v>
      </c>
      <c r="M1211" s="617">
        <f t="shared" si="38"/>
        <v>0</v>
      </c>
      <c r="N1211" s="617">
        <f t="shared" si="39"/>
        <v>25</v>
      </c>
      <c r="O1211" s="617"/>
    </row>
    <row r="1212" spans="2:15" ht="15" x14ac:dyDescent="0.25">
      <c r="B1212" s="529">
        <v>1207001</v>
      </c>
      <c r="C1212" s="529">
        <v>1208</v>
      </c>
      <c r="E1212" s="534">
        <v>0</v>
      </c>
      <c r="F1212" s="534">
        <v>0</v>
      </c>
      <c r="G1212" s="534">
        <v>25</v>
      </c>
      <c r="I1212" s="534">
        <v>0</v>
      </c>
      <c r="J1212" s="534">
        <v>0</v>
      </c>
      <c r="K1212" s="534">
        <v>0</v>
      </c>
      <c r="M1212" s="617">
        <f t="shared" si="38"/>
        <v>0</v>
      </c>
      <c r="N1212" s="617">
        <f t="shared" si="39"/>
        <v>25</v>
      </c>
      <c r="O1212" s="617"/>
    </row>
    <row r="1213" spans="2:15" ht="15" x14ac:dyDescent="0.25">
      <c r="B1213" s="529">
        <v>1208001</v>
      </c>
      <c r="C1213" s="529">
        <v>1209</v>
      </c>
      <c r="E1213" s="534">
        <v>0</v>
      </c>
      <c r="F1213" s="534">
        <v>0</v>
      </c>
      <c r="G1213" s="534">
        <v>25</v>
      </c>
      <c r="I1213" s="534">
        <v>0</v>
      </c>
      <c r="J1213" s="534">
        <v>0</v>
      </c>
      <c r="K1213" s="534">
        <v>0</v>
      </c>
      <c r="M1213" s="617">
        <f t="shared" si="38"/>
        <v>0</v>
      </c>
      <c r="N1213" s="617">
        <f t="shared" si="39"/>
        <v>25</v>
      </c>
      <c r="O1213" s="617"/>
    </row>
    <row r="1214" spans="2:15" ht="15" x14ac:dyDescent="0.25">
      <c r="B1214" s="529">
        <v>1209001</v>
      </c>
      <c r="C1214" s="529">
        <v>1210</v>
      </c>
      <c r="E1214" s="534">
        <v>0</v>
      </c>
      <c r="F1214" s="534">
        <v>0</v>
      </c>
      <c r="G1214" s="534">
        <v>25</v>
      </c>
      <c r="I1214" s="534">
        <v>0</v>
      </c>
      <c r="J1214" s="534">
        <v>0</v>
      </c>
      <c r="K1214" s="534">
        <v>0</v>
      </c>
      <c r="M1214" s="617">
        <f t="shared" si="38"/>
        <v>0</v>
      </c>
      <c r="N1214" s="617">
        <f t="shared" si="39"/>
        <v>25</v>
      </c>
      <c r="O1214" s="617"/>
    </row>
    <row r="1215" spans="2:15" ht="15" x14ac:dyDescent="0.25">
      <c r="B1215" s="529">
        <v>1210001</v>
      </c>
      <c r="C1215" s="529">
        <v>1211</v>
      </c>
      <c r="E1215" s="534">
        <v>0</v>
      </c>
      <c r="F1215" s="534">
        <v>0</v>
      </c>
      <c r="G1215" s="534">
        <v>25</v>
      </c>
      <c r="I1215" s="534">
        <v>0</v>
      </c>
      <c r="J1215" s="534">
        <v>0</v>
      </c>
      <c r="K1215" s="534">
        <v>0</v>
      </c>
      <c r="M1215" s="617">
        <f t="shared" si="38"/>
        <v>0</v>
      </c>
      <c r="N1215" s="617">
        <f t="shared" si="39"/>
        <v>25</v>
      </c>
      <c r="O1215" s="617"/>
    </row>
    <row r="1216" spans="2:15" ht="15" x14ac:dyDescent="0.25">
      <c r="B1216" s="529">
        <v>1211001</v>
      </c>
      <c r="C1216" s="529">
        <v>1212</v>
      </c>
      <c r="E1216" s="534">
        <v>0</v>
      </c>
      <c r="F1216" s="534">
        <v>0</v>
      </c>
      <c r="G1216" s="534">
        <v>25</v>
      </c>
      <c r="I1216" s="534">
        <v>0</v>
      </c>
      <c r="J1216" s="534">
        <v>0</v>
      </c>
      <c r="K1216" s="534">
        <v>0</v>
      </c>
      <c r="M1216" s="617">
        <f t="shared" si="38"/>
        <v>0</v>
      </c>
      <c r="N1216" s="617">
        <f t="shared" si="39"/>
        <v>25</v>
      </c>
      <c r="O1216" s="617"/>
    </row>
    <row r="1217" spans="2:15" ht="15" x14ac:dyDescent="0.25">
      <c r="B1217" s="529">
        <v>1212001</v>
      </c>
      <c r="C1217" s="529">
        <v>1213</v>
      </c>
      <c r="E1217" s="534">
        <v>0</v>
      </c>
      <c r="F1217" s="534">
        <v>0</v>
      </c>
      <c r="G1217" s="534">
        <v>25</v>
      </c>
      <c r="I1217" s="534">
        <v>0</v>
      </c>
      <c r="J1217" s="534">
        <v>0</v>
      </c>
      <c r="K1217" s="534">
        <v>0</v>
      </c>
      <c r="M1217" s="617">
        <f t="shared" si="38"/>
        <v>0</v>
      </c>
      <c r="N1217" s="617">
        <f t="shared" si="39"/>
        <v>25</v>
      </c>
      <c r="O1217" s="617"/>
    </row>
    <row r="1218" spans="2:15" ht="15" x14ac:dyDescent="0.25">
      <c r="B1218" s="529">
        <v>1213001</v>
      </c>
      <c r="C1218" s="529">
        <v>1214</v>
      </c>
      <c r="E1218" s="534">
        <v>0</v>
      </c>
      <c r="F1218" s="534">
        <v>0</v>
      </c>
      <c r="G1218" s="534">
        <v>25</v>
      </c>
      <c r="I1218" s="534">
        <v>0</v>
      </c>
      <c r="J1218" s="534">
        <v>0</v>
      </c>
      <c r="K1218" s="534">
        <v>0</v>
      </c>
      <c r="M1218" s="617">
        <f t="shared" si="38"/>
        <v>0</v>
      </c>
      <c r="N1218" s="617">
        <f t="shared" si="39"/>
        <v>25</v>
      </c>
      <c r="O1218" s="617"/>
    </row>
    <row r="1219" spans="2:15" ht="15" x14ac:dyDescent="0.25">
      <c r="B1219" s="529">
        <v>1214001</v>
      </c>
      <c r="C1219" s="529">
        <v>1215</v>
      </c>
      <c r="E1219" s="534">
        <v>0</v>
      </c>
      <c r="F1219" s="534">
        <v>0</v>
      </c>
      <c r="G1219" s="534">
        <v>25</v>
      </c>
      <c r="I1219" s="534">
        <v>0</v>
      </c>
      <c r="J1219" s="534">
        <v>0</v>
      </c>
      <c r="K1219" s="534">
        <v>0</v>
      </c>
      <c r="M1219" s="617">
        <f t="shared" si="38"/>
        <v>0</v>
      </c>
      <c r="N1219" s="617">
        <f t="shared" si="39"/>
        <v>25</v>
      </c>
      <c r="O1219" s="617"/>
    </row>
    <row r="1220" spans="2:15" ht="15" x14ac:dyDescent="0.25">
      <c r="B1220" s="529">
        <v>1215001</v>
      </c>
      <c r="C1220" s="529">
        <v>1216</v>
      </c>
      <c r="E1220" s="534">
        <v>0</v>
      </c>
      <c r="F1220" s="534">
        <v>0</v>
      </c>
      <c r="G1220" s="534">
        <v>25</v>
      </c>
      <c r="I1220" s="534">
        <v>0</v>
      </c>
      <c r="J1220" s="534">
        <v>0</v>
      </c>
      <c r="K1220" s="534">
        <v>0</v>
      </c>
      <c r="M1220" s="617">
        <f t="shared" si="38"/>
        <v>0</v>
      </c>
      <c r="N1220" s="617">
        <f t="shared" si="39"/>
        <v>25</v>
      </c>
      <c r="O1220" s="617"/>
    </row>
    <row r="1221" spans="2:15" ht="15" x14ac:dyDescent="0.25">
      <c r="B1221" s="529">
        <v>1216001</v>
      </c>
      <c r="C1221" s="529">
        <v>1217</v>
      </c>
      <c r="E1221" s="534">
        <v>0</v>
      </c>
      <c r="F1221" s="534">
        <v>0</v>
      </c>
      <c r="G1221" s="534">
        <v>25</v>
      </c>
      <c r="I1221" s="534">
        <v>0</v>
      </c>
      <c r="J1221" s="534">
        <v>0</v>
      </c>
      <c r="K1221" s="534">
        <v>0</v>
      </c>
      <c r="M1221" s="617">
        <f t="shared" ref="M1221:M1284" si="40">I1221+E1221</f>
        <v>0</v>
      </c>
      <c r="N1221" s="617">
        <f t="shared" ref="N1221:N1284" si="41">K1221+G1221</f>
        <v>25</v>
      </c>
      <c r="O1221" s="617"/>
    </row>
    <row r="1222" spans="2:15" ht="15" x14ac:dyDescent="0.25">
      <c r="B1222" s="529">
        <v>1217001</v>
      </c>
      <c r="C1222" s="529">
        <v>1218</v>
      </c>
      <c r="E1222" s="534">
        <v>0</v>
      </c>
      <c r="F1222" s="534">
        <v>0</v>
      </c>
      <c r="G1222" s="534">
        <v>25</v>
      </c>
      <c r="I1222" s="534">
        <v>0</v>
      </c>
      <c r="J1222" s="534">
        <v>0</v>
      </c>
      <c r="K1222" s="534">
        <v>0</v>
      </c>
      <c r="M1222" s="617">
        <f t="shared" si="40"/>
        <v>0</v>
      </c>
      <c r="N1222" s="617">
        <f t="shared" si="41"/>
        <v>25</v>
      </c>
      <c r="O1222" s="617"/>
    </row>
    <row r="1223" spans="2:15" ht="15" x14ac:dyDescent="0.25">
      <c r="B1223" s="529">
        <v>1218001</v>
      </c>
      <c r="C1223" s="529">
        <v>1219</v>
      </c>
      <c r="E1223" s="534">
        <v>0</v>
      </c>
      <c r="F1223" s="534">
        <v>0</v>
      </c>
      <c r="G1223" s="534">
        <v>25</v>
      </c>
      <c r="I1223" s="534">
        <v>0</v>
      </c>
      <c r="J1223" s="534">
        <v>0</v>
      </c>
      <c r="K1223" s="534">
        <v>0</v>
      </c>
      <c r="M1223" s="617">
        <f t="shared" si="40"/>
        <v>0</v>
      </c>
      <c r="N1223" s="617">
        <f t="shared" si="41"/>
        <v>25</v>
      </c>
      <c r="O1223" s="617"/>
    </row>
    <row r="1224" spans="2:15" ht="15" x14ac:dyDescent="0.25">
      <c r="B1224" s="529">
        <v>1219001</v>
      </c>
      <c r="C1224" s="529">
        <v>1220</v>
      </c>
      <c r="E1224" s="534">
        <v>2</v>
      </c>
      <c r="F1224" s="534">
        <v>2440</v>
      </c>
      <c r="G1224" s="534">
        <v>25</v>
      </c>
      <c r="I1224" s="534">
        <v>0</v>
      </c>
      <c r="J1224" s="534">
        <v>0</v>
      </c>
      <c r="K1224" s="534">
        <v>0</v>
      </c>
      <c r="M1224" s="617">
        <f t="shared" si="40"/>
        <v>2</v>
      </c>
      <c r="N1224" s="617">
        <f t="shared" si="41"/>
        <v>25</v>
      </c>
      <c r="O1224" s="617"/>
    </row>
    <row r="1225" spans="2:15" ht="15" x14ac:dyDescent="0.25">
      <c r="B1225" s="529">
        <v>1220001</v>
      </c>
      <c r="C1225" s="529">
        <v>1221</v>
      </c>
      <c r="E1225" s="534">
        <v>0</v>
      </c>
      <c r="F1225" s="534">
        <v>0</v>
      </c>
      <c r="G1225" s="534">
        <v>23</v>
      </c>
      <c r="I1225" s="534">
        <v>0</v>
      </c>
      <c r="J1225" s="534">
        <v>0</v>
      </c>
      <c r="K1225" s="534">
        <v>0</v>
      </c>
      <c r="M1225" s="617">
        <f t="shared" si="40"/>
        <v>0</v>
      </c>
      <c r="N1225" s="617">
        <f t="shared" si="41"/>
        <v>23</v>
      </c>
      <c r="O1225" s="617"/>
    </row>
    <row r="1226" spans="2:15" ht="15" x14ac:dyDescent="0.25">
      <c r="B1226" s="529">
        <v>1221001</v>
      </c>
      <c r="C1226" s="529">
        <v>1222</v>
      </c>
      <c r="E1226" s="534">
        <v>0</v>
      </c>
      <c r="F1226" s="534">
        <v>0</v>
      </c>
      <c r="G1226" s="534">
        <v>23</v>
      </c>
      <c r="I1226" s="534">
        <v>0</v>
      </c>
      <c r="J1226" s="534">
        <v>0</v>
      </c>
      <c r="K1226" s="534">
        <v>0</v>
      </c>
      <c r="M1226" s="617">
        <f t="shared" si="40"/>
        <v>0</v>
      </c>
      <c r="N1226" s="617">
        <f t="shared" si="41"/>
        <v>23</v>
      </c>
      <c r="O1226" s="617"/>
    </row>
    <row r="1227" spans="2:15" ht="15" x14ac:dyDescent="0.25">
      <c r="B1227" s="529">
        <v>1222001</v>
      </c>
      <c r="C1227" s="529">
        <v>1223</v>
      </c>
      <c r="E1227" s="534">
        <v>0</v>
      </c>
      <c r="F1227" s="534">
        <v>0</v>
      </c>
      <c r="G1227" s="534">
        <v>23</v>
      </c>
      <c r="I1227" s="534">
        <v>0</v>
      </c>
      <c r="J1227" s="534">
        <v>0</v>
      </c>
      <c r="K1227" s="534">
        <v>0</v>
      </c>
      <c r="M1227" s="617">
        <f t="shared" si="40"/>
        <v>0</v>
      </c>
      <c r="N1227" s="617">
        <f t="shared" si="41"/>
        <v>23</v>
      </c>
      <c r="O1227" s="617"/>
    </row>
    <row r="1228" spans="2:15" ht="15" x14ac:dyDescent="0.25">
      <c r="B1228" s="529">
        <v>1223001</v>
      </c>
      <c r="C1228" s="529">
        <v>1224</v>
      </c>
      <c r="E1228" s="534">
        <v>0</v>
      </c>
      <c r="F1228" s="534">
        <v>0</v>
      </c>
      <c r="G1228" s="534">
        <v>23</v>
      </c>
      <c r="I1228" s="534">
        <v>0</v>
      </c>
      <c r="J1228" s="534">
        <v>0</v>
      </c>
      <c r="K1228" s="534">
        <v>0</v>
      </c>
      <c r="M1228" s="617">
        <f t="shared" si="40"/>
        <v>0</v>
      </c>
      <c r="N1228" s="617">
        <f t="shared" si="41"/>
        <v>23</v>
      </c>
      <c r="O1228" s="617"/>
    </row>
    <row r="1229" spans="2:15" ht="15" x14ac:dyDescent="0.25">
      <c r="B1229" s="529">
        <v>1224001</v>
      </c>
      <c r="C1229" s="529">
        <v>1225</v>
      </c>
      <c r="E1229" s="534">
        <v>0</v>
      </c>
      <c r="F1229" s="534">
        <v>0</v>
      </c>
      <c r="G1229" s="534">
        <v>23</v>
      </c>
      <c r="I1229" s="534">
        <v>0</v>
      </c>
      <c r="J1229" s="534">
        <v>0</v>
      </c>
      <c r="K1229" s="534">
        <v>0</v>
      </c>
      <c r="M1229" s="617">
        <f t="shared" si="40"/>
        <v>0</v>
      </c>
      <c r="N1229" s="617">
        <f t="shared" si="41"/>
        <v>23</v>
      </c>
      <c r="O1229" s="617"/>
    </row>
    <row r="1230" spans="2:15" ht="15" x14ac:dyDescent="0.25">
      <c r="B1230" s="529">
        <v>1225001</v>
      </c>
      <c r="C1230" s="529">
        <v>1226</v>
      </c>
      <c r="E1230" s="534">
        <v>0</v>
      </c>
      <c r="F1230" s="534">
        <v>0</v>
      </c>
      <c r="G1230" s="534">
        <v>23</v>
      </c>
      <c r="I1230" s="534">
        <v>0</v>
      </c>
      <c r="J1230" s="534">
        <v>0</v>
      </c>
      <c r="K1230" s="534">
        <v>0</v>
      </c>
      <c r="M1230" s="617">
        <f t="shared" si="40"/>
        <v>0</v>
      </c>
      <c r="N1230" s="617">
        <f t="shared" si="41"/>
        <v>23</v>
      </c>
      <c r="O1230" s="617"/>
    </row>
    <row r="1231" spans="2:15" ht="15" x14ac:dyDescent="0.25">
      <c r="B1231" s="529">
        <v>1226001</v>
      </c>
      <c r="C1231" s="529">
        <v>1227</v>
      </c>
      <c r="E1231" s="534">
        <v>0</v>
      </c>
      <c r="F1231" s="534">
        <v>0</v>
      </c>
      <c r="G1231" s="534">
        <v>23</v>
      </c>
      <c r="I1231" s="534">
        <v>0</v>
      </c>
      <c r="J1231" s="534">
        <v>0</v>
      </c>
      <c r="K1231" s="534">
        <v>0</v>
      </c>
      <c r="M1231" s="617">
        <f t="shared" si="40"/>
        <v>0</v>
      </c>
      <c r="N1231" s="617">
        <f t="shared" si="41"/>
        <v>23</v>
      </c>
      <c r="O1231" s="617"/>
    </row>
    <row r="1232" spans="2:15" ht="15" x14ac:dyDescent="0.25">
      <c r="B1232" s="529">
        <v>1227001</v>
      </c>
      <c r="C1232" s="529">
        <v>1228</v>
      </c>
      <c r="E1232" s="534">
        <v>0</v>
      </c>
      <c r="F1232" s="534">
        <v>0</v>
      </c>
      <c r="G1232" s="534">
        <v>23</v>
      </c>
      <c r="I1232" s="534">
        <v>0</v>
      </c>
      <c r="J1232" s="534">
        <v>0</v>
      </c>
      <c r="K1232" s="534">
        <v>0</v>
      </c>
      <c r="M1232" s="617">
        <f t="shared" si="40"/>
        <v>0</v>
      </c>
      <c r="N1232" s="617">
        <f t="shared" si="41"/>
        <v>23</v>
      </c>
      <c r="O1232" s="617"/>
    </row>
    <row r="1233" spans="2:15" ht="15" x14ac:dyDescent="0.25">
      <c r="B1233" s="529">
        <v>1228001</v>
      </c>
      <c r="C1233" s="529">
        <v>1229</v>
      </c>
      <c r="E1233" s="534">
        <v>0</v>
      </c>
      <c r="F1233" s="534">
        <v>0</v>
      </c>
      <c r="G1233" s="534">
        <v>23</v>
      </c>
      <c r="I1233" s="534">
        <v>0</v>
      </c>
      <c r="J1233" s="534">
        <v>0</v>
      </c>
      <c r="K1233" s="534">
        <v>0</v>
      </c>
      <c r="M1233" s="617">
        <f t="shared" si="40"/>
        <v>0</v>
      </c>
      <c r="N1233" s="617">
        <f t="shared" si="41"/>
        <v>23</v>
      </c>
      <c r="O1233" s="617"/>
    </row>
    <row r="1234" spans="2:15" ht="15" x14ac:dyDescent="0.25">
      <c r="B1234" s="529">
        <v>1229001</v>
      </c>
      <c r="C1234" s="529">
        <v>1230</v>
      </c>
      <c r="E1234" s="534">
        <v>0</v>
      </c>
      <c r="F1234" s="534">
        <v>0</v>
      </c>
      <c r="G1234" s="534">
        <v>23</v>
      </c>
      <c r="I1234" s="534">
        <v>0</v>
      </c>
      <c r="J1234" s="534">
        <v>0</v>
      </c>
      <c r="K1234" s="534">
        <v>0</v>
      </c>
      <c r="M1234" s="617">
        <f t="shared" si="40"/>
        <v>0</v>
      </c>
      <c r="N1234" s="617">
        <f t="shared" si="41"/>
        <v>23</v>
      </c>
      <c r="O1234" s="617"/>
    </row>
    <row r="1235" spans="2:15" ht="15" x14ac:dyDescent="0.25">
      <c r="B1235" s="529">
        <v>1230001</v>
      </c>
      <c r="C1235" s="529">
        <v>1231</v>
      </c>
      <c r="E1235" s="534">
        <v>0</v>
      </c>
      <c r="F1235" s="534">
        <v>0</v>
      </c>
      <c r="G1235" s="534">
        <v>23</v>
      </c>
      <c r="I1235" s="534">
        <v>0</v>
      </c>
      <c r="J1235" s="534">
        <v>0</v>
      </c>
      <c r="K1235" s="534">
        <v>0</v>
      </c>
      <c r="M1235" s="617">
        <f t="shared" si="40"/>
        <v>0</v>
      </c>
      <c r="N1235" s="617">
        <f t="shared" si="41"/>
        <v>23</v>
      </c>
      <c r="O1235" s="617"/>
    </row>
    <row r="1236" spans="2:15" ht="15" x14ac:dyDescent="0.25">
      <c r="B1236" s="529">
        <v>1231001</v>
      </c>
      <c r="C1236" s="529">
        <v>1232</v>
      </c>
      <c r="E1236" s="534">
        <v>0</v>
      </c>
      <c r="F1236" s="534">
        <v>0</v>
      </c>
      <c r="G1236" s="534">
        <v>23</v>
      </c>
      <c r="I1236" s="534">
        <v>0</v>
      </c>
      <c r="J1236" s="534">
        <v>0</v>
      </c>
      <c r="K1236" s="534">
        <v>0</v>
      </c>
      <c r="M1236" s="617">
        <f t="shared" si="40"/>
        <v>0</v>
      </c>
      <c r="N1236" s="617">
        <f t="shared" si="41"/>
        <v>23</v>
      </c>
      <c r="O1236" s="617"/>
    </row>
    <row r="1237" spans="2:15" ht="15" x14ac:dyDescent="0.25">
      <c r="B1237" s="529">
        <v>1232001</v>
      </c>
      <c r="C1237" s="529">
        <v>1233</v>
      </c>
      <c r="E1237" s="534">
        <v>0</v>
      </c>
      <c r="F1237" s="534">
        <v>0</v>
      </c>
      <c r="G1237" s="534">
        <v>23</v>
      </c>
      <c r="I1237" s="534">
        <v>0</v>
      </c>
      <c r="J1237" s="534">
        <v>0</v>
      </c>
      <c r="K1237" s="534">
        <v>0</v>
      </c>
      <c r="M1237" s="617">
        <f t="shared" si="40"/>
        <v>0</v>
      </c>
      <c r="N1237" s="617">
        <f t="shared" si="41"/>
        <v>23</v>
      </c>
      <c r="O1237" s="617"/>
    </row>
    <row r="1238" spans="2:15" ht="15" x14ac:dyDescent="0.25">
      <c r="B1238" s="529">
        <v>1233001</v>
      </c>
      <c r="C1238" s="529">
        <v>1234</v>
      </c>
      <c r="E1238" s="534">
        <v>0</v>
      </c>
      <c r="F1238" s="534">
        <v>0</v>
      </c>
      <c r="G1238" s="534">
        <v>23</v>
      </c>
      <c r="I1238" s="534">
        <v>0</v>
      </c>
      <c r="J1238" s="534">
        <v>0</v>
      </c>
      <c r="K1238" s="534">
        <v>0</v>
      </c>
      <c r="M1238" s="617">
        <f t="shared" si="40"/>
        <v>0</v>
      </c>
      <c r="N1238" s="617">
        <f t="shared" si="41"/>
        <v>23</v>
      </c>
      <c r="O1238" s="617"/>
    </row>
    <row r="1239" spans="2:15" ht="15" x14ac:dyDescent="0.25">
      <c r="B1239" s="529">
        <v>1234001</v>
      </c>
      <c r="C1239" s="529">
        <v>1235</v>
      </c>
      <c r="E1239" s="534">
        <v>0</v>
      </c>
      <c r="F1239" s="534">
        <v>0</v>
      </c>
      <c r="G1239" s="534">
        <v>23</v>
      </c>
      <c r="I1239" s="534">
        <v>0</v>
      </c>
      <c r="J1239" s="534">
        <v>0</v>
      </c>
      <c r="K1239" s="534">
        <v>0</v>
      </c>
      <c r="M1239" s="617">
        <f t="shared" si="40"/>
        <v>0</v>
      </c>
      <c r="N1239" s="617">
        <f t="shared" si="41"/>
        <v>23</v>
      </c>
      <c r="O1239" s="617"/>
    </row>
    <row r="1240" spans="2:15" ht="15" x14ac:dyDescent="0.25">
      <c r="B1240" s="529">
        <v>1235001</v>
      </c>
      <c r="C1240" s="529">
        <v>1236</v>
      </c>
      <c r="E1240" s="534">
        <v>0</v>
      </c>
      <c r="F1240" s="534">
        <v>0</v>
      </c>
      <c r="G1240" s="534">
        <v>23</v>
      </c>
      <c r="I1240" s="534">
        <v>0</v>
      </c>
      <c r="J1240" s="534">
        <v>0</v>
      </c>
      <c r="K1240" s="534">
        <v>0</v>
      </c>
      <c r="M1240" s="617">
        <f t="shared" si="40"/>
        <v>0</v>
      </c>
      <c r="N1240" s="617">
        <f t="shared" si="41"/>
        <v>23</v>
      </c>
      <c r="O1240" s="617"/>
    </row>
    <row r="1241" spans="2:15" ht="15" x14ac:dyDescent="0.25">
      <c r="B1241" s="529">
        <v>1236001</v>
      </c>
      <c r="C1241" s="529">
        <v>1237</v>
      </c>
      <c r="E1241" s="534">
        <v>0</v>
      </c>
      <c r="F1241" s="534">
        <v>0</v>
      </c>
      <c r="G1241" s="534">
        <v>23</v>
      </c>
      <c r="I1241" s="534">
        <v>0</v>
      </c>
      <c r="J1241" s="534">
        <v>0</v>
      </c>
      <c r="K1241" s="534">
        <v>0</v>
      </c>
      <c r="M1241" s="617">
        <f t="shared" si="40"/>
        <v>0</v>
      </c>
      <c r="N1241" s="617">
        <f t="shared" si="41"/>
        <v>23</v>
      </c>
      <c r="O1241" s="617"/>
    </row>
    <row r="1242" spans="2:15" ht="15" x14ac:dyDescent="0.25">
      <c r="B1242" s="529">
        <v>1237001</v>
      </c>
      <c r="C1242" s="529">
        <v>1238</v>
      </c>
      <c r="E1242" s="534">
        <v>0</v>
      </c>
      <c r="F1242" s="534">
        <v>0</v>
      </c>
      <c r="G1242" s="534">
        <v>23</v>
      </c>
      <c r="I1242" s="534">
        <v>0</v>
      </c>
      <c r="J1242" s="534">
        <v>0</v>
      </c>
      <c r="K1242" s="534">
        <v>0</v>
      </c>
      <c r="M1242" s="617">
        <f t="shared" si="40"/>
        <v>0</v>
      </c>
      <c r="N1242" s="617">
        <f t="shared" si="41"/>
        <v>23</v>
      </c>
      <c r="O1242" s="617"/>
    </row>
    <row r="1243" spans="2:15" ht="15" x14ac:dyDescent="0.25">
      <c r="B1243" s="529">
        <v>1238001</v>
      </c>
      <c r="C1243" s="529">
        <v>1239</v>
      </c>
      <c r="E1243" s="534">
        <v>0</v>
      </c>
      <c r="F1243" s="534">
        <v>0</v>
      </c>
      <c r="G1243" s="534">
        <v>23</v>
      </c>
      <c r="I1243" s="534">
        <v>0</v>
      </c>
      <c r="J1243" s="534">
        <v>0</v>
      </c>
      <c r="K1243" s="534">
        <v>0</v>
      </c>
      <c r="M1243" s="617">
        <f t="shared" si="40"/>
        <v>0</v>
      </c>
      <c r="N1243" s="617">
        <f t="shared" si="41"/>
        <v>23</v>
      </c>
      <c r="O1243" s="617"/>
    </row>
    <row r="1244" spans="2:15" ht="15" x14ac:dyDescent="0.25">
      <c r="B1244" s="529">
        <v>1239001</v>
      </c>
      <c r="C1244" s="529">
        <v>1240</v>
      </c>
      <c r="E1244" s="534">
        <v>1</v>
      </c>
      <c r="F1244" s="534">
        <v>1240</v>
      </c>
      <c r="G1244" s="534">
        <v>23</v>
      </c>
      <c r="I1244" s="534">
        <v>0</v>
      </c>
      <c r="J1244" s="534">
        <v>0</v>
      </c>
      <c r="K1244" s="534">
        <v>0</v>
      </c>
      <c r="M1244" s="617">
        <f t="shared" si="40"/>
        <v>1</v>
      </c>
      <c r="N1244" s="617">
        <f t="shared" si="41"/>
        <v>23</v>
      </c>
      <c r="O1244" s="617"/>
    </row>
    <row r="1245" spans="2:15" ht="15" x14ac:dyDescent="0.25">
      <c r="B1245" s="529">
        <v>1240001</v>
      </c>
      <c r="C1245" s="529">
        <v>1241</v>
      </c>
      <c r="E1245" s="534">
        <v>0</v>
      </c>
      <c r="F1245" s="534">
        <v>0</v>
      </c>
      <c r="G1245" s="534">
        <v>22</v>
      </c>
      <c r="I1245" s="534">
        <v>0</v>
      </c>
      <c r="J1245" s="534">
        <v>0</v>
      </c>
      <c r="K1245" s="534">
        <v>0</v>
      </c>
      <c r="M1245" s="617">
        <f t="shared" si="40"/>
        <v>0</v>
      </c>
      <c r="N1245" s="617">
        <f t="shared" si="41"/>
        <v>22</v>
      </c>
      <c r="O1245" s="617"/>
    </row>
    <row r="1246" spans="2:15" ht="15" x14ac:dyDescent="0.25">
      <c r="B1246" s="529">
        <v>1241001</v>
      </c>
      <c r="C1246" s="529">
        <v>1242</v>
      </c>
      <c r="E1246" s="534">
        <v>0</v>
      </c>
      <c r="F1246" s="534">
        <v>0</v>
      </c>
      <c r="G1246" s="534">
        <v>22</v>
      </c>
      <c r="I1246" s="534">
        <v>0</v>
      </c>
      <c r="J1246" s="534">
        <v>0</v>
      </c>
      <c r="K1246" s="534">
        <v>0</v>
      </c>
      <c r="M1246" s="617">
        <f t="shared" si="40"/>
        <v>0</v>
      </c>
      <c r="N1246" s="617">
        <f t="shared" si="41"/>
        <v>22</v>
      </c>
      <c r="O1246" s="617"/>
    </row>
    <row r="1247" spans="2:15" ht="15" x14ac:dyDescent="0.25">
      <c r="B1247" s="529">
        <v>1242001</v>
      </c>
      <c r="C1247" s="529">
        <v>1243</v>
      </c>
      <c r="E1247" s="534">
        <v>0</v>
      </c>
      <c r="F1247" s="534">
        <v>0</v>
      </c>
      <c r="G1247" s="534">
        <v>22</v>
      </c>
      <c r="I1247" s="534">
        <v>0</v>
      </c>
      <c r="J1247" s="534">
        <v>0</v>
      </c>
      <c r="K1247" s="534">
        <v>0</v>
      </c>
      <c r="M1247" s="617">
        <f t="shared" si="40"/>
        <v>0</v>
      </c>
      <c r="N1247" s="617">
        <f t="shared" si="41"/>
        <v>22</v>
      </c>
      <c r="O1247" s="617"/>
    </row>
    <row r="1248" spans="2:15" ht="15" x14ac:dyDescent="0.25">
      <c r="B1248" s="529">
        <v>1243001</v>
      </c>
      <c r="C1248" s="529">
        <v>1244</v>
      </c>
      <c r="E1248" s="534">
        <v>0</v>
      </c>
      <c r="F1248" s="534">
        <v>0</v>
      </c>
      <c r="G1248" s="534">
        <v>22</v>
      </c>
      <c r="I1248" s="534">
        <v>0</v>
      </c>
      <c r="J1248" s="534">
        <v>0</v>
      </c>
      <c r="K1248" s="534">
        <v>0</v>
      </c>
      <c r="M1248" s="617">
        <f t="shared" si="40"/>
        <v>0</v>
      </c>
      <c r="N1248" s="617">
        <f t="shared" si="41"/>
        <v>22</v>
      </c>
      <c r="O1248" s="617"/>
    </row>
    <row r="1249" spans="2:15" ht="15" x14ac:dyDescent="0.25">
      <c r="B1249" s="529">
        <v>1244001</v>
      </c>
      <c r="C1249" s="529">
        <v>1245</v>
      </c>
      <c r="E1249" s="534">
        <v>0</v>
      </c>
      <c r="F1249" s="534">
        <v>0</v>
      </c>
      <c r="G1249" s="534">
        <v>22</v>
      </c>
      <c r="I1249" s="534">
        <v>0</v>
      </c>
      <c r="J1249" s="534">
        <v>0</v>
      </c>
      <c r="K1249" s="534">
        <v>0</v>
      </c>
      <c r="M1249" s="617">
        <f t="shared" si="40"/>
        <v>0</v>
      </c>
      <c r="N1249" s="617">
        <f t="shared" si="41"/>
        <v>22</v>
      </c>
      <c r="O1249" s="617"/>
    </row>
    <row r="1250" spans="2:15" ht="15" x14ac:dyDescent="0.25">
      <c r="B1250" s="529">
        <v>1245001</v>
      </c>
      <c r="C1250" s="529">
        <v>1246</v>
      </c>
      <c r="E1250" s="534">
        <v>0</v>
      </c>
      <c r="F1250" s="534">
        <v>0</v>
      </c>
      <c r="G1250" s="534">
        <v>22</v>
      </c>
      <c r="I1250" s="534">
        <v>0</v>
      </c>
      <c r="J1250" s="534">
        <v>0</v>
      </c>
      <c r="K1250" s="534">
        <v>0</v>
      </c>
      <c r="M1250" s="617">
        <f t="shared" si="40"/>
        <v>0</v>
      </c>
      <c r="N1250" s="617">
        <f t="shared" si="41"/>
        <v>22</v>
      </c>
      <c r="O1250" s="617"/>
    </row>
    <row r="1251" spans="2:15" ht="15" x14ac:dyDescent="0.25">
      <c r="B1251" s="529">
        <v>1246001</v>
      </c>
      <c r="C1251" s="529">
        <v>1247</v>
      </c>
      <c r="E1251" s="534">
        <v>0</v>
      </c>
      <c r="F1251" s="534">
        <v>0</v>
      </c>
      <c r="G1251" s="534">
        <v>22</v>
      </c>
      <c r="I1251" s="534">
        <v>0</v>
      </c>
      <c r="J1251" s="534">
        <v>0</v>
      </c>
      <c r="K1251" s="534">
        <v>0</v>
      </c>
      <c r="M1251" s="617">
        <f t="shared" si="40"/>
        <v>0</v>
      </c>
      <c r="N1251" s="617">
        <f t="shared" si="41"/>
        <v>22</v>
      </c>
      <c r="O1251" s="617"/>
    </row>
    <row r="1252" spans="2:15" ht="15" x14ac:dyDescent="0.25">
      <c r="B1252" s="529">
        <v>1247001</v>
      </c>
      <c r="C1252" s="529">
        <v>1248</v>
      </c>
      <c r="E1252" s="534">
        <v>0</v>
      </c>
      <c r="F1252" s="534">
        <v>0</v>
      </c>
      <c r="G1252" s="534">
        <v>22</v>
      </c>
      <c r="I1252" s="534">
        <v>0</v>
      </c>
      <c r="J1252" s="534">
        <v>0</v>
      </c>
      <c r="K1252" s="534">
        <v>0</v>
      </c>
      <c r="M1252" s="617">
        <f t="shared" si="40"/>
        <v>0</v>
      </c>
      <c r="N1252" s="617">
        <f t="shared" si="41"/>
        <v>22</v>
      </c>
      <c r="O1252" s="617"/>
    </row>
    <row r="1253" spans="2:15" ht="15" x14ac:dyDescent="0.25">
      <c r="B1253" s="529">
        <v>1248001</v>
      </c>
      <c r="C1253" s="529">
        <v>1249</v>
      </c>
      <c r="E1253" s="534">
        <v>0</v>
      </c>
      <c r="F1253" s="534">
        <v>0</v>
      </c>
      <c r="G1253" s="534">
        <v>22</v>
      </c>
      <c r="I1253" s="534">
        <v>0</v>
      </c>
      <c r="J1253" s="534">
        <v>0</v>
      </c>
      <c r="K1253" s="534">
        <v>0</v>
      </c>
      <c r="M1253" s="617">
        <f t="shared" si="40"/>
        <v>0</v>
      </c>
      <c r="N1253" s="617">
        <f t="shared" si="41"/>
        <v>22</v>
      </c>
      <c r="O1253" s="617"/>
    </row>
    <row r="1254" spans="2:15" ht="15" x14ac:dyDescent="0.25">
      <c r="B1254" s="529">
        <v>1249001</v>
      </c>
      <c r="C1254" s="529">
        <v>1250</v>
      </c>
      <c r="E1254" s="534">
        <v>0</v>
      </c>
      <c r="F1254" s="534">
        <v>0</v>
      </c>
      <c r="G1254" s="534">
        <v>22</v>
      </c>
      <c r="I1254" s="534">
        <v>0</v>
      </c>
      <c r="J1254" s="534">
        <v>0</v>
      </c>
      <c r="K1254" s="534">
        <v>0</v>
      </c>
      <c r="M1254" s="617">
        <f t="shared" si="40"/>
        <v>0</v>
      </c>
      <c r="N1254" s="617">
        <f t="shared" si="41"/>
        <v>22</v>
      </c>
      <c r="O1254" s="617"/>
    </row>
    <row r="1255" spans="2:15" ht="15" x14ac:dyDescent="0.25">
      <c r="B1255" s="529">
        <v>1250001</v>
      </c>
      <c r="C1255" s="529">
        <v>1251</v>
      </c>
      <c r="E1255" s="534">
        <v>0</v>
      </c>
      <c r="F1255" s="534">
        <v>0</v>
      </c>
      <c r="G1255" s="534">
        <v>22</v>
      </c>
      <c r="I1255" s="534">
        <v>0</v>
      </c>
      <c r="J1255" s="534">
        <v>0</v>
      </c>
      <c r="K1255" s="534">
        <v>0</v>
      </c>
      <c r="M1255" s="617">
        <f t="shared" si="40"/>
        <v>0</v>
      </c>
      <c r="N1255" s="617">
        <f t="shared" si="41"/>
        <v>22</v>
      </c>
      <c r="O1255" s="617"/>
    </row>
    <row r="1256" spans="2:15" ht="15" x14ac:dyDescent="0.25">
      <c r="B1256" s="529">
        <v>1251001</v>
      </c>
      <c r="C1256" s="529">
        <v>1252</v>
      </c>
      <c r="E1256" s="534">
        <v>0</v>
      </c>
      <c r="F1256" s="534">
        <v>0</v>
      </c>
      <c r="G1256" s="534">
        <v>22</v>
      </c>
      <c r="I1256" s="534">
        <v>0</v>
      </c>
      <c r="J1256" s="534">
        <v>0</v>
      </c>
      <c r="K1256" s="534">
        <v>0</v>
      </c>
      <c r="M1256" s="617">
        <f t="shared" si="40"/>
        <v>0</v>
      </c>
      <c r="N1256" s="617">
        <f t="shared" si="41"/>
        <v>22</v>
      </c>
      <c r="O1256" s="617"/>
    </row>
    <row r="1257" spans="2:15" ht="15" x14ac:dyDescent="0.25">
      <c r="B1257" s="529">
        <v>1252001</v>
      </c>
      <c r="C1257" s="529">
        <v>1253</v>
      </c>
      <c r="E1257" s="534">
        <v>0</v>
      </c>
      <c r="F1257" s="534">
        <v>0</v>
      </c>
      <c r="G1257" s="534">
        <v>22</v>
      </c>
      <c r="I1257" s="534">
        <v>0</v>
      </c>
      <c r="J1257" s="534">
        <v>0</v>
      </c>
      <c r="K1257" s="534">
        <v>0</v>
      </c>
      <c r="M1257" s="617">
        <f t="shared" si="40"/>
        <v>0</v>
      </c>
      <c r="N1257" s="617">
        <f t="shared" si="41"/>
        <v>22</v>
      </c>
      <c r="O1257" s="617"/>
    </row>
    <row r="1258" spans="2:15" ht="15" x14ac:dyDescent="0.25">
      <c r="B1258" s="529">
        <v>1253001</v>
      </c>
      <c r="C1258" s="529">
        <v>1254</v>
      </c>
      <c r="E1258" s="534">
        <v>0</v>
      </c>
      <c r="F1258" s="534">
        <v>0</v>
      </c>
      <c r="G1258" s="534">
        <v>22</v>
      </c>
      <c r="I1258" s="534">
        <v>0</v>
      </c>
      <c r="J1258" s="534">
        <v>0</v>
      </c>
      <c r="K1258" s="534">
        <v>0</v>
      </c>
      <c r="M1258" s="617">
        <f t="shared" si="40"/>
        <v>0</v>
      </c>
      <c r="N1258" s="617">
        <f t="shared" si="41"/>
        <v>22</v>
      </c>
      <c r="O1258" s="617"/>
    </row>
    <row r="1259" spans="2:15" ht="15" x14ac:dyDescent="0.25">
      <c r="B1259" s="529">
        <v>1254001</v>
      </c>
      <c r="C1259" s="529">
        <v>1255</v>
      </c>
      <c r="E1259" s="534">
        <v>0</v>
      </c>
      <c r="F1259" s="534">
        <v>0</v>
      </c>
      <c r="G1259" s="534">
        <v>22</v>
      </c>
      <c r="I1259" s="534">
        <v>0</v>
      </c>
      <c r="J1259" s="534">
        <v>0</v>
      </c>
      <c r="K1259" s="534">
        <v>0</v>
      </c>
      <c r="M1259" s="617">
        <f t="shared" si="40"/>
        <v>0</v>
      </c>
      <c r="N1259" s="617">
        <f t="shared" si="41"/>
        <v>22</v>
      </c>
      <c r="O1259" s="617"/>
    </row>
    <row r="1260" spans="2:15" ht="15" x14ac:dyDescent="0.25">
      <c r="B1260" s="529">
        <v>1255001</v>
      </c>
      <c r="C1260" s="529">
        <v>1256</v>
      </c>
      <c r="E1260" s="534">
        <v>0</v>
      </c>
      <c r="F1260" s="534">
        <v>0</v>
      </c>
      <c r="G1260" s="534">
        <v>22</v>
      </c>
      <c r="I1260" s="534">
        <v>0</v>
      </c>
      <c r="J1260" s="534">
        <v>0</v>
      </c>
      <c r="K1260" s="534">
        <v>0</v>
      </c>
      <c r="M1260" s="617">
        <f t="shared" si="40"/>
        <v>0</v>
      </c>
      <c r="N1260" s="617">
        <f t="shared" si="41"/>
        <v>22</v>
      </c>
      <c r="O1260" s="617"/>
    </row>
    <row r="1261" spans="2:15" ht="15" x14ac:dyDescent="0.25">
      <c r="B1261" s="529">
        <v>1256001</v>
      </c>
      <c r="C1261" s="529">
        <v>1257</v>
      </c>
      <c r="E1261" s="534">
        <v>0</v>
      </c>
      <c r="F1261" s="534">
        <v>0</v>
      </c>
      <c r="G1261" s="534">
        <v>22</v>
      </c>
      <c r="I1261" s="534">
        <v>0</v>
      </c>
      <c r="J1261" s="534">
        <v>0</v>
      </c>
      <c r="K1261" s="534">
        <v>0</v>
      </c>
      <c r="M1261" s="617">
        <f t="shared" si="40"/>
        <v>0</v>
      </c>
      <c r="N1261" s="617">
        <f t="shared" si="41"/>
        <v>22</v>
      </c>
      <c r="O1261" s="617"/>
    </row>
    <row r="1262" spans="2:15" ht="15" x14ac:dyDescent="0.25">
      <c r="B1262" s="529">
        <v>1257001</v>
      </c>
      <c r="C1262" s="529">
        <v>1258</v>
      </c>
      <c r="E1262" s="534">
        <v>0</v>
      </c>
      <c r="F1262" s="534">
        <v>0</v>
      </c>
      <c r="G1262" s="534">
        <v>22</v>
      </c>
      <c r="I1262" s="534">
        <v>0</v>
      </c>
      <c r="J1262" s="534">
        <v>0</v>
      </c>
      <c r="K1262" s="534">
        <v>0</v>
      </c>
      <c r="M1262" s="617">
        <f t="shared" si="40"/>
        <v>0</v>
      </c>
      <c r="N1262" s="617">
        <f t="shared" si="41"/>
        <v>22</v>
      </c>
      <c r="O1262" s="617"/>
    </row>
    <row r="1263" spans="2:15" ht="15" x14ac:dyDescent="0.25">
      <c r="B1263" s="529">
        <v>1258001</v>
      </c>
      <c r="C1263" s="529">
        <v>1259</v>
      </c>
      <c r="E1263" s="534">
        <v>0</v>
      </c>
      <c r="F1263" s="534">
        <v>0</v>
      </c>
      <c r="G1263" s="534">
        <v>22</v>
      </c>
      <c r="I1263" s="534">
        <v>0</v>
      </c>
      <c r="J1263" s="534">
        <v>0</v>
      </c>
      <c r="K1263" s="534">
        <v>0</v>
      </c>
      <c r="M1263" s="617">
        <f t="shared" si="40"/>
        <v>0</v>
      </c>
      <c r="N1263" s="617">
        <f t="shared" si="41"/>
        <v>22</v>
      </c>
      <c r="O1263" s="617"/>
    </row>
    <row r="1264" spans="2:15" ht="15" x14ac:dyDescent="0.25">
      <c r="B1264" s="529">
        <v>1259001</v>
      </c>
      <c r="C1264" s="529">
        <v>1260</v>
      </c>
      <c r="E1264" s="534">
        <v>0</v>
      </c>
      <c r="F1264" s="534">
        <v>0</v>
      </c>
      <c r="G1264" s="534">
        <v>22</v>
      </c>
      <c r="I1264" s="534">
        <v>0</v>
      </c>
      <c r="J1264" s="534">
        <v>0</v>
      </c>
      <c r="K1264" s="534">
        <v>0</v>
      </c>
      <c r="M1264" s="617">
        <f t="shared" si="40"/>
        <v>0</v>
      </c>
      <c r="N1264" s="617">
        <f t="shared" si="41"/>
        <v>22</v>
      </c>
      <c r="O1264" s="617"/>
    </row>
    <row r="1265" spans="2:15" ht="15" x14ac:dyDescent="0.25">
      <c r="B1265" s="529">
        <v>1260001</v>
      </c>
      <c r="C1265" s="529">
        <v>1261</v>
      </c>
      <c r="E1265" s="534">
        <v>0</v>
      </c>
      <c r="F1265" s="534">
        <v>0</v>
      </c>
      <c r="G1265" s="534">
        <v>22</v>
      </c>
      <c r="I1265" s="534">
        <v>0</v>
      </c>
      <c r="J1265" s="534">
        <v>0</v>
      </c>
      <c r="K1265" s="534">
        <v>0</v>
      </c>
      <c r="M1265" s="617">
        <f t="shared" si="40"/>
        <v>0</v>
      </c>
      <c r="N1265" s="617">
        <f t="shared" si="41"/>
        <v>22</v>
      </c>
      <c r="O1265" s="617"/>
    </row>
    <row r="1266" spans="2:15" ht="15" x14ac:dyDescent="0.25">
      <c r="B1266" s="529">
        <v>1261001</v>
      </c>
      <c r="C1266" s="529">
        <v>1262</v>
      </c>
      <c r="E1266" s="534">
        <v>0</v>
      </c>
      <c r="F1266" s="534">
        <v>0</v>
      </c>
      <c r="G1266" s="534">
        <v>22</v>
      </c>
      <c r="I1266" s="534">
        <v>0</v>
      </c>
      <c r="J1266" s="534">
        <v>0</v>
      </c>
      <c r="K1266" s="534">
        <v>0</v>
      </c>
      <c r="M1266" s="617">
        <f t="shared" si="40"/>
        <v>0</v>
      </c>
      <c r="N1266" s="617">
        <f t="shared" si="41"/>
        <v>22</v>
      </c>
      <c r="O1266" s="617"/>
    </row>
    <row r="1267" spans="2:15" ht="15" x14ac:dyDescent="0.25">
      <c r="B1267" s="529">
        <v>1262001</v>
      </c>
      <c r="C1267" s="529">
        <v>1263</v>
      </c>
      <c r="E1267" s="534">
        <v>0</v>
      </c>
      <c r="F1267" s="534">
        <v>0</v>
      </c>
      <c r="G1267" s="534">
        <v>22</v>
      </c>
      <c r="I1267" s="534">
        <v>0</v>
      </c>
      <c r="J1267" s="534">
        <v>0</v>
      </c>
      <c r="K1267" s="534">
        <v>0</v>
      </c>
      <c r="M1267" s="617">
        <f t="shared" si="40"/>
        <v>0</v>
      </c>
      <c r="N1267" s="617">
        <f t="shared" si="41"/>
        <v>22</v>
      </c>
      <c r="O1267" s="617"/>
    </row>
    <row r="1268" spans="2:15" ht="15" x14ac:dyDescent="0.25">
      <c r="B1268" s="529">
        <v>1263001</v>
      </c>
      <c r="C1268" s="529">
        <v>1264</v>
      </c>
      <c r="E1268" s="534">
        <v>0</v>
      </c>
      <c r="F1268" s="534">
        <v>0</v>
      </c>
      <c r="G1268" s="534">
        <v>22</v>
      </c>
      <c r="I1268" s="534">
        <v>0</v>
      </c>
      <c r="J1268" s="534">
        <v>0</v>
      </c>
      <c r="K1268" s="534">
        <v>0</v>
      </c>
      <c r="M1268" s="617">
        <f t="shared" si="40"/>
        <v>0</v>
      </c>
      <c r="N1268" s="617">
        <f t="shared" si="41"/>
        <v>22</v>
      </c>
      <c r="O1268" s="617"/>
    </row>
    <row r="1269" spans="2:15" ht="15" x14ac:dyDescent="0.25">
      <c r="B1269" s="529">
        <v>1264001</v>
      </c>
      <c r="C1269" s="529">
        <v>1265</v>
      </c>
      <c r="E1269" s="534">
        <v>0</v>
      </c>
      <c r="F1269" s="534">
        <v>0</v>
      </c>
      <c r="G1269" s="534">
        <v>22</v>
      </c>
      <c r="I1269" s="534">
        <v>0</v>
      </c>
      <c r="J1269" s="534">
        <v>0</v>
      </c>
      <c r="K1269" s="534">
        <v>0</v>
      </c>
      <c r="M1269" s="617">
        <f t="shared" si="40"/>
        <v>0</v>
      </c>
      <c r="N1269" s="617">
        <f t="shared" si="41"/>
        <v>22</v>
      </c>
      <c r="O1269" s="617"/>
    </row>
    <row r="1270" spans="2:15" ht="15" x14ac:dyDescent="0.25">
      <c r="B1270" s="529">
        <v>1265001</v>
      </c>
      <c r="C1270" s="529">
        <v>1266</v>
      </c>
      <c r="E1270" s="534">
        <v>0</v>
      </c>
      <c r="F1270" s="534">
        <v>0</v>
      </c>
      <c r="G1270" s="534">
        <v>22</v>
      </c>
      <c r="I1270" s="534">
        <v>0</v>
      </c>
      <c r="J1270" s="534">
        <v>0</v>
      </c>
      <c r="K1270" s="534">
        <v>0</v>
      </c>
      <c r="M1270" s="617">
        <f t="shared" si="40"/>
        <v>0</v>
      </c>
      <c r="N1270" s="617">
        <f t="shared" si="41"/>
        <v>22</v>
      </c>
      <c r="O1270" s="617"/>
    </row>
    <row r="1271" spans="2:15" ht="15" x14ac:dyDescent="0.25">
      <c r="B1271" s="529">
        <v>1266001</v>
      </c>
      <c r="C1271" s="529">
        <v>1267</v>
      </c>
      <c r="E1271" s="534">
        <v>0</v>
      </c>
      <c r="F1271" s="534">
        <v>0</v>
      </c>
      <c r="G1271" s="534">
        <v>22</v>
      </c>
      <c r="I1271" s="534">
        <v>0</v>
      </c>
      <c r="J1271" s="534">
        <v>0</v>
      </c>
      <c r="K1271" s="534">
        <v>0</v>
      </c>
      <c r="M1271" s="617">
        <f t="shared" si="40"/>
        <v>0</v>
      </c>
      <c r="N1271" s="617">
        <f t="shared" si="41"/>
        <v>22</v>
      </c>
      <c r="O1271" s="617"/>
    </row>
    <row r="1272" spans="2:15" ht="15" x14ac:dyDescent="0.25">
      <c r="B1272" s="529">
        <v>1267001</v>
      </c>
      <c r="C1272" s="529">
        <v>1268</v>
      </c>
      <c r="E1272" s="534">
        <v>0</v>
      </c>
      <c r="F1272" s="534">
        <v>0</v>
      </c>
      <c r="G1272" s="534">
        <v>22</v>
      </c>
      <c r="I1272" s="534">
        <v>0</v>
      </c>
      <c r="J1272" s="534">
        <v>0</v>
      </c>
      <c r="K1272" s="534">
        <v>0</v>
      </c>
      <c r="M1272" s="617">
        <f t="shared" si="40"/>
        <v>0</v>
      </c>
      <c r="N1272" s="617">
        <f t="shared" si="41"/>
        <v>22</v>
      </c>
      <c r="O1272" s="617"/>
    </row>
    <row r="1273" spans="2:15" ht="15" x14ac:dyDescent="0.25">
      <c r="B1273" s="529">
        <v>1268001</v>
      </c>
      <c r="C1273" s="529">
        <v>1269</v>
      </c>
      <c r="E1273" s="534">
        <v>0</v>
      </c>
      <c r="F1273" s="534">
        <v>0</v>
      </c>
      <c r="G1273" s="534">
        <v>22</v>
      </c>
      <c r="I1273" s="534">
        <v>0</v>
      </c>
      <c r="J1273" s="534">
        <v>0</v>
      </c>
      <c r="K1273" s="534">
        <v>0</v>
      </c>
      <c r="M1273" s="617">
        <f t="shared" si="40"/>
        <v>0</v>
      </c>
      <c r="N1273" s="617">
        <f t="shared" si="41"/>
        <v>22</v>
      </c>
      <c r="O1273" s="617"/>
    </row>
    <row r="1274" spans="2:15" ht="15" x14ac:dyDescent="0.25">
      <c r="B1274" s="529">
        <v>1269001</v>
      </c>
      <c r="C1274" s="529">
        <v>1270</v>
      </c>
      <c r="E1274" s="534">
        <v>0</v>
      </c>
      <c r="F1274" s="534">
        <v>0</v>
      </c>
      <c r="G1274" s="534">
        <v>22</v>
      </c>
      <c r="I1274" s="534">
        <v>0</v>
      </c>
      <c r="J1274" s="534">
        <v>0</v>
      </c>
      <c r="K1274" s="534">
        <v>0</v>
      </c>
      <c r="M1274" s="617">
        <f t="shared" si="40"/>
        <v>0</v>
      </c>
      <c r="N1274" s="617">
        <f t="shared" si="41"/>
        <v>22</v>
      </c>
      <c r="O1274" s="617"/>
    </row>
    <row r="1275" spans="2:15" ht="15" x14ac:dyDescent="0.25">
      <c r="B1275" s="529">
        <v>1270001</v>
      </c>
      <c r="C1275" s="529">
        <v>1271</v>
      </c>
      <c r="E1275" s="534">
        <v>0</v>
      </c>
      <c r="F1275" s="534">
        <v>0</v>
      </c>
      <c r="G1275" s="534">
        <v>22</v>
      </c>
      <c r="I1275" s="534">
        <v>0</v>
      </c>
      <c r="J1275" s="534">
        <v>0</v>
      </c>
      <c r="K1275" s="534">
        <v>0</v>
      </c>
      <c r="M1275" s="617">
        <f t="shared" si="40"/>
        <v>0</v>
      </c>
      <c r="N1275" s="617">
        <f t="shared" si="41"/>
        <v>22</v>
      </c>
      <c r="O1275" s="617"/>
    </row>
    <row r="1276" spans="2:15" ht="15" x14ac:dyDescent="0.25">
      <c r="B1276" s="529">
        <v>1271001</v>
      </c>
      <c r="C1276" s="529">
        <v>1272</v>
      </c>
      <c r="E1276" s="534">
        <v>0</v>
      </c>
      <c r="F1276" s="534">
        <v>0</v>
      </c>
      <c r="G1276" s="534">
        <v>22</v>
      </c>
      <c r="I1276" s="534">
        <v>0</v>
      </c>
      <c r="J1276" s="534">
        <v>0</v>
      </c>
      <c r="K1276" s="534">
        <v>0</v>
      </c>
      <c r="M1276" s="617">
        <f t="shared" si="40"/>
        <v>0</v>
      </c>
      <c r="N1276" s="617">
        <f t="shared" si="41"/>
        <v>22</v>
      </c>
      <c r="O1276" s="617"/>
    </row>
    <row r="1277" spans="2:15" ht="15" x14ac:dyDescent="0.25">
      <c r="B1277" s="529">
        <v>1272001</v>
      </c>
      <c r="C1277" s="529">
        <v>1273</v>
      </c>
      <c r="E1277" s="534">
        <v>0</v>
      </c>
      <c r="F1277" s="534">
        <v>0</v>
      </c>
      <c r="G1277" s="534">
        <v>22</v>
      </c>
      <c r="I1277" s="534">
        <v>0</v>
      </c>
      <c r="J1277" s="534">
        <v>0</v>
      </c>
      <c r="K1277" s="534">
        <v>0</v>
      </c>
      <c r="M1277" s="617">
        <f t="shared" si="40"/>
        <v>0</v>
      </c>
      <c r="N1277" s="617">
        <f t="shared" si="41"/>
        <v>22</v>
      </c>
      <c r="O1277" s="617"/>
    </row>
    <row r="1278" spans="2:15" ht="15" x14ac:dyDescent="0.25">
      <c r="B1278" s="529">
        <v>1273001</v>
      </c>
      <c r="C1278" s="529">
        <v>1274</v>
      </c>
      <c r="E1278" s="534">
        <v>0</v>
      </c>
      <c r="F1278" s="534">
        <v>0</v>
      </c>
      <c r="G1278" s="534">
        <v>22</v>
      </c>
      <c r="I1278" s="534">
        <v>0</v>
      </c>
      <c r="J1278" s="534">
        <v>0</v>
      </c>
      <c r="K1278" s="534">
        <v>0</v>
      </c>
      <c r="M1278" s="617">
        <f t="shared" si="40"/>
        <v>0</v>
      </c>
      <c r="N1278" s="617">
        <f t="shared" si="41"/>
        <v>22</v>
      </c>
      <c r="O1278" s="617"/>
    </row>
    <row r="1279" spans="2:15" ht="15" x14ac:dyDescent="0.25">
      <c r="B1279" s="529">
        <v>1274001</v>
      </c>
      <c r="C1279" s="529">
        <v>1275</v>
      </c>
      <c r="E1279" s="534">
        <v>0</v>
      </c>
      <c r="F1279" s="534">
        <v>0</v>
      </c>
      <c r="G1279" s="534">
        <v>22</v>
      </c>
      <c r="I1279" s="534">
        <v>0</v>
      </c>
      <c r="J1279" s="534">
        <v>0</v>
      </c>
      <c r="K1279" s="534">
        <v>0</v>
      </c>
      <c r="M1279" s="617">
        <f t="shared" si="40"/>
        <v>0</v>
      </c>
      <c r="N1279" s="617">
        <f t="shared" si="41"/>
        <v>22</v>
      </c>
      <c r="O1279" s="617"/>
    </row>
    <row r="1280" spans="2:15" ht="15" x14ac:dyDescent="0.25">
      <c r="B1280" s="529">
        <v>1275001</v>
      </c>
      <c r="C1280" s="529">
        <v>1276</v>
      </c>
      <c r="E1280" s="534">
        <v>0</v>
      </c>
      <c r="F1280" s="534">
        <v>0</v>
      </c>
      <c r="G1280" s="534">
        <v>22</v>
      </c>
      <c r="I1280" s="534">
        <v>0</v>
      </c>
      <c r="J1280" s="534">
        <v>0</v>
      </c>
      <c r="K1280" s="534">
        <v>0</v>
      </c>
      <c r="M1280" s="617">
        <f t="shared" si="40"/>
        <v>0</v>
      </c>
      <c r="N1280" s="617">
        <f t="shared" si="41"/>
        <v>22</v>
      </c>
      <c r="O1280" s="617"/>
    </row>
    <row r="1281" spans="2:15" ht="15" x14ac:dyDescent="0.25">
      <c r="B1281" s="529">
        <v>1276001</v>
      </c>
      <c r="C1281" s="529">
        <v>1277</v>
      </c>
      <c r="E1281" s="534">
        <v>0</v>
      </c>
      <c r="F1281" s="534">
        <v>0</v>
      </c>
      <c r="G1281" s="534">
        <v>22</v>
      </c>
      <c r="I1281" s="534">
        <v>0</v>
      </c>
      <c r="J1281" s="534">
        <v>0</v>
      </c>
      <c r="K1281" s="534">
        <v>0</v>
      </c>
      <c r="M1281" s="617">
        <f t="shared" si="40"/>
        <v>0</v>
      </c>
      <c r="N1281" s="617">
        <f t="shared" si="41"/>
        <v>22</v>
      </c>
      <c r="O1281" s="617"/>
    </row>
    <row r="1282" spans="2:15" ht="15" x14ac:dyDescent="0.25">
      <c r="B1282" s="529">
        <v>1277001</v>
      </c>
      <c r="C1282" s="529">
        <v>1278</v>
      </c>
      <c r="E1282" s="534">
        <v>0</v>
      </c>
      <c r="F1282" s="534">
        <v>0</v>
      </c>
      <c r="G1282" s="534">
        <v>22</v>
      </c>
      <c r="I1282" s="534">
        <v>0</v>
      </c>
      <c r="J1282" s="534">
        <v>0</v>
      </c>
      <c r="K1282" s="534">
        <v>0</v>
      </c>
      <c r="M1282" s="617">
        <f t="shared" si="40"/>
        <v>0</v>
      </c>
      <c r="N1282" s="617">
        <f t="shared" si="41"/>
        <v>22</v>
      </c>
      <c r="O1282" s="617"/>
    </row>
    <row r="1283" spans="2:15" ht="15" x14ac:dyDescent="0.25">
      <c r="B1283" s="529">
        <v>1278001</v>
      </c>
      <c r="C1283" s="529">
        <v>1279</v>
      </c>
      <c r="E1283" s="534">
        <v>1</v>
      </c>
      <c r="F1283" s="534">
        <v>1279</v>
      </c>
      <c r="G1283" s="534">
        <v>22</v>
      </c>
      <c r="I1283" s="534">
        <v>0</v>
      </c>
      <c r="J1283" s="534">
        <v>0</v>
      </c>
      <c r="K1283" s="534">
        <v>0</v>
      </c>
      <c r="M1283" s="617">
        <f t="shared" si="40"/>
        <v>1</v>
      </c>
      <c r="N1283" s="617">
        <f t="shared" si="41"/>
        <v>22</v>
      </c>
      <c r="O1283" s="617"/>
    </row>
    <row r="1284" spans="2:15" ht="15" x14ac:dyDescent="0.25">
      <c r="B1284" s="529">
        <v>1279001</v>
      </c>
      <c r="C1284" s="529">
        <v>1280</v>
      </c>
      <c r="E1284" s="534">
        <v>0</v>
      </c>
      <c r="F1284" s="534">
        <v>0</v>
      </c>
      <c r="G1284" s="534">
        <v>21</v>
      </c>
      <c r="I1284" s="534">
        <v>0</v>
      </c>
      <c r="J1284" s="534">
        <v>0</v>
      </c>
      <c r="K1284" s="534">
        <v>0</v>
      </c>
      <c r="M1284" s="617">
        <f t="shared" si="40"/>
        <v>0</v>
      </c>
      <c r="N1284" s="617">
        <f t="shared" si="41"/>
        <v>21</v>
      </c>
      <c r="O1284" s="617"/>
    </row>
    <row r="1285" spans="2:15" ht="15" x14ac:dyDescent="0.25">
      <c r="B1285" s="529">
        <v>1280001</v>
      </c>
      <c r="C1285" s="529">
        <v>1281</v>
      </c>
      <c r="E1285" s="534">
        <v>0</v>
      </c>
      <c r="F1285" s="534">
        <v>0</v>
      </c>
      <c r="G1285" s="534">
        <v>21</v>
      </c>
      <c r="I1285" s="534">
        <v>0</v>
      </c>
      <c r="J1285" s="534">
        <v>0</v>
      </c>
      <c r="K1285" s="534">
        <v>0</v>
      </c>
      <c r="M1285" s="617">
        <f t="shared" ref="M1285:M1348" si="42">I1285+E1285</f>
        <v>0</v>
      </c>
      <c r="N1285" s="617">
        <f t="shared" ref="N1285:N1348" si="43">K1285+G1285</f>
        <v>21</v>
      </c>
      <c r="O1285" s="617"/>
    </row>
    <row r="1286" spans="2:15" ht="15" x14ac:dyDescent="0.25">
      <c r="B1286" s="529">
        <v>1281001</v>
      </c>
      <c r="C1286" s="529">
        <v>1282</v>
      </c>
      <c r="E1286" s="534">
        <v>0</v>
      </c>
      <c r="F1286" s="534">
        <v>0</v>
      </c>
      <c r="G1286" s="534">
        <v>21</v>
      </c>
      <c r="I1286" s="534">
        <v>0</v>
      </c>
      <c r="J1286" s="534">
        <v>0</v>
      </c>
      <c r="K1286" s="534">
        <v>0</v>
      </c>
      <c r="M1286" s="617">
        <f t="shared" si="42"/>
        <v>0</v>
      </c>
      <c r="N1286" s="617">
        <f t="shared" si="43"/>
        <v>21</v>
      </c>
      <c r="O1286" s="617"/>
    </row>
    <row r="1287" spans="2:15" ht="15" x14ac:dyDescent="0.25">
      <c r="B1287" s="529">
        <v>1282001</v>
      </c>
      <c r="C1287" s="529">
        <v>1283</v>
      </c>
      <c r="E1287" s="534">
        <v>0</v>
      </c>
      <c r="F1287" s="534">
        <v>0</v>
      </c>
      <c r="G1287" s="534">
        <v>21</v>
      </c>
      <c r="I1287" s="534">
        <v>0</v>
      </c>
      <c r="J1287" s="534">
        <v>0</v>
      </c>
      <c r="K1287" s="534">
        <v>0</v>
      </c>
      <c r="M1287" s="617">
        <f t="shared" si="42"/>
        <v>0</v>
      </c>
      <c r="N1287" s="617">
        <f t="shared" si="43"/>
        <v>21</v>
      </c>
      <c r="O1287" s="617"/>
    </row>
    <row r="1288" spans="2:15" ht="15" x14ac:dyDescent="0.25">
      <c r="B1288" s="529">
        <v>1283001</v>
      </c>
      <c r="C1288" s="529">
        <v>1284</v>
      </c>
      <c r="E1288" s="534">
        <v>0</v>
      </c>
      <c r="F1288" s="534">
        <v>0</v>
      </c>
      <c r="G1288" s="534">
        <v>21</v>
      </c>
      <c r="I1288" s="534">
        <v>0</v>
      </c>
      <c r="J1288" s="534">
        <v>0</v>
      </c>
      <c r="K1288" s="534">
        <v>0</v>
      </c>
      <c r="M1288" s="617">
        <f t="shared" si="42"/>
        <v>0</v>
      </c>
      <c r="N1288" s="617">
        <f t="shared" si="43"/>
        <v>21</v>
      </c>
      <c r="O1288" s="617"/>
    </row>
    <row r="1289" spans="2:15" ht="15" x14ac:dyDescent="0.25">
      <c r="B1289" s="529">
        <v>1284001</v>
      </c>
      <c r="C1289" s="529">
        <v>1285</v>
      </c>
      <c r="E1289" s="534">
        <v>0</v>
      </c>
      <c r="F1289" s="534">
        <v>0</v>
      </c>
      <c r="G1289" s="534">
        <v>21</v>
      </c>
      <c r="I1289" s="534">
        <v>0</v>
      </c>
      <c r="J1289" s="534">
        <v>0</v>
      </c>
      <c r="K1289" s="534">
        <v>0</v>
      </c>
      <c r="M1289" s="617">
        <f t="shared" si="42"/>
        <v>0</v>
      </c>
      <c r="N1289" s="617">
        <f t="shared" si="43"/>
        <v>21</v>
      </c>
      <c r="O1289" s="617"/>
    </row>
    <row r="1290" spans="2:15" ht="15" x14ac:dyDescent="0.25">
      <c r="B1290" s="529">
        <v>1285001</v>
      </c>
      <c r="C1290" s="529">
        <v>1286</v>
      </c>
      <c r="E1290" s="534">
        <v>0</v>
      </c>
      <c r="F1290" s="534">
        <v>0</v>
      </c>
      <c r="G1290" s="534">
        <v>21</v>
      </c>
      <c r="I1290" s="534">
        <v>0</v>
      </c>
      <c r="J1290" s="534">
        <v>0</v>
      </c>
      <c r="K1290" s="534">
        <v>0</v>
      </c>
      <c r="M1290" s="617">
        <f t="shared" si="42"/>
        <v>0</v>
      </c>
      <c r="N1290" s="617">
        <f t="shared" si="43"/>
        <v>21</v>
      </c>
      <c r="O1290" s="617"/>
    </row>
    <row r="1291" spans="2:15" ht="15" x14ac:dyDescent="0.25">
      <c r="B1291" s="529">
        <v>1286001</v>
      </c>
      <c r="C1291" s="529">
        <v>1287</v>
      </c>
      <c r="E1291" s="534">
        <v>0</v>
      </c>
      <c r="F1291" s="534">
        <v>0</v>
      </c>
      <c r="G1291" s="534">
        <v>21</v>
      </c>
      <c r="I1291" s="534">
        <v>0</v>
      </c>
      <c r="J1291" s="534">
        <v>0</v>
      </c>
      <c r="K1291" s="534">
        <v>0</v>
      </c>
      <c r="M1291" s="617">
        <f t="shared" si="42"/>
        <v>0</v>
      </c>
      <c r="N1291" s="617">
        <f t="shared" si="43"/>
        <v>21</v>
      </c>
      <c r="O1291" s="617"/>
    </row>
    <row r="1292" spans="2:15" ht="15" x14ac:dyDescent="0.25">
      <c r="B1292" s="529">
        <v>1287001</v>
      </c>
      <c r="C1292" s="529">
        <v>1288</v>
      </c>
      <c r="E1292" s="534">
        <v>0</v>
      </c>
      <c r="F1292" s="534">
        <v>0</v>
      </c>
      <c r="G1292" s="534">
        <v>21</v>
      </c>
      <c r="I1292" s="534">
        <v>0</v>
      </c>
      <c r="J1292" s="534">
        <v>0</v>
      </c>
      <c r="K1292" s="534">
        <v>0</v>
      </c>
      <c r="M1292" s="617">
        <f t="shared" si="42"/>
        <v>0</v>
      </c>
      <c r="N1292" s="617">
        <f t="shared" si="43"/>
        <v>21</v>
      </c>
      <c r="O1292" s="617"/>
    </row>
    <row r="1293" spans="2:15" ht="15" x14ac:dyDescent="0.25">
      <c r="B1293" s="529">
        <v>1288001</v>
      </c>
      <c r="C1293" s="529">
        <v>1289</v>
      </c>
      <c r="E1293" s="534">
        <v>0</v>
      </c>
      <c r="F1293" s="534">
        <v>0</v>
      </c>
      <c r="G1293" s="534">
        <v>21</v>
      </c>
      <c r="I1293" s="534">
        <v>0</v>
      </c>
      <c r="J1293" s="534">
        <v>0</v>
      </c>
      <c r="K1293" s="534">
        <v>0</v>
      </c>
      <c r="M1293" s="617">
        <f t="shared" si="42"/>
        <v>0</v>
      </c>
      <c r="N1293" s="617">
        <f t="shared" si="43"/>
        <v>21</v>
      </c>
      <c r="O1293" s="617"/>
    </row>
    <row r="1294" spans="2:15" ht="15" x14ac:dyDescent="0.25">
      <c r="B1294" s="529">
        <v>1289001</v>
      </c>
      <c r="C1294" s="529">
        <v>1290</v>
      </c>
      <c r="E1294" s="534">
        <v>0</v>
      </c>
      <c r="F1294" s="534">
        <v>0</v>
      </c>
      <c r="G1294" s="534">
        <v>21</v>
      </c>
      <c r="I1294" s="534">
        <v>0</v>
      </c>
      <c r="J1294" s="534">
        <v>0</v>
      </c>
      <c r="K1294" s="534">
        <v>0</v>
      </c>
      <c r="M1294" s="617">
        <f t="shared" si="42"/>
        <v>0</v>
      </c>
      <c r="N1294" s="617">
        <f t="shared" si="43"/>
        <v>21</v>
      </c>
      <c r="O1294" s="617"/>
    </row>
    <row r="1295" spans="2:15" ht="15" x14ac:dyDescent="0.25">
      <c r="B1295" s="529">
        <v>1290001</v>
      </c>
      <c r="C1295" s="529">
        <v>1291</v>
      </c>
      <c r="E1295" s="534">
        <v>0</v>
      </c>
      <c r="F1295" s="534">
        <v>0</v>
      </c>
      <c r="G1295" s="534">
        <v>21</v>
      </c>
      <c r="I1295" s="534">
        <v>0</v>
      </c>
      <c r="J1295" s="534">
        <v>0</v>
      </c>
      <c r="K1295" s="534">
        <v>0</v>
      </c>
      <c r="M1295" s="617">
        <f t="shared" si="42"/>
        <v>0</v>
      </c>
      <c r="N1295" s="617">
        <f t="shared" si="43"/>
        <v>21</v>
      </c>
      <c r="O1295" s="617"/>
    </row>
    <row r="1296" spans="2:15" ht="15" x14ac:dyDescent="0.25">
      <c r="B1296" s="529">
        <v>1291001</v>
      </c>
      <c r="C1296" s="529">
        <v>1292</v>
      </c>
      <c r="E1296" s="534">
        <v>0</v>
      </c>
      <c r="F1296" s="534">
        <v>0</v>
      </c>
      <c r="G1296" s="534">
        <v>21</v>
      </c>
      <c r="I1296" s="534">
        <v>0</v>
      </c>
      <c r="J1296" s="534">
        <v>0</v>
      </c>
      <c r="K1296" s="534">
        <v>0</v>
      </c>
      <c r="M1296" s="617">
        <f t="shared" si="42"/>
        <v>0</v>
      </c>
      <c r="N1296" s="617">
        <f t="shared" si="43"/>
        <v>21</v>
      </c>
      <c r="O1296" s="617"/>
    </row>
    <row r="1297" spans="2:15" ht="15" x14ac:dyDescent="0.25">
      <c r="B1297" s="529">
        <v>1292001</v>
      </c>
      <c r="C1297" s="529">
        <v>1293</v>
      </c>
      <c r="E1297" s="534">
        <v>0</v>
      </c>
      <c r="F1297" s="534">
        <v>0</v>
      </c>
      <c r="G1297" s="534">
        <v>21</v>
      </c>
      <c r="I1297" s="534">
        <v>0</v>
      </c>
      <c r="J1297" s="534">
        <v>0</v>
      </c>
      <c r="K1297" s="534">
        <v>0</v>
      </c>
      <c r="M1297" s="617">
        <f t="shared" si="42"/>
        <v>0</v>
      </c>
      <c r="N1297" s="617">
        <f t="shared" si="43"/>
        <v>21</v>
      </c>
      <c r="O1297" s="617"/>
    </row>
    <row r="1298" spans="2:15" ht="15" x14ac:dyDescent="0.25">
      <c r="B1298" s="529">
        <v>1293001</v>
      </c>
      <c r="C1298" s="529">
        <v>1294</v>
      </c>
      <c r="E1298" s="534">
        <v>0</v>
      </c>
      <c r="F1298" s="534">
        <v>0</v>
      </c>
      <c r="G1298" s="534">
        <v>21</v>
      </c>
      <c r="I1298" s="534">
        <v>0</v>
      </c>
      <c r="J1298" s="534">
        <v>0</v>
      </c>
      <c r="K1298" s="534">
        <v>0</v>
      </c>
      <c r="M1298" s="617">
        <f t="shared" si="42"/>
        <v>0</v>
      </c>
      <c r="N1298" s="617">
        <f t="shared" si="43"/>
        <v>21</v>
      </c>
      <c r="O1298" s="617"/>
    </row>
    <row r="1299" spans="2:15" ht="15" x14ac:dyDescent="0.25">
      <c r="B1299" s="529">
        <v>1294001</v>
      </c>
      <c r="C1299" s="529">
        <v>1295</v>
      </c>
      <c r="E1299" s="534">
        <v>0</v>
      </c>
      <c r="F1299" s="534">
        <v>0</v>
      </c>
      <c r="G1299" s="534">
        <v>21</v>
      </c>
      <c r="I1299" s="534">
        <v>0</v>
      </c>
      <c r="J1299" s="534">
        <v>0</v>
      </c>
      <c r="K1299" s="534">
        <v>0</v>
      </c>
      <c r="M1299" s="617">
        <f t="shared" si="42"/>
        <v>0</v>
      </c>
      <c r="N1299" s="617">
        <f t="shared" si="43"/>
        <v>21</v>
      </c>
      <c r="O1299" s="617"/>
    </row>
    <row r="1300" spans="2:15" ht="15" x14ac:dyDescent="0.25">
      <c r="B1300" s="529">
        <v>1295001</v>
      </c>
      <c r="C1300" s="529">
        <v>1296</v>
      </c>
      <c r="E1300" s="534">
        <v>0</v>
      </c>
      <c r="F1300" s="534">
        <v>0</v>
      </c>
      <c r="G1300" s="534">
        <v>21</v>
      </c>
      <c r="I1300" s="534">
        <v>0</v>
      </c>
      <c r="J1300" s="534">
        <v>0</v>
      </c>
      <c r="K1300" s="534">
        <v>0</v>
      </c>
      <c r="M1300" s="617">
        <f t="shared" si="42"/>
        <v>0</v>
      </c>
      <c r="N1300" s="617">
        <f t="shared" si="43"/>
        <v>21</v>
      </c>
      <c r="O1300" s="617"/>
    </row>
    <row r="1301" spans="2:15" ht="15" x14ac:dyDescent="0.25">
      <c r="B1301" s="529">
        <v>1296001</v>
      </c>
      <c r="C1301" s="529">
        <v>1297</v>
      </c>
      <c r="E1301" s="534">
        <v>1</v>
      </c>
      <c r="F1301" s="534">
        <v>1297</v>
      </c>
      <c r="G1301" s="534">
        <v>21</v>
      </c>
      <c r="I1301" s="534">
        <v>0</v>
      </c>
      <c r="J1301" s="534">
        <v>0</v>
      </c>
      <c r="K1301" s="534">
        <v>0</v>
      </c>
      <c r="M1301" s="617">
        <f t="shared" si="42"/>
        <v>1</v>
      </c>
      <c r="N1301" s="617">
        <f t="shared" si="43"/>
        <v>21</v>
      </c>
      <c r="O1301" s="617"/>
    </row>
    <row r="1302" spans="2:15" ht="15" x14ac:dyDescent="0.25">
      <c r="B1302" s="529">
        <v>1297001</v>
      </c>
      <c r="C1302" s="529">
        <v>1298</v>
      </c>
      <c r="E1302" s="534">
        <v>0</v>
      </c>
      <c r="F1302" s="534">
        <v>0</v>
      </c>
      <c r="G1302" s="534">
        <v>20</v>
      </c>
      <c r="I1302" s="534">
        <v>0</v>
      </c>
      <c r="J1302" s="534">
        <v>0</v>
      </c>
      <c r="K1302" s="534">
        <v>0</v>
      </c>
      <c r="M1302" s="617">
        <f t="shared" si="42"/>
        <v>0</v>
      </c>
      <c r="N1302" s="617">
        <f t="shared" si="43"/>
        <v>20</v>
      </c>
      <c r="O1302" s="617"/>
    </row>
    <row r="1303" spans="2:15" ht="15" x14ac:dyDescent="0.25">
      <c r="B1303" s="529">
        <v>1298001</v>
      </c>
      <c r="C1303" s="529">
        <v>1299</v>
      </c>
      <c r="E1303" s="534">
        <v>0</v>
      </c>
      <c r="F1303" s="534">
        <v>0</v>
      </c>
      <c r="G1303" s="534">
        <v>20</v>
      </c>
      <c r="I1303" s="534">
        <v>0</v>
      </c>
      <c r="J1303" s="534">
        <v>0</v>
      </c>
      <c r="K1303" s="534">
        <v>0</v>
      </c>
      <c r="M1303" s="617">
        <f t="shared" si="42"/>
        <v>0</v>
      </c>
      <c r="N1303" s="617">
        <f t="shared" si="43"/>
        <v>20</v>
      </c>
      <c r="O1303" s="617"/>
    </row>
    <row r="1304" spans="2:15" ht="15" x14ac:dyDescent="0.25">
      <c r="B1304" s="529">
        <v>1299001</v>
      </c>
      <c r="C1304" s="529">
        <v>1300</v>
      </c>
      <c r="E1304" s="534">
        <v>0</v>
      </c>
      <c r="F1304" s="534">
        <v>0</v>
      </c>
      <c r="G1304" s="534">
        <v>20</v>
      </c>
      <c r="I1304" s="534">
        <v>0</v>
      </c>
      <c r="J1304" s="534">
        <v>0</v>
      </c>
      <c r="K1304" s="534">
        <v>0</v>
      </c>
      <c r="M1304" s="617">
        <f t="shared" si="42"/>
        <v>0</v>
      </c>
      <c r="N1304" s="617">
        <f t="shared" si="43"/>
        <v>20</v>
      </c>
      <c r="O1304" s="617"/>
    </row>
    <row r="1305" spans="2:15" ht="15" x14ac:dyDescent="0.25">
      <c r="B1305" s="529">
        <v>1300001</v>
      </c>
      <c r="C1305" s="529">
        <v>1301</v>
      </c>
      <c r="E1305" s="534">
        <v>0</v>
      </c>
      <c r="F1305" s="534">
        <v>0</v>
      </c>
      <c r="G1305" s="534">
        <v>20</v>
      </c>
      <c r="I1305" s="534">
        <v>0</v>
      </c>
      <c r="J1305" s="534">
        <v>0</v>
      </c>
      <c r="K1305" s="534">
        <v>0</v>
      </c>
      <c r="M1305" s="617">
        <f t="shared" si="42"/>
        <v>0</v>
      </c>
      <c r="N1305" s="617">
        <f t="shared" si="43"/>
        <v>20</v>
      </c>
      <c r="O1305" s="617"/>
    </row>
    <row r="1306" spans="2:15" ht="15" x14ac:dyDescent="0.25">
      <c r="B1306" s="529">
        <v>1301001</v>
      </c>
      <c r="C1306" s="529">
        <v>1302</v>
      </c>
      <c r="E1306" s="534">
        <v>0</v>
      </c>
      <c r="F1306" s="534">
        <v>0</v>
      </c>
      <c r="G1306" s="534">
        <v>20</v>
      </c>
      <c r="I1306" s="534">
        <v>0</v>
      </c>
      <c r="J1306" s="534">
        <v>0</v>
      </c>
      <c r="K1306" s="534">
        <v>0</v>
      </c>
      <c r="M1306" s="617">
        <f t="shared" si="42"/>
        <v>0</v>
      </c>
      <c r="N1306" s="617">
        <f t="shared" si="43"/>
        <v>20</v>
      </c>
      <c r="O1306" s="617"/>
    </row>
    <row r="1307" spans="2:15" ht="15" x14ac:dyDescent="0.25">
      <c r="B1307" s="529">
        <v>1302001</v>
      </c>
      <c r="C1307" s="529">
        <v>1303</v>
      </c>
      <c r="E1307" s="534">
        <v>0</v>
      </c>
      <c r="F1307" s="534">
        <v>0</v>
      </c>
      <c r="G1307" s="534">
        <v>20</v>
      </c>
      <c r="I1307" s="534">
        <v>0</v>
      </c>
      <c r="J1307" s="534">
        <v>0</v>
      </c>
      <c r="K1307" s="534">
        <v>0</v>
      </c>
      <c r="M1307" s="617">
        <f t="shared" si="42"/>
        <v>0</v>
      </c>
      <c r="N1307" s="617">
        <f t="shared" si="43"/>
        <v>20</v>
      </c>
      <c r="O1307" s="617"/>
    </row>
    <row r="1308" spans="2:15" ht="15" x14ac:dyDescent="0.25">
      <c r="B1308" s="529">
        <v>1303001</v>
      </c>
      <c r="C1308" s="529">
        <v>1304</v>
      </c>
      <c r="E1308" s="534">
        <v>0</v>
      </c>
      <c r="F1308" s="534">
        <v>0</v>
      </c>
      <c r="G1308" s="534">
        <v>20</v>
      </c>
      <c r="I1308" s="534">
        <v>0</v>
      </c>
      <c r="J1308" s="534">
        <v>0</v>
      </c>
      <c r="K1308" s="534">
        <v>0</v>
      </c>
      <c r="M1308" s="617">
        <f t="shared" si="42"/>
        <v>0</v>
      </c>
      <c r="N1308" s="617">
        <f t="shared" si="43"/>
        <v>20</v>
      </c>
      <c r="O1308" s="617"/>
    </row>
    <row r="1309" spans="2:15" ht="15" x14ac:dyDescent="0.25">
      <c r="B1309" s="529">
        <v>1304001</v>
      </c>
      <c r="C1309" s="529">
        <v>1305</v>
      </c>
      <c r="E1309" s="534">
        <v>0</v>
      </c>
      <c r="F1309" s="534">
        <v>0</v>
      </c>
      <c r="G1309" s="534">
        <v>20</v>
      </c>
      <c r="I1309" s="534">
        <v>0</v>
      </c>
      <c r="J1309" s="534">
        <v>0</v>
      </c>
      <c r="K1309" s="534">
        <v>0</v>
      </c>
      <c r="M1309" s="617">
        <f t="shared" si="42"/>
        <v>0</v>
      </c>
      <c r="N1309" s="617">
        <f t="shared" si="43"/>
        <v>20</v>
      </c>
      <c r="O1309" s="617"/>
    </row>
    <row r="1310" spans="2:15" ht="15" x14ac:dyDescent="0.25">
      <c r="B1310" s="529">
        <v>1305001</v>
      </c>
      <c r="C1310" s="529">
        <v>1306</v>
      </c>
      <c r="E1310" s="534">
        <v>0</v>
      </c>
      <c r="F1310" s="534">
        <v>0</v>
      </c>
      <c r="G1310" s="534">
        <v>20</v>
      </c>
      <c r="I1310" s="534">
        <v>0</v>
      </c>
      <c r="J1310" s="534">
        <v>0</v>
      </c>
      <c r="K1310" s="534">
        <v>0</v>
      </c>
      <c r="M1310" s="617">
        <f t="shared" si="42"/>
        <v>0</v>
      </c>
      <c r="N1310" s="617">
        <f t="shared" si="43"/>
        <v>20</v>
      </c>
      <c r="O1310" s="617"/>
    </row>
    <row r="1311" spans="2:15" ht="15" x14ac:dyDescent="0.25">
      <c r="B1311" s="529">
        <v>1306001</v>
      </c>
      <c r="C1311" s="529">
        <v>1307</v>
      </c>
      <c r="E1311" s="534">
        <v>0</v>
      </c>
      <c r="F1311" s="534">
        <v>0</v>
      </c>
      <c r="G1311" s="534">
        <v>20</v>
      </c>
      <c r="I1311" s="534">
        <v>0</v>
      </c>
      <c r="J1311" s="534">
        <v>0</v>
      </c>
      <c r="K1311" s="534">
        <v>0</v>
      </c>
      <c r="M1311" s="617">
        <f t="shared" si="42"/>
        <v>0</v>
      </c>
      <c r="N1311" s="617">
        <f t="shared" si="43"/>
        <v>20</v>
      </c>
      <c r="O1311" s="617"/>
    </row>
    <row r="1312" spans="2:15" ht="15" x14ac:dyDescent="0.25">
      <c r="B1312" s="529">
        <v>1307001</v>
      </c>
      <c r="C1312" s="529">
        <v>1308</v>
      </c>
      <c r="E1312" s="534">
        <v>1</v>
      </c>
      <c r="F1312" s="534">
        <v>1308</v>
      </c>
      <c r="G1312" s="534">
        <v>20</v>
      </c>
      <c r="I1312" s="534">
        <v>0</v>
      </c>
      <c r="J1312" s="534">
        <v>0</v>
      </c>
      <c r="K1312" s="534">
        <v>0</v>
      </c>
      <c r="M1312" s="617">
        <f t="shared" si="42"/>
        <v>1</v>
      </c>
      <c r="N1312" s="617">
        <f t="shared" si="43"/>
        <v>20</v>
      </c>
      <c r="O1312" s="617"/>
    </row>
    <row r="1313" spans="2:15" ht="15" x14ac:dyDescent="0.25">
      <c r="B1313" s="529">
        <v>1308001</v>
      </c>
      <c r="C1313" s="529">
        <v>1309</v>
      </c>
      <c r="E1313" s="534">
        <v>0</v>
      </c>
      <c r="F1313" s="534">
        <v>0</v>
      </c>
      <c r="G1313" s="534">
        <v>19</v>
      </c>
      <c r="I1313" s="534">
        <v>0</v>
      </c>
      <c r="J1313" s="534">
        <v>0</v>
      </c>
      <c r="K1313" s="534">
        <v>0</v>
      </c>
      <c r="M1313" s="617">
        <f t="shared" si="42"/>
        <v>0</v>
      </c>
      <c r="N1313" s="617">
        <f t="shared" si="43"/>
        <v>19</v>
      </c>
      <c r="O1313" s="617"/>
    </row>
    <row r="1314" spans="2:15" ht="15" x14ac:dyDescent="0.25">
      <c r="B1314" s="529">
        <v>1309001</v>
      </c>
      <c r="C1314" s="529">
        <v>1310</v>
      </c>
      <c r="E1314" s="534">
        <v>0</v>
      </c>
      <c r="F1314" s="534">
        <v>0</v>
      </c>
      <c r="G1314" s="534">
        <v>19</v>
      </c>
      <c r="I1314" s="534">
        <v>0</v>
      </c>
      <c r="J1314" s="534">
        <v>0</v>
      </c>
      <c r="K1314" s="534">
        <v>0</v>
      </c>
      <c r="M1314" s="617">
        <f t="shared" si="42"/>
        <v>0</v>
      </c>
      <c r="N1314" s="617">
        <f t="shared" si="43"/>
        <v>19</v>
      </c>
      <c r="O1314" s="617"/>
    </row>
    <row r="1315" spans="2:15" ht="15" x14ac:dyDescent="0.25">
      <c r="B1315" s="529">
        <v>1310001</v>
      </c>
      <c r="C1315" s="529">
        <v>1311</v>
      </c>
      <c r="E1315" s="534">
        <v>0</v>
      </c>
      <c r="F1315" s="534">
        <v>0</v>
      </c>
      <c r="G1315" s="534">
        <v>19</v>
      </c>
      <c r="I1315" s="534">
        <v>0</v>
      </c>
      <c r="J1315" s="534">
        <v>0</v>
      </c>
      <c r="K1315" s="534">
        <v>0</v>
      </c>
      <c r="M1315" s="617">
        <f t="shared" si="42"/>
        <v>0</v>
      </c>
      <c r="N1315" s="617">
        <f t="shared" si="43"/>
        <v>19</v>
      </c>
      <c r="O1315" s="617"/>
    </row>
    <row r="1316" spans="2:15" ht="15" x14ac:dyDescent="0.25">
      <c r="B1316" s="529">
        <v>1311001</v>
      </c>
      <c r="C1316" s="529">
        <v>1312</v>
      </c>
      <c r="E1316" s="534">
        <v>0</v>
      </c>
      <c r="F1316" s="534">
        <v>0</v>
      </c>
      <c r="G1316" s="534">
        <v>19</v>
      </c>
      <c r="I1316" s="534">
        <v>0</v>
      </c>
      <c r="J1316" s="534">
        <v>0</v>
      </c>
      <c r="K1316" s="534">
        <v>0</v>
      </c>
      <c r="M1316" s="617">
        <f t="shared" si="42"/>
        <v>0</v>
      </c>
      <c r="N1316" s="617">
        <f t="shared" si="43"/>
        <v>19</v>
      </c>
      <c r="O1316" s="617"/>
    </row>
    <row r="1317" spans="2:15" ht="15" x14ac:dyDescent="0.25">
      <c r="B1317" s="529">
        <v>1312001</v>
      </c>
      <c r="C1317" s="529">
        <v>1313</v>
      </c>
      <c r="E1317" s="534">
        <v>0</v>
      </c>
      <c r="F1317" s="534">
        <v>0</v>
      </c>
      <c r="G1317" s="534">
        <v>19</v>
      </c>
      <c r="I1317" s="534">
        <v>0</v>
      </c>
      <c r="J1317" s="534">
        <v>0</v>
      </c>
      <c r="K1317" s="534">
        <v>0</v>
      </c>
      <c r="M1317" s="617">
        <f t="shared" si="42"/>
        <v>0</v>
      </c>
      <c r="N1317" s="617">
        <f t="shared" si="43"/>
        <v>19</v>
      </c>
      <c r="O1317" s="617"/>
    </row>
    <row r="1318" spans="2:15" ht="15" x14ac:dyDescent="0.25">
      <c r="B1318" s="529">
        <v>1313001</v>
      </c>
      <c r="C1318" s="529">
        <v>1314</v>
      </c>
      <c r="E1318" s="534">
        <v>0</v>
      </c>
      <c r="F1318" s="534">
        <v>0</v>
      </c>
      <c r="G1318" s="534">
        <v>19</v>
      </c>
      <c r="I1318" s="534">
        <v>0</v>
      </c>
      <c r="J1318" s="534">
        <v>0</v>
      </c>
      <c r="K1318" s="534">
        <v>0</v>
      </c>
      <c r="M1318" s="617">
        <f t="shared" si="42"/>
        <v>0</v>
      </c>
      <c r="N1318" s="617">
        <f t="shared" si="43"/>
        <v>19</v>
      </c>
      <c r="O1318" s="617"/>
    </row>
    <row r="1319" spans="2:15" ht="15" x14ac:dyDescent="0.25">
      <c r="B1319" s="529">
        <v>1314001</v>
      </c>
      <c r="C1319" s="529">
        <v>1315</v>
      </c>
      <c r="E1319" s="534">
        <v>0</v>
      </c>
      <c r="F1319" s="534">
        <v>0</v>
      </c>
      <c r="G1319" s="534">
        <v>19</v>
      </c>
      <c r="I1319" s="534">
        <v>0</v>
      </c>
      <c r="J1319" s="534">
        <v>0</v>
      </c>
      <c r="K1319" s="534">
        <v>0</v>
      </c>
      <c r="M1319" s="617">
        <f t="shared" si="42"/>
        <v>0</v>
      </c>
      <c r="N1319" s="617">
        <f t="shared" si="43"/>
        <v>19</v>
      </c>
      <c r="O1319" s="617"/>
    </row>
    <row r="1320" spans="2:15" ht="15" x14ac:dyDescent="0.25">
      <c r="B1320" s="529">
        <v>1315001</v>
      </c>
      <c r="C1320" s="529">
        <v>1316</v>
      </c>
      <c r="E1320" s="534">
        <v>0</v>
      </c>
      <c r="F1320" s="534">
        <v>0</v>
      </c>
      <c r="G1320" s="534">
        <v>19</v>
      </c>
      <c r="I1320" s="534">
        <v>0</v>
      </c>
      <c r="J1320" s="534">
        <v>0</v>
      </c>
      <c r="K1320" s="534">
        <v>0</v>
      </c>
      <c r="M1320" s="617">
        <f t="shared" si="42"/>
        <v>0</v>
      </c>
      <c r="N1320" s="617">
        <f t="shared" si="43"/>
        <v>19</v>
      </c>
      <c r="O1320" s="617"/>
    </row>
    <row r="1321" spans="2:15" ht="15" x14ac:dyDescent="0.25">
      <c r="B1321" s="529">
        <v>1316001</v>
      </c>
      <c r="C1321" s="529">
        <v>1317</v>
      </c>
      <c r="E1321" s="534">
        <v>0</v>
      </c>
      <c r="F1321" s="534">
        <v>0</v>
      </c>
      <c r="G1321" s="534">
        <v>19</v>
      </c>
      <c r="I1321" s="534">
        <v>0</v>
      </c>
      <c r="J1321" s="534">
        <v>0</v>
      </c>
      <c r="K1321" s="534">
        <v>0</v>
      </c>
      <c r="M1321" s="617">
        <f t="shared" si="42"/>
        <v>0</v>
      </c>
      <c r="N1321" s="617">
        <f t="shared" si="43"/>
        <v>19</v>
      </c>
      <c r="O1321" s="617"/>
    </row>
    <row r="1322" spans="2:15" ht="15" x14ac:dyDescent="0.25">
      <c r="B1322" s="529">
        <v>1317001</v>
      </c>
      <c r="C1322" s="529">
        <v>1318</v>
      </c>
      <c r="E1322" s="534">
        <v>0</v>
      </c>
      <c r="F1322" s="534">
        <v>0</v>
      </c>
      <c r="G1322" s="534">
        <v>19</v>
      </c>
      <c r="I1322" s="534">
        <v>0</v>
      </c>
      <c r="J1322" s="534">
        <v>0</v>
      </c>
      <c r="K1322" s="534">
        <v>0</v>
      </c>
      <c r="M1322" s="617">
        <f t="shared" si="42"/>
        <v>0</v>
      </c>
      <c r="N1322" s="617">
        <f t="shared" si="43"/>
        <v>19</v>
      </c>
      <c r="O1322" s="617"/>
    </row>
    <row r="1323" spans="2:15" ht="15" x14ac:dyDescent="0.25">
      <c r="B1323" s="529">
        <v>1318001</v>
      </c>
      <c r="C1323" s="529">
        <v>1319</v>
      </c>
      <c r="E1323" s="534">
        <v>0</v>
      </c>
      <c r="F1323" s="534">
        <v>0</v>
      </c>
      <c r="G1323" s="534">
        <v>19</v>
      </c>
      <c r="I1323" s="534">
        <v>0</v>
      </c>
      <c r="J1323" s="534">
        <v>0</v>
      </c>
      <c r="K1323" s="534">
        <v>0</v>
      </c>
      <c r="M1323" s="617">
        <f t="shared" si="42"/>
        <v>0</v>
      </c>
      <c r="N1323" s="617">
        <f t="shared" si="43"/>
        <v>19</v>
      </c>
      <c r="O1323" s="617"/>
    </row>
    <row r="1324" spans="2:15" ht="15" x14ac:dyDescent="0.25">
      <c r="B1324" s="529">
        <v>1319001</v>
      </c>
      <c r="C1324" s="529">
        <v>1320</v>
      </c>
      <c r="E1324" s="534">
        <v>1</v>
      </c>
      <c r="F1324" s="534">
        <v>1320</v>
      </c>
      <c r="G1324" s="534">
        <v>19</v>
      </c>
      <c r="I1324" s="534">
        <v>0</v>
      </c>
      <c r="J1324" s="534">
        <v>0</v>
      </c>
      <c r="K1324" s="534">
        <v>0</v>
      </c>
      <c r="M1324" s="617">
        <f t="shared" si="42"/>
        <v>1</v>
      </c>
      <c r="N1324" s="617">
        <f t="shared" si="43"/>
        <v>19</v>
      </c>
      <c r="O1324" s="617"/>
    </row>
    <row r="1325" spans="2:15" ht="15" x14ac:dyDescent="0.25">
      <c r="B1325" s="529">
        <v>1320001</v>
      </c>
      <c r="C1325" s="529">
        <v>1321</v>
      </c>
      <c r="E1325" s="534">
        <v>0</v>
      </c>
      <c r="F1325" s="534">
        <v>0</v>
      </c>
      <c r="G1325" s="534">
        <v>18</v>
      </c>
      <c r="I1325" s="534">
        <v>0</v>
      </c>
      <c r="J1325" s="534">
        <v>0</v>
      </c>
      <c r="K1325" s="534">
        <v>0</v>
      </c>
      <c r="M1325" s="617">
        <f t="shared" si="42"/>
        <v>0</v>
      </c>
      <c r="N1325" s="617">
        <f t="shared" si="43"/>
        <v>18</v>
      </c>
      <c r="O1325" s="617"/>
    </row>
    <row r="1326" spans="2:15" ht="15" x14ac:dyDescent="0.25">
      <c r="B1326" s="529">
        <v>1321001</v>
      </c>
      <c r="C1326" s="529">
        <v>1322</v>
      </c>
      <c r="E1326" s="534">
        <v>0</v>
      </c>
      <c r="F1326" s="534">
        <v>0</v>
      </c>
      <c r="G1326" s="534">
        <v>18</v>
      </c>
      <c r="I1326" s="534">
        <v>0</v>
      </c>
      <c r="J1326" s="534">
        <v>0</v>
      </c>
      <c r="K1326" s="534">
        <v>0</v>
      </c>
      <c r="M1326" s="617">
        <f t="shared" si="42"/>
        <v>0</v>
      </c>
      <c r="N1326" s="617">
        <f t="shared" si="43"/>
        <v>18</v>
      </c>
      <c r="O1326" s="617"/>
    </row>
    <row r="1327" spans="2:15" ht="15" x14ac:dyDescent="0.25">
      <c r="B1327" s="529">
        <v>1322001</v>
      </c>
      <c r="C1327" s="529">
        <v>1323</v>
      </c>
      <c r="E1327" s="534">
        <v>0</v>
      </c>
      <c r="F1327" s="534">
        <v>0</v>
      </c>
      <c r="G1327" s="534">
        <v>18</v>
      </c>
      <c r="I1327" s="534">
        <v>0</v>
      </c>
      <c r="J1327" s="534">
        <v>0</v>
      </c>
      <c r="K1327" s="534">
        <v>0</v>
      </c>
      <c r="M1327" s="617">
        <f t="shared" si="42"/>
        <v>0</v>
      </c>
      <c r="N1327" s="617">
        <f t="shared" si="43"/>
        <v>18</v>
      </c>
      <c r="O1327" s="617"/>
    </row>
    <row r="1328" spans="2:15" ht="15" x14ac:dyDescent="0.25">
      <c r="B1328" s="529">
        <v>1323001</v>
      </c>
      <c r="C1328" s="529">
        <v>1324</v>
      </c>
      <c r="E1328" s="534">
        <v>0</v>
      </c>
      <c r="F1328" s="534">
        <v>0</v>
      </c>
      <c r="G1328" s="534">
        <v>18</v>
      </c>
      <c r="I1328" s="534">
        <v>0</v>
      </c>
      <c r="J1328" s="534">
        <v>0</v>
      </c>
      <c r="K1328" s="534">
        <v>0</v>
      </c>
      <c r="M1328" s="617">
        <f t="shared" si="42"/>
        <v>0</v>
      </c>
      <c r="N1328" s="617">
        <f t="shared" si="43"/>
        <v>18</v>
      </c>
      <c r="O1328" s="617"/>
    </row>
    <row r="1329" spans="2:15" ht="15" x14ac:dyDescent="0.25">
      <c r="B1329" s="529">
        <v>1324001</v>
      </c>
      <c r="C1329" s="529">
        <v>1325</v>
      </c>
      <c r="E1329" s="534">
        <v>0</v>
      </c>
      <c r="F1329" s="534">
        <v>0</v>
      </c>
      <c r="G1329" s="534">
        <v>18</v>
      </c>
      <c r="I1329" s="534">
        <v>0</v>
      </c>
      <c r="J1329" s="534">
        <v>0</v>
      </c>
      <c r="K1329" s="534">
        <v>0</v>
      </c>
      <c r="M1329" s="617">
        <f t="shared" si="42"/>
        <v>0</v>
      </c>
      <c r="N1329" s="617">
        <f t="shared" si="43"/>
        <v>18</v>
      </c>
      <c r="O1329" s="617"/>
    </row>
    <row r="1330" spans="2:15" ht="15" x14ac:dyDescent="0.25">
      <c r="B1330" s="529">
        <v>1325001</v>
      </c>
      <c r="C1330" s="529">
        <v>1326</v>
      </c>
      <c r="E1330" s="534">
        <v>0</v>
      </c>
      <c r="F1330" s="534">
        <v>0</v>
      </c>
      <c r="G1330" s="534">
        <v>18</v>
      </c>
      <c r="I1330" s="534">
        <v>0</v>
      </c>
      <c r="J1330" s="534">
        <v>0</v>
      </c>
      <c r="K1330" s="534">
        <v>0</v>
      </c>
      <c r="M1330" s="617">
        <f t="shared" si="42"/>
        <v>0</v>
      </c>
      <c r="N1330" s="617">
        <f t="shared" si="43"/>
        <v>18</v>
      </c>
      <c r="O1330" s="617"/>
    </row>
    <row r="1331" spans="2:15" ht="15" x14ac:dyDescent="0.25">
      <c r="B1331" s="529">
        <v>1326001</v>
      </c>
      <c r="C1331" s="529">
        <v>1327</v>
      </c>
      <c r="E1331" s="534">
        <v>1</v>
      </c>
      <c r="F1331" s="534">
        <v>1327</v>
      </c>
      <c r="G1331" s="534">
        <v>18</v>
      </c>
      <c r="I1331" s="534">
        <v>0</v>
      </c>
      <c r="J1331" s="534">
        <v>0</v>
      </c>
      <c r="K1331" s="534">
        <v>0</v>
      </c>
      <c r="M1331" s="617">
        <f t="shared" si="42"/>
        <v>1</v>
      </c>
      <c r="N1331" s="617">
        <f t="shared" si="43"/>
        <v>18</v>
      </c>
      <c r="O1331" s="617"/>
    </row>
    <row r="1332" spans="2:15" ht="15" x14ac:dyDescent="0.25">
      <c r="B1332" s="529">
        <v>1327001</v>
      </c>
      <c r="C1332" s="529">
        <v>1328</v>
      </c>
      <c r="E1332" s="534">
        <v>0</v>
      </c>
      <c r="F1332" s="534">
        <v>0</v>
      </c>
      <c r="G1332" s="534">
        <v>17</v>
      </c>
      <c r="I1332" s="534">
        <v>0</v>
      </c>
      <c r="J1332" s="534">
        <v>0</v>
      </c>
      <c r="K1332" s="534">
        <v>0</v>
      </c>
      <c r="M1332" s="617">
        <f t="shared" si="42"/>
        <v>0</v>
      </c>
      <c r="N1332" s="617">
        <f t="shared" si="43"/>
        <v>17</v>
      </c>
      <c r="O1332" s="617"/>
    </row>
    <row r="1333" spans="2:15" ht="15" x14ac:dyDescent="0.25">
      <c r="B1333" s="529">
        <v>1328001</v>
      </c>
      <c r="C1333" s="529">
        <v>1329</v>
      </c>
      <c r="E1333" s="534">
        <v>0</v>
      </c>
      <c r="F1333" s="534">
        <v>0</v>
      </c>
      <c r="G1333" s="534">
        <v>17</v>
      </c>
      <c r="I1333" s="534">
        <v>0</v>
      </c>
      <c r="J1333" s="534">
        <v>0</v>
      </c>
      <c r="K1333" s="534">
        <v>0</v>
      </c>
      <c r="M1333" s="617">
        <f t="shared" si="42"/>
        <v>0</v>
      </c>
      <c r="N1333" s="617">
        <f t="shared" si="43"/>
        <v>17</v>
      </c>
      <c r="O1333" s="617"/>
    </row>
    <row r="1334" spans="2:15" ht="15" x14ac:dyDescent="0.25">
      <c r="B1334" s="529">
        <v>1329001</v>
      </c>
      <c r="C1334" s="529">
        <v>1330</v>
      </c>
      <c r="E1334" s="534">
        <v>0</v>
      </c>
      <c r="F1334" s="534">
        <v>0</v>
      </c>
      <c r="G1334" s="534">
        <v>17</v>
      </c>
      <c r="I1334" s="534">
        <v>0</v>
      </c>
      <c r="J1334" s="534">
        <v>0</v>
      </c>
      <c r="K1334" s="534">
        <v>0</v>
      </c>
      <c r="M1334" s="617">
        <f t="shared" si="42"/>
        <v>0</v>
      </c>
      <c r="N1334" s="617">
        <f t="shared" si="43"/>
        <v>17</v>
      </c>
      <c r="O1334" s="617"/>
    </row>
    <row r="1335" spans="2:15" ht="15" x14ac:dyDescent="0.25">
      <c r="B1335" s="529">
        <v>1330001</v>
      </c>
      <c r="C1335" s="529">
        <v>1331</v>
      </c>
      <c r="E1335" s="534">
        <v>0</v>
      </c>
      <c r="F1335" s="534">
        <v>0</v>
      </c>
      <c r="G1335" s="534">
        <v>17</v>
      </c>
      <c r="I1335" s="534">
        <v>0</v>
      </c>
      <c r="J1335" s="534">
        <v>0</v>
      </c>
      <c r="K1335" s="534">
        <v>0</v>
      </c>
      <c r="M1335" s="617">
        <f t="shared" si="42"/>
        <v>0</v>
      </c>
      <c r="N1335" s="617">
        <f t="shared" si="43"/>
        <v>17</v>
      </c>
      <c r="O1335" s="617"/>
    </row>
    <row r="1336" spans="2:15" ht="15" x14ac:dyDescent="0.25">
      <c r="B1336" s="529">
        <v>1331001</v>
      </c>
      <c r="C1336" s="529">
        <v>1332</v>
      </c>
      <c r="E1336" s="534">
        <v>0</v>
      </c>
      <c r="F1336" s="534">
        <v>0</v>
      </c>
      <c r="G1336" s="534">
        <v>17</v>
      </c>
      <c r="I1336" s="534">
        <v>0</v>
      </c>
      <c r="J1336" s="534">
        <v>0</v>
      </c>
      <c r="K1336" s="534">
        <v>0</v>
      </c>
      <c r="M1336" s="617">
        <f t="shared" si="42"/>
        <v>0</v>
      </c>
      <c r="N1336" s="617">
        <f t="shared" si="43"/>
        <v>17</v>
      </c>
      <c r="O1336" s="617"/>
    </row>
    <row r="1337" spans="2:15" ht="15" x14ac:dyDescent="0.25">
      <c r="B1337" s="529">
        <v>1332001</v>
      </c>
      <c r="C1337" s="529">
        <v>1333</v>
      </c>
      <c r="E1337" s="534">
        <v>0</v>
      </c>
      <c r="F1337" s="534">
        <v>0</v>
      </c>
      <c r="G1337" s="534">
        <v>17</v>
      </c>
      <c r="I1337" s="534">
        <v>0</v>
      </c>
      <c r="J1337" s="534">
        <v>0</v>
      </c>
      <c r="K1337" s="534">
        <v>0</v>
      </c>
      <c r="M1337" s="617">
        <f t="shared" si="42"/>
        <v>0</v>
      </c>
      <c r="N1337" s="617">
        <f t="shared" si="43"/>
        <v>17</v>
      </c>
      <c r="O1337" s="617"/>
    </row>
    <row r="1338" spans="2:15" ht="15" x14ac:dyDescent="0.25">
      <c r="B1338" s="529">
        <v>1333001</v>
      </c>
      <c r="C1338" s="529">
        <v>1334</v>
      </c>
      <c r="E1338" s="534">
        <v>0</v>
      </c>
      <c r="F1338" s="534">
        <v>0</v>
      </c>
      <c r="G1338" s="534">
        <v>17</v>
      </c>
      <c r="I1338" s="534">
        <v>0</v>
      </c>
      <c r="J1338" s="534">
        <v>0</v>
      </c>
      <c r="K1338" s="534">
        <v>0</v>
      </c>
      <c r="M1338" s="617">
        <f t="shared" si="42"/>
        <v>0</v>
      </c>
      <c r="N1338" s="617">
        <f t="shared" si="43"/>
        <v>17</v>
      </c>
      <c r="O1338" s="617"/>
    </row>
    <row r="1339" spans="2:15" ht="15" x14ac:dyDescent="0.25">
      <c r="B1339" s="529">
        <v>1334001</v>
      </c>
      <c r="C1339" s="529">
        <v>1335</v>
      </c>
      <c r="E1339" s="534">
        <v>0</v>
      </c>
      <c r="F1339" s="534">
        <v>0</v>
      </c>
      <c r="G1339" s="534">
        <v>17</v>
      </c>
      <c r="I1339" s="534">
        <v>0</v>
      </c>
      <c r="J1339" s="534">
        <v>0</v>
      </c>
      <c r="K1339" s="534">
        <v>0</v>
      </c>
      <c r="M1339" s="617">
        <f t="shared" si="42"/>
        <v>0</v>
      </c>
      <c r="N1339" s="617">
        <f t="shared" si="43"/>
        <v>17</v>
      </c>
      <c r="O1339" s="617"/>
    </row>
    <row r="1340" spans="2:15" ht="15" x14ac:dyDescent="0.25">
      <c r="B1340" s="529">
        <v>1335001</v>
      </c>
      <c r="C1340" s="529">
        <v>1336</v>
      </c>
      <c r="E1340" s="534">
        <v>0</v>
      </c>
      <c r="F1340" s="534">
        <v>0</v>
      </c>
      <c r="G1340" s="534">
        <v>17</v>
      </c>
      <c r="I1340" s="534">
        <v>0</v>
      </c>
      <c r="J1340" s="534">
        <v>0</v>
      </c>
      <c r="K1340" s="534">
        <v>0</v>
      </c>
      <c r="M1340" s="617">
        <f t="shared" si="42"/>
        <v>0</v>
      </c>
      <c r="N1340" s="617">
        <f t="shared" si="43"/>
        <v>17</v>
      </c>
      <c r="O1340" s="617"/>
    </row>
    <row r="1341" spans="2:15" ht="15" x14ac:dyDescent="0.25">
      <c r="B1341" s="529">
        <v>1336001</v>
      </c>
      <c r="C1341" s="529">
        <v>1337</v>
      </c>
      <c r="E1341" s="534">
        <v>0</v>
      </c>
      <c r="F1341" s="534">
        <v>0</v>
      </c>
      <c r="G1341" s="534">
        <v>17</v>
      </c>
      <c r="I1341" s="534">
        <v>0</v>
      </c>
      <c r="J1341" s="534">
        <v>0</v>
      </c>
      <c r="K1341" s="534">
        <v>0</v>
      </c>
      <c r="M1341" s="617">
        <f t="shared" si="42"/>
        <v>0</v>
      </c>
      <c r="N1341" s="617">
        <f t="shared" si="43"/>
        <v>17</v>
      </c>
      <c r="O1341" s="617"/>
    </row>
    <row r="1342" spans="2:15" ht="15" x14ac:dyDescent="0.25">
      <c r="B1342" s="529">
        <v>1337001</v>
      </c>
      <c r="C1342" s="529">
        <v>1338</v>
      </c>
      <c r="E1342" s="534">
        <v>0</v>
      </c>
      <c r="F1342" s="534">
        <v>0</v>
      </c>
      <c r="G1342" s="534">
        <v>17</v>
      </c>
      <c r="I1342" s="534">
        <v>0</v>
      </c>
      <c r="J1342" s="534">
        <v>0</v>
      </c>
      <c r="K1342" s="534">
        <v>0</v>
      </c>
      <c r="M1342" s="617">
        <f t="shared" si="42"/>
        <v>0</v>
      </c>
      <c r="N1342" s="617">
        <f t="shared" si="43"/>
        <v>17</v>
      </c>
      <c r="O1342" s="617"/>
    </row>
    <row r="1343" spans="2:15" ht="15" x14ac:dyDescent="0.25">
      <c r="B1343" s="529">
        <v>1338001</v>
      </c>
      <c r="C1343" s="529">
        <v>1339</v>
      </c>
      <c r="E1343" s="534">
        <v>0</v>
      </c>
      <c r="F1343" s="534">
        <v>0</v>
      </c>
      <c r="G1343" s="534">
        <v>17</v>
      </c>
      <c r="I1343" s="534">
        <v>0</v>
      </c>
      <c r="J1343" s="534">
        <v>0</v>
      </c>
      <c r="K1343" s="534">
        <v>0</v>
      </c>
      <c r="M1343" s="617">
        <f t="shared" si="42"/>
        <v>0</v>
      </c>
      <c r="N1343" s="617">
        <f t="shared" si="43"/>
        <v>17</v>
      </c>
      <c r="O1343" s="617"/>
    </row>
    <row r="1344" spans="2:15" ht="15" x14ac:dyDescent="0.25">
      <c r="B1344" s="529">
        <v>1339001</v>
      </c>
      <c r="C1344" s="529">
        <v>1340</v>
      </c>
      <c r="E1344" s="534">
        <v>0</v>
      </c>
      <c r="F1344" s="534">
        <v>0</v>
      </c>
      <c r="G1344" s="534">
        <v>17</v>
      </c>
      <c r="I1344" s="534">
        <v>0</v>
      </c>
      <c r="J1344" s="534">
        <v>0</v>
      </c>
      <c r="K1344" s="534">
        <v>0</v>
      </c>
      <c r="M1344" s="617">
        <f t="shared" si="42"/>
        <v>0</v>
      </c>
      <c r="N1344" s="617">
        <f t="shared" si="43"/>
        <v>17</v>
      </c>
      <c r="O1344" s="617"/>
    </row>
    <row r="1345" spans="2:15" ht="15" x14ac:dyDescent="0.25">
      <c r="B1345" s="529">
        <v>1340001</v>
      </c>
      <c r="C1345" s="529">
        <v>1341</v>
      </c>
      <c r="E1345" s="534">
        <v>0</v>
      </c>
      <c r="F1345" s="534">
        <v>0</v>
      </c>
      <c r="G1345" s="534">
        <v>17</v>
      </c>
      <c r="I1345" s="534">
        <v>0</v>
      </c>
      <c r="J1345" s="534">
        <v>0</v>
      </c>
      <c r="K1345" s="534">
        <v>0</v>
      </c>
      <c r="M1345" s="617">
        <f t="shared" si="42"/>
        <v>0</v>
      </c>
      <c r="N1345" s="617">
        <f t="shared" si="43"/>
        <v>17</v>
      </c>
      <c r="O1345" s="617"/>
    </row>
    <row r="1346" spans="2:15" ht="15" x14ac:dyDescent="0.25">
      <c r="B1346" s="529">
        <v>1341001</v>
      </c>
      <c r="C1346" s="529">
        <v>1342</v>
      </c>
      <c r="E1346" s="534">
        <v>0</v>
      </c>
      <c r="F1346" s="534">
        <v>0</v>
      </c>
      <c r="G1346" s="534">
        <v>17</v>
      </c>
      <c r="I1346" s="534">
        <v>0</v>
      </c>
      <c r="J1346" s="534">
        <v>0</v>
      </c>
      <c r="K1346" s="534">
        <v>0</v>
      </c>
      <c r="M1346" s="617">
        <f t="shared" si="42"/>
        <v>0</v>
      </c>
      <c r="N1346" s="617">
        <f t="shared" si="43"/>
        <v>17</v>
      </c>
      <c r="O1346" s="617"/>
    </row>
    <row r="1347" spans="2:15" ht="15" x14ac:dyDescent="0.25">
      <c r="B1347" s="529">
        <v>1342001</v>
      </c>
      <c r="C1347" s="529">
        <v>1343</v>
      </c>
      <c r="E1347" s="534">
        <v>0</v>
      </c>
      <c r="F1347" s="534">
        <v>0</v>
      </c>
      <c r="G1347" s="534">
        <v>17</v>
      </c>
      <c r="I1347" s="534">
        <v>0</v>
      </c>
      <c r="J1347" s="534">
        <v>0</v>
      </c>
      <c r="K1347" s="534">
        <v>0</v>
      </c>
      <c r="M1347" s="617">
        <f t="shared" si="42"/>
        <v>0</v>
      </c>
      <c r="N1347" s="617">
        <f t="shared" si="43"/>
        <v>17</v>
      </c>
      <c r="O1347" s="617"/>
    </row>
    <row r="1348" spans="2:15" ht="15" x14ac:dyDescent="0.25">
      <c r="B1348" s="529">
        <v>1343001</v>
      </c>
      <c r="C1348" s="529">
        <v>1344</v>
      </c>
      <c r="E1348" s="534">
        <v>0</v>
      </c>
      <c r="F1348" s="534">
        <v>0</v>
      </c>
      <c r="G1348" s="534">
        <v>17</v>
      </c>
      <c r="I1348" s="534">
        <v>0</v>
      </c>
      <c r="J1348" s="534">
        <v>0</v>
      </c>
      <c r="K1348" s="534">
        <v>0</v>
      </c>
      <c r="M1348" s="617">
        <f t="shared" si="42"/>
        <v>0</v>
      </c>
      <c r="N1348" s="617">
        <f t="shared" si="43"/>
        <v>17</v>
      </c>
      <c r="O1348" s="617"/>
    </row>
    <row r="1349" spans="2:15" ht="15" x14ac:dyDescent="0.25">
      <c r="B1349" s="529">
        <v>1344001</v>
      </c>
      <c r="C1349" s="529">
        <v>1345</v>
      </c>
      <c r="E1349" s="534">
        <v>0</v>
      </c>
      <c r="F1349" s="534">
        <v>0</v>
      </c>
      <c r="G1349" s="534">
        <v>17</v>
      </c>
      <c r="I1349" s="534">
        <v>0</v>
      </c>
      <c r="J1349" s="534">
        <v>0</v>
      </c>
      <c r="K1349" s="534">
        <v>0</v>
      </c>
      <c r="M1349" s="617">
        <f t="shared" ref="M1349:M1412" si="44">I1349+E1349</f>
        <v>0</v>
      </c>
      <c r="N1349" s="617">
        <f t="shared" ref="N1349:N1412" si="45">K1349+G1349</f>
        <v>17</v>
      </c>
      <c r="O1349" s="617"/>
    </row>
    <row r="1350" spans="2:15" ht="15" x14ac:dyDescent="0.25">
      <c r="B1350" s="529">
        <v>1345001</v>
      </c>
      <c r="C1350" s="529">
        <v>1346</v>
      </c>
      <c r="E1350" s="534">
        <v>0</v>
      </c>
      <c r="F1350" s="534">
        <v>0</v>
      </c>
      <c r="G1350" s="534">
        <v>17</v>
      </c>
      <c r="I1350" s="534">
        <v>0</v>
      </c>
      <c r="J1350" s="534">
        <v>0</v>
      </c>
      <c r="K1350" s="534">
        <v>0</v>
      </c>
      <c r="M1350" s="617">
        <f t="shared" si="44"/>
        <v>0</v>
      </c>
      <c r="N1350" s="617">
        <f t="shared" si="45"/>
        <v>17</v>
      </c>
      <c r="O1350" s="617"/>
    </row>
    <row r="1351" spans="2:15" ht="15" x14ac:dyDescent="0.25">
      <c r="B1351" s="529">
        <v>1346001</v>
      </c>
      <c r="C1351" s="529">
        <v>1347</v>
      </c>
      <c r="E1351" s="534">
        <v>0</v>
      </c>
      <c r="F1351" s="534">
        <v>0</v>
      </c>
      <c r="G1351" s="534">
        <v>17</v>
      </c>
      <c r="I1351" s="534">
        <v>0</v>
      </c>
      <c r="J1351" s="534">
        <v>0</v>
      </c>
      <c r="K1351" s="534">
        <v>0</v>
      </c>
      <c r="M1351" s="617">
        <f t="shared" si="44"/>
        <v>0</v>
      </c>
      <c r="N1351" s="617">
        <f t="shared" si="45"/>
        <v>17</v>
      </c>
      <c r="O1351" s="617"/>
    </row>
    <row r="1352" spans="2:15" ht="15" x14ac:dyDescent="0.25">
      <c r="B1352" s="529">
        <v>1347001</v>
      </c>
      <c r="C1352" s="529">
        <v>1348</v>
      </c>
      <c r="E1352" s="534">
        <v>0</v>
      </c>
      <c r="F1352" s="534">
        <v>0</v>
      </c>
      <c r="G1352" s="534">
        <v>17</v>
      </c>
      <c r="I1352" s="534">
        <v>0</v>
      </c>
      <c r="J1352" s="534">
        <v>0</v>
      </c>
      <c r="K1352" s="534">
        <v>0</v>
      </c>
      <c r="M1352" s="617">
        <f t="shared" si="44"/>
        <v>0</v>
      </c>
      <c r="N1352" s="617">
        <f t="shared" si="45"/>
        <v>17</v>
      </c>
      <c r="O1352" s="617"/>
    </row>
    <row r="1353" spans="2:15" ht="15" x14ac:dyDescent="0.25">
      <c r="B1353" s="529">
        <v>1348001</v>
      </c>
      <c r="C1353" s="529">
        <v>1349</v>
      </c>
      <c r="E1353" s="534">
        <v>0</v>
      </c>
      <c r="F1353" s="534">
        <v>0</v>
      </c>
      <c r="G1353" s="534">
        <v>17</v>
      </c>
      <c r="I1353" s="534">
        <v>0</v>
      </c>
      <c r="J1353" s="534">
        <v>0</v>
      </c>
      <c r="K1353" s="534">
        <v>0</v>
      </c>
      <c r="M1353" s="617">
        <f t="shared" si="44"/>
        <v>0</v>
      </c>
      <c r="N1353" s="617">
        <f t="shared" si="45"/>
        <v>17</v>
      </c>
      <c r="O1353" s="617"/>
    </row>
    <row r="1354" spans="2:15" ht="15" x14ac:dyDescent="0.25">
      <c r="B1354" s="529">
        <v>1349001</v>
      </c>
      <c r="C1354" s="529">
        <v>1350</v>
      </c>
      <c r="E1354" s="534">
        <v>1</v>
      </c>
      <c r="F1354" s="534">
        <v>1350</v>
      </c>
      <c r="G1354" s="534">
        <v>17</v>
      </c>
      <c r="I1354" s="534">
        <v>0</v>
      </c>
      <c r="J1354" s="534">
        <v>0</v>
      </c>
      <c r="K1354" s="534">
        <v>0</v>
      </c>
      <c r="M1354" s="617">
        <f t="shared" si="44"/>
        <v>1</v>
      </c>
      <c r="N1354" s="617">
        <f t="shared" si="45"/>
        <v>17</v>
      </c>
      <c r="O1354" s="617"/>
    </row>
    <row r="1355" spans="2:15" ht="15" x14ac:dyDescent="0.25">
      <c r="B1355" s="529">
        <v>1350001</v>
      </c>
      <c r="C1355" s="529">
        <v>1351</v>
      </c>
      <c r="E1355" s="534">
        <v>0</v>
      </c>
      <c r="F1355" s="534">
        <v>0</v>
      </c>
      <c r="G1355" s="534">
        <v>16</v>
      </c>
      <c r="I1355" s="534">
        <v>0</v>
      </c>
      <c r="J1355" s="534">
        <v>0</v>
      </c>
      <c r="K1355" s="534">
        <v>0</v>
      </c>
      <c r="M1355" s="617">
        <f t="shared" si="44"/>
        <v>0</v>
      </c>
      <c r="N1355" s="617">
        <f t="shared" si="45"/>
        <v>16</v>
      </c>
      <c r="O1355" s="617"/>
    </row>
    <row r="1356" spans="2:15" ht="15" x14ac:dyDescent="0.25">
      <c r="B1356" s="529">
        <v>1351001</v>
      </c>
      <c r="C1356" s="529">
        <v>1352</v>
      </c>
      <c r="E1356" s="534">
        <v>0</v>
      </c>
      <c r="F1356" s="534">
        <v>0</v>
      </c>
      <c r="G1356" s="534">
        <v>16</v>
      </c>
      <c r="I1356" s="534">
        <v>0</v>
      </c>
      <c r="J1356" s="534">
        <v>0</v>
      </c>
      <c r="K1356" s="534">
        <v>0</v>
      </c>
      <c r="M1356" s="617">
        <f t="shared" si="44"/>
        <v>0</v>
      </c>
      <c r="N1356" s="617">
        <f t="shared" si="45"/>
        <v>16</v>
      </c>
      <c r="O1356" s="617"/>
    </row>
    <row r="1357" spans="2:15" ht="15" x14ac:dyDescent="0.25">
      <c r="B1357" s="529">
        <v>1352001</v>
      </c>
      <c r="C1357" s="529">
        <v>1353</v>
      </c>
      <c r="E1357" s="534">
        <v>0</v>
      </c>
      <c r="F1357" s="534">
        <v>0</v>
      </c>
      <c r="G1357" s="534">
        <v>16</v>
      </c>
      <c r="I1357" s="534">
        <v>0</v>
      </c>
      <c r="J1357" s="534">
        <v>0</v>
      </c>
      <c r="K1357" s="534">
        <v>0</v>
      </c>
      <c r="M1357" s="617">
        <f t="shared" si="44"/>
        <v>0</v>
      </c>
      <c r="N1357" s="617">
        <f t="shared" si="45"/>
        <v>16</v>
      </c>
      <c r="O1357" s="617"/>
    </row>
    <row r="1358" spans="2:15" ht="15" x14ac:dyDescent="0.25">
      <c r="B1358" s="529">
        <v>1353001</v>
      </c>
      <c r="C1358" s="529">
        <v>1354</v>
      </c>
      <c r="E1358" s="534">
        <v>0</v>
      </c>
      <c r="F1358" s="534">
        <v>0</v>
      </c>
      <c r="G1358" s="534">
        <v>16</v>
      </c>
      <c r="I1358" s="534">
        <v>0</v>
      </c>
      <c r="J1358" s="534">
        <v>0</v>
      </c>
      <c r="K1358" s="534">
        <v>0</v>
      </c>
      <c r="M1358" s="617">
        <f t="shared" si="44"/>
        <v>0</v>
      </c>
      <c r="N1358" s="617">
        <f t="shared" si="45"/>
        <v>16</v>
      </c>
      <c r="O1358" s="617"/>
    </row>
    <row r="1359" spans="2:15" ht="15" x14ac:dyDescent="0.25">
      <c r="B1359" s="529">
        <v>1354001</v>
      </c>
      <c r="C1359" s="529">
        <v>1355</v>
      </c>
      <c r="E1359" s="534">
        <v>0</v>
      </c>
      <c r="F1359" s="534">
        <v>0</v>
      </c>
      <c r="G1359" s="534">
        <v>16</v>
      </c>
      <c r="I1359" s="534">
        <v>0</v>
      </c>
      <c r="J1359" s="534">
        <v>0</v>
      </c>
      <c r="K1359" s="534">
        <v>0</v>
      </c>
      <c r="M1359" s="617">
        <f t="shared" si="44"/>
        <v>0</v>
      </c>
      <c r="N1359" s="617">
        <f t="shared" si="45"/>
        <v>16</v>
      </c>
      <c r="O1359" s="617"/>
    </row>
    <row r="1360" spans="2:15" ht="15" x14ac:dyDescent="0.25">
      <c r="B1360" s="529">
        <v>1355001</v>
      </c>
      <c r="C1360" s="529">
        <v>1356</v>
      </c>
      <c r="E1360" s="534">
        <v>0</v>
      </c>
      <c r="F1360" s="534">
        <v>0</v>
      </c>
      <c r="G1360" s="534">
        <v>16</v>
      </c>
      <c r="I1360" s="534">
        <v>0</v>
      </c>
      <c r="J1360" s="534">
        <v>0</v>
      </c>
      <c r="K1360" s="534">
        <v>0</v>
      </c>
      <c r="M1360" s="617">
        <f t="shared" si="44"/>
        <v>0</v>
      </c>
      <c r="N1360" s="617">
        <f t="shared" si="45"/>
        <v>16</v>
      </c>
      <c r="O1360" s="617"/>
    </row>
    <row r="1361" spans="2:15" ht="15" x14ac:dyDescent="0.25">
      <c r="B1361" s="529">
        <v>1356001</v>
      </c>
      <c r="C1361" s="529">
        <v>1357</v>
      </c>
      <c r="E1361" s="534">
        <v>0</v>
      </c>
      <c r="F1361" s="534">
        <v>0</v>
      </c>
      <c r="G1361" s="534">
        <v>16</v>
      </c>
      <c r="I1361" s="534">
        <v>0</v>
      </c>
      <c r="J1361" s="534">
        <v>0</v>
      </c>
      <c r="K1361" s="534">
        <v>0</v>
      </c>
      <c r="M1361" s="617">
        <f t="shared" si="44"/>
        <v>0</v>
      </c>
      <c r="N1361" s="617">
        <f t="shared" si="45"/>
        <v>16</v>
      </c>
      <c r="O1361" s="617"/>
    </row>
    <row r="1362" spans="2:15" ht="15" x14ac:dyDescent="0.25">
      <c r="B1362" s="529">
        <v>1357001</v>
      </c>
      <c r="C1362" s="529">
        <v>1358</v>
      </c>
      <c r="E1362" s="534">
        <v>0</v>
      </c>
      <c r="F1362" s="534">
        <v>0</v>
      </c>
      <c r="G1362" s="534">
        <v>16</v>
      </c>
      <c r="I1362" s="534">
        <v>0</v>
      </c>
      <c r="J1362" s="534">
        <v>0</v>
      </c>
      <c r="K1362" s="534">
        <v>0</v>
      </c>
      <c r="M1362" s="617">
        <f t="shared" si="44"/>
        <v>0</v>
      </c>
      <c r="N1362" s="617">
        <f t="shared" si="45"/>
        <v>16</v>
      </c>
      <c r="O1362" s="617"/>
    </row>
    <row r="1363" spans="2:15" ht="15" x14ac:dyDescent="0.25">
      <c r="B1363" s="529">
        <v>1358001</v>
      </c>
      <c r="C1363" s="529">
        <v>1359</v>
      </c>
      <c r="E1363" s="534">
        <v>0</v>
      </c>
      <c r="F1363" s="534">
        <v>0</v>
      </c>
      <c r="G1363" s="534">
        <v>16</v>
      </c>
      <c r="I1363" s="534">
        <v>0</v>
      </c>
      <c r="J1363" s="534">
        <v>0</v>
      </c>
      <c r="K1363" s="534">
        <v>0</v>
      </c>
      <c r="M1363" s="617">
        <f t="shared" si="44"/>
        <v>0</v>
      </c>
      <c r="N1363" s="617">
        <f t="shared" si="45"/>
        <v>16</v>
      </c>
      <c r="O1363" s="617"/>
    </row>
    <row r="1364" spans="2:15" ht="15" x14ac:dyDescent="0.25">
      <c r="B1364" s="529">
        <v>1359001</v>
      </c>
      <c r="C1364" s="529">
        <v>1360</v>
      </c>
      <c r="E1364" s="534">
        <v>1</v>
      </c>
      <c r="F1364" s="534">
        <v>1360</v>
      </c>
      <c r="G1364" s="534">
        <v>16</v>
      </c>
      <c r="I1364" s="534">
        <v>0</v>
      </c>
      <c r="J1364" s="534">
        <v>0</v>
      </c>
      <c r="K1364" s="534">
        <v>0</v>
      </c>
      <c r="M1364" s="617">
        <f t="shared" si="44"/>
        <v>1</v>
      </c>
      <c r="N1364" s="617">
        <f t="shared" si="45"/>
        <v>16</v>
      </c>
      <c r="O1364" s="617"/>
    </row>
    <row r="1365" spans="2:15" ht="15" x14ac:dyDescent="0.25">
      <c r="B1365" s="529">
        <v>1360001</v>
      </c>
      <c r="C1365" s="529">
        <v>1361</v>
      </c>
      <c r="E1365" s="534">
        <v>0</v>
      </c>
      <c r="F1365" s="534">
        <v>0</v>
      </c>
      <c r="G1365" s="534">
        <v>15</v>
      </c>
      <c r="I1365" s="534">
        <v>0</v>
      </c>
      <c r="J1365" s="534">
        <v>0</v>
      </c>
      <c r="K1365" s="534">
        <v>0</v>
      </c>
      <c r="M1365" s="617">
        <f t="shared" si="44"/>
        <v>0</v>
      </c>
      <c r="N1365" s="617">
        <f t="shared" si="45"/>
        <v>15</v>
      </c>
      <c r="O1365" s="617"/>
    </row>
    <row r="1366" spans="2:15" ht="15" x14ac:dyDescent="0.25">
      <c r="B1366" s="529">
        <v>1361001</v>
      </c>
      <c r="C1366" s="529">
        <v>1362</v>
      </c>
      <c r="E1366" s="534">
        <v>0</v>
      </c>
      <c r="F1366" s="534">
        <v>0</v>
      </c>
      <c r="G1366" s="534">
        <v>15</v>
      </c>
      <c r="I1366" s="534">
        <v>0</v>
      </c>
      <c r="J1366" s="534">
        <v>0</v>
      </c>
      <c r="K1366" s="534">
        <v>0</v>
      </c>
      <c r="M1366" s="617">
        <f t="shared" si="44"/>
        <v>0</v>
      </c>
      <c r="N1366" s="617">
        <f t="shared" si="45"/>
        <v>15</v>
      </c>
      <c r="O1366" s="617"/>
    </row>
    <row r="1367" spans="2:15" ht="15" x14ac:dyDescent="0.25">
      <c r="B1367" s="529">
        <v>1362001</v>
      </c>
      <c r="C1367" s="529">
        <v>1363</v>
      </c>
      <c r="E1367" s="534">
        <v>1</v>
      </c>
      <c r="F1367" s="534">
        <v>1363</v>
      </c>
      <c r="G1367" s="534">
        <v>15</v>
      </c>
      <c r="I1367" s="534">
        <v>0</v>
      </c>
      <c r="J1367" s="534">
        <v>0</v>
      </c>
      <c r="K1367" s="534">
        <v>0</v>
      </c>
      <c r="M1367" s="617">
        <f t="shared" si="44"/>
        <v>1</v>
      </c>
      <c r="N1367" s="617">
        <f t="shared" si="45"/>
        <v>15</v>
      </c>
      <c r="O1367" s="617"/>
    </row>
    <row r="1368" spans="2:15" ht="15" x14ac:dyDescent="0.25">
      <c r="B1368" s="529">
        <v>1363001</v>
      </c>
      <c r="C1368" s="529">
        <v>1364</v>
      </c>
      <c r="E1368" s="534">
        <v>0</v>
      </c>
      <c r="F1368" s="534">
        <v>0</v>
      </c>
      <c r="G1368" s="534">
        <v>14</v>
      </c>
      <c r="I1368" s="534">
        <v>0</v>
      </c>
      <c r="J1368" s="534">
        <v>0</v>
      </c>
      <c r="K1368" s="534">
        <v>0</v>
      </c>
      <c r="M1368" s="617">
        <f t="shared" si="44"/>
        <v>0</v>
      </c>
      <c r="N1368" s="617">
        <f t="shared" si="45"/>
        <v>14</v>
      </c>
      <c r="O1368" s="617"/>
    </row>
    <row r="1369" spans="2:15" ht="15" x14ac:dyDescent="0.25">
      <c r="B1369" s="529">
        <v>1364001</v>
      </c>
      <c r="C1369" s="529">
        <v>1365</v>
      </c>
      <c r="E1369" s="534">
        <v>0</v>
      </c>
      <c r="F1369" s="534">
        <v>0</v>
      </c>
      <c r="G1369" s="534">
        <v>14</v>
      </c>
      <c r="I1369" s="534">
        <v>0</v>
      </c>
      <c r="J1369" s="534">
        <v>0</v>
      </c>
      <c r="K1369" s="534">
        <v>0</v>
      </c>
      <c r="M1369" s="617">
        <f t="shared" si="44"/>
        <v>0</v>
      </c>
      <c r="N1369" s="617">
        <f t="shared" si="45"/>
        <v>14</v>
      </c>
      <c r="O1369" s="617"/>
    </row>
    <row r="1370" spans="2:15" ht="15" x14ac:dyDescent="0.25">
      <c r="B1370" s="529">
        <v>1365001</v>
      </c>
      <c r="C1370" s="529">
        <v>1366</v>
      </c>
      <c r="E1370" s="534">
        <v>0</v>
      </c>
      <c r="F1370" s="534">
        <v>0</v>
      </c>
      <c r="G1370" s="534">
        <v>14</v>
      </c>
      <c r="I1370" s="534">
        <v>0</v>
      </c>
      <c r="J1370" s="534">
        <v>0</v>
      </c>
      <c r="K1370" s="534">
        <v>0</v>
      </c>
      <c r="M1370" s="617">
        <f t="shared" si="44"/>
        <v>0</v>
      </c>
      <c r="N1370" s="617">
        <f t="shared" si="45"/>
        <v>14</v>
      </c>
      <c r="O1370" s="617"/>
    </row>
    <row r="1371" spans="2:15" ht="15" x14ac:dyDescent="0.25">
      <c r="B1371" s="529">
        <v>1366001</v>
      </c>
      <c r="C1371" s="529">
        <v>1367</v>
      </c>
      <c r="E1371" s="534">
        <v>0</v>
      </c>
      <c r="F1371" s="534">
        <v>0</v>
      </c>
      <c r="G1371" s="534">
        <v>14</v>
      </c>
      <c r="I1371" s="534">
        <v>0</v>
      </c>
      <c r="J1371" s="534">
        <v>0</v>
      </c>
      <c r="K1371" s="534">
        <v>0</v>
      </c>
      <c r="M1371" s="617">
        <f t="shared" si="44"/>
        <v>0</v>
      </c>
      <c r="N1371" s="617">
        <f t="shared" si="45"/>
        <v>14</v>
      </c>
      <c r="O1371" s="617"/>
    </row>
    <row r="1372" spans="2:15" ht="15" x14ac:dyDescent="0.25">
      <c r="B1372" s="529">
        <v>1367001</v>
      </c>
      <c r="C1372" s="529">
        <v>1368</v>
      </c>
      <c r="E1372" s="534">
        <v>0</v>
      </c>
      <c r="F1372" s="534">
        <v>0</v>
      </c>
      <c r="G1372" s="534">
        <v>14</v>
      </c>
      <c r="I1372" s="534">
        <v>0</v>
      </c>
      <c r="J1372" s="534">
        <v>0</v>
      </c>
      <c r="K1372" s="534">
        <v>0</v>
      </c>
      <c r="M1372" s="617">
        <f t="shared" si="44"/>
        <v>0</v>
      </c>
      <c r="N1372" s="617">
        <f t="shared" si="45"/>
        <v>14</v>
      </c>
      <c r="O1372" s="617"/>
    </row>
    <row r="1373" spans="2:15" ht="15" x14ac:dyDescent="0.25">
      <c r="B1373" s="529">
        <v>1368001</v>
      </c>
      <c r="C1373" s="529">
        <v>1369</v>
      </c>
      <c r="E1373" s="534">
        <v>0</v>
      </c>
      <c r="F1373" s="534">
        <v>0</v>
      </c>
      <c r="G1373" s="534">
        <v>14</v>
      </c>
      <c r="I1373" s="534">
        <v>0</v>
      </c>
      <c r="J1373" s="534">
        <v>0</v>
      </c>
      <c r="K1373" s="534">
        <v>0</v>
      </c>
      <c r="M1373" s="617">
        <f t="shared" si="44"/>
        <v>0</v>
      </c>
      <c r="N1373" s="617">
        <f t="shared" si="45"/>
        <v>14</v>
      </c>
      <c r="O1373" s="617"/>
    </row>
    <row r="1374" spans="2:15" ht="15" x14ac:dyDescent="0.25">
      <c r="B1374" s="529">
        <v>1369001</v>
      </c>
      <c r="C1374" s="529">
        <v>1370</v>
      </c>
      <c r="E1374" s="534">
        <v>0</v>
      </c>
      <c r="F1374" s="534">
        <v>0</v>
      </c>
      <c r="G1374" s="534">
        <v>14</v>
      </c>
      <c r="I1374" s="534">
        <v>0</v>
      </c>
      <c r="J1374" s="534">
        <v>0</v>
      </c>
      <c r="K1374" s="534">
        <v>0</v>
      </c>
      <c r="M1374" s="617">
        <f t="shared" si="44"/>
        <v>0</v>
      </c>
      <c r="N1374" s="617">
        <f t="shared" si="45"/>
        <v>14</v>
      </c>
      <c r="O1374" s="617"/>
    </row>
    <row r="1375" spans="2:15" ht="15" x14ac:dyDescent="0.25">
      <c r="B1375" s="529">
        <v>1370001</v>
      </c>
      <c r="C1375" s="529">
        <v>1371</v>
      </c>
      <c r="E1375" s="534">
        <v>0</v>
      </c>
      <c r="F1375" s="534">
        <v>0</v>
      </c>
      <c r="G1375" s="534">
        <v>14</v>
      </c>
      <c r="I1375" s="534">
        <v>0</v>
      </c>
      <c r="J1375" s="534">
        <v>0</v>
      </c>
      <c r="K1375" s="534">
        <v>0</v>
      </c>
      <c r="M1375" s="617">
        <f t="shared" si="44"/>
        <v>0</v>
      </c>
      <c r="N1375" s="617">
        <f t="shared" si="45"/>
        <v>14</v>
      </c>
      <c r="O1375" s="617"/>
    </row>
    <row r="1376" spans="2:15" ht="15" x14ac:dyDescent="0.25">
      <c r="B1376" s="529">
        <v>1371001</v>
      </c>
      <c r="C1376" s="529">
        <v>1372</v>
      </c>
      <c r="E1376" s="534">
        <v>0</v>
      </c>
      <c r="F1376" s="534">
        <v>0</v>
      </c>
      <c r="G1376" s="534">
        <v>14</v>
      </c>
      <c r="I1376" s="534">
        <v>0</v>
      </c>
      <c r="J1376" s="534">
        <v>0</v>
      </c>
      <c r="K1376" s="534">
        <v>0</v>
      </c>
      <c r="M1376" s="617">
        <f t="shared" si="44"/>
        <v>0</v>
      </c>
      <c r="N1376" s="617">
        <f t="shared" si="45"/>
        <v>14</v>
      </c>
      <c r="O1376" s="617"/>
    </row>
    <row r="1377" spans="2:15" ht="15" x14ac:dyDescent="0.25">
      <c r="B1377" s="529">
        <v>1372001</v>
      </c>
      <c r="C1377" s="529">
        <v>1373</v>
      </c>
      <c r="E1377" s="534">
        <v>0</v>
      </c>
      <c r="F1377" s="534">
        <v>0</v>
      </c>
      <c r="G1377" s="534">
        <v>14</v>
      </c>
      <c r="I1377" s="534">
        <v>0</v>
      </c>
      <c r="J1377" s="534">
        <v>0</v>
      </c>
      <c r="K1377" s="534">
        <v>0</v>
      </c>
      <c r="M1377" s="617">
        <f t="shared" si="44"/>
        <v>0</v>
      </c>
      <c r="N1377" s="617">
        <f t="shared" si="45"/>
        <v>14</v>
      </c>
      <c r="O1377" s="617"/>
    </row>
    <row r="1378" spans="2:15" ht="15" x14ac:dyDescent="0.25">
      <c r="B1378" s="529">
        <v>1373001</v>
      </c>
      <c r="C1378" s="529">
        <v>1374</v>
      </c>
      <c r="E1378" s="534">
        <v>0</v>
      </c>
      <c r="F1378" s="534">
        <v>0</v>
      </c>
      <c r="G1378" s="534">
        <v>14</v>
      </c>
      <c r="I1378" s="534">
        <v>0</v>
      </c>
      <c r="J1378" s="534">
        <v>0</v>
      </c>
      <c r="K1378" s="534">
        <v>0</v>
      </c>
      <c r="M1378" s="617">
        <f t="shared" si="44"/>
        <v>0</v>
      </c>
      <c r="N1378" s="617">
        <f t="shared" si="45"/>
        <v>14</v>
      </c>
      <c r="O1378" s="617"/>
    </row>
    <row r="1379" spans="2:15" ht="15" x14ac:dyDescent="0.25">
      <c r="B1379" s="529">
        <v>1374001</v>
      </c>
      <c r="C1379" s="529">
        <v>1375</v>
      </c>
      <c r="E1379" s="534">
        <v>0</v>
      </c>
      <c r="F1379" s="534">
        <v>0</v>
      </c>
      <c r="G1379" s="534">
        <v>14</v>
      </c>
      <c r="I1379" s="534">
        <v>0</v>
      </c>
      <c r="J1379" s="534">
        <v>0</v>
      </c>
      <c r="K1379" s="534">
        <v>0</v>
      </c>
      <c r="M1379" s="617">
        <f t="shared" si="44"/>
        <v>0</v>
      </c>
      <c r="N1379" s="617">
        <f t="shared" si="45"/>
        <v>14</v>
      </c>
      <c r="O1379" s="617"/>
    </row>
    <row r="1380" spans="2:15" ht="15" x14ac:dyDescent="0.25">
      <c r="B1380" s="529">
        <v>1375001</v>
      </c>
      <c r="C1380" s="529">
        <v>1376</v>
      </c>
      <c r="E1380" s="534">
        <v>0</v>
      </c>
      <c r="F1380" s="534">
        <v>0</v>
      </c>
      <c r="G1380" s="534">
        <v>14</v>
      </c>
      <c r="I1380" s="534">
        <v>0</v>
      </c>
      <c r="J1380" s="534">
        <v>0</v>
      </c>
      <c r="K1380" s="534">
        <v>0</v>
      </c>
      <c r="M1380" s="617">
        <f t="shared" si="44"/>
        <v>0</v>
      </c>
      <c r="N1380" s="617">
        <f t="shared" si="45"/>
        <v>14</v>
      </c>
      <c r="O1380" s="617"/>
    </row>
    <row r="1381" spans="2:15" ht="15" x14ac:dyDescent="0.25">
      <c r="B1381" s="529">
        <v>1376001</v>
      </c>
      <c r="C1381" s="529">
        <v>1377</v>
      </c>
      <c r="E1381" s="534">
        <v>0</v>
      </c>
      <c r="F1381" s="534">
        <v>0</v>
      </c>
      <c r="G1381" s="534">
        <v>14</v>
      </c>
      <c r="I1381" s="534">
        <v>0</v>
      </c>
      <c r="J1381" s="534">
        <v>0</v>
      </c>
      <c r="K1381" s="534">
        <v>0</v>
      </c>
      <c r="M1381" s="617">
        <f t="shared" si="44"/>
        <v>0</v>
      </c>
      <c r="N1381" s="617">
        <f t="shared" si="45"/>
        <v>14</v>
      </c>
      <c r="O1381" s="617"/>
    </row>
    <row r="1382" spans="2:15" ht="15" x14ac:dyDescent="0.25">
      <c r="B1382" s="529">
        <v>1377001</v>
      </c>
      <c r="C1382" s="529">
        <v>1378</v>
      </c>
      <c r="E1382" s="534">
        <v>1</v>
      </c>
      <c r="F1382" s="534">
        <v>1378</v>
      </c>
      <c r="G1382" s="534">
        <v>14</v>
      </c>
      <c r="I1382" s="534">
        <v>0</v>
      </c>
      <c r="J1382" s="534">
        <v>0</v>
      </c>
      <c r="K1382" s="534">
        <v>0</v>
      </c>
      <c r="M1382" s="617">
        <f t="shared" si="44"/>
        <v>1</v>
      </c>
      <c r="N1382" s="617">
        <f t="shared" si="45"/>
        <v>14</v>
      </c>
      <c r="O1382" s="617"/>
    </row>
    <row r="1383" spans="2:15" ht="15" x14ac:dyDescent="0.25">
      <c r="B1383" s="529">
        <v>1378001</v>
      </c>
      <c r="C1383" s="529">
        <v>1379</v>
      </c>
      <c r="E1383" s="534">
        <v>0</v>
      </c>
      <c r="F1383" s="534">
        <v>0</v>
      </c>
      <c r="G1383" s="534">
        <v>13</v>
      </c>
      <c r="I1383" s="534">
        <v>0</v>
      </c>
      <c r="J1383" s="534">
        <v>0</v>
      </c>
      <c r="K1383" s="534">
        <v>0</v>
      </c>
      <c r="M1383" s="617">
        <f t="shared" si="44"/>
        <v>0</v>
      </c>
      <c r="N1383" s="617">
        <f t="shared" si="45"/>
        <v>13</v>
      </c>
      <c r="O1383" s="617"/>
    </row>
    <row r="1384" spans="2:15" ht="15" x14ac:dyDescent="0.25">
      <c r="B1384" s="529">
        <v>1379001</v>
      </c>
      <c r="C1384" s="529">
        <v>1380</v>
      </c>
      <c r="E1384" s="534">
        <v>0</v>
      </c>
      <c r="F1384" s="534">
        <v>0</v>
      </c>
      <c r="G1384" s="534">
        <v>13</v>
      </c>
      <c r="I1384" s="534">
        <v>0</v>
      </c>
      <c r="J1384" s="534">
        <v>0</v>
      </c>
      <c r="K1384" s="534">
        <v>0</v>
      </c>
      <c r="M1384" s="617">
        <f t="shared" si="44"/>
        <v>0</v>
      </c>
      <c r="N1384" s="617">
        <f t="shared" si="45"/>
        <v>13</v>
      </c>
      <c r="O1384" s="617"/>
    </row>
    <row r="1385" spans="2:15" ht="15" x14ac:dyDescent="0.25">
      <c r="B1385" s="529">
        <v>1380001</v>
      </c>
      <c r="C1385" s="529">
        <v>1381</v>
      </c>
      <c r="E1385" s="534">
        <v>0</v>
      </c>
      <c r="F1385" s="534">
        <v>0</v>
      </c>
      <c r="G1385" s="534">
        <v>13</v>
      </c>
      <c r="I1385" s="534">
        <v>0</v>
      </c>
      <c r="J1385" s="534">
        <v>0</v>
      </c>
      <c r="K1385" s="534">
        <v>0</v>
      </c>
      <c r="M1385" s="617">
        <f t="shared" si="44"/>
        <v>0</v>
      </c>
      <c r="N1385" s="617">
        <f t="shared" si="45"/>
        <v>13</v>
      </c>
      <c r="O1385" s="617"/>
    </row>
    <row r="1386" spans="2:15" ht="15" x14ac:dyDescent="0.25">
      <c r="B1386" s="529">
        <v>1381001</v>
      </c>
      <c r="C1386" s="529">
        <v>1382</v>
      </c>
      <c r="E1386" s="534">
        <v>0</v>
      </c>
      <c r="F1386" s="534">
        <v>0</v>
      </c>
      <c r="G1386" s="534">
        <v>13</v>
      </c>
      <c r="I1386" s="534">
        <v>0</v>
      </c>
      <c r="J1386" s="534">
        <v>0</v>
      </c>
      <c r="K1386" s="534">
        <v>0</v>
      </c>
      <c r="M1386" s="617">
        <f t="shared" si="44"/>
        <v>0</v>
      </c>
      <c r="N1386" s="617">
        <f t="shared" si="45"/>
        <v>13</v>
      </c>
      <c r="O1386" s="617"/>
    </row>
    <row r="1387" spans="2:15" ht="15" x14ac:dyDescent="0.25">
      <c r="B1387" s="529">
        <v>1382001</v>
      </c>
      <c r="C1387" s="529">
        <v>1383</v>
      </c>
      <c r="E1387" s="534">
        <v>0</v>
      </c>
      <c r="F1387" s="534">
        <v>0</v>
      </c>
      <c r="G1387" s="534">
        <v>13</v>
      </c>
      <c r="I1387" s="534">
        <v>0</v>
      </c>
      <c r="J1387" s="534">
        <v>0</v>
      </c>
      <c r="K1387" s="534">
        <v>0</v>
      </c>
      <c r="M1387" s="617">
        <f t="shared" si="44"/>
        <v>0</v>
      </c>
      <c r="N1387" s="617">
        <f t="shared" si="45"/>
        <v>13</v>
      </c>
      <c r="O1387" s="617"/>
    </row>
    <row r="1388" spans="2:15" ht="15" x14ac:dyDescent="0.25">
      <c r="B1388" s="529">
        <v>1383001</v>
      </c>
      <c r="C1388" s="529">
        <v>1384</v>
      </c>
      <c r="E1388" s="534">
        <v>0</v>
      </c>
      <c r="F1388" s="534">
        <v>0</v>
      </c>
      <c r="G1388" s="534">
        <v>13</v>
      </c>
      <c r="I1388" s="534">
        <v>0</v>
      </c>
      <c r="J1388" s="534">
        <v>0</v>
      </c>
      <c r="K1388" s="534">
        <v>0</v>
      </c>
      <c r="M1388" s="617">
        <f t="shared" si="44"/>
        <v>0</v>
      </c>
      <c r="N1388" s="617">
        <f t="shared" si="45"/>
        <v>13</v>
      </c>
      <c r="O1388" s="617"/>
    </row>
    <row r="1389" spans="2:15" ht="15" x14ac:dyDescent="0.25">
      <c r="B1389" s="529">
        <v>1384001</v>
      </c>
      <c r="C1389" s="529">
        <v>1385</v>
      </c>
      <c r="E1389" s="534">
        <v>0</v>
      </c>
      <c r="F1389" s="534">
        <v>0</v>
      </c>
      <c r="G1389" s="534">
        <v>13</v>
      </c>
      <c r="I1389" s="534">
        <v>0</v>
      </c>
      <c r="J1389" s="534">
        <v>0</v>
      </c>
      <c r="K1389" s="534">
        <v>0</v>
      </c>
      <c r="M1389" s="617">
        <f t="shared" si="44"/>
        <v>0</v>
      </c>
      <c r="N1389" s="617">
        <f t="shared" si="45"/>
        <v>13</v>
      </c>
      <c r="O1389" s="617"/>
    </row>
    <row r="1390" spans="2:15" ht="15" x14ac:dyDescent="0.25">
      <c r="B1390" s="529">
        <v>1385001</v>
      </c>
      <c r="C1390" s="529">
        <v>1386</v>
      </c>
      <c r="E1390" s="534">
        <v>0</v>
      </c>
      <c r="F1390" s="534">
        <v>0</v>
      </c>
      <c r="G1390" s="534">
        <v>13</v>
      </c>
      <c r="I1390" s="534">
        <v>0</v>
      </c>
      <c r="J1390" s="534">
        <v>0</v>
      </c>
      <c r="K1390" s="534">
        <v>0</v>
      </c>
      <c r="M1390" s="617">
        <f t="shared" si="44"/>
        <v>0</v>
      </c>
      <c r="N1390" s="617">
        <f t="shared" si="45"/>
        <v>13</v>
      </c>
      <c r="O1390" s="617"/>
    </row>
    <row r="1391" spans="2:15" ht="15" x14ac:dyDescent="0.25">
      <c r="B1391" s="529">
        <v>1386001</v>
      </c>
      <c r="C1391" s="529">
        <v>1387</v>
      </c>
      <c r="E1391" s="534">
        <v>0</v>
      </c>
      <c r="F1391" s="534">
        <v>0</v>
      </c>
      <c r="G1391" s="534">
        <v>13</v>
      </c>
      <c r="I1391" s="534">
        <v>0</v>
      </c>
      <c r="J1391" s="534">
        <v>0</v>
      </c>
      <c r="K1391" s="534">
        <v>0</v>
      </c>
      <c r="M1391" s="617">
        <f t="shared" si="44"/>
        <v>0</v>
      </c>
      <c r="N1391" s="617">
        <f t="shared" si="45"/>
        <v>13</v>
      </c>
      <c r="O1391" s="617"/>
    </row>
    <row r="1392" spans="2:15" ht="15" x14ac:dyDescent="0.25">
      <c r="B1392" s="529">
        <v>1387001</v>
      </c>
      <c r="C1392" s="529">
        <v>1388</v>
      </c>
      <c r="E1392" s="534">
        <v>0</v>
      </c>
      <c r="F1392" s="534">
        <v>0</v>
      </c>
      <c r="G1392" s="534">
        <v>13</v>
      </c>
      <c r="I1392" s="534">
        <v>0</v>
      </c>
      <c r="J1392" s="534">
        <v>0</v>
      </c>
      <c r="K1392" s="534">
        <v>0</v>
      </c>
      <c r="M1392" s="617">
        <f t="shared" si="44"/>
        <v>0</v>
      </c>
      <c r="N1392" s="617">
        <f t="shared" si="45"/>
        <v>13</v>
      </c>
      <c r="O1392" s="617"/>
    </row>
    <row r="1393" spans="2:15" ht="15" x14ac:dyDescent="0.25">
      <c r="B1393" s="529">
        <v>1388001</v>
      </c>
      <c r="C1393" s="529">
        <v>1389</v>
      </c>
      <c r="E1393" s="534">
        <v>0</v>
      </c>
      <c r="F1393" s="534">
        <v>0</v>
      </c>
      <c r="G1393" s="534">
        <v>13</v>
      </c>
      <c r="I1393" s="534">
        <v>0</v>
      </c>
      <c r="J1393" s="534">
        <v>0</v>
      </c>
      <c r="K1393" s="534">
        <v>0</v>
      </c>
      <c r="M1393" s="617">
        <f t="shared" si="44"/>
        <v>0</v>
      </c>
      <c r="N1393" s="617">
        <f t="shared" si="45"/>
        <v>13</v>
      </c>
      <c r="O1393" s="617"/>
    </row>
    <row r="1394" spans="2:15" ht="15" x14ac:dyDescent="0.25">
      <c r="B1394" s="529">
        <v>1389001</v>
      </c>
      <c r="C1394" s="529">
        <v>1390</v>
      </c>
      <c r="E1394" s="534">
        <v>0</v>
      </c>
      <c r="F1394" s="534">
        <v>0</v>
      </c>
      <c r="G1394" s="534">
        <v>13</v>
      </c>
      <c r="I1394" s="534">
        <v>0</v>
      </c>
      <c r="J1394" s="534">
        <v>0</v>
      </c>
      <c r="K1394" s="534">
        <v>0</v>
      </c>
      <c r="M1394" s="617">
        <f t="shared" si="44"/>
        <v>0</v>
      </c>
      <c r="N1394" s="617">
        <f t="shared" si="45"/>
        <v>13</v>
      </c>
      <c r="O1394" s="617"/>
    </row>
    <row r="1395" spans="2:15" ht="15" x14ac:dyDescent="0.25">
      <c r="B1395" s="529">
        <v>1390001</v>
      </c>
      <c r="C1395" s="529">
        <v>1391</v>
      </c>
      <c r="E1395" s="534">
        <v>0</v>
      </c>
      <c r="F1395" s="534">
        <v>0</v>
      </c>
      <c r="G1395" s="534">
        <v>13</v>
      </c>
      <c r="I1395" s="534">
        <v>0</v>
      </c>
      <c r="J1395" s="534">
        <v>0</v>
      </c>
      <c r="K1395" s="534">
        <v>0</v>
      </c>
      <c r="M1395" s="617">
        <f t="shared" si="44"/>
        <v>0</v>
      </c>
      <c r="N1395" s="617">
        <f t="shared" si="45"/>
        <v>13</v>
      </c>
      <c r="O1395" s="617"/>
    </row>
    <row r="1396" spans="2:15" ht="15" x14ac:dyDescent="0.25">
      <c r="B1396" s="529">
        <v>1391001</v>
      </c>
      <c r="C1396" s="529">
        <v>1392</v>
      </c>
      <c r="E1396" s="534">
        <v>0</v>
      </c>
      <c r="F1396" s="534">
        <v>0</v>
      </c>
      <c r="G1396" s="534">
        <v>13</v>
      </c>
      <c r="I1396" s="534">
        <v>0</v>
      </c>
      <c r="J1396" s="534">
        <v>0</v>
      </c>
      <c r="K1396" s="534">
        <v>0</v>
      </c>
      <c r="M1396" s="617">
        <f t="shared" si="44"/>
        <v>0</v>
      </c>
      <c r="N1396" s="617">
        <f t="shared" si="45"/>
        <v>13</v>
      </c>
      <c r="O1396" s="617"/>
    </row>
    <row r="1397" spans="2:15" ht="15" x14ac:dyDescent="0.25">
      <c r="B1397" s="529">
        <v>1392001</v>
      </c>
      <c r="C1397" s="529">
        <v>1393</v>
      </c>
      <c r="E1397" s="534">
        <v>0</v>
      </c>
      <c r="F1397" s="534">
        <v>0</v>
      </c>
      <c r="G1397" s="534">
        <v>13</v>
      </c>
      <c r="I1397" s="534">
        <v>0</v>
      </c>
      <c r="J1397" s="534">
        <v>0</v>
      </c>
      <c r="K1397" s="534">
        <v>0</v>
      </c>
      <c r="M1397" s="617">
        <f t="shared" si="44"/>
        <v>0</v>
      </c>
      <c r="N1397" s="617">
        <f t="shared" si="45"/>
        <v>13</v>
      </c>
      <c r="O1397" s="617"/>
    </row>
    <row r="1398" spans="2:15" ht="15" x14ac:dyDescent="0.25">
      <c r="B1398" s="529">
        <v>1393001</v>
      </c>
      <c r="C1398" s="529">
        <v>1394</v>
      </c>
      <c r="E1398" s="534">
        <v>0</v>
      </c>
      <c r="F1398" s="534">
        <v>0</v>
      </c>
      <c r="G1398" s="534">
        <v>13</v>
      </c>
      <c r="I1398" s="534">
        <v>0</v>
      </c>
      <c r="J1398" s="534">
        <v>0</v>
      </c>
      <c r="K1398" s="534">
        <v>0</v>
      </c>
      <c r="M1398" s="617">
        <f t="shared" si="44"/>
        <v>0</v>
      </c>
      <c r="N1398" s="617">
        <f t="shared" si="45"/>
        <v>13</v>
      </c>
      <c r="O1398" s="617"/>
    </row>
    <row r="1399" spans="2:15" ht="15" x14ac:dyDescent="0.25">
      <c r="B1399" s="529">
        <v>1394001</v>
      </c>
      <c r="C1399" s="529">
        <v>1395</v>
      </c>
      <c r="E1399" s="534">
        <v>0</v>
      </c>
      <c r="F1399" s="534">
        <v>0</v>
      </c>
      <c r="G1399" s="534">
        <v>13</v>
      </c>
      <c r="I1399" s="534">
        <v>0</v>
      </c>
      <c r="J1399" s="534">
        <v>0</v>
      </c>
      <c r="K1399" s="534">
        <v>0</v>
      </c>
      <c r="M1399" s="617">
        <f t="shared" si="44"/>
        <v>0</v>
      </c>
      <c r="N1399" s="617">
        <f t="shared" si="45"/>
        <v>13</v>
      </c>
      <c r="O1399" s="617"/>
    </row>
    <row r="1400" spans="2:15" ht="15" x14ac:dyDescent="0.25">
      <c r="B1400" s="529">
        <v>1395001</v>
      </c>
      <c r="C1400" s="529">
        <v>1396</v>
      </c>
      <c r="E1400" s="534">
        <v>0</v>
      </c>
      <c r="F1400" s="534">
        <v>0</v>
      </c>
      <c r="G1400" s="534">
        <v>13</v>
      </c>
      <c r="I1400" s="534">
        <v>0</v>
      </c>
      <c r="J1400" s="534">
        <v>0</v>
      </c>
      <c r="K1400" s="534">
        <v>0</v>
      </c>
      <c r="M1400" s="617">
        <f t="shared" si="44"/>
        <v>0</v>
      </c>
      <c r="N1400" s="617">
        <f t="shared" si="45"/>
        <v>13</v>
      </c>
      <c r="O1400" s="617"/>
    </row>
    <row r="1401" spans="2:15" ht="15" x14ac:dyDescent="0.25">
      <c r="B1401" s="529">
        <v>1396001</v>
      </c>
      <c r="C1401" s="529">
        <v>1397</v>
      </c>
      <c r="E1401" s="534">
        <v>0</v>
      </c>
      <c r="F1401" s="534">
        <v>0</v>
      </c>
      <c r="G1401" s="534">
        <v>13</v>
      </c>
      <c r="I1401" s="534">
        <v>0</v>
      </c>
      <c r="J1401" s="534">
        <v>0</v>
      </c>
      <c r="K1401" s="534">
        <v>0</v>
      </c>
      <c r="M1401" s="617">
        <f t="shared" si="44"/>
        <v>0</v>
      </c>
      <c r="N1401" s="617">
        <f t="shared" si="45"/>
        <v>13</v>
      </c>
      <c r="O1401" s="617"/>
    </row>
    <row r="1402" spans="2:15" ht="15" x14ac:dyDescent="0.25">
      <c r="B1402" s="529">
        <v>1397001</v>
      </c>
      <c r="C1402" s="529">
        <v>1398</v>
      </c>
      <c r="E1402" s="534">
        <v>0</v>
      </c>
      <c r="F1402" s="534">
        <v>0</v>
      </c>
      <c r="G1402" s="534">
        <v>13</v>
      </c>
      <c r="I1402" s="534">
        <v>0</v>
      </c>
      <c r="J1402" s="534">
        <v>0</v>
      </c>
      <c r="K1402" s="534">
        <v>0</v>
      </c>
      <c r="M1402" s="617">
        <f t="shared" si="44"/>
        <v>0</v>
      </c>
      <c r="N1402" s="617">
        <f t="shared" si="45"/>
        <v>13</v>
      </c>
      <c r="O1402" s="617"/>
    </row>
    <row r="1403" spans="2:15" ht="15" x14ac:dyDescent="0.25">
      <c r="B1403" s="529">
        <v>1398001</v>
      </c>
      <c r="C1403" s="529">
        <v>1399</v>
      </c>
      <c r="E1403" s="534">
        <v>0</v>
      </c>
      <c r="F1403" s="534">
        <v>0</v>
      </c>
      <c r="G1403" s="534">
        <v>13</v>
      </c>
      <c r="I1403" s="534">
        <v>0</v>
      </c>
      <c r="J1403" s="534">
        <v>0</v>
      </c>
      <c r="K1403" s="534">
        <v>0</v>
      </c>
      <c r="M1403" s="617">
        <f t="shared" si="44"/>
        <v>0</v>
      </c>
      <c r="N1403" s="617">
        <f t="shared" si="45"/>
        <v>13</v>
      </c>
      <c r="O1403" s="617"/>
    </row>
    <row r="1404" spans="2:15" ht="15" x14ac:dyDescent="0.25">
      <c r="B1404" s="529">
        <v>1399001</v>
      </c>
      <c r="C1404" s="529">
        <v>1400</v>
      </c>
      <c r="E1404" s="534">
        <v>0</v>
      </c>
      <c r="F1404" s="534">
        <v>0</v>
      </c>
      <c r="G1404" s="534">
        <v>13</v>
      </c>
      <c r="I1404" s="534">
        <v>0</v>
      </c>
      <c r="J1404" s="534">
        <v>0</v>
      </c>
      <c r="K1404" s="534">
        <v>0</v>
      </c>
      <c r="M1404" s="617">
        <f t="shared" si="44"/>
        <v>0</v>
      </c>
      <c r="N1404" s="617">
        <f t="shared" si="45"/>
        <v>13</v>
      </c>
      <c r="O1404" s="617"/>
    </row>
    <row r="1405" spans="2:15" ht="15" x14ac:dyDescent="0.25">
      <c r="B1405" s="529">
        <v>1400001</v>
      </c>
      <c r="C1405" s="529">
        <v>1401</v>
      </c>
      <c r="E1405" s="534">
        <v>0</v>
      </c>
      <c r="F1405" s="534">
        <v>0</v>
      </c>
      <c r="G1405" s="534">
        <v>13</v>
      </c>
      <c r="I1405" s="534">
        <v>0</v>
      </c>
      <c r="J1405" s="534">
        <v>0</v>
      </c>
      <c r="K1405" s="534">
        <v>0</v>
      </c>
      <c r="M1405" s="617">
        <f t="shared" si="44"/>
        <v>0</v>
      </c>
      <c r="N1405" s="617">
        <f t="shared" si="45"/>
        <v>13</v>
      </c>
      <c r="O1405" s="617"/>
    </row>
    <row r="1406" spans="2:15" ht="15" x14ac:dyDescent="0.25">
      <c r="B1406" s="529">
        <v>1401001</v>
      </c>
      <c r="C1406" s="529">
        <v>1402</v>
      </c>
      <c r="E1406" s="534">
        <v>0</v>
      </c>
      <c r="F1406" s="534">
        <v>0</v>
      </c>
      <c r="G1406" s="534">
        <v>13</v>
      </c>
      <c r="I1406" s="534">
        <v>0</v>
      </c>
      <c r="J1406" s="534">
        <v>0</v>
      </c>
      <c r="K1406" s="534">
        <v>0</v>
      </c>
      <c r="M1406" s="617">
        <f t="shared" si="44"/>
        <v>0</v>
      </c>
      <c r="N1406" s="617">
        <f t="shared" si="45"/>
        <v>13</v>
      </c>
      <c r="O1406" s="617"/>
    </row>
    <row r="1407" spans="2:15" ht="15" x14ac:dyDescent="0.25">
      <c r="B1407" s="529">
        <v>1402001</v>
      </c>
      <c r="C1407" s="529">
        <v>1403</v>
      </c>
      <c r="E1407" s="534">
        <v>0</v>
      </c>
      <c r="F1407" s="534">
        <v>0</v>
      </c>
      <c r="G1407" s="534">
        <v>13</v>
      </c>
      <c r="I1407" s="534">
        <v>0</v>
      </c>
      <c r="J1407" s="534">
        <v>0</v>
      </c>
      <c r="K1407" s="534">
        <v>0</v>
      </c>
      <c r="M1407" s="617">
        <f t="shared" si="44"/>
        <v>0</v>
      </c>
      <c r="N1407" s="617">
        <f t="shared" si="45"/>
        <v>13</v>
      </c>
      <c r="O1407" s="617"/>
    </row>
    <row r="1408" spans="2:15" ht="15" x14ac:dyDescent="0.25">
      <c r="B1408" s="529">
        <v>1403001</v>
      </c>
      <c r="C1408" s="529">
        <v>1404</v>
      </c>
      <c r="E1408" s="534">
        <v>0</v>
      </c>
      <c r="F1408" s="534">
        <v>0</v>
      </c>
      <c r="G1408" s="534">
        <v>13</v>
      </c>
      <c r="I1408" s="534">
        <v>0</v>
      </c>
      <c r="J1408" s="534">
        <v>0</v>
      </c>
      <c r="K1408" s="534">
        <v>0</v>
      </c>
      <c r="M1408" s="617">
        <f t="shared" si="44"/>
        <v>0</v>
      </c>
      <c r="N1408" s="617">
        <f t="shared" si="45"/>
        <v>13</v>
      </c>
      <c r="O1408" s="617"/>
    </row>
    <row r="1409" spans="2:15" ht="15" x14ac:dyDescent="0.25">
      <c r="B1409" s="529">
        <v>1404001</v>
      </c>
      <c r="C1409" s="529">
        <v>1405</v>
      </c>
      <c r="E1409" s="534">
        <v>1</v>
      </c>
      <c r="F1409" s="534">
        <v>1405</v>
      </c>
      <c r="G1409" s="534">
        <v>13</v>
      </c>
      <c r="I1409" s="534">
        <v>0</v>
      </c>
      <c r="J1409" s="534">
        <v>0</v>
      </c>
      <c r="K1409" s="534">
        <v>0</v>
      </c>
      <c r="M1409" s="617">
        <f t="shared" si="44"/>
        <v>1</v>
      </c>
      <c r="N1409" s="617">
        <f t="shared" si="45"/>
        <v>13</v>
      </c>
      <c r="O1409" s="617"/>
    </row>
    <row r="1410" spans="2:15" ht="15" x14ac:dyDescent="0.25">
      <c r="B1410" s="529">
        <v>1405001</v>
      </c>
      <c r="C1410" s="529">
        <v>1406</v>
      </c>
      <c r="E1410" s="534">
        <v>0</v>
      </c>
      <c r="F1410" s="534">
        <v>0</v>
      </c>
      <c r="G1410" s="534">
        <v>12</v>
      </c>
      <c r="I1410" s="534">
        <v>0</v>
      </c>
      <c r="J1410" s="534">
        <v>0</v>
      </c>
      <c r="K1410" s="534">
        <v>0</v>
      </c>
      <c r="M1410" s="617">
        <f t="shared" si="44"/>
        <v>0</v>
      </c>
      <c r="N1410" s="617">
        <f t="shared" si="45"/>
        <v>12</v>
      </c>
      <c r="O1410" s="617"/>
    </row>
    <row r="1411" spans="2:15" ht="15" x14ac:dyDescent="0.25">
      <c r="B1411" s="529">
        <v>1406001</v>
      </c>
      <c r="C1411" s="529">
        <v>1407</v>
      </c>
      <c r="E1411" s="534">
        <v>0</v>
      </c>
      <c r="F1411" s="534">
        <v>0</v>
      </c>
      <c r="G1411" s="534">
        <v>12</v>
      </c>
      <c r="I1411" s="534">
        <v>0</v>
      </c>
      <c r="J1411" s="534">
        <v>0</v>
      </c>
      <c r="K1411" s="534">
        <v>0</v>
      </c>
      <c r="M1411" s="617">
        <f t="shared" si="44"/>
        <v>0</v>
      </c>
      <c r="N1411" s="617">
        <f t="shared" si="45"/>
        <v>12</v>
      </c>
      <c r="O1411" s="617"/>
    </row>
    <row r="1412" spans="2:15" ht="15" x14ac:dyDescent="0.25">
      <c r="B1412" s="529">
        <v>1407001</v>
      </c>
      <c r="C1412" s="529">
        <v>1408</v>
      </c>
      <c r="E1412" s="534">
        <v>0</v>
      </c>
      <c r="F1412" s="534">
        <v>0</v>
      </c>
      <c r="G1412" s="534">
        <v>12</v>
      </c>
      <c r="I1412" s="534">
        <v>0</v>
      </c>
      <c r="J1412" s="534">
        <v>0</v>
      </c>
      <c r="K1412" s="534">
        <v>0</v>
      </c>
      <c r="M1412" s="617">
        <f t="shared" si="44"/>
        <v>0</v>
      </c>
      <c r="N1412" s="617">
        <f t="shared" si="45"/>
        <v>12</v>
      </c>
      <c r="O1412" s="617"/>
    </row>
    <row r="1413" spans="2:15" ht="15" x14ac:dyDescent="0.25">
      <c r="B1413" s="529">
        <v>1408001</v>
      </c>
      <c r="C1413" s="529">
        <v>1409</v>
      </c>
      <c r="E1413" s="534">
        <v>0</v>
      </c>
      <c r="F1413" s="534">
        <v>0</v>
      </c>
      <c r="G1413" s="534">
        <v>12</v>
      </c>
      <c r="I1413" s="534">
        <v>0</v>
      </c>
      <c r="J1413" s="534">
        <v>0</v>
      </c>
      <c r="K1413" s="534">
        <v>0</v>
      </c>
      <c r="M1413" s="617">
        <f t="shared" ref="M1413:M1476" si="46">I1413+E1413</f>
        <v>0</v>
      </c>
      <c r="N1413" s="617">
        <f t="shared" ref="N1413:N1476" si="47">K1413+G1413</f>
        <v>12</v>
      </c>
      <c r="O1413" s="617"/>
    </row>
    <row r="1414" spans="2:15" ht="15" x14ac:dyDescent="0.25">
      <c r="B1414" s="529">
        <v>1409001</v>
      </c>
      <c r="C1414" s="529">
        <v>1410</v>
      </c>
      <c r="E1414" s="534">
        <v>0</v>
      </c>
      <c r="F1414" s="534">
        <v>0</v>
      </c>
      <c r="G1414" s="534">
        <v>12</v>
      </c>
      <c r="I1414" s="534">
        <v>0</v>
      </c>
      <c r="J1414" s="534">
        <v>0</v>
      </c>
      <c r="K1414" s="534">
        <v>0</v>
      </c>
      <c r="M1414" s="617">
        <f t="shared" si="46"/>
        <v>0</v>
      </c>
      <c r="N1414" s="617">
        <f t="shared" si="47"/>
        <v>12</v>
      </c>
      <c r="O1414" s="617"/>
    </row>
    <row r="1415" spans="2:15" ht="15" x14ac:dyDescent="0.25">
      <c r="B1415" s="529">
        <v>1410001</v>
      </c>
      <c r="C1415" s="529">
        <v>1411</v>
      </c>
      <c r="E1415" s="534">
        <v>0</v>
      </c>
      <c r="F1415" s="534">
        <v>0</v>
      </c>
      <c r="G1415" s="534">
        <v>12</v>
      </c>
      <c r="I1415" s="534">
        <v>0</v>
      </c>
      <c r="J1415" s="534">
        <v>0</v>
      </c>
      <c r="K1415" s="534">
        <v>0</v>
      </c>
      <c r="M1415" s="617">
        <f t="shared" si="46"/>
        <v>0</v>
      </c>
      <c r="N1415" s="617">
        <f t="shared" si="47"/>
        <v>12</v>
      </c>
      <c r="O1415" s="617"/>
    </row>
    <row r="1416" spans="2:15" ht="15" x14ac:dyDescent="0.25">
      <c r="B1416" s="529">
        <v>1411001</v>
      </c>
      <c r="C1416" s="529">
        <v>1412</v>
      </c>
      <c r="E1416" s="534">
        <v>0</v>
      </c>
      <c r="F1416" s="534">
        <v>0</v>
      </c>
      <c r="G1416" s="534">
        <v>12</v>
      </c>
      <c r="I1416" s="534">
        <v>0</v>
      </c>
      <c r="J1416" s="534">
        <v>0</v>
      </c>
      <c r="K1416" s="534">
        <v>0</v>
      </c>
      <c r="M1416" s="617">
        <f t="shared" si="46"/>
        <v>0</v>
      </c>
      <c r="N1416" s="617">
        <f t="shared" si="47"/>
        <v>12</v>
      </c>
      <c r="O1416" s="617"/>
    </row>
    <row r="1417" spans="2:15" ht="15" x14ac:dyDescent="0.25">
      <c r="B1417" s="529">
        <v>1412001</v>
      </c>
      <c r="C1417" s="529">
        <v>1413</v>
      </c>
      <c r="E1417" s="534">
        <v>0</v>
      </c>
      <c r="F1417" s="534">
        <v>0</v>
      </c>
      <c r="G1417" s="534">
        <v>12</v>
      </c>
      <c r="I1417" s="534">
        <v>0</v>
      </c>
      <c r="J1417" s="534">
        <v>0</v>
      </c>
      <c r="K1417" s="534">
        <v>0</v>
      </c>
      <c r="M1417" s="617">
        <f t="shared" si="46"/>
        <v>0</v>
      </c>
      <c r="N1417" s="617">
        <f t="shared" si="47"/>
        <v>12</v>
      </c>
      <c r="O1417" s="617"/>
    </row>
    <row r="1418" spans="2:15" ht="15" x14ac:dyDescent="0.25">
      <c r="B1418" s="529">
        <v>1413001</v>
      </c>
      <c r="C1418" s="529">
        <v>1414</v>
      </c>
      <c r="E1418" s="534">
        <v>0</v>
      </c>
      <c r="F1418" s="534">
        <v>0</v>
      </c>
      <c r="G1418" s="534">
        <v>12</v>
      </c>
      <c r="I1418" s="534">
        <v>0</v>
      </c>
      <c r="J1418" s="534">
        <v>0</v>
      </c>
      <c r="K1418" s="534">
        <v>0</v>
      </c>
      <c r="M1418" s="617">
        <f t="shared" si="46"/>
        <v>0</v>
      </c>
      <c r="N1418" s="617">
        <f t="shared" si="47"/>
        <v>12</v>
      </c>
      <c r="O1418" s="617"/>
    </row>
    <row r="1419" spans="2:15" ht="15" x14ac:dyDescent="0.25">
      <c r="B1419" s="529">
        <v>1414001</v>
      </c>
      <c r="C1419" s="529">
        <v>1415</v>
      </c>
      <c r="E1419" s="534">
        <v>0</v>
      </c>
      <c r="F1419" s="534">
        <v>0</v>
      </c>
      <c r="G1419" s="534">
        <v>12</v>
      </c>
      <c r="I1419" s="534">
        <v>0</v>
      </c>
      <c r="J1419" s="534">
        <v>0</v>
      </c>
      <c r="K1419" s="534">
        <v>0</v>
      </c>
      <c r="M1419" s="617">
        <f t="shared" si="46"/>
        <v>0</v>
      </c>
      <c r="N1419" s="617">
        <f t="shared" si="47"/>
        <v>12</v>
      </c>
      <c r="O1419" s="617"/>
    </row>
    <row r="1420" spans="2:15" ht="15" x14ac:dyDescent="0.25">
      <c r="B1420" s="529">
        <v>1415001</v>
      </c>
      <c r="C1420" s="529">
        <v>1416</v>
      </c>
      <c r="E1420" s="534">
        <v>0</v>
      </c>
      <c r="F1420" s="534">
        <v>0</v>
      </c>
      <c r="G1420" s="534">
        <v>12</v>
      </c>
      <c r="I1420" s="534">
        <v>0</v>
      </c>
      <c r="J1420" s="534">
        <v>0</v>
      </c>
      <c r="K1420" s="534">
        <v>0</v>
      </c>
      <c r="M1420" s="617">
        <f t="shared" si="46"/>
        <v>0</v>
      </c>
      <c r="N1420" s="617">
        <f t="shared" si="47"/>
        <v>12</v>
      </c>
      <c r="O1420" s="617"/>
    </row>
    <row r="1421" spans="2:15" ht="15" x14ac:dyDescent="0.25">
      <c r="B1421" s="529">
        <v>1416001</v>
      </c>
      <c r="C1421" s="529">
        <v>1417</v>
      </c>
      <c r="E1421" s="534">
        <v>0</v>
      </c>
      <c r="F1421" s="534">
        <v>0</v>
      </c>
      <c r="G1421" s="534">
        <v>12</v>
      </c>
      <c r="I1421" s="534">
        <v>0</v>
      </c>
      <c r="J1421" s="534">
        <v>0</v>
      </c>
      <c r="K1421" s="534">
        <v>0</v>
      </c>
      <c r="M1421" s="617">
        <f t="shared" si="46"/>
        <v>0</v>
      </c>
      <c r="N1421" s="617">
        <f t="shared" si="47"/>
        <v>12</v>
      </c>
      <c r="O1421" s="617"/>
    </row>
    <row r="1422" spans="2:15" ht="15" x14ac:dyDescent="0.25">
      <c r="B1422" s="529">
        <v>1417001</v>
      </c>
      <c r="C1422" s="529">
        <v>1418</v>
      </c>
      <c r="E1422" s="534">
        <v>0</v>
      </c>
      <c r="F1422" s="534">
        <v>0</v>
      </c>
      <c r="G1422" s="534">
        <v>12</v>
      </c>
      <c r="I1422" s="534">
        <v>0</v>
      </c>
      <c r="J1422" s="534">
        <v>0</v>
      </c>
      <c r="K1422" s="534">
        <v>0</v>
      </c>
      <c r="M1422" s="617">
        <f t="shared" si="46"/>
        <v>0</v>
      </c>
      <c r="N1422" s="617">
        <f t="shared" si="47"/>
        <v>12</v>
      </c>
      <c r="O1422" s="617"/>
    </row>
    <row r="1423" spans="2:15" ht="15" x14ac:dyDescent="0.25">
      <c r="B1423" s="529">
        <v>1418001</v>
      </c>
      <c r="C1423" s="529">
        <v>1419</v>
      </c>
      <c r="E1423" s="534">
        <v>0</v>
      </c>
      <c r="F1423" s="534">
        <v>0</v>
      </c>
      <c r="G1423" s="534">
        <v>12</v>
      </c>
      <c r="I1423" s="534">
        <v>0</v>
      </c>
      <c r="J1423" s="534">
        <v>0</v>
      </c>
      <c r="K1423" s="534">
        <v>0</v>
      </c>
      <c r="M1423" s="617">
        <f t="shared" si="46"/>
        <v>0</v>
      </c>
      <c r="N1423" s="617">
        <f t="shared" si="47"/>
        <v>12</v>
      </c>
      <c r="O1423" s="617"/>
    </row>
    <row r="1424" spans="2:15" ht="15" x14ac:dyDescent="0.25">
      <c r="B1424" s="529">
        <v>1419001</v>
      </c>
      <c r="C1424" s="529">
        <v>1420</v>
      </c>
      <c r="E1424" s="534">
        <v>0</v>
      </c>
      <c r="F1424" s="534">
        <v>0</v>
      </c>
      <c r="G1424" s="534">
        <v>12</v>
      </c>
      <c r="I1424" s="534">
        <v>0</v>
      </c>
      <c r="J1424" s="534">
        <v>0</v>
      </c>
      <c r="K1424" s="534">
        <v>0</v>
      </c>
      <c r="M1424" s="617">
        <f t="shared" si="46"/>
        <v>0</v>
      </c>
      <c r="N1424" s="617">
        <f t="shared" si="47"/>
        <v>12</v>
      </c>
      <c r="O1424" s="617"/>
    </row>
    <row r="1425" spans="2:15" ht="15" x14ac:dyDescent="0.25">
      <c r="B1425" s="529">
        <v>1420001</v>
      </c>
      <c r="C1425" s="529">
        <v>1421</v>
      </c>
      <c r="E1425" s="534">
        <v>0</v>
      </c>
      <c r="F1425" s="534">
        <v>0</v>
      </c>
      <c r="G1425" s="534">
        <v>12</v>
      </c>
      <c r="I1425" s="534">
        <v>0</v>
      </c>
      <c r="J1425" s="534">
        <v>0</v>
      </c>
      <c r="K1425" s="534">
        <v>0</v>
      </c>
      <c r="M1425" s="617">
        <f t="shared" si="46"/>
        <v>0</v>
      </c>
      <c r="N1425" s="617">
        <f t="shared" si="47"/>
        <v>12</v>
      </c>
      <c r="O1425" s="617"/>
    </row>
    <row r="1426" spans="2:15" ht="15" x14ac:dyDescent="0.25">
      <c r="B1426" s="529">
        <v>1421001</v>
      </c>
      <c r="C1426" s="529">
        <v>1422</v>
      </c>
      <c r="E1426" s="534">
        <v>0</v>
      </c>
      <c r="F1426" s="534">
        <v>0</v>
      </c>
      <c r="G1426" s="534">
        <v>12</v>
      </c>
      <c r="I1426" s="534">
        <v>0</v>
      </c>
      <c r="J1426" s="534">
        <v>0</v>
      </c>
      <c r="K1426" s="534">
        <v>0</v>
      </c>
      <c r="M1426" s="617">
        <f t="shared" si="46"/>
        <v>0</v>
      </c>
      <c r="N1426" s="617">
        <f t="shared" si="47"/>
        <v>12</v>
      </c>
      <c r="O1426" s="617"/>
    </row>
    <row r="1427" spans="2:15" ht="15" x14ac:dyDescent="0.25">
      <c r="B1427" s="529">
        <v>1422001</v>
      </c>
      <c r="C1427" s="529">
        <v>1423</v>
      </c>
      <c r="E1427" s="534">
        <v>0</v>
      </c>
      <c r="F1427" s="534">
        <v>0</v>
      </c>
      <c r="G1427" s="534">
        <v>12</v>
      </c>
      <c r="I1427" s="534">
        <v>0</v>
      </c>
      <c r="J1427" s="534">
        <v>0</v>
      </c>
      <c r="K1427" s="534">
        <v>0</v>
      </c>
      <c r="M1427" s="617">
        <f t="shared" si="46"/>
        <v>0</v>
      </c>
      <c r="N1427" s="617">
        <f t="shared" si="47"/>
        <v>12</v>
      </c>
      <c r="O1427" s="617"/>
    </row>
    <row r="1428" spans="2:15" ht="15" x14ac:dyDescent="0.25">
      <c r="B1428" s="529">
        <v>1423001</v>
      </c>
      <c r="C1428" s="529">
        <v>1424</v>
      </c>
      <c r="E1428" s="534">
        <v>0</v>
      </c>
      <c r="F1428" s="534">
        <v>0</v>
      </c>
      <c r="G1428" s="534">
        <v>12</v>
      </c>
      <c r="I1428" s="534">
        <v>0</v>
      </c>
      <c r="J1428" s="534">
        <v>0</v>
      </c>
      <c r="K1428" s="534">
        <v>0</v>
      </c>
      <c r="M1428" s="617">
        <f t="shared" si="46"/>
        <v>0</v>
      </c>
      <c r="N1428" s="617">
        <f t="shared" si="47"/>
        <v>12</v>
      </c>
      <c r="O1428" s="617"/>
    </row>
    <row r="1429" spans="2:15" ht="15" x14ac:dyDescent="0.25">
      <c r="B1429" s="529">
        <v>1424001</v>
      </c>
      <c r="C1429" s="529">
        <v>1425</v>
      </c>
      <c r="E1429" s="534">
        <v>0</v>
      </c>
      <c r="F1429" s="534">
        <v>0</v>
      </c>
      <c r="G1429" s="534">
        <v>12</v>
      </c>
      <c r="I1429" s="534">
        <v>0</v>
      </c>
      <c r="J1429" s="534">
        <v>0</v>
      </c>
      <c r="K1429" s="534">
        <v>0</v>
      </c>
      <c r="M1429" s="617">
        <f t="shared" si="46"/>
        <v>0</v>
      </c>
      <c r="N1429" s="617">
        <f t="shared" si="47"/>
        <v>12</v>
      </c>
      <c r="O1429" s="617"/>
    </row>
    <row r="1430" spans="2:15" ht="15" x14ac:dyDescent="0.25">
      <c r="B1430" s="529">
        <v>1425001</v>
      </c>
      <c r="C1430" s="529">
        <v>1426</v>
      </c>
      <c r="E1430" s="534">
        <v>0</v>
      </c>
      <c r="F1430" s="534">
        <v>0</v>
      </c>
      <c r="G1430" s="534">
        <v>12</v>
      </c>
      <c r="I1430" s="534">
        <v>0</v>
      </c>
      <c r="J1430" s="534">
        <v>0</v>
      </c>
      <c r="K1430" s="534">
        <v>0</v>
      </c>
      <c r="M1430" s="617">
        <f t="shared" si="46"/>
        <v>0</v>
      </c>
      <c r="N1430" s="617">
        <f t="shared" si="47"/>
        <v>12</v>
      </c>
      <c r="O1430" s="617"/>
    </row>
    <row r="1431" spans="2:15" ht="15" x14ac:dyDescent="0.25">
      <c r="B1431" s="529">
        <v>1426001</v>
      </c>
      <c r="C1431" s="529">
        <v>1427</v>
      </c>
      <c r="E1431" s="534">
        <v>0</v>
      </c>
      <c r="F1431" s="534">
        <v>0</v>
      </c>
      <c r="G1431" s="534">
        <v>12</v>
      </c>
      <c r="I1431" s="534">
        <v>0</v>
      </c>
      <c r="J1431" s="534">
        <v>0</v>
      </c>
      <c r="K1431" s="534">
        <v>0</v>
      </c>
      <c r="M1431" s="617">
        <f t="shared" si="46"/>
        <v>0</v>
      </c>
      <c r="N1431" s="617">
        <f t="shared" si="47"/>
        <v>12</v>
      </c>
      <c r="O1431" s="617"/>
    </row>
    <row r="1432" spans="2:15" ht="15" x14ac:dyDescent="0.25">
      <c r="B1432" s="529">
        <v>1427001</v>
      </c>
      <c r="C1432" s="529">
        <v>1428</v>
      </c>
      <c r="E1432" s="534">
        <v>0</v>
      </c>
      <c r="F1432" s="534">
        <v>0</v>
      </c>
      <c r="G1432" s="534">
        <v>12</v>
      </c>
      <c r="I1432" s="534">
        <v>0</v>
      </c>
      <c r="J1432" s="534">
        <v>0</v>
      </c>
      <c r="K1432" s="534">
        <v>0</v>
      </c>
      <c r="M1432" s="617">
        <f t="shared" si="46"/>
        <v>0</v>
      </c>
      <c r="N1432" s="617">
        <f t="shared" si="47"/>
        <v>12</v>
      </c>
      <c r="O1432" s="617"/>
    </row>
    <row r="1433" spans="2:15" ht="15" x14ac:dyDescent="0.25">
      <c r="B1433" s="529">
        <v>1428001</v>
      </c>
      <c r="C1433" s="529">
        <v>1429</v>
      </c>
      <c r="E1433" s="534">
        <v>0</v>
      </c>
      <c r="F1433" s="534">
        <v>0</v>
      </c>
      <c r="G1433" s="534">
        <v>12</v>
      </c>
      <c r="I1433" s="534">
        <v>0</v>
      </c>
      <c r="J1433" s="534">
        <v>0</v>
      </c>
      <c r="K1433" s="534">
        <v>0</v>
      </c>
      <c r="M1433" s="617">
        <f t="shared" si="46"/>
        <v>0</v>
      </c>
      <c r="N1433" s="617">
        <f t="shared" si="47"/>
        <v>12</v>
      </c>
      <c r="O1433" s="617"/>
    </row>
    <row r="1434" spans="2:15" ht="15" x14ac:dyDescent="0.25">
      <c r="B1434" s="529">
        <v>1429001</v>
      </c>
      <c r="C1434" s="529">
        <v>1430</v>
      </c>
      <c r="E1434" s="534">
        <v>0</v>
      </c>
      <c r="F1434" s="534">
        <v>0</v>
      </c>
      <c r="G1434" s="534">
        <v>12</v>
      </c>
      <c r="I1434" s="534">
        <v>0</v>
      </c>
      <c r="J1434" s="534">
        <v>0</v>
      </c>
      <c r="K1434" s="534">
        <v>0</v>
      </c>
      <c r="M1434" s="617">
        <f t="shared" si="46"/>
        <v>0</v>
      </c>
      <c r="N1434" s="617">
        <f t="shared" si="47"/>
        <v>12</v>
      </c>
      <c r="O1434" s="617"/>
    </row>
    <row r="1435" spans="2:15" ht="15" x14ac:dyDescent="0.25">
      <c r="B1435" s="529">
        <v>1430001</v>
      </c>
      <c r="C1435" s="529">
        <v>1431</v>
      </c>
      <c r="E1435" s="534">
        <v>0</v>
      </c>
      <c r="F1435" s="534">
        <v>0</v>
      </c>
      <c r="G1435" s="534">
        <v>12</v>
      </c>
      <c r="I1435" s="534">
        <v>0</v>
      </c>
      <c r="J1435" s="534">
        <v>0</v>
      </c>
      <c r="K1435" s="534">
        <v>0</v>
      </c>
      <c r="M1435" s="617">
        <f t="shared" si="46"/>
        <v>0</v>
      </c>
      <c r="N1435" s="617">
        <f t="shared" si="47"/>
        <v>12</v>
      </c>
      <c r="O1435" s="617"/>
    </row>
    <row r="1436" spans="2:15" ht="15" x14ac:dyDescent="0.25">
      <c r="B1436" s="529">
        <v>1431001</v>
      </c>
      <c r="C1436" s="529">
        <v>1432</v>
      </c>
      <c r="E1436" s="534">
        <v>0</v>
      </c>
      <c r="F1436" s="534">
        <v>0</v>
      </c>
      <c r="G1436" s="534">
        <v>12</v>
      </c>
      <c r="I1436" s="534">
        <v>0</v>
      </c>
      <c r="J1436" s="534">
        <v>0</v>
      </c>
      <c r="K1436" s="534">
        <v>0</v>
      </c>
      <c r="M1436" s="617">
        <f t="shared" si="46"/>
        <v>0</v>
      </c>
      <c r="N1436" s="617">
        <f t="shared" si="47"/>
        <v>12</v>
      </c>
      <c r="O1436" s="617"/>
    </row>
    <row r="1437" spans="2:15" ht="15" x14ac:dyDescent="0.25">
      <c r="B1437" s="529">
        <v>1432001</v>
      </c>
      <c r="C1437" s="529">
        <v>1433</v>
      </c>
      <c r="E1437" s="534">
        <v>0</v>
      </c>
      <c r="F1437" s="534">
        <v>0</v>
      </c>
      <c r="G1437" s="534">
        <v>12</v>
      </c>
      <c r="I1437" s="534">
        <v>0</v>
      </c>
      <c r="J1437" s="534">
        <v>0</v>
      </c>
      <c r="K1437" s="534">
        <v>0</v>
      </c>
      <c r="M1437" s="617">
        <f t="shared" si="46"/>
        <v>0</v>
      </c>
      <c r="N1437" s="617">
        <f t="shared" si="47"/>
        <v>12</v>
      </c>
      <c r="O1437" s="617"/>
    </row>
    <row r="1438" spans="2:15" ht="15" x14ac:dyDescent="0.25">
      <c r="B1438" s="529">
        <v>1433001</v>
      </c>
      <c r="C1438" s="529">
        <v>1434</v>
      </c>
      <c r="E1438" s="534">
        <v>0</v>
      </c>
      <c r="F1438" s="534">
        <v>0</v>
      </c>
      <c r="G1438" s="534">
        <v>12</v>
      </c>
      <c r="I1438" s="534">
        <v>0</v>
      </c>
      <c r="J1438" s="534">
        <v>0</v>
      </c>
      <c r="K1438" s="534">
        <v>0</v>
      </c>
      <c r="M1438" s="617">
        <f t="shared" si="46"/>
        <v>0</v>
      </c>
      <c r="N1438" s="617">
        <f t="shared" si="47"/>
        <v>12</v>
      </c>
      <c r="O1438" s="617"/>
    </row>
    <row r="1439" spans="2:15" ht="15" x14ac:dyDescent="0.25">
      <c r="B1439" s="529">
        <v>1434001</v>
      </c>
      <c r="C1439" s="529">
        <v>1435</v>
      </c>
      <c r="E1439" s="534">
        <v>0</v>
      </c>
      <c r="F1439" s="534">
        <v>0</v>
      </c>
      <c r="G1439" s="534">
        <v>12</v>
      </c>
      <c r="I1439" s="534">
        <v>0</v>
      </c>
      <c r="J1439" s="534">
        <v>0</v>
      </c>
      <c r="K1439" s="534">
        <v>0</v>
      </c>
      <c r="M1439" s="617">
        <f t="shared" si="46"/>
        <v>0</v>
      </c>
      <c r="N1439" s="617">
        <f t="shared" si="47"/>
        <v>12</v>
      </c>
      <c r="O1439" s="617"/>
    </row>
    <row r="1440" spans="2:15" ht="15" x14ac:dyDescent="0.25">
      <c r="B1440" s="529">
        <v>1435001</v>
      </c>
      <c r="C1440" s="529">
        <v>1436</v>
      </c>
      <c r="E1440" s="534">
        <v>0</v>
      </c>
      <c r="F1440" s="534">
        <v>0</v>
      </c>
      <c r="G1440" s="534">
        <v>12</v>
      </c>
      <c r="I1440" s="534">
        <v>0</v>
      </c>
      <c r="J1440" s="534">
        <v>0</v>
      </c>
      <c r="K1440" s="534">
        <v>0</v>
      </c>
      <c r="M1440" s="617">
        <f t="shared" si="46"/>
        <v>0</v>
      </c>
      <c r="N1440" s="617">
        <f t="shared" si="47"/>
        <v>12</v>
      </c>
      <c r="O1440" s="617"/>
    </row>
    <row r="1441" spans="2:15" ht="15" x14ac:dyDescent="0.25">
      <c r="B1441" s="529">
        <v>1436001</v>
      </c>
      <c r="C1441" s="529">
        <v>1437</v>
      </c>
      <c r="E1441" s="534">
        <v>0</v>
      </c>
      <c r="F1441" s="534">
        <v>0</v>
      </c>
      <c r="G1441" s="534">
        <v>12</v>
      </c>
      <c r="I1441" s="534">
        <v>0</v>
      </c>
      <c r="J1441" s="534">
        <v>0</v>
      </c>
      <c r="K1441" s="534">
        <v>0</v>
      </c>
      <c r="M1441" s="617">
        <f t="shared" si="46"/>
        <v>0</v>
      </c>
      <c r="N1441" s="617">
        <f t="shared" si="47"/>
        <v>12</v>
      </c>
      <c r="O1441" s="617"/>
    </row>
    <row r="1442" spans="2:15" ht="15" x14ac:dyDescent="0.25">
      <c r="B1442" s="529">
        <v>1437001</v>
      </c>
      <c r="C1442" s="529">
        <v>1438</v>
      </c>
      <c r="E1442" s="534">
        <v>0</v>
      </c>
      <c r="F1442" s="534">
        <v>0</v>
      </c>
      <c r="G1442" s="534">
        <v>12</v>
      </c>
      <c r="I1442" s="534">
        <v>0</v>
      </c>
      <c r="J1442" s="534">
        <v>0</v>
      </c>
      <c r="K1442" s="534">
        <v>0</v>
      </c>
      <c r="M1442" s="617">
        <f t="shared" si="46"/>
        <v>0</v>
      </c>
      <c r="N1442" s="617">
        <f t="shared" si="47"/>
        <v>12</v>
      </c>
      <c r="O1442" s="617"/>
    </row>
    <row r="1443" spans="2:15" ht="15" x14ac:dyDescent="0.25">
      <c r="B1443" s="529">
        <v>1438001</v>
      </c>
      <c r="C1443" s="529">
        <v>1439</v>
      </c>
      <c r="E1443" s="534">
        <v>0</v>
      </c>
      <c r="F1443" s="534">
        <v>0</v>
      </c>
      <c r="G1443" s="534">
        <v>12</v>
      </c>
      <c r="I1443" s="534">
        <v>0</v>
      </c>
      <c r="J1443" s="534">
        <v>0</v>
      </c>
      <c r="K1443" s="534">
        <v>0</v>
      </c>
      <c r="M1443" s="617">
        <f t="shared" si="46"/>
        <v>0</v>
      </c>
      <c r="N1443" s="617">
        <f t="shared" si="47"/>
        <v>12</v>
      </c>
      <c r="O1443" s="617"/>
    </row>
    <row r="1444" spans="2:15" ht="15" x14ac:dyDescent="0.25">
      <c r="B1444" s="529">
        <v>1439001</v>
      </c>
      <c r="C1444" s="529">
        <v>1440</v>
      </c>
      <c r="E1444" s="534">
        <v>0</v>
      </c>
      <c r="F1444" s="534">
        <v>0</v>
      </c>
      <c r="G1444" s="534">
        <v>12</v>
      </c>
      <c r="I1444" s="534">
        <v>0</v>
      </c>
      <c r="J1444" s="534">
        <v>0</v>
      </c>
      <c r="K1444" s="534">
        <v>0</v>
      </c>
      <c r="M1444" s="617">
        <f t="shared" si="46"/>
        <v>0</v>
      </c>
      <c r="N1444" s="617">
        <f t="shared" si="47"/>
        <v>12</v>
      </c>
      <c r="O1444" s="617"/>
    </row>
    <row r="1445" spans="2:15" ht="15" x14ac:dyDescent="0.25">
      <c r="B1445" s="529">
        <v>1440001</v>
      </c>
      <c r="C1445" s="529">
        <v>1441</v>
      </c>
      <c r="E1445" s="534">
        <v>0</v>
      </c>
      <c r="F1445" s="534">
        <v>0</v>
      </c>
      <c r="G1445" s="534">
        <v>12</v>
      </c>
      <c r="I1445" s="534">
        <v>0</v>
      </c>
      <c r="J1445" s="534">
        <v>0</v>
      </c>
      <c r="K1445" s="534">
        <v>0</v>
      </c>
      <c r="M1445" s="617">
        <f t="shared" si="46"/>
        <v>0</v>
      </c>
      <c r="N1445" s="617">
        <f t="shared" si="47"/>
        <v>12</v>
      </c>
      <c r="O1445" s="617"/>
    </row>
    <row r="1446" spans="2:15" ht="15" x14ac:dyDescent="0.25">
      <c r="B1446" s="529">
        <v>1441001</v>
      </c>
      <c r="C1446" s="529">
        <v>1442</v>
      </c>
      <c r="E1446" s="534">
        <v>0</v>
      </c>
      <c r="F1446" s="534">
        <v>0</v>
      </c>
      <c r="G1446" s="534">
        <v>12</v>
      </c>
      <c r="I1446" s="534">
        <v>0</v>
      </c>
      <c r="J1446" s="534">
        <v>0</v>
      </c>
      <c r="K1446" s="534">
        <v>0</v>
      </c>
      <c r="M1446" s="617">
        <f t="shared" si="46"/>
        <v>0</v>
      </c>
      <c r="N1446" s="617">
        <f t="shared" si="47"/>
        <v>12</v>
      </c>
      <c r="O1446" s="617"/>
    </row>
    <row r="1447" spans="2:15" ht="15" x14ac:dyDescent="0.25">
      <c r="B1447" s="529">
        <v>1442001</v>
      </c>
      <c r="C1447" s="529">
        <v>1443</v>
      </c>
      <c r="E1447" s="534">
        <v>0</v>
      </c>
      <c r="F1447" s="534">
        <v>0</v>
      </c>
      <c r="G1447" s="534">
        <v>12</v>
      </c>
      <c r="I1447" s="534">
        <v>0</v>
      </c>
      <c r="J1447" s="534">
        <v>0</v>
      </c>
      <c r="K1447" s="534">
        <v>0</v>
      </c>
      <c r="M1447" s="617">
        <f t="shared" si="46"/>
        <v>0</v>
      </c>
      <c r="N1447" s="617">
        <f t="shared" si="47"/>
        <v>12</v>
      </c>
      <c r="O1447" s="617"/>
    </row>
    <row r="1448" spans="2:15" ht="15" x14ac:dyDescent="0.25">
      <c r="B1448" s="529">
        <v>1443001</v>
      </c>
      <c r="C1448" s="529">
        <v>1444</v>
      </c>
      <c r="E1448" s="534">
        <v>0</v>
      </c>
      <c r="F1448" s="534">
        <v>0</v>
      </c>
      <c r="G1448" s="534">
        <v>12</v>
      </c>
      <c r="I1448" s="534">
        <v>0</v>
      </c>
      <c r="J1448" s="534">
        <v>0</v>
      </c>
      <c r="K1448" s="534">
        <v>0</v>
      </c>
      <c r="M1448" s="617">
        <f t="shared" si="46"/>
        <v>0</v>
      </c>
      <c r="N1448" s="617">
        <f t="shared" si="47"/>
        <v>12</v>
      </c>
      <c r="O1448" s="617"/>
    </row>
    <row r="1449" spans="2:15" ht="15" x14ac:dyDescent="0.25">
      <c r="B1449" s="529">
        <v>1444001</v>
      </c>
      <c r="C1449" s="529">
        <v>1445</v>
      </c>
      <c r="E1449" s="534">
        <v>0</v>
      </c>
      <c r="F1449" s="534">
        <v>0</v>
      </c>
      <c r="G1449" s="534">
        <v>12</v>
      </c>
      <c r="I1449" s="534">
        <v>0</v>
      </c>
      <c r="J1449" s="534">
        <v>0</v>
      </c>
      <c r="K1449" s="534">
        <v>0</v>
      </c>
      <c r="M1449" s="617">
        <f t="shared" si="46"/>
        <v>0</v>
      </c>
      <c r="N1449" s="617">
        <f t="shared" si="47"/>
        <v>12</v>
      </c>
      <c r="O1449" s="617"/>
    </row>
    <row r="1450" spans="2:15" ht="15" x14ac:dyDescent="0.25">
      <c r="B1450" s="529">
        <v>1445001</v>
      </c>
      <c r="C1450" s="529">
        <v>1446</v>
      </c>
      <c r="E1450" s="534">
        <v>0</v>
      </c>
      <c r="F1450" s="534">
        <v>0</v>
      </c>
      <c r="G1450" s="534">
        <v>12</v>
      </c>
      <c r="I1450" s="534">
        <v>0</v>
      </c>
      <c r="J1450" s="534">
        <v>0</v>
      </c>
      <c r="K1450" s="534">
        <v>0</v>
      </c>
      <c r="M1450" s="617">
        <f t="shared" si="46"/>
        <v>0</v>
      </c>
      <c r="N1450" s="617">
        <f t="shared" si="47"/>
        <v>12</v>
      </c>
      <c r="O1450" s="617"/>
    </row>
    <row r="1451" spans="2:15" ht="15" x14ac:dyDescent="0.25">
      <c r="B1451" s="529">
        <v>1446001</v>
      </c>
      <c r="C1451" s="529">
        <v>1447</v>
      </c>
      <c r="E1451" s="534">
        <v>0</v>
      </c>
      <c r="F1451" s="534">
        <v>0</v>
      </c>
      <c r="G1451" s="534">
        <v>12</v>
      </c>
      <c r="I1451" s="534">
        <v>0</v>
      </c>
      <c r="J1451" s="534">
        <v>0</v>
      </c>
      <c r="K1451" s="534">
        <v>0</v>
      </c>
      <c r="M1451" s="617">
        <f t="shared" si="46"/>
        <v>0</v>
      </c>
      <c r="N1451" s="617">
        <f t="shared" si="47"/>
        <v>12</v>
      </c>
      <c r="O1451" s="617"/>
    </row>
    <row r="1452" spans="2:15" ht="15" x14ac:dyDescent="0.25">
      <c r="B1452" s="529">
        <v>1447001</v>
      </c>
      <c r="C1452" s="529">
        <v>1448</v>
      </c>
      <c r="E1452" s="534">
        <v>0</v>
      </c>
      <c r="F1452" s="534">
        <v>0</v>
      </c>
      <c r="G1452" s="534">
        <v>12</v>
      </c>
      <c r="I1452" s="534">
        <v>0</v>
      </c>
      <c r="J1452" s="534">
        <v>0</v>
      </c>
      <c r="K1452" s="534">
        <v>0</v>
      </c>
      <c r="M1452" s="617">
        <f t="shared" si="46"/>
        <v>0</v>
      </c>
      <c r="N1452" s="617">
        <f t="shared" si="47"/>
        <v>12</v>
      </c>
      <c r="O1452" s="617"/>
    </row>
    <row r="1453" spans="2:15" ht="15" x14ac:dyDescent="0.25">
      <c r="B1453" s="529">
        <v>1448001</v>
      </c>
      <c r="C1453" s="529">
        <v>1449</v>
      </c>
      <c r="E1453" s="534">
        <v>0</v>
      </c>
      <c r="F1453" s="534">
        <v>0</v>
      </c>
      <c r="G1453" s="534">
        <v>12</v>
      </c>
      <c r="I1453" s="534">
        <v>0</v>
      </c>
      <c r="J1453" s="534">
        <v>0</v>
      </c>
      <c r="K1453" s="534">
        <v>0</v>
      </c>
      <c r="M1453" s="617">
        <f t="shared" si="46"/>
        <v>0</v>
      </c>
      <c r="N1453" s="617">
        <f t="shared" si="47"/>
        <v>12</v>
      </c>
      <c r="O1453" s="617"/>
    </row>
    <row r="1454" spans="2:15" ht="15" x14ac:dyDescent="0.25">
      <c r="B1454" s="529">
        <v>1449001</v>
      </c>
      <c r="C1454" s="529">
        <v>1450</v>
      </c>
      <c r="E1454" s="534">
        <v>0</v>
      </c>
      <c r="F1454" s="534">
        <v>0</v>
      </c>
      <c r="G1454" s="534">
        <v>12</v>
      </c>
      <c r="I1454" s="534">
        <v>0</v>
      </c>
      <c r="J1454" s="534">
        <v>0</v>
      </c>
      <c r="K1454" s="534">
        <v>0</v>
      </c>
      <c r="M1454" s="617">
        <f t="shared" si="46"/>
        <v>0</v>
      </c>
      <c r="N1454" s="617">
        <f t="shared" si="47"/>
        <v>12</v>
      </c>
      <c r="O1454" s="617"/>
    </row>
    <row r="1455" spans="2:15" ht="15" x14ac:dyDescent="0.25">
      <c r="B1455" s="529">
        <v>1450001</v>
      </c>
      <c r="C1455" s="529">
        <v>1451</v>
      </c>
      <c r="E1455" s="534">
        <v>0</v>
      </c>
      <c r="F1455" s="534">
        <v>0</v>
      </c>
      <c r="G1455" s="534">
        <v>12</v>
      </c>
      <c r="I1455" s="534">
        <v>0</v>
      </c>
      <c r="J1455" s="534">
        <v>0</v>
      </c>
      <c r="K1455" s="534">
        <v>0</v>
      </c>
      <c r="M1455" s="617">
        <f t="shared" si="46"/>
        <v>0</v>
      </c>
      <c r="N1455" s="617">
        <f t="shared" si="47"/>
        <v>12</v>
      </c>
      <c r="O1455" s="617"/>
    </row>
    <row r="1456" spans="2:15" ht="15" x14ac:dyDescent="0.25">
      <c r="B1456" s="529">
        <v>1451001</v>
      </c>
      <c r="C1456" s="529">
        <v>1452</v>
      </c>
      <c r="E1456" s="534">
        <v>0</v>
      </c>
      <c r="F1456" s="534">
        <v>0</v>
      </c>
      <c r="G1456" s="534">
        <v>12</v>
      </c>
      <c r="I1456" s="534">
        <v>0</v>
      </c>
      <c r="J1456" s="534">
        <v>0</v>
      </c>
      <c r="K1456" s="534">
        <v>0</v>
      </c>
      <c r="M1456" s="617">
        <f t="shared" si="46"/>
        <v>0</v>
      </c>
      <c r="N1456" s="617">
        <f t="shared" si="47"/>
        <v>12</v>
      </c>
      <c r="O1456" s="617"/>
    </row>
    <row r="1457" spans="2:15" ht="15" x14ac:dyDescent="0.25">
      <c r="B1457" s="529">
        <v>1452001</v>
      </c>
      <c r="C1457" s="529">
        <v>1453</v>
      </c>
      <c r="E1457" s="534">
        <v>0</v>
      </c>
      <c r="F1457" s="534">
        <v>0</v>
      </c>
      <c r="G1457" s="534">
        <v>12</v>
      </c>
      <c r="I1457" s="534">
        <v>0</v>
      </c>
      <c r="J1457" s="534">
        <v>0</v>
      </c>
      <c r="K1457" s="534">
        <v>0</v>
      </c>
      <c r="M1457" s="617">
        <f t="shared" si="46"/>
        <v>0</v>
      </c>
      <c r="N1457" s="617">
        <f t="shared" si="47"/>
        <v>12</v>
      </c>
      <c r="O1457" s="617"/>
    </row>
    <row r="1458" spans="2:15" ht="15" x14ac:dyDescent="0.25">
      <c r="B1458" s="529">
        <v>1453001</v>
      </c>
      <c r="C1458" s="529">
        <v>1454</v>
      </c>
      <c r="E1458" s="534">
        <v>0</v>
      </c>
      <c r="F1458" s="534">
        <v>0</v>
      </c>
      <c r="G1458" s="534">
        <v>12</v>
      </c>
      <c r="I1458" s="534">
        <v>0</v>
      </c>
      <c r="J1458" s="534">
        <v>0</v>
      </c>
      <c r="K1458" s="534">
        <v>0</v>
      </c>
      <c r="M1458" s="617">
        <f t="shared" si="46"/>
        <v>0</v>
      </c>
      <c r="N1458" s="617">
        <f t="shared" si="47"/>
        <v>12</v>
      </c>
      <c r="O1458" s="617"/>
    </row>
    <row r="1459" spans="2:15" ht="15" x14ac:dyDescent="0.25">
      <c r="B1459" s="529">
        <v>1454001</v>
      </c>
      <c r="C1459" s="529">
        <v>1455</v>
      </c>
      <c r="E1459" s="534">
        <v>0</v>
      </c>
      <c r="F1459" s="534">
        <v>0</v>
      </c>
      <c r="G1459" s="534">
        <v>12</v>
      </c>
      <c r="I1459" s="534">
        <v>0</v>
      </c>
      <c r="J1459" s="534">
        <v>0</v>
      </c>
      <c r="K1459" s="534">
        <v>0</v>
      </c>
      <c r="M1459" s="617">
        <f t="shared" si="46"/>
        <v>0</v>
      </c>
      <c r="N1459" s="617">
        <f t="shared" si="47"/>
        <v>12</v>
      </c>
      <c r="O1459" s="617"/>
    </row>
    <row r="1460" spans="2:15" ht="15" x14ac:dyDescent="0.25">
      <c r="B1460" s="529">
        <v>1455001</v>
      </c>
      <c r="C1460" s="529">
        <v>1456</v>
      </c>
      <c r="E1460" s="534">
        <v>0</v>
      </c>
      <c r="F1460" s="534">
        <v>0</v>
      </c>
      <c r="G1460" s="534">
        <v>12</v>
      </c>
      <c r="I1460" s="534">
        <v>0</v>
      </c>
      <c r="J1460" s="534">
        <v>0</v>
      </c>
      <c r="K1460" s="534">
        <v>0</v>
      </c>
      <c r="M1460" s="617">
        <f t="shared" si="46"/>
        <v>0</v>
      </c>
      <c r="N1460" s="617">
        <f t="shared" si="47"/>
        <v>12</v>
      </c>
      <c r="O1460" s="617"/>
    </row>
    <row r="1461" spans="2:15" ht="15" x14ac:dyDescent="0.25">
      <c r="B1461" s="529">
        <v>1456001</v>
      </c>
      <c r="C1461" s="529">
        <v>1457</v>
      </c>
      <c r="E1461" s="534">
        <v>0</v>
      </c>
      <c r="F1461" s="534">
        <v>0</v>
      </c>
      <c r="G1461" s="534">
        <v>12</v>
      </c>
      <c r="I1461" s="534">
        <v>0</v>
      </c>
      <c r="J1461" s="534">
        <v>0</v>
      </c>
      <c r="K1461" s="534">
        <v>0</v>
      </c>
      <c r="M1461" s="617">
        <f t="shared" si="46"/>
        <v>0</v>
      </c>
      <c r="N1461" s="617">
        <f t="shared" si="47"/>
        <v>12</v>
      </c>
      <c r="O1461" s="617"/>
    </row>
    <row r="1462" spans="2:15" ht="15" x14ac:dyDescent="0.25">
      <c r="B1462" s="529">
        <v>1457001</v>
      </c>
      <c r="C1462" s="529">
        <v>1458</v>
      </c>
      <c r="E1462" s="534">
        <v>0</v>
      </c>
      <c r="F1462" s="534">
        <v>0</v>
      </c>
      <c r="G1462" s="534">
        <v>12</v>
      </c>
      <c r="I1462" s="534">
        <v>0</v>
      </c>
      <c r="J1462" s="534">
        <v>0</v>
      </c>
      <c r="K1462" s="534">
        <v>0</v>
      </c>
      <c r="M1462" s="617">
        <f t="shared" si="46"/>
        <v>0</v>
      </c>
      <c r="N1462" s="617">
        <f t="shared" si="47"/>
        <v>12</v>
      </c>
      <c r="O1462" s="617"/>
    </row>
    <row r="1463" spans="2:15" ht="15" x14ac:dyDescent="0.25">
      <c r="B1463" s="529">
        <v>1458001</v>
      </c>
      <c r="C1463" s="529">
        <v>1459</v>
      </c>
      <c r="E1463" s="534">
        <v>0</v>
      </c>
      <c r="F1463" s="534">
        <v>0</v>
      </c>
      <c r="G1463" s="534">
        <v>12</v>
      </c>
      <c r="I1463" s="534">
        <v>0</v>
      </c>
      <c r="J1463" s="534">
        <v>0</v>
      </c>
      <c r="K1463" s="534">
        <v>0</v>
      </c>
      <c r="M1463" s="617">
        <f t="shared" si="46"/>
        <v>0</v>
      </c>
      <c r="N1463" s="617">
        <f t="shared" si="47"/>
        <v>12</v>
      </c>
      <c r="O1463" s="617"/>
    </row>
    <row r="1464" spans="2:15" ht="15" x14ac:dyDescent="0.25">
      <c r="B1464" s="529">
        <v>1459001</v>
      </c>
      <c r="C1464" s="529">
        <v>1460</v>
      </c>
      <c r="E1464" s="534">
        <v>0</v>
      </c>
      <c r="F1464" s="534">
        <v>0</v>
      </c>
      <c r="G1464" s="534">
        <v>12</v>
      </c>
      <c r="I1464" s="534">
        <v>0</v>
      </c>
      <c r="J1464" s="534">
        <v>0</v>
      </c>
      <c r="K1464" s="534">
        <v>0</v>
      </c>
      <c r="M1464" s="617">
        <f t="shared" si="46"/>
        <v>0</v>
      </c>
      <c r="N1464" s="617">
        <f t="shared" si="47"/>
        <v>12</v>
      </c>
      <c r="O1464" s="617"/>
    </row>
    <row r="1465" spans="2:15" ht="15" x14ac:dyDescent="0.25">
      <c r="B1465" s="529">
        <v>1460001</v>
      </c>
      <c r="C1465" s="529">
        <v>1461</v>
      </c>
      <c r="E1465" s="534">
        <v>0</v>
      </c>
      <c r="F1465" s="534">
        <v>0</v>
      </c>
      <c r="G1465" s="534">
        <v>12</v>
      </c>
      <c r="I1465" s="534">
        <v>0</v>
      </c>
      <c r="J1465" s="534">
        <v>0</v>
      </c>
      <c r="K1465" s="534">
        <v>0</v>
      </c>
      <c r="M1465" s="617">
        <f t="shared" si="46"/>
        <v>0</v>
      </c>
      <c r="N1465" s="617">
        <f t="shared" si="47"/>
        <v>12</v>
      </c>
      <c r="O1465" s="617"/>
    </row>
    <row r="1466" spans="2:15" ht="15" x14ac:dyDescent="0.25">
      <c r="B1466" s="529">
        <v>1461001</v>
      </c>
      <c r="C1466" s="529">
        <v>1462</v>
      </c>
      <c r="E1466" s="534">
        <v>0</v>
      </c>
      <c r="F1466" s="534">
        <v>0</v>
      </c>
      <c r="G1466" s="534">
        <v>12</v>
      </c>
      <c r="I1466" s="534">
        <v>0</v>
      </c>
      <c r="J1466" s="534">
        <v>0</v>
      </c>
      <c r="K1466" s="534">
        <v>0</v>
      </c>
      <c r="M1466" s="617">
        <f t="shared" si="46"/>
        <v>0</v>
      </c>
      <c r="N1466" s="617">
        <f t="shared" si="47"/>
        <v>12</v>
      </c>
      <c r="O1466" s="617"/>
    </row>
    <row r="1467" spans="2:15" ht="15" x14ac:dyDescent="0.25">
      <c r="B1467" s="529">
        <v>1462001</v>
      </c>
      <c r="C1467" s="529">
        <v>1463</v>
      </c>
      <c r="E1467" s="534">
        <v>0</v>
      </c>
      <c r="F1467" s="534">
        <v>0</v>
      </c>
      <c r="G1467" s="534">
        <v>12</v>
      </c>
      <c r="I1467" s="534">
        <v>0</v>
      </c>
      <c r="J1467" s="534">
        <v>0</v>
      </c>
      <c r="K1467" s="534">
        <v>0</v>
      </c>
      <c r="M1467" s="617">
        <f t="shared" si="46"/>
        <v>0</v>
      </c>
      <c r="N1467" s="617">
        <f t="shared" si="47"/>
        <v>12</v>
      </c>
      <c r="O1467" s="617"/>
    </row>
    <row r="1468" spans="2:15" ht="15" x14ac:dyDescent="0.25">
      <c r="B1468" s="529">
        <v>1463001</v>
      </c>
      <c r="C1468" s="529">
        <v>1464</v>
      </c>
      <c r="E1468" s="534">
        <v>0</v>
      </c>
      <c r="F1468" s="534">
        <v>0</v>
      </c>
      <c r="G1468" s="534">
        <v>12</v>
      </c>
      <c r="I1468" s="534">
        <v>0</v>
      </c>
      <c r="J1468" s="534">
        <v>0</v>
      </c>
      <c r="K1468" s="534">
        <v>0</v>
      </c>
      <c r="M1468" s="617">
        <f t="shared" si="46"/>
        <v>0</v>
      </c>
      <c r="N1468" s="617">
        <f t="shared" si="47"/>
        <v>12</v>
      </c>
      <c r="O1468" s="617"/>
    </row>
    <row r="1469" spans="2:15" ht="15" x14ac:dyDescent="0.25">
      <c r="B1469" s="529">
        <v>1464001</v>
      </c>
      <c r="C1469" s="529">
        <v>1465</v>
      </c>
      <c r="E1469" s="534">
        <v>0</v>
      </c>
      <c r="F1469" s="534">
        <v>0</v>
      </c>
      <c r="G1469" s="534">
        <v>12</v>
      </c>
      <c r="I1469" s="534">
        <v>0</v>
      </c>
      <c r="J1469" s="534">
        <v>0</v>
      </c>
      <c r="K1469" s="534">
        <v>0</v>
      </c>
      <c r="M1469" s="617">
        <f t="shared" si="46"/>
        <v>0</v>
      </c>
      <c r="N1469" s="617">
        <f t="shared" si="47"/>
        <v>12</v>
      </c>
      <c r="O1469" s="617"/>
    </row>
    <row r="1470" spans="2:15" ht="15" x14ac:dyDescent="0.25">
      <c r="B1470" s="529">
        <v>1465001</v>
      </c>
      <c r="C1470" s="529">
        <v>1466</v>
      </c>
      <c r="E1470" s="534">
        <v>0</v>
      </c>
      <c r="F1470" s="534">
        <v>0</v>
      </c>
      <c r="G1470" s="534">
        <v>12</v>
      </c>
      <c r="I1470" s="534">
        <v>0</v>
      </c>
      <c r="J1470" s="534">
        <v>0</v>
      </c>
      <c r="K1470" s="534">
        <v>0</v>
      </c>
      <c r="M1470" s="617">
        <f t="shared" si="46"/>
        <v>0</v>
      </c>
      <c r="N1470" s="617">
        <f t="shared" si="47"/>
        <v>12</v>
      </c>
      <c r="O1470" s="617"/>
    </row>
    <row r="1471" spans="2:15" ht="15" x14ac:dyDescent="0.25">
      <c r="B1471" s="529">
        <v>1466001</v>
      </c>
      <c r="C1471" s="529">
        <v>1467</v>
      </c>
      <c r="E1471" s="534">
        <v>0</v>
      </c>
      <c r="F1471" s="534">
        <v>0</v>
      </c>
      <c r="G1471" s="534">
        <v>12</v>
      </c>
      <c r="I1471" s="534">
        <v>0</v>
      </c>
      <c r="J1471" s="534">
        <v>0</v>
      </c>
      <c r="K1471" s="534">
        <v>0</v>
      </c>
      <c r="M1471" s="617">
        <f t="shared" si="46"/>
        <v>0</v>
      </c>
      <c r="N1471" s="617">
        <f t="shared" si="47"/>
        <v>12</v>
      </c>
      <c r="O1471" s="617"/>
    </row>
    <row r="1472" spans="2:15" ht="15" x14ac:dyDescent="0.25">
      <c r="B1472" s="529">
        <v>1467001</v>
      </c>
      <c r="C1472" s="529">
        <v>1468</v>
      </c>
      <c r="E1472" s="534">
        <v>0</v>
      </c>
      <c r="F1472" s="534">
        <v>0</v>
      </c>
      <c r="G1472" s="534">
        <v>12</v>
      </c>
      <c r="I1472" s="534">
        <v>0</v>
      </c>
      <c r="J1472" s="534">
        <v>0</v>
      </c>
      <c r="K1472" s="534">
        <v>0</v>
      </c>
      <c r="M1472" s="617">
        <f t="shared" si="46"/>
        <v>0</v>
      </c>
      <c r="N1472" s="617">
        <f t="shared" si="47"/>
        <v>12</v>
      </c>
      <c r="O1472" s="617"/>
    </row>
    <row r="1473" spans="2:15" ht="15" x14ac:dyDescent="0.25">
      <c r="B1473" s="529">
        <v>1468001</v>
      </c>
      <c r="C1473" s="529">
        <v>1469</v>
      </c>
      <c r="E1473" s="534">
        <v>0</v>
      </c>
      <c r="F1473" s="534">
        <v>0</v>
      </c>
      <c r="G1473" s="534">
        <v>12</v>
      </c>
      <c r="I1473" s="534">
        <v>0</v>
      </c>
      <c r="J1473" s="534">
        <v>0</v>
      </c>
      <c r="K1473" s="534">
        <v>0</v>
      </c>
      <c r="M1473" s="617">
        <f t="shared" si="46"/>
        <v>0</v>
      </c>
      <c r="N1473" s="617">
        <f t="shared" si="47"/>
        <v>12</v>
      </c>
      <c r="O1473" s="617"/>
    </row>
    <row r="1474" spans="2:15" ht="15" x14ac:dyDescent="0.25">
      <c r="B1474" s="529">
        <v>1469001</v>
      </c>
      <c r="C1474" s="529">
        <v>1470</v>
      </c>
      <c r="E1474" s="534">
        <v>0</v>
      </c>
      <c r="F1474" s="534">
        <v>0</v>
      </c>
      <c r="G1474" s="534">
        <v>12</v>
      </c>
      <c r="I1474" s="534">
        <v>0</v>
      </c>
      <c r="J1474" s="534">
        <v>0</v>
      </c>
      <c r="K1474" s="534">
        <v>0</v>
      </c>
      <c r="M1474" s="617">
        <f t="shared" si="46"/>
        <v>0</v>
      </c>
      <c r="N1474" s="617">
        <f t="shared" si="47"/>
        <v>12</v>
      </c>
      <c r="O1474" s="617"/>
    </row>
    <row r="1475" spans="2:15" ht="15" x14ac:dyDescent="0.25">
      <c r="B1475" s="529">
        <v>1470001</v>
      </c>
      <c r="C1475" s="529">
        <v>1471</v>
      </c>
      <c r="E1475" s="534">
        <v>0</v>
      </c>
      <c r="F1475" s="534">
        <v>0</v>
      </c>
      <c r="G1475" s="534">
        <v>12</v>
      </c>
      <c r="I1475" s="534">
        <v>0</v>
      </c>
      <c r="J1475" s="534">
        <v>0</v>
      </c>
      <c r="K1475" s="534">
        <v>0</v>
      </c>
      <c r="M1475" s="617">
        <f t="shared" si="46"/>
        <v>0</v>
      </c>
      <c r="N1475" s="617">
        <f t="shared" si="47"/>
        <v>12</v>
      </c>
      <c r="O1475" s="617"/>
    </row>
    <row r="1476" spans="2:15" ht="15" x14ac:dyDescent="0.25">
      <c r="B1476" s="529">
        <v>1471001</v>
      </c>
      <c r="C1476" s="529">
        <v>1472</v>
      </c>
      <c r="E1476" s="534">
        <v>0</v>
      </c>
      <c r="F1476" s="534">
        <v>0</v>
      </c>
      <c r="G1476" s="534">
        <v>12</v>
      </c>
      <c r="I1476" s="534">
        <v>0</v>
      </c>
      <c r="J1476" s="534">
        <v>0</v>
      </c>
      <c r="K1476" s="534">
        <v>0</v>
      </c>
      <c r="M1476" s="617">
        <f t="shared" si="46"/>
        <v>0</v>
      </c>
      <c r="N1476" s="617">
        <f t="shared" si="47"/>
        <v>12</v>
      </c>
      <c r="O1476" s="617"/>
    </row>
    <row r="1477" spans="2:15" ht="15" x14ac:dyDescent="0.25">
      <c r="B1477" s="529">
        <v>1472001</v>
      </c>
      <c r="C1477" s="529">
        <v>1473</v>
      </c>
      <c r="E1477" s="534">
        <v>0</v>
      </c>
      <c r="F1477" s="534">
        <v>0</v>
      </c>
      <c r="G1477" s="534">
        <v>12</v>
      </c>
      <c r="I1477" s="534">
        <v>0</v>
      </c>
      <c r="J1477" s="534">
        <v>0</v>
      </c>
      <c r="K1477" s="534">
        <v>0</v>
      </c>
      <c r="M1477" s="617">
        <f t="shared" ref="M1477:M1540" si="48">I1477+E1477</f>
        <v>0</v>
      </c>
      <c r="N1477" s="617">
        <f t="shared" ref="N1477:N1540" si="49">K1477+G1477</f>
        <v>12</v>
      </c>
      <c r="O1477" s="617"/>
    </row>
    <row r="1478" spans="2:15" ht="15" x14ac:dyDescent="0.25">
      <c r="B1478" s="529">
        <v>1473001</v>
      </c>
      <c r="C1478" s="529">
        <v>1474</v>
      </c>
      <c r="E1478" s="534">
        <v>0</v>
      </c>
      <c r="F1478" s="534">
        <v>0</v>
      </c>
      <c r="G1478" s="534">
        <v>12</v>
      </c>
      <c r="I1478" s="534">
        <v>0</v>
      </c>
      <c r="J1478" s="534">
        <v>0</v>
      </c>
      <c r="K1478" s="534">
        <v>0</v>
      </c>
      <c r="M1478" s="617">
        <f t="shared" si="48"/>
        <v>0</v>
      </c>
      <c r="N1478" s="617">
        <f t="shared" si="49"/>
        <v>12</v>
      </c>
      <c r="O1478" s="617"/>
    </row>
    <row r="1479" spans="2:15" ht="15" x14ac:dyDescent="0.25">
      <c r="B1479" s="529">
        <v>1474001</v>
      </c>
      <c r="C1479" s="529">
        <v>1475</v>
      </c>
      <c r="E1479" s="534">
        <v>0</v>
      </c>
      <c r="F1479" s="534">
        <v>0</v>
      </c>
      <c r="G1479" s="534">
        <v>12</v>
      </c>
      <c r="I1479" s="534">
        <v>0</v>
      </c>
      <c r="J1479" s="534">
        <v>0</v>
      </c>
      <c r="K1479" s="534">
        <v>0</v>
      </c>
      <c r="M1479" s="617">
        <f t="shared" si="48"/>
        <v>0</v>
      </c>
      <c r="N1479" s="617">
        <f t="shared" si="49"/>
        <v>12</v>
      </c>
      <c r="O1479" s="617"/>
    </row>
    <row r="1480" spans="2:15" ht="15" x14ac:dyDescent="0.25">
      <c r="B1480" s="529">
        <v>1475001</v>
      </c>
      <c r="C1480" s="529">
        <v>1476</v>
      </c>
      <c r="E1480" s="534">
        <v>1</v>
      </c>
      <c r="F1480" s="534">
        <v>1476</v>
      </c>
      <c r="G1480" s="534">
        <v>12</v>
      </c>
      <c r="I1480" s="534">
        <v>0</v>
      </c>
      <c r="J1480" s="534">
        <v>0</v>
      </c>
      <c r="K1480" s="534">
        <v>0</v>
      </c>
      <c r="M1480" s="617">
        <f t="shared" si="48"/>
        <v>1</v>
      </c>
      <c r="N1480" s="617">
        <f t="shared" si="49"/>
        <v>12</v>
      </c>
      <c r="O1480" s="617"/>
    </row>
    <row r="1481" spans="2:15" ht="15" x14ac:dyDescent="0.25">
      <c r="B1481" s="529">
        <v>1476001</v>
      </c>
      <c r="C1481" s="529">
        <v>1477</v>
      </c>
      <c r="E1481" s="534">
        <v>0</v>
      </c>
      <c r="F1481" s="534">
        <v>0</v>
      </c>
      <c r="G1481" s="534">
        <v>11</v>
      </c>
      <c r="I1481" s="534">
        <v>0</v>
      </c>
      <c r="J1481" s="534">
        <v>0</v>
      </c>
      <c r="K1481" s="534">
        <v>0</v>
      </c>
      <c r="M1481" s="617">
        <f t="shared" si="48"/>
        <v>0</v>
      </c>
      <c r="N1481" s="617">
        <f t="shared" si="49"/>
        <v>11</v>
      </c>
      <c r="O1481" s="617"/>
    </row>
    <row r="1482" spans="2:15" ht="15" x14ac:dyDescent="0.25">
      <c r="B1482" s="529">
        <v>1477001</v>
      </c>
      <c r="C1482" s="529">
        <v>1478</v>
      </c>
      <c r="E1482" s="534">
        <v>0</v>
      </c>
      <c r="F1482" s="534">
        <v>0</v>
      </c>
      <c r="G1482" s="534">
        <v>11</v>
      </c>
      <c r="I1482" s="534">
        <v>0</v>
      </c>
      <c r="J1482" s="534">
        <v>0</v>
      </c>
      <c r="K1482" s="534">
        <v>0</v>
      </c>
      <c r="M1482" s="617">
        <f t="shared" si="48"/>
        <v>0</v>
      </c>
      <c r="N1482" s="617">
        <f t="shared" si="49"/>
        <v>11</v>
      </c>
      <c r="O1482" s="617"/>
    </row>
    <row r="1483" spans="2:15" ht="15" x14ac:dyDescent="0.25">
      <c r="B1483" s="529">
        <v>1478001</v>
      </c>
      <c r="C1483" s="529">
        <v>1479</v>
      </c>
      <c r="E1483" s="534">
        <v>0</v>
      </c>
      <c r="F1483" s="534">
        <v>0</v>
      </c>
      <c r="G1483" s="534">
        <v>11</v>
      </c>
      <c r="I1483" s="534">
        <v>0</v>
      </c>
      <c r="J1483" s="534">
        <v>0</v>
      </c>
      <c r="K1483" s="534">
        <v>0</v>
      </c>
      <c r="M1483" s="617">
        <f t="shared" si="48"/>
        <v>0</v>
      </c>
      <c r="N1483" s="617">
        <f t="shared" si="49"/>
        <v>11</v>
      </c>
      <c r="O1483" s="617"/>
    </row>
    <row r="1484" spans="2:15" ht="15" x14ac:dyDescent="0.25">
      <c r="B1484" s="529">
        <v>1479001</v>
      </c>
      <c r="C1484" s="529">
        <v>1480</v>
      </c>
      <c r="E1484" s="534">
        <v>1</v>
      </c>
      <c r="F1484" s="534">
        <v>1480</v>
      </c>
      <c r="G1484" s="534">
        <v>11</v>
      </c>
      <c r="I1484" s="534">
        <v>0</v>
      </c>
      <c r="J1484" s="534">
        <v>0</v>
      </c>
      <c r="K1484" s="534">
        <v>0</v>
      </c>
      <c r="M1484" s="617">
        <f t="shared" si="48"/>
        <v>1</v>
      </c>
      <c r="N1484" s="617">
        <f t="shared" si="49"/>
        <v>11</v>
      </c>
      <c r="O1484" s="617"/>
    </row>
    <row r="1485" spans="2:15" ht="15" x14ac:dyDescent="0.25">
      <c r="B1485" s="529">
        <v>1480001</v>
      </c>
      <c r="C1485" s="529">
        <v>1481</v>
      </c>
      <c r="E1485" s="534">
        <v>0</v>
      </c>
      <c r="F1485" s="534">
        <v>0</v>
      </c>
      <c r="G1485" s="534">
        <v>10</v>
      </c>
      <c r="I1485" s="534">
        <v>0</v>
      </c>
      <c r="J1485" s="534">
        <v>0</v>
      </c>
      <c r="K1485" s="534">
        <v>0</v>
      </c>
      <c r="M1485" s="617">
        <f t="shared" si="48"/>
        <v>0</v>
      </c>
      <c r="N1485" s="617">
        <f t="shared" si="49"/>
        <v>10</v>
      </c>
      <c r="O1485" s="617"/>
    </row>
    <row r="1486" spans="2:15" ht="15" x14ac:dyDescent="0.25">
      <c r="B1486" s="529">
        <v>1481001</v>
      </c>
      <c r="C1486" s="529">
        <v>1482</v>
      </c>
      <c r="E1486" s="534">
        <v>0</v>
      </c>
      <c r="F1486" s="534">
        <v>0</v>
      </c>
      <c r="G1486" s="534">
        <v>10</v>
      </c>
      <c r="I1486" s="534">
        <v>0</v>
      </c>
      <c r="J1486" s="534">
        <v>0</v>
      </c>
      <c r="K1486" s="534">
        <v>0</v>
      </c>
      <c r="M1486" s="617">
        <f t="shared" si="48"/>
        <v>0</v>
      </c>
      <c r="N1486" s="617">
        <f t="shared" si="49"/>
        <v>10</v>
      </c>
      <c r="O1486" s="617"/>
    </row>
    <row r="1487" spans="2:15" ht="15" x14ac:dyDescent="0.25">
      <c r="B1487" s="529">
        <v>1482001</v>
      </c>
      <c r="C1487" s="529">
        <v>1483</v>
      </c>
      <c r="E1487" s="534">
        <v>0</v>
      </c>
      <c r="F1487" s="534">
        <v>0</v>
      </c>
      <c r="G1487" s="534">
        <v>10</v>
      </c>
      <c r="I1487" s="534">
        <v>0</v>
      </c>
      <c r="J1487" s="534">
        <v>0</v>
      </c>
      <c r="K1487" s="534">
        <v>0</v>
      </c>
      <c r="M1487" s="617">
        <f t="shared" si="48"/>
        <v>0</v>
      </c>
      <c r="N1487" s="617">
        <f t="shared" si="49"/>
        <v>10</v>
      </c>
      <c r="O1487" s="617"/>
    </row>
    <row r="1488" spans="2:15" ht="15" x14ac:dyDescent="0.25">
      <c r="B1488" s="529">
        <v>1483001</v>
      </c>
      <c r="C1488" s="529">
        <v>1484</v>
      </c>
      <c r="E1488" s="534">
        <v>0</v>
      </c>
      <c r="F1488" s="534">
        <v>0</v>
      </c>
      <c r="G1488" s="534">
        <v>10</v>
      </c>
      <c r="I1488" s="534">
        <v>0</v>
      </c>
      <c r="J1488" s="534">
        <v>0</v>
      </c>
      <c r="K1488" s="534">
        <v>0</v>
      </c>
      <c r="M1488" s="617">
        <f t="shared" si="48"/>
        <v>0</v>
      </c>
      <c r="N1488" s="617">
        <f t="shared" si="49"/>
        <v>10</v>
      </c>
      <c r="O1488" s="617"/>
    </row>
    <row r="1489" spans="2:15" ht="15" x14ac:dyDescent="0.25">
      <c r="B1489" s="529">
        <v>1484001</v>
      </c>
      <c r="C1489" s="529">
        <v>1485</v>
      </c>
      <c r="E1489" s="534">
        <v>0</v>
      </c>
      <c r="F1489" s="534">
        <v>0</v>
      </c>
      <c r="G1489" s="534">
        <v>10</v>
      </c>
      <c r="I1489" s="534">
        <v>0</v>
      </c>
      <c r="J1489" s="534">
        <v>0</v>
      </c>
      <c r="K1489" s="534">
        <v>0</v>
      </c>
      <c r="M1489" s="617">
        <f t="shared" si="48"/>
        <v>0</v>
      </c>
      <c r="N1489" s="617">
        <f t="shared" si="49"/>
        <v>10</v>
      </c>
      <c r="O1489" s="617"/>
    </row>
    <row r="1490" spans="2:15" ht="15" x14ac:dyDescent="0.25">
      <c r="B1490" s="529">
        <v>1485001</v>
      </c>
      <c r="C1490" s="529">
        <v>1486</v>
      </c>
      <c r="E1490" s="534">
        <v>0</v>
      </c>
      <c r="F1490" s="534">
        <v>0</v>
      </c>
      <c r="G1490" s="534">
        <v>10</v>
      </c>
      <c r="I1490" s="534">
        <v>0</v>
      </c>
      <c r="J1490" s="534">
        <v>0</v>
      </c>
      <c r="K1490" s="534">
        <v>0</v>
      </c>
      <c r="M1490" s="617">
        <f t="shared" si="48"/>
        <v>0</v>
      </c>
      <c r="N1490" s="617">
        <f t="shared" si="49"/>
        <v>10</v>
      </c>
      <c r="O1490" s="617"/>
    </row>
    <row r="1491" spans="2:15" ht="15" x14ac:dyDescent="0.25">
      <c r="B1491" s="529">
        <v>1486001</v>
      </c>
      <c r="C1491" s="529">
        <v>1487</v>
      </c>
      <c r="E1491" s="534">
        <v>0</v>
      </c>
      <c r="F1491" s="534">
        <v>0</v>
      </c>
      <c r="G1491" s="534">
        <v>10</v>
      </c>
      <c r="I1491" s="534">
        <v>0</v>
      </c>
      <c r="J1491" s="534">
        <v>0</v>
      </c>
      <c r="K1491" s="534">
        <v>0</v>
      </c>
      <c r="M1491" s="617">
        <f t="shared" si="48"/>
        <v>0</v>
      </c>
      <c r="N1491" s="617">
        <f t="shared" si="49"/>
        <v>10</v>
      </c>
      <c r="O1491" s="617"/>
    </row>
    <row r="1492" spans="2:15" ht="15" x14ac:dyDescent="0.25">
      <c r="B1492" s="529">
        <v>1487001</v>
      </c>
      <c r="C1492" s="529">
        <v>1488</v>
      </c>
      <c r="E1492" s="534">
        <v>0</v>
      </c>
      <c r="F1492" s="534">
        <v>0</v>
      </c>
      <c r="G1492" s="534">
        <v>10</v>
      </c>
      <c r="I1492" s="534">
        <v>0</v>
      </c>
      <c r="J1492" s="534">
        <v>0</v>
      </c>
      <c r="K1492" s="534">
        <v>0</v>
      </c>
      <c r="M1492" s="617">
        <f t="shared" si="48"/>
        <v>0</v>
      </c>
      <c r="N1492" s="617">
        <f t="shared" si="49"/>
        <v>10</v>
      </c>
      <c r="O1492" s="617"/>
    </row>
    <row r="1493" spans="2:15" ht="15" x14ac:dyDescent="0.25">
      <c r="B1493" s="529">
        <v>1488001</v>
      </c>
      <c r="C1493" s="529">
        <v>1489</v>
      </c>
      <c r="E1493" s="534">
        <v>0</v>
      </c>
      <c r="F1493" s="534">
        <v>0</v>
      </c>
      <c r="G1493" s="534">
        <v>10</v>
      </c>
      <c r="I1493" s="534">
        <v>0</v>
      </c>
      <c r="J1493" s="534">
        <v>0</v>
      </c>
      <c r="K1493" s="534">
        <v>0</v>
      </c>
      <c r="M1493" s="617">
        <f t="shared" si="48"/>
        <v>0</v>
      </c>
      <c r="N1493" s="617">
        <f t="shared" si="49"/>
        <v>10</v>
      </c>
      <c r="O1493" s="617"/>
    </row>
    <row r="1494" spans="2:15" ht="15" x14ac:dyDescent="0.25">
      <c r="B1494" s="529">
        <v>1489001</v>
      </c>
      <c r="C1494" s="529">
        <v>1490</v>
      </c>
      <c r="E1494" s="534">
        <v>0</v>
      </c>
      <c r="F1494" s="534">
        <v>0</v>
      </c>
      <c r="G1494" s="534">
        <v>10</v>
      </c>
      <c r="I1494" s="534">
        <v>0</v>
      </c>
      <c r="J1494" s="534">
        <v>0</v>
      </c>
      <c r="K1494" s="534">
        <v>0</v>
      </c>
      <c r="M1494" s="617">
        <f t="shared" si="48"/>
        <v>0</v>
      </c>
      <c r="N1494" s="617">
        <f t="shared" si="49"/>
        <v>10</v>
      </c>
      <c r="O1494" s="617"/>
    </row>
    <row r="1495" spans="2:15" ht="15" x14ac:dyDescent="0.25">
      <c r="B1495" s="529">
        <v>1490001</v>
      </c>
      <c r="C1495" s="529">
        <v>1491</v>
      </c>
      <c r="E1495" s="534">
        <v>0</v>
      </c>
      <c r="F1495" s="534">
        <v>0</v>
      </c>
      <c r="G1495" s="534">
        <v>10</v>
      </c>
      <c r="I1495" s="534">
        <v>0</v>
      </c>
      <c r="J1495" s="534">
        <v>0</v>
      </c>
      <c r="K1495" s="534">
        <v>0</v>
      </c>
      <c r="M1495" s="617">
        <f t="shared" si="48"/>
        <v>0</v>
      </c>
      <c r="N1495" s="617">
        <f t="shared" si="49"/>
        <v>10</v>
      </c>
      <c r="O1495" s="617"/>
    </row>
    <row r="1496" spans="2:15" ht="15" x14ac:dyDescent="0.25">
      <c r="B1496" s="529">
        <v>1491001</v>
      </c>
      <c r="C1496" s="529">
        <v>1492</v>
      </c>
      <c r="E1496" s="534">
        <v>0</v>
      </c>
      <c r="F1496" s="534">
        <v>0</v>
      </c>
      <c r="G1496" s="534">
        <v>10</v>
      </c>
      <c r="I1496" s="534">
        <v>0</v>
      </c>
      <c r="J1496" s="534">
        <v>0</v>
      </c>
      <c r="K1496" s="534">
        <v>0</v>
      </c>
      <c r="M1496" s="617">
        <f t="shared" si="48"/>
        <v>0</v>
      </c>
      <c r="N1496" s="617">
        <f t="shared" si="49"/>
        <v>10</v>
      </c>
      <c r="O1496" s="617"/>
    </row>
    <row r="1497" spans="2:15" ht="15" x14ac:dyDescent="0.25">
      <c r="B1497" s="529">
        <v>1492001</v>
      </c>
      <c r="C1497" s="529">
        <v>1493</v>
      </c>
      <c r="E1497" s="534">
        <v>0</v>
      </c>
      <c r="F1497" s="534">
        <v>0</v>
      </c>
      <c r="G1497" s="534">
        <v>10</v>
      </c>
      <c r="I1497" s="534">
        <v>0</v>
      </c>
      <c r="J1497" s="534">
        <v>0</v>
      </c>
      <c r="K1497" s="534">
        <v>0</v>
      </c>
      <c r="M1497" s="617">
        <f t="shared" si="48"/>
        <v>0</v>
      </c>
      <c r="N1497" s="617">
        <f t="shared" si="49"/>
        <v>10</v>
      </c>
      <c r="O1497" s="617"/>
    </row>
    <row r="1498" spans="2:15" ht="15" x14ac:dyDescent="0.25">
      <c r="B1498" s="529">
        <v>1493001</v>
      </c>
      <c r="C1498" s="529">
        <v>1494</v>
      </c>
      <c r="E1498" s="534">
        <v>0</v>
      </c>
      <c r="F1498" s="534">
        <v>0</v>
      </c>
      <c r="G1498" s="534">
        <v>10</v>
      </c>
      <c r="I1498" s="534">
        <v>0</v>
      </c>
      <c r="J1498" s="534">
        <v>0</v>
      </c>
      <c r="K1498" s="534">
        <v>0</v>
      </c>
      <c r="M1498" s="617">
        <f t="shared" si="48"/>
        <v>0</v>
      </c>
      <c r="N1498" s="617">
        <f t="shared" si="49"/>
        <v>10</v>
      </c>
      <c r="O1498" s="617"/>
    </row>
    <row r="1499" spans="2:15" ht="15" x14ac:dyDescent="0.25">
      <c r="B1499" s="529">
        <v>1494001</v>
      </c>
      <c r="C1499" s="529">
        <v>1495</v>
      </c>
      <c r="E1499" s="534">
        <v>0</v>
      </c>
      <c r="F1499" s="534">
        <v>0</v>
      </c>
      <c r="G1499" s="534">
        <v>10</v>
      </c>
      <c r="I1499" s="534">
        <v>0</v>
      </c>
      <c r="J1499" s="534">
        <v>0</v>
      </c>
      <c r="K1499" s="534">
        <v>0</v>
      </c>
      <c r="M1499" s="617">
        <f t="shared" si="48"/>
        <v>0</v>
      </c>
      <c r="N1499" s="617">
        <f t="shared" si="49"/>
        <v>10</v>
      </c>
      <c r="O1499" s="617"/>
    </row>
    <row r="1500" spans="2:15" ht="15" x14ac:dyDescent="0.25">
      <c r="B1500" s="529">
        <v>1495001</v>
      </c>
      <c r="C1500" s="529">
        <v>1496</v>
      </c>
      <c r="E1500" s="534">
        <v>0</v>
      </c>
      <c r="F1500" s="534">
        <v>0</v>
      </c>
      <c r="G1500" s="534">
        <v>10</v>
      </c>
      <c r="I1500" s="534">
        <v>0</v>
      </c>
      <c r="J1500" s="534">
        <v>0</v>
      </c>
      <c r="K1500" s="534">
        <v>0</v>
      </c>
      <c r="M1500" s="617">
        <f t="shared" si="48"/>
        <v>0</v>
      </c>
      <c r="N1500" s="617">
        <f t="shared" si="49"/>
        <v>10</v>
      </c>
      <c r="O1500" s="617"/>
    </row>
    <row r="1501" spans="2:15" ht="15" x14ac:dyDescent="0.25">
      <c r="B1501" s="529">
        <v>1496001</v>
      </c>
      <c r="C1501" s="529">
        <v>1497</v>
      </c>
      <c r="E1501" s="534">
        <v>0</v>
      </c>
      <c r="F1501" s="534">
        <v>0</v>
      </c>
      <c r="G1501" s="534">
        <v>10</v>
      </c>
      <c r="I1501" s="534">
        <v>0</v>
      </c>
      <c r="J1501" s="534">
        <v>0</v>
      </c>
      <c r="K1501" s="534">
        <v>0</v>
      </c>
      <c r="M1501" s="617">
        <f t="shared" si="48"/>
        <v>0</v>
      </c>
      <c r="N1501" s="617">
        <f t="shared" si="49"/>
        <v>10</v>
      </c>
      <c r="O1501" s="617"/>
    </row>
    <row r="1502" spans="2:15" ht="15" x14ac:dyDescent="0.25">
      <c r="B1502" s="529">
        <v>1497001</v>
      </c>
      <c r="C1502" s="529">
        <v>1498</v>
      </c>
      <c r="E1502" s="534">
        <v>0</v>
      </c>
      <c r="F1502" s="534">
        <v>0</v>
      </c>
      <c r="G1502" s="534">
        <v>10</v>
      </c>
      <c r="I1502" s="534">
        <v>0</v>
      </c>
      <c r="J1502" s="534">
        <v>0</v>
      </c>
      <c r="K1502" s="534">
        <v>0</v>
      </c>
      <c r="M1502" s="617">
        <f t="shared" si="48"/>
        <v>0</v>
      </c>
      <c r="N1502" s="617">
        <f t="shared" si="49"/>
        <v>10</v>
      </c>
      <c r="O1502" s="617"/>
    </row>
    <row r="1503" spans="2:15" ht="15" x14ac:dyDescent="0.25">
      <c r="B1503" s="529">
        <v>1498001</v>
      </c>
      <c r="C1503" s="529">
        <v>1499</v>
      </c>
      <c r="E1503" s="534">
        <v>0</v>
      </c>
      <c r="F1503" s="534">
        <v>0</v>
      </c>
      <c r="G1503" s="534">
        <v>10</v>
      </c>
      <c r="I1503" s="534">
        <v>0</v>
      </c>
      <c r="J1503" s="534">
        <v>0</v>
      </c>
      <c r="K1503" s="534">
        <v>0</v>
      </c>
      <c r="M1503" s="617">
        <f t="shared" si="48"/>
        <v>0</v>
      </c>
      <c r="N1503" s="617">
        <f t="shared" si="49"/>
        <v>10</v>
      </c>
      <c r="O1503" s="617"/>
    </row>
    <row r="1504" spans="2:15" ht="15" x14ac:dyDescent="0.25">
      <c r="B1504" s="529">
        <v>1499001</v>
      </c>
      <c r="C1504" s="529">
        <v>1500</v>
      </c>
      <c r="E1504" s="534">
        <v>0</v>
      </c>
      <c r="F1504" s="534">
        <v>0</v>
      </c>
      <c r="G1504" s="534">
        <v>10</v>
      </c>
      <c r="I1504" s="534">
        <v>0</v>
      </c>
      <c r="J1504" s="534">
        <v>0</v>
      </c>
      <c r="K1504" s="534">
        <v>0</v>
      </c>
      <c r="M1504" s="617">
        <f t="shared" si="48"/>
        <v>0</v>
      </c>
      <c r="N1504" s="617">
        <f t="shared" si="49"/>
        <v>10</v>
      </c>
      <c r="O1504" s="617"/>
    </row>
    <row r="1505" spans="2:15" ht="15" x14ac:dyDescent="0.25">
      <c r="B1505" s="529">
        <v>1500001</v>
      </c>
      <c r="C1505" s="529">
        <v>1501</v>
      </c>
      <c r="E1505" s="534">
        <v>0</v>
      </c>
      <c r="F1505" s="534">
        <v>0</v>
      </c>
      <c r="G1505" s="534">
        <v>10</v>
      </c>
      <c r="I1505" s="534">
        <v>0</v>
      </c>
      <c r="J1505" s="534">
        <v>0</v>
      </c>
      <c r="K1505" s="534">
        <v>0</v>
      </c>
      <c r="M1505" s="617">
        <f t="shared" si="48"/>
        <v>0</v>
      </c>
      <c r="N1505" s="617">
        <f t="shared" si="49"/>
        <v>10</v>
      </c>
      <c r="O1505" s="617"/>
    </row>
    <row r="1506" spans="2:15" ht="15" x14ac:dyDescent="0.25">
      <c r="B1506" s="529">
        <v>1501001</v>
      </c>
      <c r="C1506" s="529">
        <v>1502</v>
      </c>
      <c r="E1506" s="534">
        <v>0</v>
      </c>
      <c r="F1506" s="534">
        <v>0</v>
      </c>
      <c r="G1506" s="534">
        <v>10</v>
      </c>
      <c r="I1506" s="534">
        <v>0</v>
      </c>
      <c r="J1506" s="534">
        <v>0</v>
      </c>
      <c r="K1506" s="534">
        <v>0</v>
      </c>
      <c r="M1506" s="617">
        <f t="shared" si="48"/>
        <v>0</v>
      </c>
      <c r="N1506" s="617">
        <f t="shared" si="49"/>
        <v>10</v>
      </c>
      <c r="O1506" s="617"/>
    </row>
    <row r="1507" spans="2:15" ht="15" x14ac:dyDescent="0.25">
      <c r="B1507" s="529">
        <v>1502001</v>
      </c>
      <c r="C1507" s="529">
        <v>1503</v>
      </c>
      <c r="E1507" s="534">
        <v>0</v>
      </c>
      <c r="F1507" s="534">
        <v>0</v>
      </c>
      <c r="G1507" s="534">
        <v>10</v>
      </c>
      <c r="I1507" s="534">
        <v>0</v>
      </c>
      <c r="J1507" s="534">
        <v>0</v>
      </c>
      <c r="K1507" s="534">
        <v>0</v>
      </c>
      <c r="M1507" s="617">
        <f t="shared" si="48"/>
        <v>0</v>
      </c>
      <c r="N1507" s="617">
        <f t="shared" si="49"/>
        <v>10</v>
      </c>
      <c r="O1507" s="617"/>
    </row>
    <row r="1508" spans="2:15" ht="15" x14ac:dyDescent="0.25">
      <c r="B1508" s="529">
        <v>1503001</v>
      </c>
      <c r="C1508" s="529">
        <v>1504</v>
      </c>
      <c r="E1508" s="534">
        <v>0</v>
      </c>
      <c r="F1508" s="534">
        <v>0</v>
      </c>
      <c r="G1508" s="534">
        <v>10</v>
      </c>
      <c r="I1508" s="534">
        <v>0</v>
      </c>
      <c r="J1508" s="534">
        <v>0</v>
      </c>
      <c r="K1508" s="534">
        <v>0</v>
      </c>
      <c r="M1508" s="617">
        <f t="shared" si="48"/>
        <v>0</v>
      </c>
      <c r="N1508" s="617">
        <f t="shared" si="49"/>
        <v>10</v>
      </c>
      <c r="O1508" s="617"/>
    </row>
    <row r="1509" spans="2:15" ht="15" x14ac:dyDescent="0.25">
      <c r="B1509" s="529">
        <v>1504001</v>
      </c>
      <c r="C1509" s="529">
        <v>1505</v>
      </c>
      <c r="E1509" s="534">
        <v>0</v>
      </c>
      <c r="F1509" s="534">
        <v>0</v>
      </c>
      <c r="G1509" s="534">
        <v>10</v>
      </c>
      <c r="I1509" s="534">
        <v>0</v>
      </c>
      <c r="J1509" s="534">
        <v>0</v>
      </c>
      <c r="K1509" s="534">
        <v>0</v>
      </c>
      <c r="M1509" s="617">
        <f t="shared" si="48"/>
        <v>0</v>
      </c>
      <c r="N1509" s="617">
        <f t="shared" si="49"/>
        <v>10</v>
      </c>
      <c r="O1509" s="617"/>
    </row>
    <row r="1510" spans="2:15" ht="15" x14ac:dyDescent="0.25">
      <c r="B1510" s="529">
        <v>1505001</v>
      </c>
      <c r="C1510" s="529">
        <v>1506</v>
      </c>
      <c r="E1510" s="534">
        <v>0</v>
      </c>
      <c r="F1510" s="534">
        <v>0</v>
      </c>
      <c r="G1510" s="534">
        <v>10</v>
      </c>
      <c r="I1510" s="534">
        <v>0</v>
      </c>
      <c r="J1510" s="534">
        <v>0</v>
      </c>
      <c r="K1510" s="534">
        <v>0</v>
      </c>
      <c r="M1510" s="617">
        <f t="shared" si="48"/>
        <v>0</v>
      </c>
      <c r="N1510" s="617">
        <f t="shared" si="49"/>
        <v>10</v>
      </c>
      <c r="O1510" s="617"/>
    </row>
    <row r="1511" spans="2:15" ht="15" x14ac:dyDescent="0.25">
      <c r="B1511" s="529">
        <v>1506001</v>
      </c>
      <c r="C1511" s="529">
        <v>1507</v>
      </c>
      <c r="E1511" s="534">
        <v>0</v>
      </c>
      <c r="F1511" s="534">
        <v>0</v>
      </c>
      <c r="G1511" s="534">
        <v>10</v>
      </c>
      <c r="I1511" s="534">
        <v>0</v>
      </c>
      <c r="J1511" s="534">
        <v>0</v>
      </c>
      <c r="K1511" s="534">
        <v>0</v>
      </c>
      <c r="M1511" s="617">
        <f t="shared" si="48"/>
        <v>0</v>
      </c>
      <c r="N1511" s="617">
        <f t="shared" si="49"/>
        <v>10</v>
      </c>
      <c r="O1511" s="617"/>
    </row>
    <row r="1512" spans="2:15" ht="15" x14ac:dyDescent="0.25">
      <c r="B1512" s="529">
        <v>1507001</v>
      </c>
      <c r="C1512" s="529">
        <v>1508</v>
      </c>
      <c r="E1512" s="534">
        <v>0</v>
      </c>
      <c r="F1512" s="534">
        <v>0</v>
      </c>
      <c r="G1512" s="534">
        <v>10</v>
      </c>
      <c r="I1512" s="534">
        <v>0</v>
      </c>
      <c r="J1512" s="534">
        <v>0</v>
      </c>
      <c r="K1512" s="534">
        <v>0</v>
      </c>
      <c r="M1512" s="617">
        <f t="shared" si="48"/>
        <v>0</v>
      </c>
      <c r="N1512" s="617">
        <f t="shared" si="49"/>
        <v>10</v>
      </c>
      <c r="O1512" s="617"/>
    </row>
    <row r="1513" spans="2:15" ht="15" x14ac:dyDescent="0.25">
      <c r="B1513" s="529">
        <v>1508001</v>
      </c>
      <c r="C1513" s="529">
        <v>1509</v>
      </c>
      <c r="E1513" s="534">
        <v>0</v>
      </c>
      <c r="F1513" s="534">
        <v>0</v>
      </c>
      <c r="G1513" s="534">
        <v>10</v>
      </c>
      <c r="I1513" s="534">
        <v>0</v>
      </c>
      <c r="J1513" s="534">
        <v>0</v>
      </c>
      <c r="K1513" s="534">
        <v>0</v>
      </c>
      <c r="M1513" s="617">
        <f t="shared" si="48"/>
        <v>0</v>
      </c>
      <c r="N1513" s="617">
        <f t="shared" si="49"/>
        <v>10</v>
      </c>
      <c r="O1513" s="617"/>
    </row>
    <row r="1514" spans="2:15" ht="15" x14ac:dyDescent="0.25">
      <c r="B1514" s="529">
        <v>1509001</v>
      </c>
      <c r="C1514" s="529">
        <v>1510</v>
      </c>
      <c r="E1514" s="534">
        <v>0</v>
      </c>
      <c r="F1514" s="534">
        <v>0</v>
      </c>
      <c r="G1514" s="534">
        <v>10</v>
      </c>
      <c r="I1514" s="534">
        <v>0</v>
      </c>
      <c r="J1514" s="534">
        <v>0</v>
      </c>
      <c r="K1514" s="534">
        <v>0</v>
      </c>
      <c r="M1514" s="617">
        <f t="shared" si="48"/>
        <v>0</v>
      </c>
      <c r="N1514" s="617">
        <f t="shared" si="49"/>
        <v>10</v>
      </c>
      <c r="O1514" s="617"/>
    </row>
    <row r="1515" spans="2:15" ht="15" x14ac:dyDescent="0.25">
      <c r="B1515" s="529">
        <v>1510001</v>
      </c>
      <c r="C1515" s="529">
        <v>1511</v>
      </c>
      <c r="E1515" s="534">
        <v>0</v>
      </c>
      <c r="F1515" s="534">
        <v>0</v>
      </c>
      <c r="G1515" s="534">
        <v>10</v>
      </c>
      <c r="I1515" s="534">
        <v>0</v>
      </c>
      <c r="J1515" s="534">
        <v>0</v>
      </c>
      <c r="K1515" s="534">
        <v>0</v>
      </c>
      <c r="M1515" s="617">
        <f t="shared" si="48"/>
        <v>0</v>
      </c>
      <c r="N1515" s="617">
        <f t="shared" si="49"/>
        <v>10</v>
      </c>
      <c r="O1515" s="617"/>
    </row>
    <row r="1516" spans="2:15" ht="15" x14ac:dyDescent="0.25">
      <c r="B1516" s="529">
        <v>1511001</v>
      </c>
      <c r="C1516" s="529">
        <v>1512</v>
      </c>
      <c r="E1516" s="534">
        <v>0</v>
      </c>
      <c r="F1516" s="534">
        <v>0</v>
      </c>
      <c r="G1516" s="534">
        <v>10</v>
      </c>
      <c r="I1516" s="534">
        <v>0</v>
      </c>
      <c r="J1516" s="534">
        <v>0</v>
      </c>
      <c r="K1516" s="534">
        <v>0</v>
      </c>
      <c r="M1516" s="617">
        <f t="shared" si="48"/>
        <v>0</v>
      </c>
      <c r="N1516" s="617">
        <f t="shared" si="49"/>
        <v>10</v>
      </c>
      <c r="O1516" s="617"/>
    </row>
    <row r="1517" spans="2:15" ht="15" x14ac:dyDescent="0.25">
      <c r="B1517" s="529">
        <v>1512001</v>
      </c>
      <c r="C1517" s="529">
        <v>1513</v>
      </c>
      <c r="E1517" s="534">
        <v>0</v>
      </c>
      <c r="F1517" s="534">
        <v>0</v>
      </c>
      <c r="G1517" s="534">
        <v>10</v>
      </c>
      <c r="I1517" s="534">
        <v>0</v>
      </c>
      <c r="J1517" s="534">
        <v>0</v>
      </c>
      <c r="K1517" s="534">
        <v>0</v>
      </c>
      <c r="M1517" s="617">
        <f t="shared" si="48"/>
        <v>0</v>
      </c>
      <c r="N1517" s="617">
        <f t="shared" si="49"/>
        <v>10</v>
      </c>
      <c r="O1517" s="617"/>
    </row>
    <row r="1518" spans="2:15" ht="15" x14ac:dyDescent="0.25">
      <c r="B1518" s="529">
        <v>1513001</v>
      </c>
      <c r="C1518" s="529">
        <v>1514</v>
      </c>
      <c r="E1518" s="534">
        <v>0</v>
      </c>
      <c r="F1518" s="534">
        <v>0</v>
      </c>
      <c r="G1518" s="534">
        <v>10</v>
      </c>
      <c r="I1518" s="534">
        <v>0</v>
      </c>
      <c r="J1518" s="534">
        <v>0</v>
      </c>
      <c r="K1518" s="534">
        <v>0</v>
      </c>
      <c r="M1518" s="617">
        <f t="shared" si="48"/>
        <v>0</v>
      </c>
      <c r="N1518" s="617">
        <f t="shared" si="49"/>
        <v>10</v>
      </c>
      <c r="O1518" s="617"/>
    </row>
    <row r="1519" spans="2:15" ht="15" x14ac:dyDescent="0.25">
      <c r="B1519" s="529">
        <v>1514001</v>
      </c>
      <c r="C1519" s="529">
        <v>1515</v>
      </c>
      <c r="E1519" s="534">
        <v>0</v>
      </c>
      <c r="F1519" s="534">
        <v>0</v>
      </c>
      <c r="G1519" s="534">
        <v>10</v>
      </c>
      <c r="I1519" s="534">
        <v>0</v>
      </c>
      <c r="J1519" s="534">
        <v>0</v>
      </c>
      <c r="K1519" s="534">
        <v>0</v>
      </c>
      <c r="M1519" s="617">
        <f t="shared" si="48"/>
        <v>0</v>
      </c>
      <c r="N1519" s="617">
        <f t="shared" si="49"/>
        <v>10</v>
      </c>
      <c r="O1519" s="617"/>
    </row>
    <row r="1520" spans="2:15" ht="15" x14ac:dyDescent="0.25">
      <c r="B1520" s="529">
        <v>1515001</v>
      </c>
      <c r="C1520" s="529">
        <v>1516</v>
      </c>
      <c r="E1520" s="534">
        <v>0</v>
      </c>
      <c r="F1520" s="534">
        <v>0</v>
      </c>
      <c r="G1520" s="534">
        <v>10</v>
      </c>
      <c r="I1520" s="534">
        <v>0</v>
      </c>
      <c r="J1520" s="534">
        <v>0</v>
      </c>
      <c r="K1520" s="534">
        <v>0</v>
      </c>
      <c r="M1520" s="617">
        <f t="shared" si="48"/>
        <v>0</v>
      </c>
      <c r="N1520" s="617">
        <f t="shared" si="49"/>
        <v>10</v>
      </c>
      <c r="O1520" s="617"/>
    </row>
    <row r="1521" spans="2:15" ht="15" x14ac:dyDescent="0.25">
      <c r="B1521" s="529">
        <v>1516001</v>
      </c>
      <c r="C1521" s="529">
        <v>1517</v>
      </c>
      <c r="E1521" s="534">
        <v>0</v>
      </c>
      <c r="F1521" s="534">
        <v>0</v>
      </c>
      <c r="G1521" s="534">
        <v>10</v>
      </c>
      <c r="I1521" s="534">
        <v>0</v>
      </c>
      <c r="J1521" s="534">
        <v>0</v>
      </c>
      <c r="K1521" s="534">
        <v>0</v>
      </c>
      <c r="M1521" s="617">
        <f t="shared" si="48"/>
        <v>0</v>
      </c>
      <c r="N1521" s="617">
        <f t="shared" si="49"/>
        <v>10</v>
      </c>
      <c r="O1521" s="617"/>
    </row>
    <row r="1522" spans="2:15" ht="15" x14ac:dyDescent="0.25">
      <c r="B1522" s="529">
        <v>1517001</v>
      </c>
      <c r="C1522" s="529">
        <v>1518</v>
      </c>
      <c r="E1522" s="534">
        <v>0</v>
      </c>
      <c r="F1522" s="534">
        <v>0</v>
      </c>
      <c r="G1522" s="534">
        <v>10</v>
      </c>
      <c r="I1522" s="534">
        <v>0</v>
      </c>
      <c r="J1522" s="534">
        <v>0</v>
      </c>
      <c r="K1522" s="534">
        <v>0</v>
      </c>
      <c r="M1522" s="617">
        <f t="shared" si="48"/>
        <v>0</v>
      </c>
      <c r="N1522" s="617">
        <f t="shared" si="49"/>
        <v>10</v>
      </c>
      <c r="O1522" s="617"/>
    </row>
    <row r="1523" spans="2:15" ht="15" x14ac:dyDescent="0.25">
      <c r="B1523" s="529">
        <v>1518001</v>
      </c>
      <c r="C1523" s="529">
        <v>1519</v>
      </c>
      <c r="E1523" s="534">
        <v>0</v>
      </c>
      <c r="F1523" s="534">
        <v>0</v>
      </c>
      <c r="G1523" s="534">
        <v>10</v>
      </c>
      <c r="I1523" s="534">
        <v>0</v>
      </c>
      <c r="J1523" s="534">
        <v>0</v>
      </c>
      <c r="K1523" s="534">
        <v>0</v>
      </c>
      <c r="M1523" s="617">
        <f t="shared" si="48"/>
        <v>0</v>
      </c>
      <c r="N1523" s="617">
        <f t="shared" si="49"/>
        <v>10</v>
      </c>
      <c r="O1523" s="617"/>
    </row>
    <row r="1524" spans="2:15" ht="15" x14ac:dyDescent="0.25">
      <c r="B1524" s="529">
        <v>1519001</v>
      </c>
      <c r="C1524" s="529">
        <v>1520</v>
      </c>
      <c r="E1524" s="534">
        <v>0</v>
      </c>
      <c r="F1524" s="534">
        <v>0</v>
      </c>
      <c r="G1524" s="534">
        <v>10</v>
      </c>
      <c r="I1524" s="534">
        <v>0</v>
      </c>
      <c r="J1524" s="534">
        <v>0</v>
      </c>
      <c r="K1524" s="534">
        <v>0</v>
      </c>
      <c r="M1524" s="617">
        <f t="shared" si="48"/>
        <v>0</v>
      </c>
      <c r="N1524" s="617">
        <f t="shared" si="49"/>
        <v>10</v>
      </c>
      <c r="O1524" s="617"/>
    </row>
    <row r="1525" spans="2:15" ht="15" x14ac:dyDescent="0.25">
      <c r="B1525" s="529">
        <v>1520001</v>
      </c>
      <c r="C1525" s="529">
        <v>1521</v>
      </c>
      <c r="E1525" s="534">
        <v>0</v>
      </c>
      <c r="F1525" s="534">
        <v>0</v>
      </c>
      <c r="G1525" s="534">
        <v>10</v>
      </c>
      <c r="I1525" s="534">
        <v>0</v>
      </c>
      <c r="J1525" s="534">
        <v>0</v>
      </c>
      <c r="K1525" s="534">
        <v>0</v>
      </c>
      <c r="M1525" s="617">
        <f t="shared" si="48"/>
        <v>0</v>
      </c>
      <c r="N1525" s="617">
        <f t="shared" si="49"/>
        <v>10</v>
      </c>
      <c r="O1525" s="617"/>
    </row>
    <row r="1526" spans="2:15" ht="15" x14ac:dyDescent="0.25">
      <c r="B1526" s="529">
        <v>1521001</v>
      </c>
      <c r="C1526" s="529">
        <v>1522</v>
      </c>
      <c r="E1526" s="534">
        <v>0</v>
      </c>
      <c r="F1526" s="534">
        <v>0</v>
      </c>
      <c r="G1526" s="534">
        <v>10</v>
      </c>
      <c r="I1526" s="534">
        <v>0</v>
      </c>
      <c r="J1526" s="534">
        <v>0</v>
      </c>
      <c r="K1526" s="534">
        <v>0</v>
      </c>
      <c r="M1526" s="617">
        <f t="shared" si="48"/>
        <v>0</v>
      </c>
      <c r="N1526" s="617">
        <f t="shared" si="49"/>
        <v>10</v>
      </c>
      <c r="O1526" s="617"/>
    </row>
    <row r="1527" spans="2:15" ht="15" x14ac:dyDescent="0.25">
      <c r="B1527" s="529">
        <v>1522001</v>
      </c>
      <c r="C1527" s="529">
        <v>1523</v>
      </c>
      <c r="E1527" s="534">
        <v>0</v>
      </c>
      <c r="F1527" s="534">
        <v>0</v>
      </c>
      <c r="G1527" s="534">
        <v>10</v>
      </c>
      <c r="I1527" s="534">
        <v>0</v>
      </c>
      <c r="J1527" s="534">
        <v>0</v>
      </c>
      <c r="K1527" s="534">
        <v>0</v>
      </c>
      <c r="M1527" s="617">
        <f t="shared" si="48"/>
        <v>0</v>
      </c>
      <c r="N1527" s="617">
        <f t="shared" si="49"/>
        <v>10</v>
      </c>
      <c r="O1527" s="617"/>
    </row>
    <row r="1528" spans="2:15" ht="15" x14ac:dyDescent="0.25">
      <c r="B1528" s="529">
        <v>1523001</v>
      </c>
      <c r="C1528" s="529">
        <v>1524</v>
      </c>
      <c r="E1528" s="534">
        <v>0</v>
      </c>
      <c r="F1528" s="534">
        <v>0</v>
      </c>
      <c r="G1528" s="534">
        <v>10</v>
      </c>
      <c r="I1528" s="534">
        <v>0</v>
      </c>
      <c r="J1528" s="534">
        <v>0</v>
      </c>
      <c r="K1528" s="534">
        <v>0</v>
      </c>
      <c r="M1528" s="617">
        <f t="shared" si="48"/>
        <v>0</v>
      </c>
      <c r="N1528" s="617">
        <f t="shared" si="49"/>
        <v>10</v>
      </c>
      <c r="O1528" s="617"/>
    </row>
    <row r="1529" spans="2:15" ht="15" x14ac:dyDescent="0.25">
      <c r="B1529" s="529">
        <v>1524001</v>
      </c>
      <c r="C1529" s="529">
        <v>1525</v>
      </c>
      <c r="E1529" s="534">
        <v>0</v>
      </c>
      <c r="F1529" s="534">
        <v>0</v>
      </c>
      <c r="G1529" s="534">
        <v>10</v>
      </c>
      <c r="I1529" s="534">
        <v>0</v>
      </c>
      <c r="J1529" s="534">
        <v>0</v>
      </c>
      <c r="K1529" s="534">
        <v>0</v>
      </c>
      <c r="M1529" s="617">
        <f t="shared" si="48"/>
        <v>0</v>
      </c>
      <c r="N1529" s="617">
        <f t="shared" si="49"/>
        <v>10</v>
      </c>
      <c r="O1529" s="617"/>
    </row>
    <row r="1530" spans="2:15" ht="15" x14ac:dyDescent="0.25">
      <c r="B1530" s="529">
        <v>1525001</v>
      </c>
      <c r="C1530" s="529">
        <v>1526</v>
      </c>
      <c r="E1530" s="534">
        <v>1</v>
      </c>
      <c r="F1530" s="534">
        <v>1526</v>
      </c>
      <c r="G1530" s="534">
        <v>10</v>
      </c>
      <c r="I1530" s="534">
        <v>0</v>
      </c>
      <c r="J1530" s="534">
        <v>0</v>
      </c>
      <c r="K1530" s="534">
        <v>0</v>
      </c>
      <c r="M1530" s="617">
        <f t="shared" si="48"/>
        <v>1</v>
      </c>
      <c r="N1530" s="617">
        <f t="shared" si="49"/>
        <v>10</v>
      </c>
      <c r="O1530" s="617"/>
    </row>
    <row r="1531" spans="2:15" ht="15" x14ac:dyDescent="0.25">
      <c r="B1531" s="529">
        <v>1526001</v>
      </c>
      <c r="C1531" s="529">
        <v>1527</v>
      </c>
      <c r="E1531" s="534">
        <v>0</v>
      </c>
      <c r="F1531" s="534">
        <v>0</v>
      </c>
      <c r="G1531" s="534">
        <v>9</v>
      </c>
      <c r="I1531" s="534">
        <v>0</v>
      </c>
      <c r="J1531" s="534">
        <v>0</v>
      </c>
      <c r="K1531" s="534">
        <v>0</v>
      </c>
      <c r="M1531" s="617">
        <f t="shared" si="48"/>
        <v>0</v>
      </c>
      <c r="N1531" s="617">
        <f t="shared" si="49"/>
        <v>9</v>
      </c>
      <c r="O1531" s="617"/>
    </row>
    <row r="1532" spans="2:15" ht="15" x14ac:dyDescent="0.25">
      <c r="B1532" s="529">
        <v>1527001</v>
      </c>
      <c r="C1532" s="529">
        <v>1528</v>
      </c>
      <c r="E1532" s="534">
        <v>0</v>
      </c>
      <c r="F1532" s="534">
        <v>0</v>
      </c>
      <c r="G1532" s="534">
        <v>9</v>
      </c>
      <c r="I1532" s="534">
        <v>0</v>
      </c>
      <c r="J1532" s="534">
        <v>0</v>
      </c>
      <c r="K1532" s="534">
        <v>0</v>
      </c>
      <c r="M1532" s="617">
        <f t="shared" si="48"/>
        <v>0</v>
      </c>
      <c r="N1532" s="617">
        <f t="shared" si="49"/>
        <v>9</v>
      </c>
      <c r="O1532" s="617"/>
    </row>
    <row r="1533" spans="2:15" ht="15" x14ac:dyDescent="0.25">
      <c r="B1533" s="529">
        <v>1528001</v>
      </c>
      <c r="C1533" s="529">
        <v>1529</v>
      </c>
      <c r="E1533" s="534">
        <v>0</v>
      </c>
      <c r="F1533" s="534">
        <v>0</v>
      </c>
      <c r="G1533" s="534">
        <v>9</v>
      </c>
      <c r="I1533" s="534">
        <v>0</v>
      </c>
      <c r="J1533" s="534">
        <v>0</v>
      </c>
      <c r="K1533" s="534">
        <v>0</v>
      </c>
      <c r="M1533" s="617">
        <f t="shared" si="48"/>
        <v>0</v>
      </c>
      <c r="N1533" s="617">
        <f t="shared" si="49"/>
        <v>9</v>
      </c>
      <c r="O1533" s="617"/>
    </row>
    <row r="1534" spans="2:15" ht="15" x14ac:dyDescent="0.25">
      <c r="B1534" s="529">
        <v>1529001</v>
      </c>
      <c r="C1534" s="529">
        <v>1530</v>
      </c>
      <c r="E1534" s="534">
        <v>0</v>
      </c>
      <c r="F1534" s="534">
        <v>0</v>
      </c>
      <c r="G1534" s="534">
        <v>9</v>
      </c>
      <c r="I1534" s="534">
        <v>0</v>
      </c>
      <c r="J1534" s="534">
        <v>0</v>
      </c>
      <c r="K1534" s="534">
        <v>0</v>
      </c>
      <c r="M1534" s="617">
        <f t="shared" si="48"/>
        <v>0</v>
      </c>
      <c r="N1534" s="617">
        <f t="shared" si="49"/>
        <v>9</v>
      </c>
      <c r="O1534" s="617"/>
    </row>
    <row r="1535" spans="2:15" ht="15" x14ac:dyDescent="0.25">
      <c r="B1535" s="529">
        <v>1530001</v>
      </c>
      <c r="C1535" s="529">
        <v>1531</v>
      </c>
      <c r="E1535" s="534">
        <v>0</v>
      </c>
      <c r="F1535" s="534">
        <v>0</v>
      </c>
      <c r="G1535" s="534">
        <v>9</v>
      </c>
      <c r="I1535" s="534">
        <v>0</v>
      </c>
      <c r="J1535" s="534">
        <v>0</v>
      </c>
      <c r="K1535" s="534">
        <v>0</v>
      </c>
      <c r="M1535" s="617">
        <f t="shared" si="48"/>
        <v>0</v>
      </c>
      <c r="N1535" s="617">
        <f t="shared" si="49"/>
        <v>9</v>
      </c>
      <c r="O1535" s="617"/>
    </row>
    <row r="1536" spans="2:15" ht="15" x14ac:dyDescent="0.25">
      <c r="B1536" s="529">
        <v>1531001</v>
      </c>
      <c r="C1536" s="529">
        <v>1532</v>
      </c>
      <c r="E1536" s="534">
        <v>0</v>
      </c>
      <c r="F1536" s="534">
        <v>0</v>
      </c>
      <c r="G1536" s="534">
        <v>9</v>
      </c>
      <c r="I1536" s="534">
        <v>0</v>
      </c>
      <c r="J1536" s="534">
        <v>0</v>
      </c>
      <c r="K1536" s="534">
        <v>0</v>
      </c>
      <c r="M1536" s="617">
        <f t="shared" si="48"/>
        <v>0</v>
      </c>
      <c r="N1536" s="617">
        <f t="shared" si="49"/>
        <v>9</v>
      </c>
      <c r="O1536" s="617"/>
    </row>
    <row r="1537" spans="2:15" ht="15" x14ac:dyDescent="0.25">
      <c r="B1537" s="529">
        <v>1532001</v>
      </c>
      <c r="C1537" s="529">
        <v>1533</v>
      </c>
      <c r="E1537" s="534">
        <v>0</v>
      </c>
      <c r="F1537" s="534">
        <v>0</v>
      </c>
      <c r="G1537" s="534">
        <v>9</v>
      </c>
      <c r="I1537" s="534">
        <v>0</v>
      </c>
      <c r="J1537" s="534">
        <v>0</v>
      </c>
      <c r="K1537" s="534">
        <v>0</v>
      </c>
      <c r="M1537" s="617">
        <f t="shared" si="48"/>
        <v>0</v>
      </c>
      <c r="N1537" s="617">
        <f t="shared" si="49"/>
        <v>9</v>
      </c>
      <c r="O1537" s="617"/>
    </row>
    <row r="1538" spans="2:15" ht="15" x14ac:dyDescent="0.25">
      <c r="B1538" s="529">
        <v>1533001</v>
      </c>
      <c r="C1538" s="529">
        <v>1534</v>
      </c>
      <c r="E1538" s="534">
        <v>0</v>
      </c>
      <c r="F1538" s="534">
        <v>0</v>
      </c>
      <c r="G1538" s="534">
        <v>9</v>
      </c>
      <c r="I1538" s="534">
        <v>0</v>
      </c>
      <c r="J1538" s="534">
        <v>0</v>
      </c>
      <c r="K1538" s="534">
        <v>0</v>
      </c>
      <c r="M1538" s="617">
        <f t="shared" si="48"/>
        <v>0</v>
      </c>
      <c r="N1538" s="617">
        <f t="shared" si="49"/>
        <v>9</v>
      </c>
      <c r="O1538" s="617"/>
    </row>
    <row r="1539" spans="2:15" ht="15" x14ac:dyDescent="0.25">
      <c r="B1539" s="529">
        <v>1534001</v>
      </c>
      <c r="C1539" s="529">
        <v>1535</v>
      </c>
      <c r="E1539" s="534">
        <v>0</v>
      </c>
      <c r="F1539" s="534">
        <v>0</v>
      </c>
      <c r="G1539" s="534">
        <v>9</v>
      </c>
      <c r="I1539" s="534">
        <v>0</v>
      </c>
      <c r="J1539" s="534">
        <v>0</v>
      </c>
      <c r="K1539" s="534">
        <v>0</v>
      </c>
      <c r="M1539" s="617">
        <f t="shared" si="48"/>
        <v>0</v>
      </c>
      <c r="N1539" s="617">
        <f t="shared" si="49"/>
        <v>9</v>
      </c>
      <c r="O1539" s="617"/>
    </row>
    <row r="1540" spans="2:15" ht="15" x14ac:dyDescent="0.25">
      <c r="B1540" s="529">
        <v>1535001</v>
      </c>
      <c r="C1540" s="529">
        <v>1536</v>
      </c>
      <c r="E1540" s="534">
        <v>0</v>
      </c>
      <c r="F1540" s="534">
        <v>0</v>
      </c>
      <c r="G1540" s="534">
        <v>9</v>
      </c>
      <c r="I1540" s="534">
        <v>0</v>
      </c>
      <c r="J1540" s="534">
        <v>0</v>
      </c>
      <c r="K1540" s="534">
        <v>0</v>
      </c>
      <c r="M1540" s="617">
        <f t="shared" si="48"/>
        <v>0</v>
      </c>
      <c r="N1540" s="617">
        <f t="shared" si="49"/>
        <v>9</v>
      </c>
      <c r="O1540" s="617"/>
    </row>
    <row r="1541" spans="2:15" ht="15" x14ac:dyDescent="0.25">
      <c r="B1541" s="529">
        <v>1536001</v>
      </c>
      <c r="C1541" s="529">
        <v>1537</v>
      </c>
      <c r="E1541" s="534">
        <v>0</v>
      </c>
      <c r="F1541" s="534">
        <v>0</v>
      </c>
      <c r="G1541" s="534">
        <v>9</v>
      </c>
      <c r="I1541" s="534">
        <v>0</v>
      </c>
      <c r="J1541" s="534">
        <v>0</v>
      </c>
      <c r="K1541" s="534">
        <v>0</v>
      </c>
      <c r="M1541" s="617">
        <f t="shared" ref="M1541:M1604" si="50">I1541+E1541</f>
        <v>0</v>
      </c>
      <c r="N1541" s="617">
        <f t="shared" ref="N1541:N1604" si="51">K1541+G1541</f>
        <v>9</v>
      </c>
      <c r="O1541" s="617"/>
    </row>
    <row r="1542" spans="2:15" ht="15" x14ac:dyDescent="0.25">
      <c r="B1542" s="529">
        <v>1537001</v>
      </c>
      <c r="C1542" s="529">
        <v>1538</v>
      </c>
      <c r="E1542" s="534">
        <v>0</v>
      </c>
      <c r="F1542" s="534">
        <v>0</v>
      </c>
      <c r="G1542" s="534">
        <v>9</v>
      </c>
      <c r="I1542" s="534">
        <v>0</v>
      </c>
      <c r="J1542" s="534">
        <v>0</v>
      </c>
      <c r="K1542" s="534">
        <v>0</v>
      </c>
      <c r="M1542" s="617">
        <f t="shared" si="50"/>
        <v>0</v>
      </c>
      <c r="N1542" s="617">
        <f t="shared" si="51"/>
        <v>9</v>
      </c>
      <c r="O1542" s="617"/>
    </row>
    <row r="1543" spans="2:15" ht="15" x14ac:dyDescent="0.25">
      <c r="B1543" s="529">
        <v>1538001</v>
      </c>
      <c r="C1543" s="529">
        <v>1539</v>
      </c>
      <c r="E1543" s="534">
        <v>0</v>
      </c>
      <c r="F1543" s="534">
        <v>0</v>
      </c>
      <c r="G1543" s="534">
        <v>9</v>
      </c>
      <c r="I1543" s="534">
        <v>0</v>
      </c>
      <c r="J1543" s="534">
        <v>0</v>
      </c>
      <c r="K1543" s="534">
        <v>0</v>
      </c>
      <c r="M1543" s="617">
        <f t="shared" si="50"/>
        <v>0</v>
      </c>
      <c r="N1543" s="617">
        <f t="shared" si="51"/>
        <v>9</v>
      </c>
      <c r="O1543" s="617"/>
    </row>
    <row r="1544" spans="2:15" ht="15" x14ac:dyDescent="0.25">
      <c r="B1544" s="529">
        <v>1539001</v>
      </c>
      <c r="C1544" s="529">
        <v>1540</v>
      </c>
      <c r="E1544" s="534">
        <v>0</v>
      </c>
      <c r="F1544" s="534">
        <v>0</v>
      </c>
      <c r="G1544" s="534">
        <v>9</v>
      </c>
      <c r="I1544" s="534">
        <v>0</v>
      </c>
      <c r="J1544" s="534">
        <v>0</v>
      </c>
      <c r="K1544" s="534">
        <v>0</v>
      </c>
      <c r="M1544" s="617">
        <f t="shared" si="50"/>
        <v>0</v>
      </c>
      <c r="N1544" s="617">
        <f t="shared" si="51"/>
        <v>9</v>
      </c>
      <c r="O1544" s="617"/>
    </row>
    <row r="1545" spans="2:15" ht="15" x14ac:dyDescent="0.25">
      <c r="B1545" s="529">
        <v>1540001</v>
      </c>
      <c r="C1545" s="529">
        <v>1541</v>
      </c>
      <c r="E1545" s="534">
        <v>0</v>
      </c>
      <c r="F1545" s="534">
        <v>0</v>
      </c>
      <c r="G1545" s="534">
        <v>9</v>
      </c>
      <c r="I1545" s="534">
        <v>0</v>
      </c>
      <c r="J1545" s="534">
        <v>0</v>
      </c>
      <c r="K1545" s="534">
        <v>0</v>
      </c>
      <c r="M1545" s="617">
        <f t="shared" si="50"/>
        <v>0</v>
      </c>
      <c r="N1545" s="617">
        <f t="shared" si="51"/>
        <v>9</v>
      </c>
      <c r="O1545" s="617"/>
    </row>
    <row r="1546" spans="2:15" ht="15" x14ac:dyDescent="0.25">
      <c r="B1546" s="529">
        <v>1541001</v>
      </c>
      <c r="C1546" s="529">
        <v>1542</v>
      </c>
      <c r="E1546" s="534">
        <v>0</v>
      </c>
      <c r="F1546" s="534">
        <v>0</v>
      </c>
      <c r="G1546" s="534">
        <v>9</v>
      </c>
      <c r="I1546" s="534">
        <v>0</v>
      </c>
      <c r="J1546" s="534">
        <v>0</v>
      </c>
      <c r="K1546" s="534">
        <v>0</v>
      </c>
      <c r="M1546" s="617">
        <f t="shared" si="50"/>
        <v>0</v>
      </c>
      <c r="N1546" s="617">
        <f t="shared" si="51"/>
        <v>9</v>
      </c>
      <c r="O1546" s="617"/>
    </row>
    <row r="1547" spans="2:15" ht="15" x14ac:dyDescent="0.25">
      <c r="B1547" s="529">
        <v>1542001</v>
      </c>
      <c r="C1547" s="529">
        <v>1543</v>
      </c>
      <c r="E1547" s="534">
        <v>0</v>
      </c>
      <c r="F1547" s="534">
        <v>0</v>
      </c>
      <c r="G1547" s="534">
        <v>9</v>
      </c>
      <c r="I1547" s="534">
        <v>0</v>
      </c>
      <c r="J1547" s="534">
        <v>0</v>
      </c>
      <c r="K1547" s="534">
        <v>0</v>
      </c>
      <c r="M1547" s="617">
        <f t="shared" si="50"/>
        <v>0</v>
      </c>
      <c r="N1547" s="617">
        <f t="shared" si="51"/>
        <v>9</v>
      </c>
      <c r="O1547" s="617"/>
    </row>
    <row r="1548" spans="2:15" ht="15" x14ac:dyDescent="0.25">
      <c r="B1548" s="529">
        <v>1543001</v>
      </c>
      <c r="C1548" s="529">
        <v>1544</v>
      </c>
      <c r="E1548" s="534">
        <v>0</v>
      </c>
      <c r="F1548" s="534">
        <v>0</v>
      </c>
      <c r="G1548" s="534">
        <v>9</v>
      </c>
      <c r="I1548" s="534">
        <v>0</v>
      </c>
      <c r="J1548" s="534">
        <v>0</v>
      </c>
      <c r="K1548" s="534">
        <v>0</v>
      </c>
      <c r="M1548" s="617">
        <f t="shared" si="50"/>
        <v>0</v>
      </c>
      <c r="N1548" s="617">
        <f t="shared" si="51"/>
        <v>9</v>
      </c>
      <c r="O1548" s="617"/>
    </row>
    <row r="1549" spans="2:15" ht="15" x14ac:dyDescent="0.25">
      <c r="B1549" s="529">
        <v>1544001</v>
      </c>
      <c r="C1549" s="529">
        <v>1545</v>
      </c>
      <c r="E1549" s="534">
        <v>0</v>
      </c>
      <c r="F1549" s="534">
        <v>0</v>
      </c>
      <c r="G1549" s="534">
        <v>9</v>
      </c>
      <c r="I1549" s="534">
        <v>0</v>
      </c>
      <c r="J1549" s="534">
        <v>0</v>
      </c>
      <c r="K1549" s="534">
        <v>0</v>
      </c>
      <c r="M1549" s="617">
        <f t="shared" si="50"/>
        <v>0</v>
      </c>
      <c r="N1549" s="617">
        <f t="shared" si="51"/>
        <v>9</v>
      </c>
      <c r="O1549" s="617"/>
    </row>
    <row r="1550" spans="2:15" ht="15" x14ac:dyDescent="0.25">
      <c r="B1550" s="529">
        <v>1545001</v>
      </c>
      <c r="C1550" s="529">
        <v>1546</v>
      </c>
      <c r="E1550" s="534">
        <v>0</v>
      </c>
      <c r="F1550" s="534">
        <v>0</v>
      </c>
      <c r="G1550" s="534">
        <v>9</v>
      </c>
      <c r="I1550" s="534">
        <v>0</v>
      </c>
      <c r="J1550" s="534">
        <v>0</v>
      </c>
      <c r="K1550" s="534">
        <v>0</v>
      </c>
      <c r="M1550" s="617">
        <f t="shared" si="50"/>
        <v>0</v>
      </c>
      <c r="N1550" s="617">
        <f t="shared" si="51"/>
        <v>9</v>
      </c>
      <c r="O1550" s="617"/>
    </row>
    <row r="1551" spans="2:15" ht="15" x14ac:dyDescent="0.25">
      <c r="B1551" s="529">
        <v>1546001</v>
      </c>
      <c r="C1551" s="529">
        <v>1547</v>
      </c>
      <c r="E1551" s="534">
        <v>0</v>
      </c>
      <c r="F1551" s="534">
        <v>0</v>
      </c>
      <c r="G1551" s="534">
        <v>9</v>
      </c>
      <c r="I1551" s="534">
        <v>0</v>
      </c>
      <c r="J1551" s="534">
        <v>0</v>
      </c>
      <c r="K1551" s="534">
        <v>0</v>
      </c>
      <c r="M1551" s="617">
        <f t="shared" si="50"/>
        <v>0</v>
      </c>
      <c r="N1551" s="617">
        <f t="shared" si="51"/>
        <v>9</v>
      </c>
      <c r="O1551" s="617"/>
    </row>
    <row r="1552" spans="2:15" ht="15" x14ac:dyDescent="0.25">
      <c r="B1552" s="529">
        <v>1547001</v>
      </c>
      <c r="C1552" s="529">
        <v>1548</v>
      </c>
      <c r="E1552" s="534">
        <v>0</v>
      </c>
      <c r="F1552" s="534">
        <v>0</v>
      </c>
      <c r="G1552" s="534">
        <v>9</v>
      </c>
      <c r="I1552" s="534">
        <v>0</v>
      </c>
      <c r="J1552" s="534">
        <v>0</v>
      </c>
      <c r="K1552" s="534">
        <v>0</v>
      </c>
      <c r="M1552" s="617">
        <f t="shared" si="50"/>
        <v>0</v>
      </c>
      <c r="N1552" s="617">
        <f t="shared" si="51"/>
        <v>9</v>
      </c>
      <c r="O1552" s="617"/>
    </row>
    <row r="1553" spans="2:15" ht="15" x14ac:dyDescent="0.25">
      <c r="B1553" s="529">
        <v>1548001</v>
      </c>
      <c r="C1553" s="529">
        <v>1549</v>
      </c>
      <c r="E1553" s="534">
        <v>0</v>
      </c>
      <c r="F1553" s="534">
        <v>0</v>
      </c>
      <c r="G1553" s="534">
        <v>9</v>
      </c>
      <c r="I1553" s="534">
        <v>0</v>
      </c>
      <c r="J1553" s="534">
        <v>0</v>
      </c>
      <c r="K1553" s="534">
        <v>0</v>
      </c>
      <c r="M1553" s="617">
        <f t="shared" si="50"/>
        <v>0</v>
      </c>
      <c r="N1553" s="617">
        <f t="shared" si="51"/>
        <v>9</v>
      </c>
      <c r="O1553" s="617"/>
    </row>
    <row r="1554" spans="2:15" ht="15" x14ac:dyDescent="0.25">
      <c r="B1554" s="529">
        <v>1549001</v>
      </c>
      <c r="C1554" s="529">
        <v>1550</v>
      </c>
      <c r="E1554" s="534">
        <v>0</v>
      </c>
      <c r="F1554" s="534">
        <v>0</v>
      </c>
      <c r="G1554" s="534">
        <v>9</v>
      </c>
      <c r="I1554" s="534">
        <v>0</v>
      </c>
      <c r="J1554" s="534">
        <v>0</v>
      </c>
      <c r="K1554" s="534">
        <v>0</v>
      </c>
      <c r="M1554" s="617">
        <f t="shared" si="50"/>
        <v>0</v>
      </c>
      <c r="N1554" s="617">
        <f t="shared" si="51"/>
        <v>9</v>
      </c>
      <c r="O1554" s="617"/>
    </row>
    <row r="1555" spans="2:15" ht="15" x14ac:dyDescent="0.25">
      <c r="B1555" s="529">
        <v>1550001</v>
      </c>
      <c r="C1555" s="529">
        <v>1551</v>
      </c>
      <c r="E1555" s="534">
        <v>0</v>
      </c>
      <c r="F1555" s="534">
        <v>0</v>
      </c>
      <c r="G1555" s="534">
        <v>9</v>
      </c>
      <c r="I1555" s="534">
        <v>0</v>
      </c>
      <c r="J1555" s="534">
        <v>0</v>
      </c>
      <c r="K1555" s="534">
        <v>0</v>
      </c>
      <c r="M1555" s="617">
        <f t="shared" si="50"/>
        <v>0</v>
      </c>
      <c r="N1555" s="617">
        <f t="shared" si="51"/>
        <v>9</v>
      </c>
      <c r="O1555" s="617"/>
    </row>
    <row r="1556" spans="2:15" ht="15" x14ac:dyDescent="0.25">
      <c r="B1556" s="529">
        <v>1551001</v>
      </c>
      <c r="C1556" s="529">
        <v>1552</v>
      </c>
      <c r="E1556" s="534">
        <v>0</v>
      </c>
      <c r="F1556" s="534">
        <v>0</v>
      </c>
      <c r="G1556" s="534">
        <v>9</v>
      </c>
      <c r="I1556" s="534">
        <v>0</v>
      </c>
      <c r="J1556" s="534">
        <v>0</v>
      </c>
      <c r="K1556" s="534">
        <v>0</v>
      </c>
      <c r="M1556" s="617">
        <f t="shared" si="50"/>
        <v>0</v>
      </c>
      <c r="N1556" s="617">
        <f t="shared" si="51"/>
        <v>9</v>
      </c>
      <c r="O1556" s="617"/>
    </row>
    <row r="1557" spans="2:15" ht="15" x14ac:dyDescent="0.25">
      <c r="B1557" s="529">
        <v>1552001</v>
      </c>
      <c r="C1557" s="529">
        <v>1553</v>
      </c>
      <c r="E1557" s="534">
        <v>0</v>
      </c>
      <c r="F1557" s="534">
        <v>0</v>
      </c>
      <c r="G1557" s="534">
        <v>9</v>
      </c>
      <c r="I1557" s="534">
        <v>0</v>
      </c>
      <c r="J1557" s="534">
        <v>0</v>
      </c>
      <c r="K1557" s="534">
        <v>0</v>
      </c>
      <c r="M1557" s="617">
        <f t="shared" si="50"/>
        <v>0</v>
      </c>
      <c r="N1557" s="617">
        <f t="shared" si="51"/>
        <v>9</v>
      </c>
      <c r="O1557" s="617"/>
    </row>
    <row r="1558" spans="2:15" ht="15" x14ac:dyDescent="0.25">
      <c r="B1558" s="529">
        <v>1553001</v>
      </c>
      <c r="C1558" s="529">
        <v>1554</v>
      </c>
      <c r="E1558" s="534">
        <v>0</v>
      </c>
      <c r="F1558" s="534">
        <v>0</v>
      </c>
      <c r="G1558" s="534">
        <v>9</v>
      </c>
      <c r="I1558" s="534">
        <v>0</v>
      </c>
      <c r="J1558" s="534">
        <v>0</v>
      </c>
      <c r="K1558" s="534">
        <v>0</v>
      </c>
      <c r="M1558" s="617">
        <f t="shared" si="50"/>
        <v>0</v>
      </c>
      <c r="N1558" s="617">
        <f t="shared" si="51"/>
        <v>9</v>
      </c>
      <c r="O1558" s="617"/>
    </row>
    <row r="1559" spans="2:15" ht="15" x14ac:dyDescent="0.25">
      <c r="B1559" s="529">
        <v>1554001</v>
      </c>
      <c r="C1559" s="529">
        <v>1555</v>
      </c>
      <c r="E1559" s="534">
        <v>0</v>
      </c>
      <c r="F1559" s="534">
        <v>0</v>
      </c>
      <c r="G1559" s="534">
        <v>9</v>
      </c>
      <c r="I1559" s="534">
        <v>0</v>
      </c>
      <c r="J1559" s="534">
        <v>0</v>
      </c>
      <c r="K1559" s="534">
        <v>0</v>
      </c>
      <c r="M1559" s="617">
        <f t="shared" si="50"/>
        <v>0</v>
      </c>
      <c r="N1559" s="617">
        <f t="shared" si="51"/>
        <v>9</v>
      </c>
      <c r="O1559" s="617"/>
    </row>
    <row r="1560" spans="2:15" ht="15" x14ac:dyDescent="0.25">
      <c r="B1560" s="529">
        <v>1555001</v>
      </c>
      <c r="C1560" s="529">
        <v>1556</v>
      </c>
      <c r="E1560" s="534">
        <v>0</v>
      </c>
      <c r="F1560" s="534">
        <v>0</v>
      </c>
      <c r="G1560" s="534">
        <v>9</v>
      </c>
      <c r="I1560" s="534">
        <v>0</v>
      </c>
      <c r="J1560" s="534">
        <v>0</v>
      </c>
      <c r="K1560" s="534">
        <v>0</v>
      </c>
      <c r="M1560" s="617">
        <f t="shared" si="50"/>
        <v>0</v>
      </c>
      <c r="N1560" s="617">
        <f t="shared" si="51"/>
        <v>9</v>
      </c>
      <c r="O1560" s="617"/>
    </row>
    <row r="1561" spans="2:15" ht="15" x14ac:dyDescent="0.25">
      <c r="B1561" s="529">
        <v>1556001</v>
      </c>
      <c r="C1561" s="529">
        <v>1557</v>
      </c>
      <c r="E1561" s="534">
        <v>0</v>
      </c>
      <c r="F1561" s="534">
        <v>0</v>
      </c>
      <c r="G1561" s="534">
        <v>9</v>
      </c>
      <c r="I1561" s="534">
        <v>0</v>
      </c>
      <c r="J1561" s="534">
        <v>0</v>
      </c>
      <c r="K1561" s="534">
        <v>0</v>
      </c>
      <c r="M1561" s="617">
        <f t="shared" si="50"/>
        <v>0</v>
      </c>
      <c r="N1561" s="617">
        <f t="shared" si="51"/>
        <v>9</v>
      </c>
      <c r="O1561" s="617"/>
    </row>
    <row r="1562" spans="2:15" ht="15" x14ac:dyDescent="0.25">
      <c r="B1562" s="529">
        <v>1557001</v>
      </c>
      <c r="C1562" s="529">
        <v>1558</v>
      </c>
      <c r="E1562" s="534">
        <v>0</v>
      </c>
      <c r="F1562" s="534">
        <v>0</v>
      </c>
      <c r="G1562" s="534">
        <v>9</v>
      </c>
      <c r="I1562" s="534">
        <v>0</v>
      </c>
      <c r="J1562" s="534">
        <v>0</v>
      </c>
      <c r="K1562" s="534">
        <v>0</v>
      </c>
      <c r="M1562" s="617">
        <f t="shared" si="50"/>
        <v>0</v>
      </c>
      <c r="N1562" s="617">
        <f t="shared" si="51"/>
        <v>9</v>
      </c>
      <c r="O1562" s="617"/>
    </row>
    <row r="1563" spans="2:15" ht="15" x14ac:dyDescent="0.25">
      <c r="B1563" s="529">
        <v>1558001</v>
      </c>
      <c r="C1563" s="529">
        <v>1559</v>
      </c>
      <c r="E1563" s="534">
        <v>0</v>
      </c>
      <c r="F1563" s="534">
        <v>0</v>
      </c>
      <c r="G1563" s="534">
        <v>9</v>
      </c>
      <c r="I1563" s="534">
        <v>0</v>
      </c>
      <c r="J1563" s="534">
        <v>0</v>
      </c>
      <c r="K1563" s="534">
        <v>0</v>
      </c>
      <c r="M1563" s="617">
        <f t="shared" si="50"/>
        <v>0</v>
      </c>
      <c r="N1563" s="617">
        <f t="shared" si="51"/>
        <v>9</v>
      </c>
      <c r="O1563" s="617"/>
    </row>
    <row r="1564" spans="2:15" ht="15" x14ac:dyDescent="0.25">
      <c r="B1564" s="529">
        <v>1559001</v>
      </c>
      <c r="C1564" s="529">
        <v>1560</v>
      </c>
      <c r="E1564" s="534">
        <v>0</v>
      </c>
      <c r="F1564" s="534">
        <v>0</v>
      </c>
      <c r="G1564" s="534">
        <v>9</v>
      </c>
      <c r="I1564" s="534">
        <v>0</v>
      </c>
      <c r="J1564" s="534">
        <v>0</v>
      </c>
      <c r="K1564" s="534">
        <v>0</v>
      </c>
      <c r="M1564" s="617">
        <f t="shared" si="50"/>
        <v>0</v>
      </c>
      <c r="N1564" s="617">
        <f t="shared" si="51"/>
        <v>9</v>
      </c>
      <c r="O1564" s="617"/>
    </row>
    <row r="1565" spans="2:15" ht="15" x14ac:dyDescent="0.25">
      <c r="B1565" s="529">
        <v>1560001</v>
      </c>
      <c r="C1565" s="529">
        <v>1561</v>
      </c>
      <c r="E1565" s="534">
        <v>0</v>
      </c>
      <c r="F1565" s="534">
        <v>0</v>
      </c>
      <c r="G1565" s="534">
        <v>9</v>
      </c>
      <c r="I1565" s="534">
        <v>0</v>
      </c>
      <c r="J1565" s="534">
        <v>0</v>
      </c>
      <c r="K1565" s="534">
        <v>0</v>
      </c>
      <c r="M1565" s="617">
        <f t="shared" si="50"/>
        <v>0</v>
      </c>
      <c r="N1565" s="617">
        <f t="shared" si="51"/>
        <v>9</v>
      </c>
      <c r="O1565" s="617"/>
    </row>
    <row r="1566" spans="2:15" ht="15" x14ac:dyDescent="0.25">
      <c r="B1566" s="529">
        <v>1561001</v>
      </c>
      <c r="C1566" s="529">
        <v>1562</v>
      </c>
      <c r="E1566" s="534">
        <v>0</v>
      </c>
      <c r="F1566" s="534">
        <v>0</v>
      </c>
      <c r="G1566" s="534">
        <v>9</v>
      </c>
      <c r="I1566" s="534">
        <v>0</v>
      </c>
      <c r="J1566" s="534">
        <v>0</v>
      </c>
      <c r="K1566" s="534">
        <v>0</v>
      </c>
      <c r="M1566" s="617">
        <f t="shared" si="50"/>
        <v>0</v>
      </c>
      <c r="N1566" s="617">
        <f t="shared" si="51"/>
        <v>9</v>
      </c>
      <c r="O1566" s="617"/>
    </row>
    <row r="1567" spans="2:15" ht="15" x14ac:dyDescent="0.25">
      <c r="B1567" s="529">
        <v>1562001</v>
      </c>
      <c r="C1567" s="529">
        <v>1563</v>
      </c>
      <c r="E1567" s="534">
        <v>0</v>
      </c>
      <c r="F1567" s="534">
        <v>0</v>
      </c>
      <c r="G1567" s="534">
        <v>9</v>
      </c>
      <c r="I1567" s="534">
        <v>0</v>
      </c>
      <c r="J1567" s="534">
        <v>0</v>
      </c>
      <c r="K1567" s="534">
        <v>0</v>
      </c>
      <c r="M1567" s="617">
        <f t="shared" si="50"/>
        <v>0</v>
      </c>
      <c r="N1567" s="617">
        <f t="shared" si="51"/>
        <v>9</v>
      </c>
      <c r="O1567" s="617"/>
    </row>
    <row r="1568" spans="2:15" ht="15" x14ac:dyDescent="0.25">
      <c r="B1568" s="529">
        <v>1563001</v>
      </c>
      <c r="C1568" s="529">
        <v>1564</v>
      </c>
      <c r="E1568" s="534">
        <v>0</v>
      </c>
      <c r="F1568" s="534">
        <v>0</v>
      </c>
      <c r="G1568" s="534">
        <v>9</v>
      </c>
      <c r="I1568" s="534">
        <v>0</v>
      </c>
      <c r="J1568" s="534">
        <v>0</v>
      </c>
      <c r="K1568" s="534">
        <v>0</v>
      </c>
      <c r="M1568" s="617">
        <f t="shared" si="50"/>
        <v>0</v>
      </c>
      <c r="N1568" s="617">
        <f t="shared" si="51"/>
        <v>9</v>
      </c>
      <c r="O1568" s="617"/>
    </row>
    <row r="1569" spans="2:15" ht="15" x14ac:dyDescent="0.25">
      <c r="B1569" s="529">
        <v>1564001</v>
      </c>
      <c r="C1569" s="529">
        <v>1565</v>
      </c>
      <c r="E1569" s="534">
        <v>0</v>
      </c>
      <c r="F1569" s="534">
        <v>0</v>
      </c>
      <c r="G1569" s="534">
        <v>9</v>
      </c>
      <c r="I1569" s="534">
        <v>0</v>
      </c>
      <c r="J1569" s="534">
        <v>0</v>
      </c>
      <c r="K1569" s="534">
        <v>0</v>
      </c>
      <c r="M1569" s="617">
        <f t="shared" si="50"/>
        <v>0</v>
      </c>
      <c r="N1569" s="617">
        <f t="shared" si="51"/>
        <v>9</v>
      </c>
      <c r="O1569" s="617"/>
    </row>
    <row r="1570" spans="2:15" ht="15" x14ac:dyDescent="0.25">
      <c r="B1570" s="529">
        <v>1565001</v>
      </c>
      <c r="C1570" s="529">
        <v>1566</v>
      </c>
      <c r="E1570" s="534">
        <v>0</v>
      </c>
      <c r="F1570" s="534">
        <v>0</v>
      </c>
      <c r="G1570" s="534">
        <v>9</v>
      </c>
      <c r="I1570" s="534">
        <v>0</v>
      </c>
      <c r="J1570" s="534">
        <v>0</v>
      </c>
      <c r="K1570" s="534">
        <v>0</v>
      </c>
      <c r="M1570" s="617">
        <f t="shared" si="50"/>
        <v>0</v>
      </c>
      <c r="N1570" s="617">
        <f t="shared" si="51"/>
        <v>9</v>
      </c>
      <c r="O1570" s="617"/>
    </row>
    <row r="1571" spans="2:15" ht="15" x14ac:dyDescent="0.25">
      <c r="B1571" s="529">
        <v>1566001</v>
      </c>
      <c r="C1571" s="529">
        <v>1567</v>
      </c>
      <c r="E1571" s="534">
        <v>0</v>
      </c>
      <c r="F1571" s="534">
        <v>0</v>
      </c>
      <c r="G1571" s="534">
        <v>9</v>
      </c>
      <c r="I1571" s="534">
        <v>0</v>
      </c>
      <c r="J1571" s="534">
        <v>0</v>
      </c>
      <c r="K1571" s="534">
        <v>0</v>
      </c>
      <c r="M1571" s="617">
        <f t="shared" si="50"/>
        <v>0</v>
      </c>
      <c r="N1571" s="617">
        <f t="shared" si="51"/>
        <v>9</v>
      </c>
      <c r="O1571" s="617"/>
    </row>
    <row r="1572" spans="2:15" ht="15" x14ac:dyDescent="0.25">
      <c r="B1572" s="529">
        <v>1567001</v>
      </c>
      <c r="C1572" s="529">
        <v>1568</v>
      </c>
      <c r="E1572" s="534">
        <v>0</v>
      </c>
      <c r="F1572" s="534">
        <v>0</v>
      </c>
      <c r="G1572" s="534">
        <v>9</v>
      </c>
      <c r="I1572" s="534">
        <v>0</v>
      </c>
      <c r="J1572" s="534">
        <v>0</v>
      </c>
      <c r="K1572" s="534">
        <v>0</v>
      </c>
      <c r="M1572" s="617">
        <f t="shared" si="50"/>
        <v>0</v>
      </c>
      <c r="N1572" s="617">
        <f t="shared" si="51"/>
        <v>9</v>
      </c>
      <c r="O1572" s="617"/>
    </row>
    <row r="1573" spans="2:15" ht="15" x14ac:dyDescent="0.25">
      <c r="B1573" s="529">
        <v>1568001</v>
      </c>
      <c r="C1573" s="529">
        <v>1569</v>
      </c>
      <c r="E1573" s="534">
        <v>0</v>
      </c>
      <c r="F1573" s="534">
        <v>0</v>
      </c>
      <c r="G1573" s="534">
        <v>9</v>
      </c>
      <c r="I1573" s="534">
        <v>0</v>
      </c>
      <c r="J1573" s="534">
        <v>0</v>
      </c>
      <c r="K1573" s="534">
        <v>0</v>
      </c>
      <c r="M1573" s="617">
        <f t="shared" si="50"/>
        <v>0</v>
      </c>
      <c r="N1573" s="617">
        <f t="shared" si="51"/>
        <v>9</v>
      </c>
      <c r="O1573" s="617"/>
    </row>
    <row r="1574" spans="2:15" ht="15" x14ac:dyDescent="0.25">
      <c r="B1574" s="529">
        <v>1569001</v>
      </c>
      <c r="C1574" s="529">
        <v>1570</v>
      </c>
      <c r="E1574" s="534">
        <v>0</v>
      </c>
      <c r="F1574" s="534">
        <v>0</v>
      </c>
      <c r="G1574" s="534">
        <v>9</v>
      </c>
      <c r="I1574" s="534">
        <v>0</v>
      </c>
      <c r="J1574" s="534">
        <v>0</v>
      </c>
      <c r="K1574" s="534">
        <v>0</v>
      </c>
      <c r="M1574" s="617">
        <f t="shared" si="50"/>
        <v>0</v>
      </c>
      <c r="N1574" s="617">
        <f t="shared" si="51"/>
        <v>9</v>
      </c>
      <c r="O1574" s="617"/>
    </row>
    <row r="1575" spans="2:15" ht="15" x14ac:dyDescent="0.25">
      <c r="B1575" s="529">
        <v>1570001</v>
      </c>
      <c r="C1575" s="529">
        <v>1571</v>
      </c>
      <c r="E1575" s="534">
        <v>0</v>
      </c>
      <c r="F1575" s="534">
        <v>0</v>
      </c>
      <c r="G1575" s="534">
        <v>9</v>
      </c>
      <c r="I1575" s="534">
        <v>0</v>
      </c>
      <c r="J1575" s="534">
        <v>0</v>
      </c>
      <c r="K1575" s="534">
        <v>0</v>
      </c>
      <c r="M1575" s="617">
        <f t="shared" si="50"/>
        <v>0</v>
      </c>
      <c r="N1575" s="617">
        <f t="shared" si="51"/>
        <v>9</v>
      </c>
      <c r="O1575" s="617"/>
    </row>
    <row r="1576" spans="2:15" ht="15" x14ac:dyDescent="0.25">
      <c r="B1576" s="529">
        <v>1571001</v>
      </c>
      <c r="C1576" s="529">
        <v>1572</v>
      </c>
      <c r="E1576" s="534">
        <v>0</v>
      </c>
      <c r="F1576" s="534">
        <v>0</v>
      </c>
      <c r="G1576" s="534">
        <v>9</v>
      </c>
      <c r="I1576" s="534">
        <v>0</v>
      </c>
      <c r="J1576" s="534">
        <v>0</v>
      </c>
      <c r="K1576" s="534">
        <v>0</v>
      </c>
      <c r="M1576" s="617">
        <f t="shared" si="50"/>
        <v>0</v>
      </c>
      <c r="N1576" s="617">
        <f t="shared" si="51"/>
        <v>9</v>
      </c>
      <c r="O1576" s="617"/>
    </row>
    <row r="1577" spans="2:15" ht="15" x14ac:dyDescent="0.25">
      <c r="B1577" s="529">
        <v>1572001</v>
      </c>
      <c r="C1577" s="529">
        <v>1573</v>
      </c>
      <c r="E1577" s="534">
        <v>0</v>
      </c>
      <c r="F1577" s="534">
        <v>0</v>
      </c>
      <c r="G1577" s="534">
        <v>9</v>
      </c>
      <c r="I1577" s="534">
        <v>0</v>
      </c>
      <c r="J1577" s="534">
        <v>0</v>
      </c>
      <c r="K1577" s="534">
        <v>0</v>
      </c>
      <c r="M1577" s="617">
        <f t="shared" si="50"/>
        <v>0</v>
      </c>
      <c r="N1577" s="617">
        <f t="shared" si="51"/>
        <v>9</v>
      </c>
      <c r="O1577" s="617"/>
    </row>
    <row r="1578" spans="2:15" ht="15" x14ac:dyDescent="0.25">
      <c r="B1578" s="529">
        <v>1573001</v>
      </c>
      <c r="C1578" s="529">
        <v>1574</v>
      </c>
      <c r="E1578" s="534">
        <v>0</v>
      </c>
      <c r="F1578" s="534">
        <v>0</v>
      </c>
      <c r="G1578" s="534">
        <v>9</v>
      </c>
      <c r="I1578" s="534">
        <v>0</v>
      </c>
      <c r="J1578" s="534">
        <v>0</v>
      </c>
      <c r="K1578" s="534">
        <v>0</v>
      </c>
      <c r="M1578" s="617">
        <f t="shared" si="50"/>
        <v>0</v>
      </c>
      <c r="N1578" s="617">
        <f t="shared" si="51"/>
        <v>9</v>
      </c>
      <c r="O1578" s="617"/>
    </row>
    <row r="1579" spans="2:15" ht="15" x14ac:dyDescent="0.25">
      <c r="B1579" s="529">
        <v>1574001</v>
      </c>
      <c r="C1579" s="529">
        <v>1575</v>
      </c>
      <c r="E1579" s="534">
        <v>0</v>
      </c>
      <c r="F1579" s="534">
        <v>0</v>
      </c>
      <c r="G1579" s="534">
        <v>9</v>
      </c>
      <c r="I1579" s="534">
        <v>0</v>
      </c>
      <c r="J1579" s="534">
        <v>0</v>
      </c>
      <c r="K1579" s="534">
        <v>0</v>
      </c>
      <c r="M1579" s="617">
        <f t="shared" si="50"/>
        <v>0</v>
      </c>
      <c r="N1579" s="617">
        <f t="shared" si="51"/>
        <v>9</v>
      </c>
      <c r="O1579" s="617"/>
    </row>
    <row r="1580" spans="2:15" ht="15" x14ac:dyDescent="0.25">
      <c r="B1580" s="529">
        <v>1575001</v>
      </c>
      <c r="C1580" s="529">
        <v>1576</v>
      </c>
      <c r="E1580" s="534">
        <v>0</v>
      </c>
      <c r="F1580" s="534">
        <v>0</v>
      </c>
      <c r="G1580" s="534">
        <v>9</v>
      </c>
      <c r="I1580" s="534">
        <v>0</v>
      </c>
      <c r="J1580" s="534">
        <v>0</v>
      </c>
      <c r="K1580" s="534">
        <v>0</v>
      </c>
      <c r="M1580" s="617">
        <f t="shared" si="50"/>
        <v>0</v>
      </c>
      <c r="N1580" s="617">
        <f t="shared" si="51"/>
        <v>9</v>
      </c>
      <c r="O1580" s="617"/>
    </row>
    <row r="1581" spans="2:15" ht="15" x14ac:dyDescent="0.25">
      <c r="B1581" s="529">
        <v>1576001</v>
      </c>
      <c r="C1581" s="529">
        <v>1577</v>
      </c>
      <c r="E1581" s="534">
        <v>0</v>
      </c>
      <c r="F1581" s="534">
        <v>0</v>
      </c>
      <c r="G1581" s="534">
        <v>9</v>
      </c>
      <c r="I1581" s="534">
        <v>0</v>
      </c>
      <c r="J1581" s="534">
        <v>0</v>
      </c>
      <c r="K1581" s="534">
        <v>0</v>
      </c>
      <c r="M1581" s="617">
        <f t="shared" si="50"/>
        <v>0</v>
      </c>
      <c r="N1581" s="617">
        <f t="shared" si="51"/>
        <v>9</v>
      </c>
      <c r="O1581" s="617"/>
    </row>
    <row r="1582" spans="2:15" ht="15" x14ac:dyDescent="0.25">
      <c r="B1582" s="529">
        <v>1577001</v>
      </c>
      <c r="C1582" s="529">
        <v>1578</v>
      </c>
      <c r="E1582" s="534">
        <v>0</v>
      </c>
      <c r="F1582" s="534">
        <v>0</v>
      </c>
      <c r="G1582" s="534">
        <v>9</v>
      </c>
      <c r="I1582" s="534">
        <v>0</v>
      </c>
      <c r="J1582" s="534">
        <v>0</v>
      </c>
      <c r="K1582" s="534">
        <v>0</v>
      </c>
      <c r="M1582" s="617">
        <f t="shared" si="50"/>
        <v>0</v>
      </c>
      <c r="N1582" s="617">
        <f t="shared" si="51"/>
        <v>9</v>
      </c>
      <c r="O1582" s="617"/>
    </row>
    <row r="1583" spans="2:15" ht="15" x14ac:dyDescent="0.25">
      <c r="B1583" s="529">
        <v>1578001</v>
      </c>
      <c r="C1583" s="529">
        <v>1579</v>
      </c>
      <c r="E1583" s="534">
        <v>0</v>
      </c>
      <c r="F1583" s="534">
        <v>0</v>
      </c>
      <c r="G1583" s="534">
        <v>9</v>
      </c>
      <c r="I1583" s="534">
        <v>0</v>
      </c>
      <c r="J1583" s="534">
        <v>0</v>
      </c>
      <c r="K1583" s="534">
        <v>0</v>
      </c>
      <c r="M1583" s="617">
        <f t="shared" si="50"/>
        <v>0</v>
      </c>
      <c r="N1583" s="617">
        <f t="shared" si="51"/>
        <v>9</v>
      </c>
      <c r="O1583" s="617"/>
    </row>
    <row r="1584" spans="2:15" ht="15" x14ac:dyDescent="0.25">
      <c r="B1584" s="529">
        <v>1579001</v>
      </c>
      <c r="C1584" s="529">
        <v>1580</v>
      </c>
      <c r="E1584" s="534">
        <v>0</v>
      </c>
      <c r="F1584" s="534">
        <v>0</v>
      </c>
      <c r="G1584" s="534">
        <v>9</v>
      </c>
      <c r="I1584" s="534">
        <v>0</v>
      </c>
      <c r="J1584" s="534">
        <v>0</v>
      </c>
      <c r="K1584" s="534">
        <v>0</v>
      </c>
      <c r="M1584" s="617">
        <f t="shared" si="50"/>
        <v>0</v>
      </c>
      <c r="N1584" s="617">
        <f t="shared" si="51"/>
        <v>9</v>
      </c>
      <c r="O1584" s="617"/>
    </row>
    <row r="1585" spans="2:15" ht="15" x14ac:dyDescent="0.25">
      <c r="B1585" s="529">
        <v>1580001</v>
      </c>
      <c r="C1585" s="529">
        <v>1581</v>
      </c>
      <c r="E1585" s="534">
        <v>0</v>
      </c>
      <c r="F1585" s="534">
        <v>0</v>
      </c>
      <c r="G1585" s="534">
        <v>9</v>
      </c>
      <c r="I1585" s="534">
        <v>0</v>
      </c>
      <c r="J1585" s="534">
        <v>0</v>
      </c>
      <c r="K1585" s="534">
        <v>0</v>
      </c>
      <c r="M1585" s="617">
        <f t="shared" si="50"/>
        <v>0</v>
      </c>
      <c r="N1585" s="617">
        <f t="shared" si="51"/>
        <v>9</v>
      </c>
      <c r="O1585" s="617"/>
    </row>
    <row r="1586" spans="2:15" ht="15" x14ac:dyDescent="0.25">
      <c r="B1586" s="529">
        <v>1581001</v>
      </c>
      <c r="C1586" s="529">
        <v>1582</v>
      </c>
      <c r="E1586" s="534">
        <v>0</v>
      </c>
      <c r="F1586" s="534">
        <v>0</v>
      </c>
      <c r="G1586" s="534">
        <v>9</v>
      </c>
      <c r="I1586" s="534">
        <v>0</v>
      </c>
      <c r="J1586" s="534">
        <v>0</v>
      </c>
      <c r="K1586" s="534">
        <v>0</v>
      </c>
      <c r="M1586" s="617">
        <f t="shared" si="50"/>
        <v>0</v>
      </c>
      <c r="N1586" s="617">
        <f t="shared" si="51"/>
        <v>9</v>
      </c>
      <c r="O1586" s="617"/>
    </row>
    <row r="1587" spans="2:15" ht="15" x14ac:dyDescent="0.25">
      <c r="B1587" s="529">
        <v>1582001</v>
      </c>
      <c r="C1587" s="529">
        <v>1583</v>
      </c>
      <c r="E1587" s="534">
        <v>0</v>
      </c>
      <c r="F1587" s="534">
        <v>0</v>
      </c>
      <c r="G1587" s="534">
        <v>9</v>
      </c>
      <c r="I1587" s="534">
        <v>0</v>
      </c>
      <c r="J1587" s="534">
        <v>0</v>
      </c>
      <c r="K1587" s="534">
        <v>0</v>
      </c>
      <c r="M1587" s="617">
        <f t="shared" si="50"/>
        <v>0</v>
      </c>
      <c r="N1587" s="617">
        <f t="shared" si="51"/>
        <v>9</v>
      </c>
      <c r="O1587" s="617"/>
    </row>
    <row r="1588" spans="2:15" ht="15" x14ac:dyDescent="0.25">
      <c r="B1588" s="529">
        <v>1583001</v>
      </c>
      <c r="C1588" s="529">
        <v>1584</v>
      </c>
      <c r="E1588" s="534">
        <v>0</v>
      </c>
      <c r="F1588" s="534">
        <v>0</v>
      </c>
      <c r="G1588" s="534">
        <v>9</v>
      </c>
      <c r="I1588" s="534">
        <v>0</v>
      </c>
      <c r="J1588" s="534">
        <v>0</v>
      </c>
      <c r="K1588" s="534">
        <v>0</v>
      </c>
      <c r="M1588" s="617">
        <f t="shared" si="50"/>
        <v>0</v>
      </c>
      <c r="N1588" s="617">
        <f t="shared" si="51"/>
        <v>9</v>
      </c>
      <c r="O1588" s="617"/>
    </row>
    <row r="1589" spans="2:15" ht="15" x14ac:dyDescent="0.25">
      <c r="B1589" s="529">
        <v>1584001</v>
      </c>
      <c r="C1589" s="529">
        <v>1585</v>
      </c>
      <c r="E1589" s="534">
        <v>0</v>
      </c>
      <c r="F1589" s="534">
        <v>0</v>
      </c>
      <c r="G1589" s="534">
        <v>9</v>
      </c>
      <c r="I1589" s="534">
        <v>0</v>
      </c>
      <c r="J1589" s="534">
        <v>0</v>
      </c>
      <c r="K1589" s="534">
        <v>0</v>
      </c>
      <c r="M1589" s="617">
        <f t="shared" si="50"/>
        <v>0</v>
      </c>
      <c r="N1589" s="617">
        <f t="shared" si="51"/>
        <v>9</v>
      </c>
      <c r="O1589" s="617"/>
    </row>
    <row r="1590" spans="2:15" ht="15" x14ac:dyDescent="0.25">
      <c r="B1590" s="529">
        <v>1585001</v>
      </c>
      <c r="C1590" s="529">
        <v>1586</v>
      </c>
      <c r="E1590" s="534">
        <v>0</v>
      </c>
      <c r="F1590" s="534">
        <v>0</v>
      </c>
      <c r="G1590" s="534">
        <v>9</v>
      </c>
      <c r="I1590" s="534">
        <v>0</v>
      </c>
      <c r="J1590" s="534">
        <v>0</v>
      </c>
      <c r="K1590" s="534">
        <v>0</v>
      </c>
      <c r="M1590" s="617">
        <f t="shared" si="50"/>
        <v>0</v>
      </c>
      <c r="N1590" s="617">
        <f t="shared" si="51"/>
        <v>9</v>
      </c>
      <c r="O1590" s="617"/>
    </row>
    <row r="1591" spans="2:15" ht="15" x14ac:dyDescent="0.25">
      <c r="B1591" s="529">
        <v>1586001</v>
      </c>
      <c r="C1591" s="529">
        <v>1587</v>
      </c>
      <c r="E1591" s="534">
        <v>0</v>
      </c>
      <c r="F1591" s="534">
        <v>0</v>
      </c>
      <c r="G1591" s="534">
        <v>9</v>
      </c>
      <c r="I1591" s="534">
        <v>0</v>
      </c>
      <c r="J1591" s="534">
        <v>0</v>
      </c>
      <c r="K1591" s="534">
        <v>0</v>
      </c>
      <c r="M1591" s="617">
        <f t="shared" si="50"/>
        <v>0</v>
      </c>
      <c r="N1591" s="617">
        <f t="shared" si="51"/>
        <v>9</v>
      </c>
      <c r="O1591" s="617"/>
    </row>
    <row r="1592" spans="2:15" ht="15" x14ac:dyDescent="0.25">
      <c r="B1592" s="529">
        <v>1587001</v>
      </c>
      <c r="C1592" s="529">
        <v>1588</v>
      </c>
      <c r="E1592" s="534">
        <v>0</v>
      </c>
      <c r="F1592" s="534">
        <v>0</v>
      </c>
      <c r="G1592" s="534">
        <v>9</v>
      </c>
      <c r="I1592" s="534">
        <v>0</v>
      </c>
      <c r="J1592" s="534">
        <v>0</v>
      </c>
      <c r="K1592" s="534">
        <v>0</v>
      </c>
      <c r="M1592" s="617">
        <f t="shared" si="50"/>
        <v>0</v>
      </c>
      <c r="N1592" s="617">
        <f t="shared" si="51"/>
        <v>9</v>
      </c>
      <c r="O1592" s="617"/>
    </row>
    <row r="1593" spans="2:15" ht="15" x14ac:dyDescent="0.25">
      <c r="B1593" s="529">
        <v>1588001</v>
      </c>
      <c r="C1593" s="529">
        <v>1589</v>
      </c>
      <c r="E1593" s="534">
        <v>0</v>
      </c>
      <c r="F1593" s="534">
        <v>0</v>
      </c>
      <c r="G1593" s="534">
        <v>9</v>
      </c>
      <c r="I1593" s="534">
        <v>0</v>
      </c>
      <c r="J1593" s="534">
        <v>0</v>
      </c>
      <c r="K1593" s="534">
        <v>0</v>
      </c>
      <c r="M1593" s="617">
        <f t="shared" si="50"/>
        <v>0</v>
      </c>
      <c r="N1593" s="617">
        <f t="shared" si="51"/>
        <v>9</v>
      </c>
      <c r="O1593" s="617"/>
    </row>
    <row r="1594" spans="2:15" ht="15" x14ac:dyDescent="0.25">
      <c r="B1594" s="529">
        <v>1589001</v>
      </c>
      <c r="C1594" s="529">
        <v>1590</v>
      </c>
      <c r="E1594" s="534">
        <v>2</v>
      </c>
      <c r="F1594" s="534">
        <v>3180</v>
      </c>
      <c r="G1594" s="534">
        <v>9</v>
      </c>
      <c r="I1594" s="534">
        <v>0</v>
      </c>
      <c r="J1594" s="534">
        <v>0</v>
      </c>
      <c r="K1594" s="534">
        <v>0</v>
      </c>
      <c r="M1594" s="617">
        <f t="shared" si="50"/>
        <v>2</v>
      </c>
      <c r="N1594" s="617">
        <f t="shared" si="51"/>
        <v>9</v>
      </c>
      <c r="O1594" s="617"/>
    </row>
    <row r="1595" spans="2:15" ht="15" x14ac:dyDescent="0.25">
      <c r="B1595" s="529">
        <v>1590001</v>
      </c>
      <c r="C1595" s="529">
        <v>1591</v>
      </c>
      <c r="E1595" s="534">
        <v>0</v>
      </c>
      <c r="F1595" s="534">
        <v>0</v>
      </c>
      <c r="G1595" s="534">
        <v>7</v>
      </c>
      <c r="I1595" s="534">
        <v>0</v>
      </c>
      <c r="J1595" s="534">
        <v>0</v>
      </c>
      <c r="K1595" s="534">
        <v>0</v>
      </c>
      <c r="M1595" s="617">
        <f t="shared" si="50"/>
        <v>0</v>
      </c>
      <c r="N1595" s="617">
        <f t="shared" si="51"/>
        <v>7</v>
      </c>
      <c r="O1595" s="617"/>
    </row>
    <row r="1596" spans="2:15" ht="15" x14ac:dyDescent="0.25">
      <c r="B1596" s="529">
        <v>1591001</v>
      </c>
      <c r="C1596" s="529">
        <v>1592</v>
      </c>
      <c r="E1596" s="534">
        <v>0</v>
      </c>
      <c r="F1596" s="534">
        <v>0</v>
      </c>
      <c r="G1596" s="534">
        <v>7</v>
      </c>
      <c r="I1596" s="534">
        <v>0</v>
      </c>
      <c r="J1596" s="534">
        <v>0</v>
      </c>
      <c r="K1596" s="534">
        <v>0</v>
      </c>
      <c r="M1596" s="617">
        <f t="shared" si="50"/>
        <v>0</v>
      </c>
      <c r="N1596" s="617">
        <f t="shared" si="51"/>
        <v>7</v>
      </c>
      <c r="O1596" s="617"/>
    </row>
    <row r="1597" spans="2:15" ht="15" x14ac:dyDescent="0.25">
      <c r="B1597" s="529">
        <v>1592001</v>
      </c>
      <c r="C1597" s="529">
        <v>1593</v>
      </c>
      <c r="E1597" s="534">
        <v>0</v>
      </c>
      <c r="F1597" s="534">
        <v>0</v>
      </c>
      <c r="G1597" s="534">
        <v>7</v>
      </c>
      <c r="I1597" s="534">
        <v>0</v>
      </c>
      <c r="J1597" s="534">
        <v>0</v>
      </c>
      <c r="K1597" s="534">
        <v>0</v>
      </c>
      <c r="M1597" s="617">
        <f t="shared" si="50"/>
        <v>0</v>
      </c>
      <c r="N1597" s="617">
        <f t="shared" si="51"/>
        <v>7</v>
      </c>
      <c r="O1597" s="617"/>
    </row>
    <row r="1598" spans="2:15" ht="15" x14ac:dyDescent="0.25">
      <c r="B1598" s="529">
        <v>1593001</v>
      </c>
      <c r="C1598" s="529">
        <v>1594</v>
      </c>
      <c r="E1598" s="534">
        <v>0</v>
      </c>
      <c r="F1598" s="534">
        <v>0</v>
      </c>
      <c r="G1598" s="534">
        <v>7</v>
      </c>
      <c r="I1598" s="534">
        <v>0</v>
      </c>
      <c r="J1598" s="534">
        <v>0</v>
      </c>
      <c r="K1598" s="534">
        <v>0</v>
      </c>
      <c r="M1598" s="617">
        <f t="shared" si="50"/>
        <v>0</v>
      </c>
      <c r="N1598" s="617">
        <f t="shared" si="51"/>
        <v>7</v>
      </c>
      <c r="O1598" s="617"/>
    </row>
    <row r="1599" spans="2:15" ht="15" x14ac:dyDescent="0.25">
      <c r="B1599" s="529">
        <v>1594001</v>
      </c>
      <c r="C1599" s="529">
        <v>1595</v>
      </c>
      <c r="E1599" s="534">
        <v>0</v>
      </c>
      <c r="F1599" s="534">
        <v>0</v>
      </c>
      <c r="G1599" s="534">
        <v>7</v>
      </c>
      <c r="I1599" s="534">
        <v>0</v>
      </c>
      <c r="J1599" s="534">
        <v>0</v>
      </c>
      <c r="K1599" s="534">
        <v>0</v>
      </c>
      <c r="M1599" s="617">
        <f t="shared" si="50"/>
        <v>0</v>
      </c>
      <c r="N1599" s="617">
        <f t="shared" si="51"/>
        <v>7</v>
      </c>
      <c r="O1599" s="617"/>
    </row>
    <row r="1600" spans="2:15" ht="15" x14ac:dyDescent="0.25">
      <c r="B1600" s="529">
        <v>1595001</v>
      </c>
      <c r="C1600" s="529">
        <v>1596</v>
      </c>
      <c r="E1600" s="534">
        <v>0</v>
      </c>
      <c r="F1600" s="534">
        <v>0</v>
      </c>
      <c r="G1600" s="534">
        <v>7</v>
      </c>
      <c r="I1600" s="534">
        <v>0</v>
      </c>
      <c r="J1600" s="534">
        <v>0</v>
      </c>
      <c r="K1600" s="534">
        <v>0</v>
      </c>
      <c r="M1600" s="617">
        <f t="shared" si="50"/>
        <v>0</v>
      </c>
      <c r="N1600" s="617">
        <f t="shared" si="51"/>
        <v>7</v>
      </c>
      <c r="O1600" s="617"/>
    </row>
    <row r="1601" spans="2:15" ht="15" x14ac:dyDescent="0.25">
      <c r="B1601" s="529">
        <v>1596001</v>
      </c>
      <c r="C1601" s="529">
        <v>1597</v>
      </c>
      <c r="E1601" s="534">
        <v>0</v>
      </c>
      <c r="F1601" s="534">
        <v>0</v>
      </c>
      <c r="G1601" s="534">
        <v>7</v>
      </c>
      <c r="I1601" s="534">
        <v>0</v>
      </c>
      <c r="J1601" s="534">
        <v>0</v>
      </c>
      <c r="K1601" s="534">
        <v>0</v>
      </c>
      <c r="M1601" s="617">
        <f t="shared" si="50"/>
        <v>0</v>
      </c>
      <c r="N1601" s="617">
        <f t="shared" si="51"/>
        <v>7</v>
      </c>
      <c r="O1601" s="617"/>
    </row>
    <row r="1602" spans="2:15" ht="15" x14ac:dyDescent="0.25">
      <c r="B1602" s="529">
        <v>1597001</v>
      </c>
      <c r="C1602" s="529">
        <v>1598</v>
      </c>
      <c r="E1602" s="534">
        <v>0</v>
      </c>
      <c r="F1602" s="534">
        <v>0</v>
      </c>
      <c r="G1602" s="534">
        <v>7</v>
      </c>
      <c r="I1602" s="534">
        <v>0</v>
      </c>
      <c r="J1602" s="534">
        <v>0</v>
      </c>
      <c r="K1602" s="534">
        <v>0</v>
      </c>
      <c r="M1602" s="617">
        <f t="shared" si="50"/>
        <v>0</v>
      </c>
      <c r="N1602" s="617">
        <f t="shared" si="51"/>
        <v>7</v>
      </c>
      <c r="O1602" s="617"/>
    </row>
    <row r="1603" spans="2:15" ht="15" x14ac:dyDescent="0.25">
      <c r="B1603" s="529">
        <v>1598001</v>
      </c>
      <c r="C1603" s="529">
        <v>1599</v>
      </c>
      <c r="E1603" s="534">
        <v>0</v>
      </c>
      <c r="F1603" s="534">
        <v>0</v>
      </c>
      <c r="G1603" s="534">
        <v>7</v>
      </c>
      <c r="I1603" s="534">
        <v>0</v>
      </c>
      <c r="J1603" s="534">
        <v>0</v>
      </c>
      <c r="K1603" s="534">
        <v>0</v>
      </c>
      <c r="M1603" s="617">
        <f t="shared" si="50"/>
        <v>0</v>
      </c>
      <c r="N1603" s="617">
        <f t="shared" si="51"/>
        <v>7</v>
      </c>
      <c r="O1603" s="617"/>
    </row>
    <row r="1604" spans="2:15" ht="15" x14ac:dyDescent="0.25">
      <c r="B1604" s="529">
        <v>1599001</v>
      </c>
      <c r="C1604" s="529">
        <v>1600</v>
      </c>
      <c r="E1604" s="534">
        <v>0</v>
      </c>
      <c r="F1604" s="534">
        <v>0</v>
      </c>
      <c r="G1604" s="534">
        <v>7</v>
      </c>
      <c r="I1604" s="534">
        <v>0</v>
      </c>
      <c r="J1604" s="534">
        <v>0</v>
      </c>
      <c r="K1604" s="534">
        <v>0</v>
      </c>
      <c r="M1604" s="617">
        <f t="shared" si="50"/>
        <v>0</v>
      </c>
      <c r="N1604" s="617">
        <f t="shared" si="51"/>
        <v>7</v>
      </c>
      <c r="O1604" s="617"/>
    </row>
    <row r="1605" spans="2:15" ht="15" x14ac:dyDescent="0.25">
      <c r="B1605" s="529">
        <v>1600001</v>
      </c>
      <c r="C1605" s="529">
        <v>1601</v>
      </c>
      <c r="E1605" s="534">
        <v>0</v>
      </c>
      <c r="F1605" s="534">
        <v>0</v>
      </c>
      <c r="G1605" s="534">
        <v>7</v>
      </c>
      <c r="I1605" s="534">
        <v>0</v>
      </c>
      <c r="J1605" s="534">
        <v>0</v>
      </c>
      <c r="K1605" s="534">
        <v>0</v>
      </c>
      <c r="M1605" s="617">
        <f t="shared" ref="M1605:M1668" si="52">I1605+E1605</f>
        <v>0</v>
      </c>
      <c r="N1605" s="617">
        <f t="shared" ref="N1605:N1668" si="53">K1605+G1605</f>
        <v>7</v>
      </c>
      <c r="O1605" s="617"/>
    </row>
    <row r="1606" spans="2:15" ht="15" x14ac:dyDescent="0.25">
      <c r="B1606" s="529">
        <v>1601001</v>
      </c>
      <c r="C1606" s="529">
        <v>1602</v>
      </c>
      <c r="E1606" s="534">
        <v>0</v>
      </c>
      <c r="F1606" s="534">
        <v>0</v>
      </c>
      <c r="G1606" s="534">
        <v>7</v>
      </c>
      <c r="I1606" s="534">
        <v>0</v>
      </c>
      <c r="J1606" s="534">
        <v>0</v>
      </c>
      <c r="K1606" s="534">
        <v>0</v>
      </c>
      <c r="M1606" s="617">
        <f t="shared" si="52"/>
        <v>0</v>
      </c>
      <c r="N1606" s="617">
        <f t="shared" si="53"/>
        <v>7</v>
      </c>
      <c r="O1606" s="617"/>
    </row>
    <row r="1607" spans="2:15" ht="15" x14ac:dyDescent="0.25">
      <c r="B1607" s="529">
        <v>1602001</v>
      </c>
      <c r="C1607" s="529">
        <v>1603</v>
      </c>
      <c r="E1607" s="534">
        <v>0</v>
      </c>
      <c r="F1607" s="534">
        <v>0</v>
      </c>
      <c r="G1607" s="534">
        <v>7</v>
      </c>
      <c r="I1607" s="534">
        <v>0</v>
      </c>
      <c r="J1607" s="534">
        <v>0</v>
      </c>
      <c r="K1607" s="534">
        <v>0</v>
      </c>
      <c r="M1607" s="617">
        <f t="shared" si="52"/>
        <v>0</v>
      </c>
      <c r="N1607" s="617">
        <f t="shared" si="53"/>
        <v>7</v>
      </c>
      <c r="O1607" s="617"/>
    </row>
    <row r="1608" spans="2:15" ht="15" x14ac:dyDescent="0.25">
      <c r="B1608" s="529">
        <v>1603001</v>
      </c>
      <c r="C1608" s="529">
        <v>1604</v>
      </c>
      <c r="E1608" s="534">
        <v>0</v>
      </c>
      <c r="F1608" s="534">
        <v>0</v>
      </c>
      <c r="G1608" s="534">
        <v>7</v>
      </c>
      <c r="I1608" s="534">
        <v>0</v>
      </c>
      <c r="J1608" s="534">
        <v>0</v>
      </c>
      <c r="K1608" s="534">
        <v>0</v>
      </c>
      <c r="M1608" s="617">
        <f t="shared" si="52"/>
        <v>0</v>
      </c>
      <c r="N1608" s="617">
        <f t="shared" si="53"/>
        <v>7</v>
      </c>
      <c r="O1608" s="617"/>
    </row>
    <row r="1609" spans="2:15" ht="15" x14ac:dyDescent="0.25">
      <c r="B1609" s="529">
        <v>1604001</v>
      </c>
      <c r="C1609" s="529">
        <v>1605</v>
      </c>
      <c r="E1609" s="534">
        <v>0</v>
      </c>
      <c r="F1609" s="534">
        <v>0</v>
      </c>
      <c r="G1609" s="534">
        <v>7</v>
      </c>
      <c r="I1609" s="534">
        <v>0</v>
      </c>
      <c r="J1609" s="534">
        <v>0</v>
      </c>
      <c r="K1609" s="534">
        <v>0</v>
      </c>
      <c r="M1609" s="617">
        <f t="shared" si="52"/>
        <v>0</v>
      </c>
      <c r="N1609" s="617">
        <f t="shared" si="53"/>
        <v>7</v>
      </c>
      <c r="O1609" s="617"/>
    </row>
    <row r="1610" spans="2:15" ht="15" x14ac:dyDescent="0.25">
      <c r="B1610" s="529">
        <v>1605001</v>
      </c>
      <c r="C1610" s="529">
        <v>1606</v>
      </c>
      <c r="E1610" s="534">
        <v>0</v>
      </c>
      <c r="F1610" s="534">
        <v>0</v>
      </c>
      <c r="G1610" s="534">
        <v>7</v>
      </c>
      <c r="I1610" s="534">
        <v>0</v>
      </c>
      <c r="J1610" s="534">
        <v>0</v>
      </c>
      <c r="K1610" s="534">
        <v>0</v>
      </c>
      <c r="M1610" s="617">
        <f t="shared" si="52"/>
        <v>0</v>
      </c>
      <c r="N1610" s="617">
        <f t="shared" si="53"/>
        <v>7</v>
      </c>
      <c r="O1610" s="617"/>
    </row>
    <row r="1611" spans="2:15" ht="15" x14ac:dyDescent="0.25">
      <c r="B1611" s="529">
        <v>1606001</v>
      </c>
      <c r="C1611" s="529">
        <v>1607</v>
      </c>
      <c r="E1611" s="534">
        <v>0</v>
      </c>
      <c r="F1611" s="534">
        <v>0</v>
      </c>
      <c r="G1611" s="534">
        <v>7</v>
      </c>
      <c r="I1611" s="534">
        <v>0</v>
      </c>
      <c r="J1611" s="534">
        <v>0</v>
      </c>
      <c r="K1611" s="534">
        <v>0</v>
      </c>
      <c r="M1611" s="617">
        <f t="shared" si="52"/>
        <v>0</v>
      </c>
      <c r="N1611" s="617">
        <f t="shared" si="53"/>
        <v>7</v>
      </c>
      <c r="O1611" s="617"/>
    </row>
    <row r="1612" spans="2:15" ht="15" x14ac:dyDescent="0.25">
      <c r="B1612" s="529">
        <v>1607001</v>
      </c>
      <c r="C1612" s="529">
        <v>1608</v>
      </c>
      <c r="E1612" s="534">
        <v>0</v>
      </c>
      <c r="F1612" s="534">
        <v>0</v>
      </c>
      <c r="G1612" s="534">
        <v>7</v>
      </c>
      <c r="I1612" s="534">
        <v>0</v>
      </c>
      <c r="J1612" s="534">
        <v>0</v>
      </c>
      <c r="K1612" s="534">
        <v>0</v>
      </c>
      <c r="M1612" s="617">
        <f t="shared" si="52"/>
        <v>0</v>
      </c>
      <c r="N1612" s="617">
        <f t="shared" si="53"/>
        <v>7</v>
      </c>
      <c r="O1612" s="617"/>
    </row>
    <row r="1613" spans="2:15" ht="15" x14ac:dyDescent="0.25">
      <c r="B1613" s="529">
        <v>1608001</v>
      </c>
      <c r="C1613" s="529">
        <v>1609</v>
      </c>
      <c r="E1613" s="534">
        <v>0</v>
      </c>
      <c r="F1613" s="534">
        <v>0</v>
      </c>
      <c r="G1613" s="534">
        <v>7</v>
      </c>
      <c r="I1613" s="534">
        <v>0</v>
      </c>
      <c r="J1613" s="534">
        <v>0</v>
      </c>
      <c r="K1613" s="534">
        <v>0</v>
      </c>
      <c r="M1613" s="617">
        <f t="shared" si="52"/>
        <v>0</v>
      </c>
      <c r="N1613" s="617">
        <f t="shared" si="53"/>
        <v>7</v>
      </c>
      <c r="O1613" s="617"/>
    </row>
    <row r="1614" spans="2:15" ht="15" x14ac:dyDescent="0.25">
      <c r="B1614" s="529">
        <v>1609001</v>
      </c>
      <c r="C1614" s="529">
        <v>1610</v>
      </c>
      <c r="E1614" s="534">
        <v>1</v>
      </c>
      <c r="F1614" s="534">
        <v>1610</v>
      </c>
      <c r="G1614" s="534">
        <v>7</v>
      </c>
      <c r="I1614" s="534">
        <v>0</v>
      </c>
      <c r="J1614" s="534">
        <v>0</v>
      </c>
      <c r="K1614" s="534">
        <v>0</v>
      </c>
      <c r="M1614" s="617">
        <f t="shared" si="52"/>
        <v>1</v>
      </c>
      <c r="N1614" s="617">
        <f t="shared" si="53"/>
        <v>7</v>
      </c>
      <c r="O1614" s="617"/>
    </row>
    <row r="1615" spans="2:15" ht="15" x14ac:dyDescent="0.25">
      <c r="B1615" s="529">
        <v>1610001</v>
      </c>
      <c r="C1615" s="529">
        <v>1611</v>
      </c>
      <c r="E1615" s="534">
        <v>0</v>
      </c>
      <c r="F1615" s="534">
        <v>0</v>
      </c>
      <c r="G1615" s="534">
        <v>6</v>
      </c>
      <c r="I1615" s="534">
        <v>0</v>
      </c>
      <c r="J1615" s="534">
        <v>0</v>
      </c>
      <c r="K1615" s="534">
        <v>0</v>
      </c>
      <c r="M1615" s="617">
        <f t="shared" si="52"/>
        <v>0</v>
      </c>
      <c r="N1615" s="617">
        <f t="shared" si="53"/>
        <v>6</v>
      </c>
      <c r="O1615" s="617"/>
    </row>
    <row r="1616" spans="2:15" ht="15" x14ac:dyDescent="0.25">
      <c r="B1616" s="529">
        <v>1611001</v>
      </c>
      <c r="C1616" s="529">
        <v>1612</v>
      </c>
      <c r="E1616" s="534">
        <v>0</v>
      </c>
      <c r="F1616" s="534">
        <v>0</v>
      </c>
      <c r="G1616" s="534">
        <v>6</v>
      </c>
      <c r="I1616" s="534">
        <v>0</v>
      </c>
      <c r="J1616" s="534">
        <v>0</v>
      </c>
      <c r="K1616" s="534">
        <v>0</v>
      </c>
      <c r="M1616" s="617">
        <f t="shared" si="52"/>
        <v>0</v>
      </c>
      <c r="N1616" s="617">
        <f t="shared" si="53"/>
        <v>6</v>
      </c>
      <c r="O1616" s="617"/>
    </row>
    <row r="1617" spans="2:15" ht="15" x14ac:dyDescent="0.25">
      <c r="B1617" s="529">
        <v>1612001</v>
      </c>
      <c r="C1617" s="529">
        <v>1613</v>
      </c>
      <c r="E1617" s="534">
        <v>0</v>
      </c>
      <c r="F1617" s="534">
        <v>0</v>
      </c>
      <c r="G1617" s="534">
        <v>6</v>
      </c>
      <c r="I1617" s="534">
        <v>0</v>
      </c>
      <c r="J1617" s="534">
        <v>0</v>
      </c>
      <c r="K1617" s="534">
        <v>0</v>
      </c>
      <c r="M1617" s="617">
        <f t="shared" si="52"/>
        <v>0</v>
      </c>
      <c r="N1617" s="617">
        <f t="shared" si="53"/>
        <v>6</v>
      </c>
      <c r="O1617" s="617"/>
    </row>
    <row r="1618" spans="2:15" ht="15" x14ac:dyDescent="0.25">
      <c r="B1618" s="529">
        <v>1613001</v>
      </c>
      <c r="C1618" s="529">
        <v>1614</v>
      </c>
      <c r="E1618" s="534">
        <v>0</v>
      </c>
      <c r="F1618" s="534">
        <v>0</v>
      </c>
      <c r="G1618" s="534">
        <v>6</v>
      </c>
      <c r="I1618" s="534">
        <v>0</v>
      </c>
      <c r="J1618" s="534">
        <v>0</v>
      </c>
      <c r="K1618" s="534">
        <v>0</v>
      </c>
      <c r="M1618" s="617">
        <f t="shared" si="52"/>
        <v>0</v>
      </c>
      <c r="N1618" s="617">
        <f t="shared" si="53"/>
        <v>6</v>
      </c>
      <c r="O1618" s="617"/>
    </row>
    <row r="1619" spans="2:15" ht="15" x14ac:dyDescent="0.25">
      <c r="B1619" s="529">
        <v>1614001</v>
      </c>
      <c r="C1619" s="529">
        <v>1615</v>
      </c>
      <c r="E1619" s="534">
        <v>0</v>
      </c>
      <c r="F1619" s="534">
        <v>0</v>
      </c>
      <c r="G1619" s="534">
        <v>6</v>
      </c>
      <c r="I1619" s="534">
        <v>0</v>
      </c>
      <c r="J1619" s="534">
        <v>0</v>
      </c>
      <c r="K1619" s="534">
        <v>0</v>
      </c>
      <c r="M1619" s="617">
        <f t="shared" si="52"/>
        <v>0</v>
      </c>
      <c r="N1619" s="617">
        <f t="shared" si="53"/>
        <v>6</v>
      </c>
      <c r="O1619" s="617"/>
    </row>
    <row r="1620" spans="2:15" ht="15" x14ac:dyDescent="0.25">
      <c r="B1620" s="529">
        <v>1615001</v>
      </c>
      <c r="C1620" s="529">
        <v>1616</v>
      </c>
      <c r="E1620" s="534">
        <v>0</v>
      </c>
      <c r="F1620" s="534">
        <v>0</v>
      </c>
      <c r="G1620" s="534">
        <v>6</v>
      </c>
      <c r="I1620" s="534">
        <v>0</v>
      </c>
      <c r="J1620" s="534">
        <v>0</v>
      </c>
      <c r="K1620" s="534">
        <v>0</v>
      </c>
      <c r="M1620" s="617">
        <f t="shared" si="52"/>
        <v>0</v>
      </c>
      <c r="N1620" s="617">
        <f t="shared" si="53"/>
        <v>6</v>
      </c>
      <c r="O1620" s="617"/>
    </row>
    <row r="1621" spans="2:15" ht="15" x14ac:dyDescent="0.25">
      <c r="B1621" s="529">
        <v>1616001</v>
      </c>
      <c r="C1621" s="529">
        <v>1617</v>
      </c>
      <c r="E1621" s="534">
        <v>0</v>
      </c>
      <c r="F1621" s="534">
        <v>0</v>
      </c>
      <c r="G1621" s="534">
        <v>6</v>
      </c>
      <c r="I1621" s="534">
        <v>0</v>
      </c>
      <c r="J1621" s="534">
        <v>0</v>
      </c>
      <c r="K1621" s="534">
        <v>0</v>
      </c>
      <c r="M1621" s="617">
        <f t="shared" si="52"/>
        <v>0</v>
      </c>
      <c r="N1621" s="617">
        <f t="shared" si="53"/>
        <v>6</v>
      </c>
      <c r="O1621" s="617"/>
    </row>
    <row r="1622" spans="2:15" ht="15" x14ac:dyDescent="0.25">
      <c r="B1622" s="529">
        <v>1617001</v>
      </c>
      <c r="C1622" s="529">
        <v>1618</v>
      </c>
      <c r="E1622" s="534">
        <v>0</v>
      </c>
      <c r="F1622" s="534">
        <v>0</v>
      </c>
      <c r="G1622" s="534">
        <v>6</v>
      </c>
      <c r="I1622" s="534">
        <v>0</v>
      </c>
      <c r="J1622" s="534">
        <v>0</v>
      </c>
      <c r="K1622" s="534">
        <v>0</v>
      </c>
      <c r="M1622" s="617">
        <f t="shared" si="52"/>
        <v>0</v>
      </c>
      <c r="N1622" s="617">
        <f t="shared" si="53"/>
        <v>6</v>
      </c>
      <c r="O1622" s="617"/>
    </row>
    <row r="1623" spans="2:15" ht="15" x14ac:dyDescent="0.25">
      <c r="B1623" s="529">
        <v>1618001</v>
      </c>
      <c r="C1623" s="529">
        <v>1619</v>
      </c>
      <c r="E1623" s="534">
        <v>0</v>
      </c>
      <c r="F1623" s="534">
        <v>0</v>
      </c>
      <c r="G1623" s="534">
        <v>6</v>
      </c>
      <c r="I1623" s="534">
        <v>0</v>
      </c>
      <c r="J1623" s="534">
        <v>0</v>
      </c>
      <c r="K1623" s="534">
        <v>0</v>
      </c>
      <c r="M1623" s="617">
        <f t="shared" si="52"/>
        <v>0</v>
      </c>
      <c r="N1623" s="617">
        <f t="shared" si="53"/>
        <v>6</v>
      </c>
      <c r="O1623" s="617"/>
    </row>
    <row r="1624" spans="2:15" ht="15" x14ac:dyDescent="0.25">
      <c r="B1624" s="529">
        <v>1619001</v>
      </c>
      <c r="C1624" s="529">
        <v>1620</v>
      </c>
      <c r="E1624" s="534">
        <v>0</v>
      </c>
      <c r="F1624" s="534">
        <v>0</v>
      </c>
      <c r="G1624" s="534">
        <v>6</v>
      </c>
      <c r="I1624" s="534">
        <v>0</v>
      </c>
      <c r="J1624" s="534">
        <v>0</v>
      </c>
      <c r="K1624" s="534">
        <v>0</v>
      </c>
      <c r="M1624" s="617">
        <f t="shared" si="52"/>
        <v>0</v>
      </c>
      <c r="N1624" s="617">
        <f t="shared" si="53"/>
        <v>6</v>
      </c>
      <c r="O1624" s="617"/>
    </row>
    <row r="1625" spans="2:15" ht="15" x14ac:dyDescent="0.25">
      <c r="B1625" s="529">
        <v>1620001</v>
      </c>
      <c r="C1625" s="529">
        <v>1621</v>
      </c>
      <c r="E1625" s="534">
        <v>0</v>
      </c>
      <c r="F1625" s="534">
        <v>0</v>
      </c>
      <c r="G1625" s="534">
        <v>6</v>
      </c>
      <c r="I1625" s="534">
        <v>0</v>
      </c>
      <c r="J1625" s="534">
        <v>0</v>
      </c>
      <c r="K1625" s="534">
        <v>0</v>
      </c>
      <c r="M1625" s="617">
        <f t="shared" si="52"/>
        <v>0</v>
      </c>
      <c r="N1625" s="617">
        <f t="shared" si="53"/>
        <v>6</v>
      </c>
      <c r="O1625" s="617"/>
    </row>
    <row r="1626" spans="2:15" ht="15" x14ac:dyDescent="0.25">
      <c r="B1626" s="529">
        <v>1621001</v>
      </c>
      <c r="C1626" s="529">
        <v>1622</v>
      </c>
      <c r="E1626" s="534">
        <v>0</v>
      </c>
      <c r="F1626" s="534">
        <v>0</v>
      </c>
      <c r="G1626" s="534">
        <v>6</v>
      </c>
      <c r="I1626" s="534">
        <v>0</v>
      </c>
      <c r="J1626" s="534">
        <v>0</v>
      </c>
      <c r="K1626" s="534">
        <v>0</v>
      </c>
      <c r="M1626" s="617">
        <f t="shared" si="52"/>
        <v>0</v>
      </c>
      <c r="N1626" s="617">
        <f t="shared" si="53"/>
        <v>6</v>
      </c>
      <c r="O1626" s="617"/>
    </row>
    <row r="1627" spans="2:15" ht="15" x14ac:dyDescent="0.25">
      <c r="B1627" s="529">
        <v>1622001</v>
      </c>
      <c r="C1627" s="529">
        <v>1623</v>
      </c>
      <c r="E1627" s="534">
        <v>0</v>
      </c>
      <c r="F1627" s="534">
        <v>0</v>
      </c>
      <c r="G1627" s="534">
        <v>6</v>
      </c>
      <c r="I1627" s="534">
        <v>0</v>
      </c>
      <c r="J1627" s="534">
        <v>0</v>
      </c>
      <c r="K1627" s="534">
        <v>0</v>
      </c>
      <c r="M1627" s="617">
        <f t="shared" si="52"/>
        <v>0</v>
      </c>
      <c r="N1627" s="617">
        <f t="shared" si="53"/>
        <v>6</v>
      </c>
      <c r="O1627" s="617"/>
    </row>
    <row r="1628" spans="2:15" ht="15" x14ac:dyDescent="0.25">
      <c r="B1628" s="529">
        <v>1623001</v>
      </c>
      <c r="C1628" s="529">
        <v>1624</v>
      </c>
      <c r="E1628" s="534">
        <v>0</v>
      </c>
      <c r="F1628" s="534">
        <v>0</v>
      </c>
      <c r="G1628" s="534">
        <v>6</v>
      </c>
      <c r="I1628" s="534">
        <v>0</v>
      </c>
      <c r="J1628" s="534">
        <v>0</v>
      </c>
      <c r="K1628" s="534">
        <v>0</v>
      </c>
      <c r="M1628" s="617">
        <f t="shared" si="52"/>
        <v>0</v>
      </c>
      <c r="N1628" s="617">
        <f t="shared" si="53"/>
        <v>6</v>
      </c>
      <c r="O1628" s="617"/>
    </row>
    <row r="1629" spans="2:15" ht="15" x14ac:dyDescent="0.25">
      <c r="B1629" s="529">
        <v>1624001</v>
      </c>
      <c r="C1629" s="529">
        <v>1625</v>
      </c>
      <c r="E1629" s="534">
        <v>0</v>
      </c>
      <c r="F1629" s="534">
        <v>0</v>
      </c>
      <c r="G1629" s="534">
        <v>6</v>
      </c>
      <c r="I1629" s="534">
        <v>0</v>
      </c>
      <c r="J1629" s="534">
        <v>0</v>
      </c>
      <c r="K1629" s="534">
        <v>0</v>
      </c>
      <c r="M1629" s="617">
        <f t="shared" si="52"/>
        <v>0</v>
      </c>
      <c r="N1629" s="617">
        <f t="shared" si="53"/>
        <v>6</v>
      </c>
      <c r="O1629" s="617"/>
    </row>
    <row r="1630" spans="2:15" ht="15" x14ac:dyDescent="0.25">
      <c r="B1630" s="529">
        <v>1625001</v>
      </c>
      <c r="C1630" s="529">
        <v>1626</v>
      </c>
      <c r="E1630" s="534">
        <v>0</v>
      </c>
      <c r="F1630" s="534">
        <v>0</v>
      </c>
      <c r="G1630" s="534">
        <v>6</v>
      </c>
      <c r="I1630" s="534">
        <v>0</v>
      </c>
      <c r="J1630" s="534">
        <v>0</v>
      </c>
      <c r="K1630" s="534">
        <v>0</v>
      </c>
      <c r="M1630" s="617">
        <f t="shared" si="52"/>
        <v>0</v>
      </c>
      <c r="N1630" s="617">
        <f t="shared" si="53"/>
        <v>6</v>
      </c>
      <c r="O1630" s="617"/>
    </row>
    <row r="1631" spans="2:15" ht="15" x14ac:dyDescent="0.25">
      <c r="B1631" s="529">
        <v>1626001</v>
      </c>
      <c r="C1631" s="529">
        <v>1627</v>
      </c>
      <c r="E1631" s="534">
        <v>0</v>
      </c>
      <c r="F1631" s="534">
        <v>0</v>
      </c>
      <c r="G1631" s="534">
        <v>6</v>
      </c>
      <c r="I1631" s="534">
        <v>0</v>
      </c>
      <c r="J1631" s="534">
        <v>0</v>
      </c>
      <c r="K1631" s="534">
        <v>0</v>
      </c>
      <c r="M1631" s="617">
        <f t="shared" si="52"/>
        <v>0</v>
      </c>
      <c r="N1631" s="617">
        <f t="shared" si="53"/>
        <v>6</v>
      </c>
      <c r="O1631" s="617"/>
    </row>
    <row r="1632" spans="2:15" ht="15" x14ac:dyDescent="0.25">
      <c r="B1632" s="529">
        <v>1627001</v>
      </c>
      <c r="C1632" s="529">
        <v>1628</v>
      </c>
      <c r="E1632" s="534">
        <v>0</v>
      </c>
      <c r="F1632" s="534">
        <v>0</v>
      </c>
      <c r="G1632" s="534">
        <v>6</v>
      </c>
      <c r="I1632" s="534">
        <v>0</v>
      </c>
      <c r="J1632" s="534">
        <v>0</v>
      </c>
      <c r="K1632" s="534">
        <v>0</v>
      </c>
      <c r="M1632" s="617">
        <f t="shared" si="52"/>
        <v>0</v>
      </c>
      <c r="N1632" s="617">
        <f t="shared" si="53"/>
        <v>6</v>
      </c>
      <c r="O1632" s="617"/>
    </row>
    <row r="1633" spans="2:15" ht="15" x14ac:dyDescent="0.25">
      <c r="B1633" s="529">
        <v>1628001</v>
      </c>
      <c r="C1633" s="529">
        <v>1629</v>
      </c>
      <c r="E1633" s="534">
        <v>0</v>
      </c>
      <c r="F1633" s="534">
        <v>0</v>
      </c>
      <c r="G1633" s="534">
        <v>6</v>
      </c>
      <c r="I1633" s="534">
        <v>0</v>
      </c>
      <c r="J1633" s="534">
        <v>0</v>
      </c>
      <c r="K1633" s="534">
        <v>0</v>
      </c>
      <c r="M1633" s="617">
        <f t="shared" si="52"/>
        <v>0</v>
      </c>
      <c r="N1633" s="617">
        <f t="shared" si="53"/>
        <v>6</v>
      </c>
      <c r="O1633" s="617"/>
    </row>
    <row r="1634" spans="2:15" ht="15" x14ac:dyDescent="0.25">
      <c r="B1634" s="529">
        <v>1629001</v>
      </c>
      <c r="C1634" s="529">
        <v>1630</v>
      </c>
      <c r="E1634" s="534">
        <v>0</v>
      </c>
      <c r="F1634" s="534">
        <v>0</v>
      </c>
      <c r="G1634" s="534">
        <v>6</v>
      </c>
      <c r="I1634" s="534">
        <v>0</v>
      </c>
      <c r="J1634" s="534">
        <v>0</v>
      </c>
      <c r="K1634" s="534">
        <v>0</v>
      </c>
      <c r="M1634" s="617">
        <f t="shared" si="52"/>
        <v>0</v>
      </c>
      <c r="N1634" s="617">
        <f t="shared" si="53"/>
        <v>6</v>
      </c>
      <c r="O1634" s="617"/>
    </row>
    <row r="1635" spans="2:15" ht="15" x14ac:dyDescent="0.25">
      <c r="B1635" s="529">
        <v>1630001</v>
      </c>
      <c r="C1635" s="529">
        <v>1631</v>
      </c>
      <c r="E1635" s="534">
        <v>0</v>
      </c>
      <c r="F1635" s="534">
        <v>0</v>
      </c>
      <c r="G1635" s="534">
        <v>6</v>
      </c>
      <c r="I1635" s="534">
        <v>0</v>
      </c>
      <c r="J1635" s="534">
        <v>0</v>
      </c>
      <c r="K1635" s="534">
        <v>0</v>
      </c>
      <c r="M1635" s="617">
        <f t="shared" si="52"/>
        <v>0</v>
      </c>
      <c r="N1635" s="617">
        <f t="shared" si="53"/>
        <v>6</v>
      </c>
      <c r="O1635" s="617"/>
    </row>
    <row r="1636" spans="2:15" ht="15" x14ac:dyDescent="0.25">
      <c r="B1636" s="529">
        <v>1631001</v>
      </c>
      <c r="C1636" s="529">
        <v>1632</v>
      </c>
      <c r="E1636" s="534">
        <v>0</v>
      </c>
      <c r="F1636" s="534">
        <v>0</v>
      </c>
      <c r="G1636" s="534">
        <v>6</v>
      </c>
      <c r="I1636" s="534">
        <v>0</v>
      </c>
      <c r="J1636" s="534">
        <v>0</v>
      </c>
      <c r="K1636" s="534">
        <v>0</v>
      </c>
      <c r="M1636" s="617">
        <f t="shared" si="52"/>
        <v>0</v>
      </c>
      <c r="N1636" s="617">
        <f t="shared" si="53"/>
        <v>6</v>
      </c>
      <c r="O1636" s="617"/>
    </row>
    <row r="1637" spans="2:15" ht="15" x14ac:dyDescent="0.25">
      <c r="B1637" s="529">
        <v>1632001</v>
      </c>
      <c r="C1637" s="529">
        <v>1633</v>
      </c>
      <c r="E1637" s="534">
        <v>0</v>
      </c>
      <c r="F1637" s="534">
        <v>0</v>
      </c>
      <c r="G1637" s="534">
        <v>6</v>
      </c>
      <c r="I1637" s="534">
        <v>0</v>
      </c>
      <c r="J1637" s="534">
        <v>0</v>
      </c>
      <c r="K1637" s="534">
        <v>0</v>
      </c>
      <c r="M1637" s="617">
        <f t="shared" si="52"/>
        <v>0</v>
      </c>
      <c r="N1637" s="617">
        <f t="shared" si="53"/>
        <v>6</v>
      </c>
      <c r="O1637" s="617"/>
    </row>
    <row r="1638" spans="2:15" ht="15" x14ac:dyDescent="0.25">
      <c r="B1638" s="529">
        <v>1633001</v>
      </c>
      <c r="C1638" s="529">
        <v>1634</v>
      </c>
      <c r="E1638" s="534">
        <v>0</v>
      </c>
      <c r="F1638" s="534">
        <v>0</v>
      </c>
      <c r="G1638" s="534">
        <v>6</v>
      </c>
      <c r="I1638" s="534">
        <v>0</v>
      </c>
      <c r="J1638" s="534">
        <v>0</v>
      </c>
      <c r="K1638" s="534">
        <v>0</v>
      </c>
      <c r="M1638" s="617">
        <f t="shared" si="52"/>
        <v>0</v>
      </c>
      <c r="N1638" s="617">
        <f t="shared" si="53"/>
        <v>6</v>
      </c>
      <c r="O1638" s="617"/>
    </row>
    <row r="1639" spans="2:15" ht="15" x14ac:dyDescent="0.25">
      <c r="B1639" s="529">
        <v>1634001</v>
      </c>
      <c r="C1639" s="529">
        <v>1635</v>
      </c>
      <c r="E1639" s="534">
        <v>0</v>
      </c>
      <c r="F1639" s="534">
        <v>0</v>
      </c>
      <c r="G1639" s="534">
        <v>6</v>
      </c>
      <c r="I1639" s="534">
        <v>0</v>
      </c>
      <c r="J1639" s="534">
        <v>0</v>
      </c>
      <c r="K1639" s="534">
        <v>0</v>
      </c>
      <c r="M1639" s="617">
        <f t="shared" si="52"/>
        <v>0</v>
      </c>
      <c r="N1639" s="617">
        <f t="shared" si="53"/>
        <v>6</v>
      </c>
      <c r="O1639" s="617"/>
    </row>
    <row r="1640" spans="2:15" ht="15" x14ac:dyDescent="0.25">
      <c r="B1640" s="529">
        <v>1635001</v>
      </c>
      <c r="C1640" s="529">
        <v>1636</v>
      </c>
      <c r="E1640" s="534">
        <v>0</v>
      </c>
      <c r="F1640" s="534">
        <v>0</v>
      </c>
      <c r="G1640" s="534">
        <v>6</v>
      </c>
      <c r="I1640" s="534">
        <v>0</v>
      </c>
      <c r="J1640" s="534">
        <v>0</v>
      </c>
      <c r="K1640" s="534">
        <v>0</v>
      </c>
      <c r="M1640" s="617">
        <f t="shared" si="52"/>
        <v>0</v>
      </c>
      <c r="N1640" s="617">
        <f t="shared" si="53"/>
        <v>6</v>
      </c>
      <c r="O1640" s="617"/>
    </row>
    <row r="1641" spans="2:15" ht="15" x14ac:dyDescent="0.25">
      <c r="B1641" s="529">
        <v>1636001</v>
      </c>
      <c r="C1641" s="529">
        <v>1637</v>
      </c>
      <c r="E1641" s="534">
        <v>0</v>
      </c>
      <c r="F1641" s="534">
        <v>0</v>
      </c>
      <c r="G1641" s="534">
        <v>6</v>
      </c>
      <c r="I1641" s="534">
        <v>0</v>
      </c>
      <c r="J1641" s="534">
        <v>0</v>
      </c>
      <c r="K1641" s="534">
        <v>0</v>
      </c>
      <c r="M1641" s="617">
        <f t="shared" si="52"/>
        <v>0</v>
      </c>
      <c r="N1641" s="617">
        <f t="shared" si="53"/>
        <v>6</v>
      </c>
      <c r="O1641" s="617"/>
    </row>
    <row r="1642" spans="2:15" ht="15" x14ac:dyDescent="0.25">
      <c r="B1642" s="529">
        <v>1637001</v>
      </c>
      <c r="C1642" s="529">
        <v>1638</v>
      </c>
      <c r="E1642" s="534">
        <v>0</v>
      </c>
      <c r="F1642" s="534">
        <v>0</v>
      </c>
      <c r="G1642" s="534">
        <v>6</v>
      </c>
      <c r="I1642" s="534">
        <v>0</v>
      </c>
      <c r="J1642" s="534">
        <v>0</v>
      </c>
      <c r="K1642" s="534">
        <v>0</v>
      </c>
      <c r="M1642" s="617">
        <f t="shared" si="52"/>
        <v>0</v>
      </c>
      <c r="N1642" s="617">
        <f t="shared" si="53"/>
        <v>6</v>
      </c>
      <c r="O1642" s="617"/>
    </row>
    <row r="1643" spans="2:15" ht="15" x14ac:dyDescent="0.25">
      <c r="B1643" s="529">
        <v>1638001</v>
      </c>
      <c r="C1643" s="529">
        <v>1639</v>
      </c>
      <c r="E1643" s="534">
        <v>0</v>
      </c>
      <c r="F1643" s="534">
        <v>0</v>
      </c>
      <c r="G1643" s="534">
        <v>6</v>
      </c>
      <c r="I1643" s="534">
        <v>0</v>
      </c>
      <c r="J1643" s="534">
        <v>0</v>
      </c>
      <c r="K1643" s="534">
        <v>0</v>
      </c>
      <c r="M1643" s="617">
        <f t="shared" si="52"/>
        <v>0</v>
      </c>
      <c r="N1643" s="617">
        <f t="shared" si="53"/>
        <v>6</v>
      </c>
      <c r="O1643" s="617"/>
    </row>
    <row r="1644" spans="2:15" ht="15" x14ac:dyDescent="0.25">
      <c r="B1644" s="529">
        <v>1639001</v>
      </c>
      <c r="C1644" s="529">
        <v>1640</v>
      </c>
      <c r="E1644" s="534">
        <v>0</v>
      </c>
      <c r="F1644" s="534">
        <v>0</v>
      </c>
      <c r="G1644" s="534">
        <v>6</v>
      </c>
      <c r="I1644" s="534">
        <v>0</v>
      </c>
      <c r="J1644" s="534">
        <v>0</v>
      </c>
      <c r="K1644" s="534">
        <v>0</v>
      </c>
      <c r="M1644" s="617">
        <f t="shared" si="52"/>
        <v>0</v>
      </c>
      <c r="N1644" s="617">
        <f t="shared" si="53"/>
        <v>6</v>
      </c>
      <c r="O1644" s="617"/>
    </row>
    <row r="1645" spans="2:15" ht="15" x14ac:dyDescent="0.25">
      <c r="B1645" s="529">
        <v>1640001</v>
      </c>
      <c r="C1645" s="529">
        <v>1641</v>
      </c>
      <c r="E1645" s="534">
        <v>0</v>
      </c>
      <c r="F1645" s="534">
        <v>0</v>
      </c>
      <c r="G1645" s="534">
        <v>6</v>
      </c>
      <c r="I1645" s="534">
        <v>0</v>
      </c>
      <c r="J1645" s="534">
        <v>0</v>
      </c>
      <c r="K1645" s="534">
        <v>0</v>
      </c>
      <c r="M1645" s="617">
        <f t="shared" si="52"/>
        <v>0</v>
      </c>
      <c r="N1645" s="617">
        <f t="shared" si="53"/>
        <v>6</v>
      </c>
      <c r="O1645" s="617"/>
    </row>
    <row r="1646" spans="2:15" ht="15" x14ac:dyDescent="0.25">
      <c r="B1646" s="529">
        <v>1641001</v>
      </c>
      <c r="C1646" s="529">
        <v>1642</v>
      </c>
      <c r="E1646" s="534">
        <v>0</v>
      </c>
      <c r="F1646" s="534">
        <v>0</v>
      </c>
      <c r="G1646" s="534">
        <v>6</v>
      </c>
      <c r="I1646" s="534">
        <v>0</v>
      </c>
      <c r="J1646" s="534">
        <v>0</v>
      </c>
      <c r="K1646" s="534">
        <v>0</v>
      </c>
      <c r="M1646" s="617">
        <f t="shared" si="52"/>
        <v>0</v>
      </c>
      <c r="N1646" s="617">
        <f t="shared" si="53"/>
        <v>6</v>
      </c>
      <c r="O1646" s="617"/>
    </row>
    <row r="1647" spans="2:15" ht="15" x14ac:dyDescent="0.25">
      <c r="B1647" s="529">
        <v>1642001</v>
      </c>
      <c r="C1647" s="529">
        <v>1643</v>
      </c>
      <c r="E1647" s="534">
        <v>0</v>
      </c>
      <c r="F1647" s="534">
        <v>0</v>
      </c>
      <c r="G1647" s="534">
        <v>6</v>
      </c>
      <c r="I1647" s="534">
        <v>0</v>
      </c>
      <c r="J1647" s="534">
        <v>0</v>
      </c>
      <c r="K1647" s="534">
        <v>0</v>
      </c>
      <c r="M1647" s="617">
        <f t="shared" si="52"/>
        <v>0</v>
      </c>
      <c r="N1647" s="617">
        <f t="shared" si="53"/>
        <v>6</v>
      </c>
      <c r="O1647" s="617"/>
    </row>
    <row r="1648" spans="2:15" ht="15" x14ac:dyDescent="0.25">
      <c r="B1648" s="529">
        <v>1643001</v>
      </c>
      <c r="C1648" s="529">
        <v>1644</v>
      </c>
      <c r="E1648" s="534">
        <v>0</v>
      </c>
      <c r="F1648" s="534">
        <v>0</v>
      </c>
      <c r="G1648" s="534">
        <v>6</v>
      </c>
      <c r="I1648" s="534">
        <v>0</v>
      </c>
      <c r="J1648" s="534">
        <v>0</v>
      </c>
      <c r="K1648" s="534">
        <v>0</v>
      </c>
      <c r="M1648" s="617">
        <f t="shared" si="52"/>
        <v>0</v>
      </c>
      <c r="N1648" s="617">
        <f t="shared" si="53"/>
        <v>6</v>
      </c>
      <c r="O1648" s="617"/>
    </row>
    <row r="1649" spans="2:15" ht="15" x14ac:dyDescent="0.25">
      <c r="B1649" s="529">
        <v>1644001</v>
      </c>
      <c r="C1649" s="529">
        <v>1645</v>
      </c>
      <c r="E1649" s="534">
        <v>0</v>
      </c>
      <c r="F1649" s="534">
        <v>0</v>
      </c>
      <c r="G1649" s="534">
        <v>6</v>
      </c>
      <c r="I1649" s="534">
        <v>0</v>
      </c>
      <c r="J1649" s="534">
        <v>0</v>
      </c>
      <c r="K1649" s="534">
        <v>0</v>
      </c>
      <c r="M1649" s="617">
        <f t="shared" si="52"/>
        <v>0</v>
      </c>
      <c r="N1649" s="617">
        <f t="shared" si="53"/>
        <v>6</v>
      </c>
      <c r="O1649" s="617"/>
    </row>
    <row r="1650" spans="2:15" ht="15" x14ac:dyDescent="0.25">
      <c r="B1650" s="529">
        <v>1645001</v>
      </c>
      <c r="C1650" s="529">
        <v>1646</v>
      </c>
      <c r="E1650" s="534">
        <v>0</v>
      </c>
      <c r="F1650" s="534">
        <v>0</v>
      </c>
      <c r="G1650" s="534">
        <v>6</v>
      </c>
      <c r="I1650" s="534">
        <v>0</v>
      </c>
      <c r="J1650" s="534">
        <v>0</v>
      </c>
      <c r="K1650" s="534">
        <v>0</v>
      </c>
      <c r="M1650" s="617">
        <f t="shared" si="52"/>
        <v>0</v>
      </c>
      <c r="N1650" s="617">
        <f t="shared" si="53"/>
        <v>6</v>
      </c>
      <c r="O1650" s="617"/>
    </row>
    <row r="1651" spans="2:15" ht="15" x14ac:dyDescent="0.25">
      <c r="B1651" s="529">
        <v>1646001</v>
      </c>
      <c r="C1651" s="529">
        <v>1647</v>
      </c>
      <c r="E1651" s="534">
        <v>0</v>
      </c>
      <c r="F1651" s="534">
        <v>0</v>
      </c>
      <c r="G1651" s="534">
        <v>6</v>
      </c>
      <c r="I1651" s="534">
        <v>0</v>
      </c>
      <c r="J1651" s="534">
        <v>0</v>
      </c>
      <c r="K1651" s="534">
        <v>0</v>
      </c>
      <c r="M1651" s="617">
        <f t="shared" si="52"/>
        <v>0</v>
      </c>
      <c r="N1651" s="617">
        <f t="shared" si="53"/>
        <v>6</v>
      </c>
      <c r="O1651" s="617"/>
    </row>
    <row r="1652" spans="2:15" ht="15" x14ac:dyDescent="0.25">
      <c r="B1652" s="529">
        <v>1647001</v>
      </c>
      <c r="C1652" s="529">
        <v>1648</v>
      </c>
      <c r="E1652" s="534">
        <v>0</v>
      </c>
      <c r="F1652" s="534">
        <v>0</v>
      </c>
      <c r="G1652" s="534">
        <v>6</v>
      </c>
      <c r="I1652" s="534">
        <v>0</v>
      </c>
      <c r="J1652" s="534">
        <v>0</v>
      </c>
      <c r="K1652" s="534">
        <v>0</v>
      </c>
      <c r="M1652" s="617">
        <f t="shared" si="52"/>
        <v>0</v>
      </c>
      <c r="N1652" s="617">
        <f t="shared" si="53"/>
        <v>6</v>
      </c>
      <c r="O1652" s="617"/>
    </row>
    <row r="1653" spans="2:15" ht="15" x14ac:dyDescent="0.25">
      <c r="B1653" s="529">
        <v>1648001</v>
      </c>
      <c r="C1653" s="529">
        <v>1649</v>
      </c>
      <c r="E1653" s="534">
        <v>0</v>
      </c>
      <c r="F1653" s="534">
        <v>0</v>
      </c>
      <c r="G1653" s="534">
        <v>6</v>
      </c>
      <c r="I1653" s="534">
        <v>0</v>
      </c>
      <c r="J1653" s="534">
        <v>0</v>
      </c>
      <c r="K1653" s="534">
        <v>0</v>
      </c>
      <c r="M1653" s="617">
        <f t="shared" si="52"/>
        <v>0</v>
      </c>
      <c r="N1653" s="617">
        <f t="shared" si="53"/>
        <v>6</v>
      </c>
      <c r="O1653" s="617"/>
    </row>
    <row r="1654" spans="2:15" ht="15" x14ac:dyDescent="0.25">
      <c r="B1654" s="529">
        <v>1649001</v>
      </c>
      <c r="C1654" s="529">
        <v>1650</v>
      </c>
      <c r="E1654" s="534">
        <v>0</v>
      </c>
      <c r="F1654" s="534">
        <v>0</v>
      </c>
      <c r="G1654" s="534">
        <v>6</v>
      </c>
      <c r="I1654" s="534">
        <v>0</v>
      </c>
      <c r="J1654" s="534">
        <v>0</v>
      </c>
      <c r="K1654" s="534">
        <v>0</v>
      </c>
      <c r="M1654" s="617">
        <f t="shared" si="52"/>
        <v>0</v>
      </c>
      <c r="N1654" s="617">
        <f t="shared" si="53"/>
        <v>6</v>
      </c>
      <c r="O1654" s="617"/>
    </row>
    <row r="1655" spans="2:15" ht="15" x14ac:dyDescent="0.25">
      <c r="B1655" s="529">
        <v>1650001</v>
      </c>
      <c r="C1655" s="529">
        <v>1651</v>
      </c>
      <c r="E1655" s="534">
        <v>0</v>
      </c>
      <c r="F1655" s="534">
        <v>0</v>
      </c>
      <c r="G1655" s="534">
        <v>6</v>
      </c>
      <c r="I1655" s="534">
        <v>0</v>
      </c>
      <c r="J1655" s="534">
        <v>0</v>
      </c>
      <c r="K1655" s="534">
        <v>0</v>
      </c>
      <c r="M1655" s="617">
        <f t="shared" si="52"/>
        <v>0</v>
      </c>
      <c r="N1655" s="617">
        <f t="shared" si="53"/>
        <v>6</v>
      </c>
      <c r="O1655" s="617"/>
    </row>
    <row r="1656" spans="2:15" ht="15" x14ac:dyDescent="0.25">
      <c r="B1656" s="529">
        <v>1651001</v>
      </c>
      <c r="C1656" s="529">
        <v>1652</v>
      </c>
      <c r="E1656" s="534">
        <v>0</v>
      </c>
      <c r="F1656" s="534">
        <v>0</v>
      </c>
      <c r="G1656" s="534">
        <v>6</v>
      </c>
      <c r="I1656" s="534">
        <v>0</v>
      </c>
      <c r="J1656" s="534">
        <v>0</v>
      </c>
      <c r="K1656" s="534">
        <v>0</v>
      </c>
      <c r="M1656" s="617">
        <f t="shared" si="52"/>
        <v>0</v>
      </c>
      <c r="N1656" s="617">
        <f t="shared" si="53"/>
        <v>6</v>
      </c>
      <c r="O1656" s="617"/>
    </row>
    <row r="1657" spans="2:15" ht="15" x14ac:dyDescent="0.25">
      <c r="B1657" s="529">
        <v>1652001</v>
      </c>
      <c r="C1657" s="529">
        <v>1653</v>
      </c>
      <c r="E1657" s="534">
        <v>0</v>
      </c>
      <c r="F1657" s="534">
        <v>0</v>
      </c>
      <c r="G1657" s="534">
        <v>6</v>
      </c>
      <c r="I1657" s="534">
        <v>0</v>
      </c>
      <c r="J1657" s="534">
        <v>0</v>
      </c>
      <c r="K1657" s="534">
        <v>0</v>
      </c>
      <c r="M1657" s="617">
        <f t="shared" si="52"/>
        <v>0</v>
      </c>
      <c r="N1657" s="617">
        <f t="shared" si="53"/>
        <v>6</v>
      </c>
      <c r="O1657" s="617"/>
    </row>
    <row r="1658" spans="2:15" ht="15" x14ac:dyDescent="0.25">
      <c r="B1658" s="529">
        <v>1653001</v>
      </c>
      <c r="C1658" s="529">
        <v>1654</v>
      </c>
      <c r="E1658" s="534">
        <v>0</v>
      </c>
      <c r="F1658" s="534">
        <v>0</v>
      </c>
      <c r="G1658" s="534">
        <v>6</v>
      </c>
      <c r="I1658" s="534">
        <v>0</v>
      </c>
      <c r="J1658" s="534">
        <v>0</v>
      </c>
      <c r="K1658" s="534">
        <v>0</v>
      </c>
      <c r="M1658" s="617">
        <f t="shared" si="52"/>
        <v>0</v>
      </c>
      <c r="N1658" s="617">
        <f t="shared" si="53"/>
        <v>6</v>
      </c>
      <c r="O1658" s="617"/>
    </row>
    <row r="1659" spans="2:15" ht="15" x14ac:dyDescent="0.25">
      <c r="B1659" s="529">
        <v>1654001</v>
      </c>
      <c r="C1659" s="529">
        <v>1655</v>
      </c>
      <c r="E1659" s="534">
        <v>0</v>
      </c>
      <c r="F1659" s="534">
        <v>0</v>
      </c>
      <c r="G1659" s="534">
        <v>6</v>
      </c>
      <c r="I1659" s="534">
        <v>0</v>
      </c>
      <c r="J1659" s="534">
        <v>0</v>
      </c>
      <c r="K1659" s="534">
        <v>0</v>
      </c>
      <c r="M1659" s="617">
        <f t="shared" si="52"/>
        <v>0</v>
      </c>
      <c r="N1659" s="617">
        <f t="shared" si="53"/>
        <v>6</v>
      </c>
      <c r="O1659" s="617"/>
    </row>
    <row r="1660" spans="2:15" ht="15" x14ac:dyDescent="0.25">
      <c r="B1660" s="529">
        <v>1655001</v>
      </c>
      <c r="C1660" s="529">
        <v>1656</v>
      </c>
      <c r="E1660" s="534">
        <v>0</v>
      </c>
      <c r="F1660" s="534">
        <v>0</v>
      </c>
      <c r="G1660" s="534">
        <v>6</v>
      </c>
      <c r="I1660" s="534">
        <v>0</v>
      </c>
      <c r="J1660" s="534">
        <v>0</v>
      </c>
      <c r="K1660" s="534">
        <v>0</v>
      </c>
      <c r="M1660" s="617">
        <f t="shared" si="52"/>
        <v>0</v>
      </c>
      <c r="N1660" s="617">
        <f t="shared" si="53"/>
        <v>6</v>
      </c>
      <c r="O1660" s="617"/>
    </row>
    <row r="1661" spans="2:15" ht="15" x14ac:dyDescent="0.25">
      <c r="B1661" s="529">
        <v>1656001</v>
      </c>
      <c r="C1661" s="529">
        <v>1657</v>
      </c>
      <c r="E1661" s="534">
        <v>0</v>
      </c>
      <c r="F1661" s="534">
        <v>0</v>
      </c>
      <c r="G1661" s="534">
        <v>6</v>
      </c>
      <c r="I1661" s="534">
        <v>0</v>
      </c>
      <c r="J1661" s="534">
        <v>0</v>
      </c>
      <c r="K1661" s="534">
        <v>0</v>
      </c>
      <c r="M1661" s="617">
        <f t="shared" si="52"/>
        <v>0</v>
      </c>
      <c r="N1661" s="617">
        <f t="shared" si="53"/>
        <v>6</v>
      </c>
      <c r="O1661" s="617"/>
    </row>
    <row r="1662" spans="2:15" ht="15" x14ac:dyDescent="0.25">
      <c r="B1662" s="529">
        <v>1657001</v>
      </c>
      <c r="C1662" s="529">
        <v>1658</v>
      </c>
      <c r="E1662" s="534">
        <v>0</v>
      </c>
      <c r="F1662" s="534">
        <v>0</v>
      </c>
      <c r="G1662" s="534">
        <v>6</v>
      </c>
      <c r="I1662" s="534">
        <v>0</v>
      </c>
      <c r="J1662" s="534">
        <v>0</v>
      </c>
      <c r="K1662" s="534">
        <v>0</v>
      </c>
      <c r="M1662" s="617">
        <f t="shared" si="52"/>
        <v>0</v>
      </c>
      <c r="N1662" s="617">
        <f t="shared" si="53"/>
        <v>6</v>
      </c>
      <c r="O1662" s="617"/>
    </row>
    <row r="1663" spans="2:15" ht="15" x14ac:dyDescent="0.25">
      <c r="B1663" s="529">
        <v>1658001</v>
      </c>
      <c r="C1663" s="529">
        <v>1659</v>
      </c>
      <c r="E1663" s="534">
        <v>0</v>
      </c>
      <c r="F1663" s="534">
        <v>0</v>
      </c>
      <c r="G1663" s="534">
        <v>6</v>
      </c>
      <c r="I1663" s="534">
        <v>0</v>
      </c>
      <c r="J1663" s="534">
        <v>0</v>
      </c>
      <c r="K1663" s="534">
        <v>0</v>
      </c>
      <c r="M1663" s="617">
        <f t="shared" si="52"/>
        <v>0</v>
      </c>
      <c r="N1663" s="617">
        <f t="shared" si="53"/>
        <v>6</v>
      </c>
      <c r="O1663" s="617"/>
    </row>
    <row r="1664" spans="2:15" ht="15" x14ac:dyDescent="0.25">
      <c r="B1664" s="529">
        <v>1659001</v>
      </c>
      <c r="C1664" s="529">
        <v>1660</v>
      </c>
      <c r="E1664" s="534">
        <v>0</v>
      </c>
      <c r="F1664" s="534">
        <v>0</v>
      </c>
      <c r="G1664" s="534">
        <v>6</v>
      </c>
      <c r="I1664" s="534">
        <v>0</v>
      </c>
      <c r="J1664" s="534">
        <v>0</v>
      </c>
      <c r="K1664" s="534">
        <v>0</v>
      </c>
      <c r="M1664" s="617">
        <f t="shared" si="52"/>
        <v>0</v>
      </c>
      <c r="N1664" s="617">
        <f t="shared" si="53"/>
        <v>6</v>
      </c>
      <c r="O1664" s="617"/>
    </row>
    <row r="1665" spans="2:15" ht="15" x14ac:dyDescent="0.25">
      <c r="B1665" s="529">
        <v>1660001</v>
      </c>
      <c r="C1665" s="529">
        <v>1661</v>
      </c>
      <c r="E1665" s="534">
        <v>0</v>
      </c>
      <c r="F1665" s="534">
        <v>0</v>
      </c>
      <c r="G1665" s="534">
        <v>6</v>
      </c>
      <c r="I1665" s="534">
        <v>0</v>
      </c>
      <c r="J1665" s="534">
        <v>0</v>
      </c>
      <c r="K1665" s="534">
        <v>0</v>
      </c>
      <c r="M1665" s="617">
        <f t="shared" si="52"/>
        <v>0</v>
      </c>
      <c r="N1665" s="617">
        <f t="shared" si="53"/>
        <v>6</v>
      </c>
      <c r="O1665" s="617"/>
    </row>
    <row r="1666" spans="2:15" ht="15" x14ac:dyDescent="0.25">
      <c r="B1666" s="529">
        <v>1661001</v>
      </c>
      <c r="C1666" s="529">
        <v>1662</v>
      </c>
      <c r="E1666" s="534">
        <v>0</v>
      </c>
      <c r="F1666" s="534">
        <v>0</v>
      </c>
      <c r="G1666" s="534">
        <v>6</v>
      </c>
      <c r="I1666" s="534">
        <v>0</v>
      </c>
      <c r="J1666" s="534">
        <v>0</v>
      </c>
      <c r="K1666" s="534">
        <v>0</v>
      </c>
      <c r="M1666" s="617">
        <f t="shared" si="52"/>
        <v>0</v>
      </c>
      <c r="N1666" s="617">
        <f t="shared" si="53"/>
        <v>6</v>
      </c>
      <c r="O1666" s="617"/>
    </row>
    <row r="1667" spans="2:15" ht="15" x14ac:dyDescent="0.25">
      <c r="B1667" s="529">
        <v>1662001</v>
      </c>
      <c r="C1667" s="529">
        <v>1663</v>
      </c>
      <c r="E1667" s="534">
        <v>0</v>
      </c>
      <c r="F1667" s="534">
        <v>0</v>
      </c>
      <c r="G1667" s="534">
        <v>6</v>
      </c>
      <c r="I1667" s="534">
        <v>0</v>
      </c>
      <c r="J1667" s="534">
        <v>0</v>
      </c>
      <c r="K1667" s="534">
        <v>0</v>
      </c>
      <c r="M1667" s="617">
        <f t="shared" si="52"/>
        <v>0</v>
      </c>
      <c r="N1667" s="617">
        <f t="shared" si="53"/>
        <v>6</v>
      </c>
      <c r="O1667" s="617"/>
    </row>
    <row r="1668" spans="2:15" ht="15" x14ac:dyDescent="0.25">
      <c r="B1668" s="529">
        <v>1663001</v>
      </c>
      <c r="C1668" s="529">
        <v>1664</v>
      </c>
      <c r="E1668" s="534">
        <v>0</v>
      </c>
      <c r="F1668" s="534">
        <v>0</v>
      </c>
      <c r="G1668" s="534">
        <v>6</v>
      </c>
      <c r="I1668" s="534">
        <v>0</v>
      </c>
      <c r="J1668" s="534">
        <v>0</v>
      </c>
      <c r="K1668" s="534">
        <v>0</v>
      </c>
      <c r="M1668" s="617">
        <f t="shared" si="52"/>
        <v>0</v>
      </c>
      <c r="N1668" s="617">
        <f t="shared" si="53"/>
        <v>6</v>
      </c>
      <c r="O1668" s="617"/>
    </row>
    <row r="1669" spans="2:15" ht="15" x14ac:dyDescent="0.25">
      <c r="B1669" s="529">
        <v>1664001</v>
      </c>
      <c r="C1669" s="529">
        <v>1665</v>
      </c>
      <c r="E1669" s="534">
        <v>0</v>
      </c>
      <c r="F1669" s="534">
        <v>0</v>
      </c>
      <c r="G1669" s="534">
        <v>6</v>
      </c>
      <c r="I1669" s="534">
        <v>0</v>
      </c>
      <c r="J1669" s="534">
        <v>0</v>
      </c>
      <c r="K1669" s="534">
        <v>0</v>
      </c>
      <c r="M1669" s="617">
        <f t="shared" ref="M1669:M1732" si="54">I1669+E1669</f>
        <v>0</v>
      </c>
      <c r="N1669" s="617">
        <f t="shared" ref="N1669:N1732" si="55">K1669+G1669</f>
        <v>6</v>
      </c>
      <c r="O1669" s="617"/>
    </row>
    <row r="1670" spans="2:15" ht="15" x14ac:dyDescent="0.25">
      <c r="B1670" s="529">
        <v>1665001</v>
      </c>
      <c r="C1670" s="529">
        <v>1666</v>
      </c>
      <c r="E1670" s="534">
        <v>0</v>
      </c>
      <c r="F1670" s="534">
        <v>0</v>
      </c>
      <c r="G1670" s="534">
        <v>6</v>
      </c>
      <c r="I1670" s="534">
        <v>0</v>
      </c>
      <c r="J1670" s="534">
        <v>0</v>
      </c>
      <c r="K1670" s="534">
        <v>0</v>
      </c>
      <c r="M1670" s="617">
        <f t="shared" si="54"/>
        <v>0</v>
      </c>
      <c r="N1670" s="617">
        <f t="shared" si="55"/>
        <v>6</v>
      </c>
      <c r="O1670" s="617"/>
    </row>
    <row r="1671" spans="2:15" ht="15" x14ac:dyDescent="0.25">
      <c r="B1671" s="529">
        <v>1666001</v>
      </c>
      <c r="C1671" s="529">
        <v>1667</v>
      </c>
      <c r="E1671" s="534">
        <v>0</v>
      </c>
      <c r="F1671" s="534">
        <v>0</v>
      </c>
      <c r="G1671" s="534">
        <v>6</v>
      </c>
      <c r="I1671" s="534">
        <v>0</v>
      </c>
      <c r="J1671" s="534">
        <v>0</v>
      </c>
      <c r="K1671" s="534">
        <v>0</v>
      </c>
      <c r="M1671" s="617">
        <f t="shared" si="54"/>
        <v>0</v>
      </c>
      <c r="N1671" s="617">
        <f t="shared" si="55"/>
        <v>6</v>
      </c>
      <c r="O1671" s="617"/>
    </row>
    <row r="1672" spans="2:15" ht="15" x14ac:dyDescent="0.25">
      <c r="B1672" s="529">
        <v>1667001</v>
      </c>
      <c r="C1672" s="529">
        <v>1668</v>
      </c>
      <c r="E1672" s="534">
        <v>0</v>
      </c>
      <c r="F1672" s="534">
        <v>0</v>
      </c>
      <c r="G1672" s="534">
        <v>6</v>
      </c>
      <c r="I1672" s="534">
        <v>0</v>
      </c>
      <c r="J1672" s="534">
        <v>0</v>
      </c>
      <c r="K1672" s="534">
        <v>0</v>
      </c>
      <c r="M1672" s="617">
        <f t="shared" si="54"/>
        <v>0</v>
      </c>
      <c r="N1672" s="617">
        <f t="shared" si="55"/>
        <v>6</v>
      </c>
      <c r="O1672" s="617"/>
    </row>
    <row r="1673" spans="2:15" ht="15" x14ac:dyDescent="0.25">
      <c r="B1673" s="529">
        <v>1668001</v>
      </c>
      <c r="C1673" s="529">
        <v>1669</v>
      </c>
      <c r="E1673" s="534">
        <v>0</v>
      </c>
      <c r="F1673" s="534">
        <v>0</v>
      </c>
      <c r="G1673" s="534">
        <v>6</v>
      </c>
      <c r="I1673" s="534">
        <v>0</v>
      </c>
      <c r="J1673" s="534">
        <v>0</v>
      </c>
      <c r="K1673" s="534">
        <v>0</v>
      </c>
      <c r="M1673" s="617">
        <f t="shared" si="54"/>
        <v>0</v>
      </c>
      <c r="N1673" s="617">
        <f t="shared" si="55"/>
        <v>6</v>
      </c>
      <c r="O1673" s="617"/>
    </row>
    <row r="1674" spans="2:15" ht="15" x14ac:dyDescent="0.25">
      <c r="B1674" s="529">
        <v>1669001</v>
      </c>
      <c r="C1674" s="529">
        <v>1670</v>
      </c>
      <c r="E1674" s="534">
        <v>0</v>
      </c>
      <c r="F1674" s="534">
        <v>0</v>
      </c>
      <c r="G1674" s="534">
        <v>6</v>
      </c>
      <c r="I1674" s="534">
        <v>0</v>
      </c>
      <c r="J1674" s="534">
        <v>0</v>
      </c>
      <c r="K1674" s="534">
        <v>0</v>
      </c>
      <c r="M1674" s="617">
        <f t="shared" si="54"/>
        <v>0</v>
      </c>
      <c r="N1674" s="617">
        <f t="shared" si="55"/>
        <v>6</v>
      </c>
      <c r="O1674" s="617"/>
    </row>
    <row r="1675" spans="2:15" ht="15" x14ac:dyDescent="0.25">
      <c r="B1675" s="529">
        <v>1670001</v>
      </c>
      <c r="C1675" s="529">
        <v>1671</v>
      </c>
      <c r="E1675" s="534">
        <v>0</v>
      </c>
      <c r="F1675" s="534">
        <v>0</v>
      </c>
      <c r="G1675" s="534">
        <v>6</v>
      </c>
      <c r="I1675" s="534">
        <v>0</v>
      </c>
      <c r="J1675" s="534">
        <v>0</v>
      </c>
      <c r="K1675" s="534">
        <v>0</v>
      </c>
      <c r="M1675" s="617">
        <f t="shared" si="54"/>
        <v>0</v>
      </c>
      <c r="N1675" s="617">
        <f t="shared" si="55"/>
        <v>6</v>
      </c>
      <c r="O1675" s="617"/>
    </row>
    <row r="1676" spans="2:15" ht="15" x14ac:dyDescent="0.25">
      <c r="B1676" s="529">
        <v>1671001</v>
      </c>
      <c r="C1676" s="529">
        <v>1672</v>
      </c>
      <c r="E1676" s="534">
        <v>0</v>
      </c>
      <c r="F1676" s="534">
        <v>0</v>
      </c>
      <c r="G1676" s="534">
        <v>6</v>
      </c>
      <c r="I1676" s="534">
        <v>0</v>
      </c>
      <c r="J1676" s="534">
        <v>0</v>
      </c>
      <c r="K1676" s="534">
        <v>0</v>
      </c>
      <c r="M1676" s="617">
        <f t="shared" si="54"/>
        <v>0</v>
      </c>
      <c r="N1676" s="617">
        <f t="shared" si="55"/>
        <v>6</v>
      </c>
      <c r="O1676" s="617"/>
    </row>
    <row r="1677" spans="2:15" ht="15" x14ac:dyDescent="0.25">
      <c r="B1677" s="529">
        <v>1672001</v>
      </c>
      <c r="C1677" s="529">
        <v>1673</v>
      </c>
      <c r="E1677" s="534">
        <v>0</v>
      </c>
      <c r="F1677" s="534">
        <v>0</v>
      </c>
      <c r="G1677" s="534">
        <v>6</v>
      </c>
      <c r="I1677" s="534">
        <v>0</v>
      </c>
      <c r="J1677" s="534">
        <v>0</v>
      </c>
      <c r="K1677" s="534">
        <v>0</v>
      </c>
      <c r="M1677" s="617">
        <f t="shared" si="54"/>
        <v>0</v>
      </c>
      <c r="N1677" s="617">
        <f t="shared" si="55"/>
        <v>6</v>
      </c>
      <c r="O1677" s="617"/>
    </row>
    <row r="1678" spans="2:15" ht="15" x14ac:dyDescent="0.25">
      <c r="B1678" s="529">
        <v>1673001</v>
      </c>
      <c r="C1678" s="529">
        <v>1674</v>
      </c>
      <c r="E1678" s="534">
        <v>0</v>
      </c>
      <c r="F1678" s="534">
        <v>0</v>
      </c>
      <c r="G1678" s="534">
        <v>6</v>
      </c>
      <c r="I1678" s="534">
        <v>0</v>
      </c>
      <c r="J1678" s="534">
        <v>0</v>
      </c>
      <c r="K1678" s="534">
        <v>0</v>
      </c>
      <c r="M1678" s="617">
        <f t="shared" si="54"/>
        <v>0</v>
      </c>
      <c r="N1678" s="617">
        <f t="shared" si="55"/>
        <v>6</v>
      </c>
      <c r="O1678" s="617"/>
    </row>
    <row r="1679" spans="2:15" ht="15" x14ac:dyDescent="0.25">
      <c r="B1679" s="529">
        <v>1674001</v>
      </c>
      <c r="C1679" s="529">
        <v>1675</v>
      </c>
      <c r="E1679" s="534">
        <v>0</v>
      </c>
      <c r="F1679" s="534">
        <v>0</v>
      </c>
      <c r="G1679" s="534">
        <v>6</v>
      </c>
      <c r="I1679" s="534">
        <v>0</v>
      </c>
      <c r="J1679" s="534">
        <v>0</v>
      </c>
      <c r="K1679" s="534">
        <v>0</v>
      </c>
      <c r="M1679" s="617">
        <f t="shared" si="54"/>
        <v>0</v>
      </c>
      <c r="N1679" s="617">
        <f t="shared" si="55"/>
        <v>6</v>
      </c>
      <c r="O1679" s="617"/>
    </row>
    <row r="1680" spans="2:15" ht="15" x14ac:dyDescent="0.25">
      <c r="B1680" s="529">
        <v>1675001</v>
      </c>
      <c r="C1680" s="529">
        <v>1676</v>
      </c>
      <c r="E1680" s="534">
        <v>0</v>
      </c>
      <c r="F1680" s="534">
        <v>0</v>
      </c>
      <c r="G1680" s="534">
        <v>6</v>
      </c>
      <c r="I1680" s="534">
        <v>0</v>
      </c>
      <c r="J1680" s="534">
        <v>0</v>
      </c>
      <c r="K1680" s="534">
        <v>0</v>
      </c>
      <c r="M1680" s="617">
        <f t="shared" si="54"/>
        <v>0</v>
      </c>
      <c r="N1680" s="617">
        <f t="shared" si="55"/>
        <v>6</v>
      </c>
      <c r="O1680" s="617"/>
    </row>
    <row r="1681" spans="2:15" ht="15" x14ac:dyDescent="0.25">
      <c r="B1681" s="529">
        <v>1676001</v>
      </c>
      <c r="C1681" s="529">
        <v>1677</v>
      </c>
      <c r="E1681" s="534">
        <v>0</v>
      </c>
      <c r="F1681" s="534">
        <v>0</v>
      </c>
      <c r="G1681" s="534">
        <v>6</v>
      </c>
      <c r="I1681" s="534">
        <v>0</v>
      </c>
      <c r="J1681" s="534">
        <v>0</v>
      </c>
      <c r="K1681" s="534">
        <v>0</v>
      </c>
      <c r="M1681" s="617">
        <f t="shared" si="54"/>
        <v>0</v>
      </c>
      <c r="N1681" s="617">
        <f t="shared" si="55"/>
        <v>6</v>
      </c>
      <c r="O1681" s="617"/>
    </row>
    <row r="1682" spans="2:15" ht="15" x14ac:dyDescent="0.25">
      <c r="B1682" s="529">
        <v>1677001</v>
      </c>
      <c r="C1682" s="529">
        <v>1678</v>
      </c>
      <c r="E1682" s="534">
        <v>0</v>
      </c>
      <c r="F1682" s="534">
        <v>0</v>
      </c>
      <c r="G1682" s="534">
        <v>6</v>
      </c>
      <c r="I1682" s="534">
        <v>0</v>
      </c>
      <c r="J1682" s="534">
        <v>0</v>
      </c>
      <c r="K1682" s="534">
        <v>0</v>
      </c>
      <c r="M1682" s="617">
        <f t="shared" si="54"/>
        <v>0</v>
      </c>
      <c r="N1682" s="617">
        <f t="shared" si="55"/>
        <v>6</v>
      </c>
      <c r="O1682" s="617"/>
    </row>
    <row r="1683" spans="2:15" ht="15" x14ac:dyDescent="0.25">
      <c r="B1683" s="529">
        <v>1678001</v>
      </c>
      <c r="C1683" s="529">
        <v>1679</v>
      </c>
      <c r="E1683" s="534">
        <v>0</v>
      </c>
      <c r="F1683" s="534">
        <v>0</v>
      </c>
      <c r="G1683" s="534">
        <v>6</v>
      </c>
      <c r="I1683" s="534">
        <v>0</v>
      </c>
      <c r="J1683" s="534">
        <v>0</v>
      </c>
      <c r="K1683" s="534">
        <v>0</v>
      </c>
      <c r="M1683" s="617">
        <f t="shared" si="54"/>
        <v>0</v>
      </c>
      <c r="N1683" s="617">
        <f t="shared" si="55"/>
        <v>6</v>
      </c>
      <c r="O1683" s="617"/>
    </row>
    <row r="1684" spans="2:15" ht="15" x14ac:dyDescent="0.25">
      <c r="B1684" s="529">
        <v>1679001</v>
      </c>
      <c r="C1684" s="529">
        <v>1680</v>
      </c>
      <c r="E1684" s="534">
        <v>0</v>
      </c>
      <c r="F1684" s="534">
        <v>0</v>
      </c>
      <c r="G1684" s="534">
        <v>6</v>
      </c>
      <c r="I1684" s="534">
        <v>0</v>
      </c>
      <c r="J1684" s="534">
        <v>0</v>
      </c>
      <c r="K1684" s="534">
        <v>0</v>
      </c>
      <c r="M1684" s="617">
        <f t="shared" si="54"/>
        <v>0</v>
      </c>
      <c r="N1684" s="617">
        <f t="shared" si="55"/>
        <v>6</v>
      </c>
      <c r="O1684" s="617"/>
    </row>
    <row r="1685" spans="2:15" ht="15" x14ac:dyDescent="0.25">
      <c r="B1685" s="529">
        <v>1680001</v>
      </c>
      <c r="C1685" s="529">
        <v>1681</v>
      </c>
      <c r="E1685" s="534">
        <v>0</v>
      </c>
      <c r="F1685" s="534">
        <v>0</v>
      </c>
      <c r="G1685" s="534">
        <v>6</v>
      </c>
      <c r="I1685" s="534">
        <v>0</v>
      </c>
      <c r="J1685" s="534">
        <v>0</v>
      </c>
      <c r="K1685" s="534">
        <v>0</v>
      </c>
      <c r="M1685" s="617">
        <f t="shared" si="54"/>
        <v>0</v>
      </c>
      <c r="N1685" s="617">
        <f t="shared" si="55"/>
        <v>6</v>
      </c>
      <c r="O1685" s="617"/>
    </row>
    <row r="1686" spans="2:15" ht="15" x14ac:dyDescent="0.25">
      <c r="B1686" s="529">
        <v>1681001</v>
      </c>
      <c r="C1686" s="529">
        <v>1682</v>
      </c>
      <c r="E1686" s="534">
        <v>0</v>
      </c>
      <c r="F1686" s="534">
        <v>0</v>
      </c>
      <c r="G1686" s="534">
        <v>6</v>
      </c>
      <c r="I1686" s="534">
        <v>0</v>
      </c>
      <c r="J1686" s="534">
        <v>0</v>
      </c>
      <c r="K1686" s="534">
        <v>0</v>
      </c>
      <c r="M1686" s="617">
        <f t="shared" si="54"/>
        <v>0</v>
      </c>
      <c r="N1686" s="617">
        <f t="shared" si="55"/>
        <v>6</v>
      </c>
      <c r="O1686" s="617"/>
    </row>
    <row r="1687" spans="2:15" ht="15" x14ac:dyDescent="0.25">
      <c r="B1687" s="529">
        <v>1682001</v>
      </c>
      <c r="C1687" s="529">
        <v>1683</v>
      </c>
      <c r="E1687" s="534">
        <v>0</v>
      </c>
      <c r="F1687" s="534">
        <v>0</v>
      </c>
      <c r="G1687" s="534">
        <v>6</v>
      </c>
      <c r="I1687" s="534">
        <v>0</v>
      </c>
      <c r="J1687" s="534">
        <v>0</v>
      </c>
      <c r="K1687" s="534">
        <v>0</v>
      </c>
      <c r="M1687" s="617">
        <f t="shared" si="54"/>
        <v>0</v>
      </c>
      <c r="N1687" s="617">
        <f t="shared" si="55"/>
        <v>6</v>
      </c>
      <c r="O1687" s="617"/>
    </row>
    <row r="1688" spans="2:15" ht="15" x14ac:dyDescent="0.25">
      <c r="B1688" s="529">
        <v>1683001</v>
      </c>
      <c r="C1688" s="529">
        <v>1684</v>
      </c>
      <c r="E1688" s="534">
        <v>0</v>
      </c>
      <c r="F1688" s="534">
        <v>0</v>
      </c>
      <c r="G1688" s="534">
        <v>6</v>
      </c>
      <c r="I1688" s="534">
        <v>0</v>
      </c>
      <c r="J1688" s="534">
        <v>0</v>
      </c>
      <c r="K1688" s="534">
        <v>0</v>
      </c>
      <c r="M1688" s="617">
        <f t="shared" si="54"/>
        <v>0</v>
      </c>
      <c r="N1688" s="617">
        <f t="shared" si="55"/>
        <v>6</v>
      </c>
      <c r="O1688" s="617"/>
    </row>
    <row r="1689" spans="2:15" ht="15" x14ac:dyDescent="0.25">
      <c r="B1689" s="529">
        <v>1684001</v>
      </c>
      <c r="C1689" s="529">
        <v>1685</v>
      </c>
      <c r="E1689" s="534">
        <v>0</v>
      </c>
      <c r="F1689" s="534">
        <v>0</v>
      </c>
      <c r="G1689" s="534">
        <v>6</v>
      </c>
      <c r="I1689" s="534">
        <v>0</v>
      </c>
      <c r="J1689" s="534">
        <v>0</v>
      </c>
      <c r="K1689" s="534">
        <v>0</v>
      </c>
      <c r="M1689" s="617">
        <f t="shared" si="54"/>
        <v>0</v>
      </c>
      <c r="N1689" s="617">
        <f t="shared" si="55"/>
        <v>6</v>
      </c>
      <c r="O1689" s="617"/>
    </row>
    <row r="1690" spans="2:15" ht="15" x14ac:dyDescent="0.25">
      <c r="B1690" s="529">
        <v>1685001</v>
      </c>
      <c r="C1690" s="529">
        <v>1686</v>
      </c>
      <c r="E1690" s="534">
        <v>0</v>
      </c>
      <c r="F1690" s="534">
        <v>0</v>
      </c>
      <c r="G1690" s="534">
        <v>6</v>
      </c>
      <c r="I1690" s="534">
        <v>0</v>
      </c>
      <c r="J1690" s="534">
        <v>0</v>
      </c>
      <c r="K1690" s="534">
        <v>0</v>
      </c>
      <c r="M1690" s="617">
        <f t="shared" si="54"/>
        <v>0</v>
      </c>
      <c r="N1690" s="617">
        <f t="shared" si="55"/>
        <v>6</v>
      </c>
      <c r="O1690" s="617"/>
    </row>
    <row r="1691" spans="2:15" ht="15" x14ac:dyDescent="0.25">
      <c r="B1691" s="529">
        <v>1686001</v>
      </c>
      <c r="C1691" s="529">
        <v>1687</v>
      </c>
      <c r="E1691" s="534">
        <v>0</v>
      </c>
      <c r="F1691" s="534">
        <v>0</v>
      </c>
      <c r="G1691" s="534">
        <v>6</v>
      </c>
      <c r="I1691" s="534">
        <v>0</v>
      </c>
      <c r="J1691" s="534">
        <v>0</v>
      </c>
      <c r="K1691" s="534">
        <v>0</v>
      </c>
      <c r="M1691" s="617">
        <f t="shared" si="54"/>
        <v>0</v>
      </c>
      <c r="N1691" s="617">
        <f t="shared" si="55"/>
        <v>6</v>
      </c>
      <c r="O1691" s="617"/>
    </row>
    <row r="1692" spans="2:15" ht="15" x14ac:dyDescent="0.25">
      <c r="B1692" s="529">
        <v>1687001</v>
      </c>
      <c r="C1692" s="529">
        <v>1688</v>
      </c>
      <c r="E1692" s="534">
        <v>0</v>
      </c>
      <c r="F1692" s="534">
        <v>0</v>
      </c>
      <c r="G1692" s="534">
        <v>6</v>
      </c>
      <c r="I1692" s="534">
        <v>0</v>
      </c>
      <c r="J1692" s="534">
        <v>0</v>
      </c>
      <c r="K1692" s="534">
        <v>0</v>
      </c>
      <c r="M1692" s="617">
        <f t="shared" si="54"/>
        <v>0</v>
      </c>
      <c r="N1692" s="617">
        <f t="shared" si="55"/>
        <v>6</v>
      </c>
      <c r="O1692" s="617"/>
    </row>
    <row r="1693" spans="2:15" ht="15" x14ac:dyDescent="0.25">
      <c r="B1693" s="529">
        <v>1688001</v>
      </c>
      <c r="C1693" s="529">
        <v>1689</v>
      </c>
      <c r="E1693" s="534">
        <v>0</v>
      </c>
      <c r="F1693" s="534">
        <v>0</v>
      </c>
      <c r="G1693" s="534">
        <v>6</v>
      </c>
      <c r="I1693" s="534">
        <v>0</v>
      </c>
      <c r="J1693" s="534">
        <v>0</v>
      </c>
      <c r="K1693" s="534">
        <v>0</v>
      </c>
      <c r="M1693" s="617">
        <f t="shared" si="54"/>
        <v>0</v>
      </c>
      <c r="N1693" s="617">
        <f t="shared" si="55"/>
        <v>6</v>
      </c>
      <c r="O1693" s="617"/>
    </row>
    <row r="1694" spans="2:15" ht="15" x14ac:dyDescent="0.25">
      <c r="B1694" s="529">
        <v>1689001</v>
      </c>
      <c r="C1694" s="529">
        <v>1690</v>
      </c>
      <c r="E1694" s="534">
        <v>0</v>
      </c>
      <c r="F1694" s="534">
        <v>0</v>
      </c>
      <c r="G1694" s="534">
        <v>6</v>
      </c>
      <c r="I1694" s="534">
        <v>0</v>
      </c>
      <c r="J1694" s="534">
        <v>0</v>
      </c>
      <c r="K1694" s="534">
        <v>0</v>
      </c>
      <c r="M1694" s="617">
        <f t="shared" si="54"/>
        <v>0</v>
      </c>
      <c r="N1694" s="617">
        <f t="shared" si="55"/>
        <v>6</v>
      </c>
      <c r="O1694" s="617"/>
    </row>
    <row r="1695" spans="2:15" ht="15" x14ac:dyDescent="0.25">
      <c r="B1695" s="529">
        <v>1690001</v>
      </c>
      <c r="C1695" s="529">
        <v>1691</v>
      </c>
      <c r="E1695" s="534">
        <v>0</v>
      </c>
      <c r="F1695" s="534">
        <v>0</v>
      </c>
      <c r="G1695" s="534">
        <v>6</v>
      </c>
      <c r="I1695" s="534">
        <v>0</v>
      </c>
      <c r="J1695" s="534">
        <v>0</v>
      </c>
      <c r="K1695" s="534">
        <v>0</v>
      </c>
      <c r="M1695" s="617">
        <f t="shared" si="54"/>
        <v>0</v>
      </c>
      <c r="N1695" s="617">
        <f t="shared" si="55"/>
        <v>6</v>
      </c>
      <c r="O1695" s="617"/>
    </row>
    <row r="1696" spans="2:15" ht="15" x14ac:dyDescent="0.25">
      <c r="B1696" s="529">
        <v>1691001</v>
      </c>
      <c r="C1696" s="529">
        <v>1692</v>
      </c>
      <c r="E1696" s="534">
        <v>0</v>
      </c>
      <c r="F1696" s="534">
        <v>0</v>
      </c>
      <c r="G1696" s="534">
        <v>6</v>
      </c>
      <c r="I1696" s="534">
        <v>0</v>
      </c>
      <c r="J1696" s="534">
        <v>0</v>
      </c>
      <c r="K1696" s="534">
        <v>0</v>
      </c>
      <c r="M1696" s="617">
        <f t="shared" si="54"/>
        <v>0</v>
      </c>
      <c r="N1696" s="617">
        <f t="shared" si="55"/>
        <v>6</v>
      </c>
      <c r="O1696" s="617"/>
    </row>
    <row r="1697" spans="2:15" ht="15" x14ac:dyDescent="0.25">
      <c r="B1697" s="529">
        <v>1692001</v>
      </c>
      <c r="C1697" s="529">
        <v>1693</v>
      </c>
      <c r="E1697" s="534">
        <v>0</v>
      </c>
      <c r="F1697" s="534">
        <v>0</v>
      </c>
      <c r="G1697" s="534">
        <v>6</v>
      </c>
      <c r="I1697" s="534">
        <v>0</v>
      </c>
      <c r="J1697" s="534">
        <v>0</v>
      </c>
      <c r="K1697" s="534">
        <v>0</v>
      </c>
      <c r="M1697" s="617">
        <f t="shared" si="54"/>
        <v>0</v>
      </c>
      <c r="N1697" s="617">
        <f t="shared" si="55"/>
        <v>6</v>
      </c>
      <c r="O1697" s="617"/>
    </row>
    <row r="1698" spans="2:15" ht="15" x14ac:dyDescent="0.25">
      <c r="B1698" s="529">
        <v>1693001</v>
      </c>
      <c r="C1698" s="529">
        <v>1694</v>
      </c>
      <c r="E1698" s="534">
        <v>0</v>
      </c>
      <c r="F1698" s="534">
        <v>0</v>
      </c>
      <c r="G1698" s="534">
        <v>6</v>
      </c>
      <c r="I1698" s="534">
        <v>0</v>
      </c>
      <c r="J1698" s="534">
        <v>0</v>
      </c>
      <c r="K1698" s="534">
        <v>0</v>
      </c>
      <c r="M1698" s="617">
        <f t="shared" si="54"/>
        <v>0</v>
      </c>
      <c r="N1698" s="617">
        <f t="shared" si="55"/>
        <v>6</v>
      </c>
      <c r="O1698" s="617"/>
    </row>
    <row r="1699" spans="2:15" ht="15" x14ac:dyDescent="0.25">
      <c r="B1699" s="529">
        <v>1694001</v>
      </c>
      <c r="C1699" s="529">
        <v>1695</v>
      </c>
      <c r="E1699" s="534">
        <v>0</v>
      </c>
      <c r="F1699" s="534">
        <v>0</v>
      </c>
      <c r="G1699" s="534">
        <v>6</v>
      </c>
      <c r="I1699" s="534">
        <v>0</v>
      </c>
      <c r="J1699" s="534">
        <v>0</v>
      </c>
      <c r="K1699" s="534">
        <v>0</v>
      </c>
      <c r="M1699" s="617">
        <f t="shared" si="54"/>
        <v>0</v>
      </c>
      <c r="N1699" s="617">
        <f t="shared" si="55"/>
        <v>6</v>
      </c>
      <c r="O1699" s="617"/>
    </row>
    <row r="1700" spans="2:15" ht="15" x14ac:dyDescent="0.25">
      <c r="B1700" s="529">
        <v>1695001</v>
      </c>
      <c r="C1700" s="529">
        <v>1696</v>
      </c>
      <c r="E1700" s="534">
        <v>0</v>
      </c>
      <c r="F1700" s="534">
        <v>0</v>
      </c>
      <c r="G1700" s="534">
        <v>6</v>
      </c>
      <c r="I1700" s="534">
        <v>0</v>
      </c>
      <c r="J1700" s="534">
        <v>0</v>
      </c>
      <c r="K1700" s="534">
        <v>0</v>
      </c>
      <c r="M1700" s="617">
        <f t="shared" si="54"/>
        <v>0</v>
      </c>
      <c r="N1700" s="617">
        <f t="shared" si="55"/>
        <v>6</v>
      </c>
      <c r="O1700" s="617"/>
    </row>
    <row r="1701" spans="2:15" ht="15" x14ac:dyDescent="0.25">
      <c r="B1701" s="529">
        <v>1696001</v>
      </c>
      <c r="C1701" s="529">
        <v>1697</v>
      </c>
      <c r="E1701" s="534">
        <v>0</v>
      </c>
      <c r="F1701" s="534">
        <v>0</v>
      </c>
      <c r="G1701" s="534">
        <v>6</v>
      </c>
      <c r="I1701" s="534">
        <v>0</v>
      </c>
      <c r="J1701" s="534">
        <v>0</v>
      </c>
      <c r="K1701" s="534">
        <v>0</v>
      </c>
      <c r="M1701" s="617">
        <f t="shared" si="54"/>
        <v>0</v>
      </c>
      <c r="N1701" s="617">
        <f t="shared" si="55"/>
        <v>6</v>
      </c>
      <c r="O1701" s="617"/>
    </row>
    <row r="1702" spans="2:15" ht="15" x14ac:dyDescent="0.25">
      <c r="B1702" s="529">
        <v>1697001</v>
      </c>
      <c r="C1702" s="529">
        <v>1698</v>
      </c>
      <c r="E1702" s="534">
        <v>0</v>
      </c>
      <c r="F1702" s="534">
        <v>0</v>
      </c>
      <c r="G1702" s="534">
        <v>6</v>
      </c>
      <c r="I1702" s="534">
        <v>0</v>
      </c>
      <c r="J1702" s="534">
        <v>0</v>
      </c>
      <c r="K1702" s="534">
        <v>0</v>
      </c>
      <c r="M1702" s="617">
        <f t="shared" si="54"/>
        <v>0</v>
      </c>
      <c r="N1702" s="617">
        <f t="shared" si="55"/>
        <v>6</v>
      </c>
      <c r="O1702" s="617"/>
    </row>
    <row r="1703" spans="2:15" ht="15" x14ac:dyDescent="0.25">
      <c r="B1703" s="529">
        <v>1698001</v>
      </c>
      <c r="C1703" s="529">
        <v>1699</v>
      </c>
      <c r="E1703" s="534">
        <v>0</v>
      </c>
      <c r="F1703" s="534">
        <v>0</v>
      </c>
      <c r="G1703" s="534">
        <v>6</v>
      </c>
      <c r="I1703" s="534">
        <v>0</v>
      </c>
      <c r="J1703" s="534">
        <v>0</v>
      </c>
      <c r="K1703" s="534">
        <v>0</v>
      </c>
      <c r="M1703" s="617">
        <f t="shared" si="54"/>
        <v>0</v>
      </c>
      <c r="N1703" s="617">
        <f t="shared" si="55"/>
        <v>6</v>
      </c>
      <c r="O1703" s="617"/>
    </row>
    <row r="1704" spans="2:15" ht="15" x14ac:dyDescent="0.25">
      <c r="B1704" s="529">
        <v>1699001</v>
      </c>
      <c r="C1704" s="529">
        <v>1700</v>
      </c>
      <c r="E1704" s="534">
        <v>0</v>
      </c>
      <c r="F1704" s="534">
        <v>0</v>
      </c>
      <c r="G1704" s="534">
        <v>6</v>
      </c>
      <c r="I1704" s="534">
        <v>0</v>
      </c>
      <c r="J1704" s="534">
        <v>0</v>
      </c>
      <c r="K1704" s="534">
        <v>0</v>
      </c>
      <c r="M1704" s="617">
        <f t="shared" si="54"/>
        <v>0</v>
      </c>
      <c r="N1704" s="617">
        <f t="shared" si="55"/>
        <v>6</v>
      </c>
      <c r="O1704" s="617"/>
    </row>
    <row r="1705" spans="2:15" ht="15" x14ac:dyDescent="0.25">
      <c r="B1705" s="529">
        <v>1700001</v>
      </c>
      <c r="C1705" s="529">
        <v>1701</v>
      </c>
      <c r="E1705" s="534">
        <v>0</v>
      </c>
      <c r="F1705" s="534">
        <v>0</v>
      </c>
      <c r="G1705" s="534">
        <v>6</v>
      </c>
      <c r="I1705" s="534">
        <v>0</v>
      </c>
      <c r="J1705" s="534">
        <v>0</v>
      </c>
      <c r="K1705" s="534">
        <v>0</v>
      </c>
      <c r="M1705" s="617">
        <f t="shared" si="54"/>
        <v>0</v>
      </c>
      <c r="N1705" s="617">
        <f t="shared" si="55"/>
        <v>6</v>
      </c>
      <c r="O1705" s="617"/>
    </row>
    <row r="1706" spans="2:15" ht="15" x14ac:dyDescent="0.25">
      <c r="B1706" s="529">
        <v>1701001</v>
      </c>
      <c r="C1706" s="529">
        <v>1702</v>
      </c>
      <c r="E1706" s="534">
        <v>0</v>
      </c>
      <c r="F1706" s="534">
        <v>0</v>
      </c>
      <c r="G1706" s="534">
        <v>6</v>
      </c>
      <c r="I1706" s="534">
        <v>0</v>
      </c>
      <c r="J1706" s="534">
        <v>0</v>
      </c>
      <c r="K1706" s="534">
        <v>0</v>
      </c>
      <c r="M1706" s="617">
        <f t="shared" si="54"/>
        <v>0</v>
      </c>
      <c r="N1706" s="617">
        <f t="shared" si="55"/>
        <v>6</v>
      </c>
      <c r="O1706" s="617"/>
    </row>
    <row r="1707" spans="2:15" ht="15" x14ac:dyDescent="0.25">
      <c r="B1707" s="529">
        <v>1702001</v>
      </c>
      <c r="C1707" s="529">
        <v>1703</v>
      </c>
      <c r="E1707" s="534">
        <v>0</v>
      </c>
      <c r="F1707" s="534">
        <v>0</v>
      </c>
      <c r="G1707" s="534">
        <v>6</v>
      </c>
      <c r="I1707" s="534">
        <v>0</v>
      </c>
      <c r="J1707" s="534">
        <v>0</v>
      </c>
      <c r="K1707" s="534">
        <v>0</v>
      </c>
      <c r="M1707" s="617">
        <f t="shared" si="54"/>
        <v>0</v>
      </c>
      <c r="N1707" s="617">
        <f t="shared" si="55"/>
        <v>6</v>
      </c>
      <c r="O1707" s="617"/>
    </row>
    <row r="1708" spans="2:15" ht="15" x14ac:dyDescent="0.25">
      <c r="B1708" s="529">
        <v>1703001</v>
      </c>
      <c r="C1708" s="529">
        <v>1704</v>
      </c>
      <c r="E1708" s="534">
        <v>0</v>
      </c>
      <c r="F1708" s="534">
        <v>0</v>
      </c>
      <c r="G1708" s="534">
        <v>6</v>
      </c>
      <c r="I1708" s="534">
        <v>0</v>
      </c>
      <c r="J1708" s="534">
        <v>0</v>
      </c>
      <c r="K1708" s="534">
        <v>0</v>
      </c>
      <c r="M1708" s="617">
        <f t="shared" si="54"/>
        <v>0</v>
      </c>
      <c r="N1708" s="617">
        <f t="shared" si="55"/>
        <v>6</v>
      </c>
      <c r="O1708" s="617"/>
    </row>
    <row r="1709" spans="2:15" ht="15" x14ac:dyDescent="0.25">
      <c r="B1709" s="529">
        <v>1704001</v>
      </c>
      <c r="C1709" s="529">
        <v>1705</v>
      </c>
      <c r="E1709" s="534">
        <v>0</v>
      </c>
      <c r="F1709" s="534">
        <v>0</v>
      </c>
      <c r="G1709" s="534">
        <v>6</v>
      </c>
      <c r="I1709" s="534">
        <v>0</v>
      </c>
      <c r="J1709" s="534">
        <v>0</v>
      </c>
      <c r="K1709" s="534">
        <v>0</v>
      </c>
      <c r="M1709" s="617">
        <f t="shared" si="54"/>
        <v>0</v>
      </c>
      <c r="N1709" s="617">
        <f t="shared" si="55"/>
        <v>6</v>
      </c>
      <c r="O1709" s="617"/>
    </row>
    <row r="1710" spans="2:15" ht="15" x14ac:dyDescent="0.25">
      <c r="B1710" s="529">
        <v>1705001</v>
      </c>
      <c r="C1710" s="529">
        <v>1706</v>
      </c>
      <c r="E1710" s="534">
        <v>0</v>
      </c>
      <c r="F1710" s="534">
        <v>0</v>
      </c>
      <c r="G1710" s="534">
        <v>6</v>
      </c>
      <c r="I1710" s="534">
        <v>0</v>
      </c>
      <c r="J1710" s="534">
        <v>0</v>
      </c>
      <c r="K1710" s="534">
        <v>0</v>
      </c>
      <c r="M1710" s="617">
        <f t="shared" si="54"/>
        <v>0</v>
      </c>
      <c r="N1710" s="617">
        <f t="shared" si="55"/>
        <v>6</v>
      </c>
      <c r="O1710" s="617"/>
    </row>
    <row r="1711" spans="2:15" ht="15" x14ac:dyDescent="0.25">
      <c r="B1711" s="529">
        <v>1706001</v>
      </c>
      <c r="C1711" s="529">
        <v>1707</v>
      </c>
      <c r="E1711" s="534">
        <v>0</v>
      </c>
      <c r="F1711" s="534">
        <v>0</v>
      </c>
      <c r="G1711" s="534">
        <v>6</v>
      </c>
      <c r="I1711" s="534">
        <v>0</v>
      </c>
      <c r="J1711" s="534">
        <v>0</v>
      </c>
      <c r="K1711" s="534">
        <v>0</v>
      </c>
      <c r="M1711" s="617">
        <f t="shared" si="54"/>
        <v>0</v>
      </c>
      <c r="N1711" s="617">
        <f t="shared" si="55"/>
        <v>6</v>
      </c>
      <c r="O1711" s="617"/>
    </row>
    <row r="1712" spans="2:15" ht="15" x14ac:dyDescent="0.25">
      <c r="B1712" s="529">
        <v>1707001</v>
      </c>
      <c r="C1712" s="529">
        <v>1708</v>
      </c>
      <c r="E1712" s="534">
        <v>0</v>
      </c>
      <c r="F1712" s="534">
        <v>0</v>
      </c>
      <c r="G1712" s="534">
        <v>6</v>
      </c>
      <c r="I1712" s="534">
        <v>0</v>
      </c>
      <c r="J1712" s="534">
        <v>0</v>
      </c>
      <c r="K1712" s="534">
        <v>0</v>
      </c>
      <c r="M1712" s="617">
        <f t="shared" si="54"/>
        <v>0</v>
      </c>
      <c r="N1712" s="617">
        <f t="shared" si="55"/>
        <v>6</v>
      </c>
      <c r="O1712" s="617"/>
    </row>
    <row r="1713" spans="2:15" ht="15" x14ac:dyDescent="0.25">
      <c r="B1713" s="529">
        <v>1708001</v>
      </c>
      <c r="C1713" s="529">
        <v>1709</v>
      </c>
      <c r="E1713" s="534">
        <v>0</v>
      </c>
      <c r="F1713" s="534">
        <v>0</v>
      </c>
      <c r="G1713" s="534">
        <v>6</v>
      </c>
      <c r="I1713" s="534">
        <v>0</v>
      </c>
      <c r="J1713" s="534">
        <v>0</v>
      </c>
      <c r="K1713" s="534">
        <v>0</v>
      </c>
      <c r="M1713" s="617">
        <f t="shared" si="54"/>
        <v>0</v>
      </c>
      <c r="N1713" s="617">
        <f t="shared" si="55"/>
        <v>6</v>
      </c>
      <c r="O1713" s="617"/>
    </row>
    <row r="1714" spans="2:15" ht="15" x14ac:dyDescent="0.25">
      <c r="B1714" s="529">
        <v>1709001</v>
      </c>
      <c r="C1714" s="529">
        <v>1710</v>
      </c>
      <c r="E1714" s="534">
        <v>0</v>
      </c>
      <c r="F1714" s="534">
        <v>0</v>
      </c>
      <c r="G1714" s="534">
        <v>6</v>
      </c>
      <c r="I1714" s="534">
        <v>0</v>
      </c>
      <c r="J1714" s="534">
        <v>0</v>
      </c>
      <c r="K1714" s="534">
        <v>0</v>
      </c>
      <c r="M1714" s="617">
        <f t="shared" si="54"/>
        <v>0</v>
      </c>
      <c r="N1714" s="617">
        <f t="shared" si="55"/>
        <v>6</v>
      </c>
      <c r="O1714" s="617"/>
    </row>
    <row r="1715" spans="2:15" ht="15" x14ac:dyDescent="0.25">
      <c r="B1715" s="529">
        <v>1710001</v>
      </c>
      <c r="C1715" s="529">
        <v>1711</v>
      </c>
      <c r="E1715" s="534">
        <v>0</v>
      </c>
      <c r="F1715" s="534">
        <v>0</v>
      </c>
      <c r="G1715" s="534">
        <v>6</v>
      </c>
      <c r="I1715" s="534">
        <v>0</v>
      </c>
      <c r="J1715" s="534">
        <v>0</v>
      </c>
      <c r="K1715" s="534">
        <v>0</v>
      </c>
      <c r="M1715" s="617">
        <f t="shared" si="54"/>
        <v>0</v>
      </c>
      <c r="N1715" s="617">
        <f t="shared" si="55"/>
        <v>6</v>
      </c>
      <c r="O1715" s="617"/>
    </row>
    <row r="1716" spans="2:15" ht="15" x14ac:dyDescent="0.25">
      <c r="B1716" s="529">
        <v>1711001</v>
      </c>
      <c r="C1716" s="529">
        <v>1712</v>
      </c>
      <c r="E1716" s="534">
        <v>0</v>
      </c>
      <c r="F1716" s="534">
        <v>0</v>
      </c>
      <c r="G1716" s="534">
        <v>6</v>
      </c>
      <c r="I1716" s="534">
        <v>0</v>
      </c>
      <c r="J1716" s="534">
        <v>0</v>
      </c>
      <c r="K1716" s="534">
        <v>0</v>
      </c>
      <c r="M1716" s="617">
        <f t="shared" si="54"/>
        <v>0</v>
      </c>
      <c r="N1716" s="617">
        <f t="shared" si="55"/>
        <v>6</v>
      </c>
      <c r="O1716" s="617"/>
    </row>
    <row r="1717" spans="2:15" ht="15" x14ac:dyDescent="0.25">
      <c r="B1717" s="529">
        <v>1712001</v>
      </c>
      <c r="C1717" s="529">
        <v>1713</v>
      </c>
      <c r="E1717" s="534">
        <v>0</v>
      </c>
      <c r="F1717" s="534">
        <v>0</v>
      </c>
      <c r="G1717" s="534">
        <v>6</v>
      </c>
      <c r="I1717" s="534">
        <v>0</v>
      </c>
      <c r="J1717" s="534">
        <v>0</v>
      </c>
      <c r="K1717" s="534">
        <v>0</v>
      </c>
      <c r="M1717" s="617">
        <f t="shared" si="54"/>
        <v>0</v>
      </c>
      <c r="N1717" s="617">
        <f t="shared" si="55"/>
        <v>6</v>
      </c>
      <c r="O1717" s="617"/>
    </row>
    <row r="1718" spans="2:15" ht="15" x14ac:dyDescent="0.25">
      <c r="B1718" s="529">
        <v>1713001</v>
      </c>
      <c r="C1718" s="529">
        <v>1714</v>
      </c>
      <c r="E1718" s="534">
        <v>0</v>
      </c>
      <c r="F1718" s="534">
        <v>0</v>
      </c>
      <c r="G1718" s="534">
        <v>6</v>
      </c>
      <c r="I1718" s="534">
        <v>0</v>
      </c>
      <c r="J1718" s="534">
        <v>0</v>
      </c>
      <c r="K1718" s="534">
        <v>0</v>
      </c>
      <c r="M1718" s="617">
        <f t="shared" si="54"/>
        <v>0</v>
      </c>
      <c r="N1718" s="617">
        <f t="shared" si="55"/>
        <v>6</v>
      </c>
      <c r="O1718" s="617"/>
    </row>
    <row r="1719" spans="2:15" ht="15" x14ac:dyDescent="0.25">
      <c r="B1719" s="529">
        <v>1714001</v>
      </c>
      <c r="C1719" s="529">
        <v>1715</v>
      </c>
      <c r="E1719" s="534">
        <v>0</v>
      </c>
      <c r="F1719" s="534">
        <v>0</v>
      </c>
      <c r="G1719" s="534">
        <v>6</v>
      </c>
      <c r="I1719" s="534">
        <v>0</v>
      </c>
      <c r="J1719" s="534">
        <v>0</v>
      </c>
      <c r="K1719" s="534">
        <v>0</v>
      </c>
      <c r="M1719" s="617">
        <f t="shared" si="54"/>
        <v>0</v>
      </c>
      <c r="N1719" s="617">
        <f t="shared" si="55"/>
        <v>6</v>
      </c>
      <c r="O1719" s="617"/>
    </row>
    <row r="1720" spans="2:15" ht="15" x14ac:dyDescent="0.25">
      <c r="B1720" s="529">
        <v>1715001</v>
      </c>
      <c r="C1720" s="529">
        <v>1716</v>
      </c>
      <c r="E1720" s="534">
        <v>0</v>
      </c>
      <c r="F1720" s="534">
        <v>0</v>
      </c>
      <c r="G1720" s="534">
        <v>6</v>
      </c>
      <c r="I1720" s="534">
        <v>0</v>
      </c>
      <c r="J1720" s="534">
        <v>0</v>
      </c>
      <c r="K1720" s="534">
        <v>0</v>
      </c>
      <c r="M1720" s="617">
        <f t="shared" si="54"/>
        <v>0</v>
      </c>
      <c r="N1720" s="617">
        <f t="shared" si="55"/>
        <v>6</v>
      </c>
      <c r="O1720" s="617"/>
    </row>
    <row r="1721" spans="2:15" ht="15" x14ac:dyDescent="0.25">
      <c r="B1721" s="529">
        <v>1716001</v>
      </c>
      <c r="C1721" s="529">
        <v>1717</v>
      </c>
      <c r="E1721" s="534">
        <v>0</v>
      </c>
      <c r="F1721" s="534">
        <v>0</v>
      </c>
      <c r="G1721" s="534">
        <v>6</v>
      </c>
      <c r="I1721" s="534">
        <v>0</v>
      </c>
      <c r="J1721" s="534">
        <v>0</v>
      </c>
      <c r="K1721" s="534">
        <v>0</v>
      </c>
      <c r="M1721" s="617">
        <f t="shared" si="54"/>
        <v>0</v>
      </c>
      <c r="N1721" s="617">
        <f t="shared" si="55"/>
        <v>6</v>
      </c>
      <c r="O1721" s="617"/>
    </row>
    <row r="1722" spans="2:15" ht="15" x14ac:dyDescent="0.25">
      <c r="B1722" s="529">
        <v>1717001</v>
      </c>
      <c r="C1722" s="529">
        <v>1718</v>
      </c>
      <c r="E1722" s="534">
        <v>0</v>
      </c>
      <c r="F1722" s="534">
        <v>0</v>
      </c>
      <c r="G1722" s="534">
        <v>6</v>
      </c>
      <c r="I1722" s="534">
        <v>0</v>
      </c>
      <c r="J1722" s="534">
        <v>0</v>
      </c>
      <c r="K1722" s="534">
        <v>0</v>
      </c>
      <c r="M1722" s="617">
        <f t="shared" si="54"/>
        <v>0</v>
      </c>
      <c r="N1722" s="617">
        <f t="shared" si="55"/>
        <v>6</v>
      </c>
      <c r="O1722" s="617"/>
    </row>
    <row r="1723" spans="2:15" ht="15" x14ac:dyDescent="0.25">
      <c r="B1723" s="529">
        <v>1718001</v>
      </c>
      <c r="C1723" s="529">
        <v>1719</v>
      </c>
      <c r="E1723" s="534">
        <v>0</v>
      </c>
      <c r="F1723" s="534">
        <v>0</v>
      </c>
      <c r="G1723" s="534">
        <v>6</v>
      </c>
      <c r="I1723" s="534">
        <v>0</v>
      </c>
      <c r="J1723" s="534">
        <v>0</v>
      </c>
      <c r="K1723" s="534">
        <v>0</v>
      </c>
      <c r="M1723" s="617">
        <f t="shared" si="54"/>
        <v>0</v>
      </c>
      <c r="N1723" s="617">
        <f t="shared" si="55"/>
        <v>6</v>
      </c>
      <c r="O1723" s="617"/>
    </row>
    <row r="1724" spans="2:15" ht="15" x14ac:dyDescent="0.25">
      <c r="B1724" s="529">
        <v>1719001</v>
      </c>
      <c r="C1724" s="529">
        <v>1720</v>
      </c>
      <c r="E1724" s="534">
        <v>0</v>
      </c>
      <c r="F1724" s="534">
        <v>0</v>
      </c>
      <c r="G1724" s="534">
        <v>6</v>
      </c>
      <c r="I1724" s="534">
        <v>0</v>
      </c>
      <c r="J1724" s="534">
        <v>0</v>
      </c>
      <c r="K1724" s="534">
        <v>0</v>
      </c>
      <c r="M1724" s="617">
        <f t="shared" si="54"/>
        <v>0</v>
      </c>
      <c r="N1724" s="617">
        <f t="shared" si="55"/>
        <v>6</v>
      </c>
      <c r="O1724" s="617"/>
    </row>
    <row r="1725" spans="2:15" ht="15" x14ac:dyDescent="0.25">
      <c r="B1725" s="529">
        <v>1720001</v>
      </c>
      <c r="C1725" s="529">
        <v>1721</v>
      </c>
      <c r="E1725" s="534">
        <v>0</v>
      </c>
      <c r="F1725" s="534">
        <v>0</v>
      </c>
      <c r="G1725" s="534">
        <v>6</v>
      </c>
      <c r="I1725" s="534">
        <v>0</v>
      </c>
      <c r="J1725" s="534">
        <v>0</v>
      </c>
      <c r="K1725" s="534">
        <v>0</v>
      </c>
      <c r="M1725" s="617">
        <f t="shared" si="54"/>
        <v>0</v>
      </c>
      <c r="N1725" s="617">
        <f t="shared" si="55"/>
        <v>6</v>
      </c>
      <c r="O1725" s="617"/>
    </row>
    <row r="1726" spans="2:15" ht="15" x14ac:dyDescent="0.25">
      <c r="B1726" s="529">
        <v>1721001</v>
      </c>
      <c r="C1726" s="529">
        <v>1722</v>
      </c>
      <c r="E1726" s="534">
        <v>0</v>
      </c>
      <c r="F1726" s="534">
        <v>0</v>
      </c>
      <c r="G1726" s="534">
        <v>6</v>
      </c>
      <c r="I1726" s="534">
        <v>0</v>
      </c>
      <c r="J1726" s="534">
        <v>0</v>
      </c>
      <c r="K1726" s="534">
        <v>0</v>
      </c>
      <c r="M1726" s="617">
        <f t="shared" si="54"/>
        <v>0</v>
      </c>
      <c r="N1726" s="617">
        <f t="shared" si="55"/>
        <v>6</v>
      </c>
      <c r="O1726" s="617"/>
    </row>
    <row r="1727" spans="2:15" ht="15" x14ac:dyDescent="0.25">
      <c r="B1727" s="529">
        <v>1722001</v>
      </c>
      <c r="C1727" s="529">
        <v>1723</v>
      </c>
      <c r="E1727" s="534">
        <v>0</v>
      </c>
      <c r="F1727" s="534">
        <v>0</v>
      </c>
      <c r="G1727" s="534">
        <v>6</v>
      </c>
      <c r="I1727" s="534">
        <v>0</v>
      </c>
      <c r="J1727" s="534">
        <v>0</v>
      </c>
      <c r="K1727" s="534">
        <v>0</v>
      </c>
      <c r="M1727" s="617">
        <f t="shared" si="54"/>
        <v>0</v>
      </c>
      <c r="N1727" s="617">
        <f t="shared" si="55"/>
        <v>6</v>
      </c>
      <c r="O1727" s="617"/>
    </row>
    <row r="1728" spans="2:15" ht="15" x14ac:dyDescent="0.25">
      <c r="B1728" s="529">
        <v>1723001</v>
      </c>
      <c r="C1728" s="529">
        <v>1724</v>
      </c>
      <c r="E1728" s="534">
        <v>0</v>
      </c>
      <c r="F1728" s="534">
        <v>0</v>
      </c>
      <c r="G1728" s="534">
        <v>6</v>
      </c>
      <c r="I1728" s="534">
        <v>0</v>
      </c>
      <c r="J1728" s="534">
        <v>0</v>
      </c>
      <c r="K1728" s="534">
        <v>0</v>
      </c>
      <c r="M1728" s="617">
        <f t="shared" si="54"/>
        <v>0</v>
      </c>
      <c r="N1728" s="617">
        <f t="shared" si="55"/>
        <v>6</v>
      </c>
      <c r="O1728" s="617"/>
    </row>
    <row r="1729" spans="2:15" ht="15" x14ac:dyDescent="0.25">
      <c r="B1729" s="529">
        <v>1724001</v>
      </c>
      <c r="C1729" s="529">
        <v>1725</v>
      </c>
      <c r="E1729" s="534">
        <v>0</v>
      </c>
      <c r="F1729" s="534">
        <v>0</v>
      </c>
      <c r="G1729" s="534">
        <v>6</v>
      </c>
      <c r="I1729" s="534">
        <v>0</v>
      </c>
      <c r="J1729" s="534">
        <v>0</v>
      </c>
      <c r="K1729" s="534">
        <v>0</v>
      </c>
      <c r="M1729" s="617">
        <f t="shared" si="54"/>
        <v>0</v>
      </c>
      <c r="N1729" s="617">
        <f t="shared" si="55"/>
        <v>6</v>
      </c>
      <c r="O1729" s="617"/>
    </row>
    <row r="1730" spans="2:15" ht="15" x14ac:dyDescent="0.25">
      <c r="B1730" s="529">
        <v>1725001</v>
      </c>
      <c r="C1730" s="529">
        <v>1726</v>
      </c>
      <c r="E1730" s="534">
        <v>0</v>
      </c>
      <c r="F1730" s="534">
        <v>0</v>
      </c>
      <c r="G1730" s="534">
        <v>6</v>
      </c>
      <c r="I1730" s="534">
        <v>0</v>
      </c>
      <c r="J1730" s="534">
        <v>0</v>
      </c>
      <c r="K1730" s="534">
        <v>0</v>
      </c>
      <c r="M1730" s="617">
        <f t="shared" si="54"/>
        <v>0</v>
      </c>
      <c r="N1730" s="617">
        <f t="shared" si="55"/>
        <v>6</v>
      </c>
      <c r="O1730" s="617"/>
    </row>
    <row r="1731" spans="2:15" ht="15" x14ac:dyDescent="0.25">
      <c r="B1731" s="529">
        <v>1726001</v>
      </c>
      <c r="C1731" s="529">
        <v>1727</v>
      </c>
      <c r="E1731" s="534">
        <v>0</v>
      </c>
      <c r="F1731" s="534">
        <v>0</v>
      </c>
      <c r="G1731" s="534">
        <v>6</v>
      </c>
      <c r="I1731" s="534">
        <v>0</v>
      </c>
      <c r="J1731" s="534">
        <v>0</v>
      </c>
      <c r="K1731" s="534">
        <v>0</v>
      </c>
      <c r="M1731" s="617">
        <f t="shared" si="54"/>
        <v>0</v>
      </c>
      <c r="N1731" s="617">
        <f t="shared" si="55"/>
        <v>6</v>
      </c>
      <c r="O1731" s="617"/>
    </row>
    <row r="1732" spans="2:15" ht="15" x14ac:dyDescent="0.25">
      <c r="B1732" s="529">
        <v>1727001</v>
      </c>
      <c r="C1732" s="529">
        <v>1728</v>
      </c>
      <c r="E1732" s="534">
        <v>0</v>
      </c>
      <c r="F1732" s="534">
        <v>0</v>
      </c>
      <c r="G1732" s="534">
        <v>6</v>
      </c>
      <c r="I1732" s="534">
        <v>0</v>
      </c>
      <c r="J1732" s="534">
        <v>0</v>
      </c>
      <c r="K1732" s="534">
        <v>0</v>
      </c>
      <c r="M1732" s="617">
        <f t="shared" si="54"/>
        <v>0</v>
      </c>
      <c r="N1732" s="617">
        <f t="shared" si="55"/>
        <v>6</v>
      </c>
      <c r="O1732" s="617"/>
    </row>
    <row r="1733" spans="2:15" ht="15" x14ac:dyDescent="0.25">
      <c r="B1733" s="529">
        <v>1728001</v>
      </c>
      <c r="C1733" s="529">
        <v>1729</v>
      </c>
      <c r="E1733" s="534">
        <v>0</v>
      </c>
      <c r="F1733" s="534">
        <v>0</v>
      </c>
      <c r="G1733" s="534">
        <v>6</v>
      </c>
      <c r="I1733" s="534">
        <v>0</v>
      </c>
      <c r="J1733" s="534">
        <v>0</v>
      </c>
      <c r="K1733" s="534">
        <v>0</v>
      </c>
      <c r="M1733" s="617">
        <f t="shared" ref="M1733:M1796" si="56">I1733+E1733</f>
        <v>0</v>
      </c>
      <c r="N1733" s="617">
        <f t="shared" ref="N1733:N1796" si="57">K1733+G1733</f>
        <v>6</v>
      </c>
      <c r="O1733" s="617"/>
    </row>
    <row r="1734" spans="2:15" ht="15" x14ac:dyDescent="0.25">
      <c r="B1734" s="529">
        <v>1729001</v>
      </c>
      <c r="C1734" s="529">
        <v>1730</v>
      </c>
      <c r="E1734" s="534">
        <v>0</v>
      </c>
      <c r="F1734" s="534">
        <v>0</v>
      </c>
      <c r="G1734" s="534">
        <v>6</v>
      </c>
      <c r="I1734" s="534">
        <v>0</v>
      </c>
      <c r="J1734" s="534">
        <v>0</v>
      </c>
      <c r="K1734" s="534">
        <v>0</v>
      </c>
      <c r="M1734" s="617">
        <f t="shared" si="56"/>
        <v>0</v>
      </c>
      <c r="N1734" s="617">
        <f t="shared" si="57"/>
        <v>6</v>
      </c>
      <c r="O1734" s="617"/>
    </row>
    <row r="1735" spans="2:15" ht="15" x14ac:dyDescent="0.25">
      <c r="B1735" s="529">
        <v>1730001</v>
      </c>
      <c r="C1735" s="529">
        <v>1731</v>
      </c>
      <c r="E1735" s="534">
        <v>0</v>
      </c>
      <c r="F1735" s="534">
        <v>0</v>
      </c>
      <c r="G1735" s="534">
        <v>6</v>
      </c>
      <c r="I1735" s="534">
        <v>0</v>
      </c>
      <c r="J1735" s="534">
        <v>0</v>
      </c>
      <c r="K1735" s="534">
        <v>0</v>
      </c>
      <c r="M1735" s="617">
        <f t="shared" si="56"/>
        <v>0</v>
      </c>
      <c r="N1735" s="617">
        <f t="shared" si="57"/>
        <v>6</v>
      </c>
      <c r="O1735" s="617"/>
    </row>
    <row r="1736" spans="2:15" ht="15" x14ac:dyDescent="0.25">
      <c r="B1736" s="529">
        <v>1731001</v>
      </c>
      <c r="C1736" s="529">
        <v>1732</v>
      </c>
      <c r="E1736" s="534">
        <v>0</v>
      </c>
      <c r="F1736" s="534">
        <v>0</v>
      </c>
      <c r="G1736" s="534">
        <v>6</v>
      </c>
      <c r="I1736" s="534">
        <v>0</v>
      </c>
      <c r="J1736" s="534">
        <v>0</v>
      </c>
      <c r="K1736" s="534">
        <v>0</v>
      </c>
      <c r="M1736" s="617">
        <f t="shared" si="56"/>
        <v>0</v>
      </c>
      <c r="N1736" s="617">
        <f t="shared" si="57"/>
        <v>6</v>
      </c>
      <c r="O1736" s="617"/>
    </row>
    <row r="1737" spans="2:15" ht="15" x14ac:dyDescent="0.25">
      <c r="B1737" s="529">
        <v>1732001</v>
      </c>
      <c r="C1737" s="529">
        <v>1733</v>
      </c>
      <c r="E1737" s="534">
        <v>0</v>
      </c>
      <c r="F1737" s="534">
        <v>0</v>
      </c>
      <c r="G1737" s="534">
        <v>6</v>
      </c>
      <c r="I1737" s="534">
        <v>0</v>
      </c>
      <c r="J1737" s="534">
        <v>0</v>
      </c>
      <c r="K1737" s="534">
        <v>0</v>
      </c>
      <c r="M1737" s="617">
        <f t="shared" si="56"/>
        <v>0</v>
      </c>
      <c r="N1737" s="617">
        <f t="shared" si="57"/>
        <v>6</v>
      </c>
      <c r="O1737" s="617"/>
    </row>
    <row r="1738" spans="2:15" ht="15" x14ac:dyDescent="0.25">
      <c r="B1738" s="529">
        <v>1733001</v>
      </c>
      <c r="C1738" s="529">
        <v>1734</v>
      </c>
      <c r="E1738" s="534">
        <v>0</v>
      </c>
      <c r="F1738" s="534">
        <v>0</v>
      </c>
      <c r="G1738" s="534">
        <v>6</v>
      </c>
      <c r="I1738" s="534">
        <v>0</v>
      </c>
      <c r="J1738" s="534">
        <v>0</v>
      </c>
      <c r="K1738" s="534">
        <v>0</v>
      </c>
      <c r="M1738" s="617">
        <f t="shared" si="56"/>
        <v>0</v>
      </c>
      <c r="N1738" s="617">
        <f t="shared" si="57"/>
        <v>6</v>
      </c>
      <c r="O1738" s="617"/>
    </row>
    <row r="1739" spans="2:15" ht="15" x14ac:dyDescent="0.25">
      <c r="B1739" s="529">
        <v>1734001</v>
      </c>
      <c r="C1739" s="529">
        <v>1735</v>
      </c>
      <c r="E1739" s="534">
        <v>0</v>
      </c>
      <c r="F1739" s="534">
        <v>0</v>
      </c>
      <c r="G1739" s="534">
        <v>6</v>
      </c>
      <c r="I1739" s="534">
        <v>0</v>
      </c>
      <c r="J1739" s="534">
        <v>0</v>
      </c>
      <c r="K1739" s="534">
        <v>0</v>
      </c>
      <c r="M1739" s="617">
        <f t="shared" si="56"/>
        <v>0</v>
      </c>
      <c r="N1739" s="617">
        <f t="shared" si="57"/>
        <v>6</v>
      </c>
      <c r="O1739" s="617"/>
    </row>
    <row r="1740" spans="2:15" ht="15" x14ac:dyDescent="0.25">
      <c r="B1740" s="529">
        <v>1735001</v>
      </c>
      <c r="C1740" s="529">
        <v>1736</v>
      </c>
      <c r="E1740" s="534">
        <v>0</v>
      </c>
      <c r="F1740" s="534">
        <v>0</v>
      </c>
      <c r="G1740" s="534">
        <v>6</v>
      </c>
      <c r="I1740" s="534">
        <v>0</v>
      </c>
      <c r="J1740" s="534">
        <v>0</v>
      </c>
      <c r="K1740" s="534">
        <v>0</v>
      </c>
      <c r="M1740" s="617">
        <f t="shared" si="56"/>
        <v>0</v>
      </c>
      <c r="N1740" s="617">
        <f t="shared" si="57"/>
        <v>6</v>
      </c>
      <c r="O1740" s="617"/>
    </row>
    <row r="1741" spans="2:15" ht="15" x14ac:dyDescent="0.25">
      <c r="B1741" s="529">
        <v>1736001</v>
      </c>
      <c r="C1741" s="529">
        <v>1737</v>
      </c>
      <c r="E1741" s="534">
        <v>0</v>
      </c>
      <c r="F1741" s="534">
        <v>0</v>
      </c>
      <c r="G1741" s="534">
        <v>6</v>
      </c>
      <c r="I1741" s="534">
        <v>0</v>
      </c>
      <c r="J1741" s="534">
        <v>0</v>
      </c>
      <c r="K1741" s="534">
        <v>0</v>
      </c>
      <c r="M1741" s="617">
        <f t="shared" si="56"/>
        <v>0</v>
      </c>
      <c r="N1741" s="617">
        <f t="shared" si="57"/>
        <v>6</v>
      </c>
      <c r="O1741" s="617"/>
    </row>
    <row r="1742" spans="2:15" ht="15" x14ac:dyDescent="0.25">
      <c r="B1742" s="529">
        <v>1737001</v>
      </c>
      <c r="C1742" s="529">
        <v>1738</v>
      </c>
      <c r="E1742" s="534">
        <v>0</v>
      </c>
      <c r="F1742" s="534">
        <v>0</v>
      </c>
      <c r="G1742" s="534">
        <v>6</v>
      </c>
      <c r="I1742" s="534">
        <v>0</v>
      </c>
      <c r="J1742" s="534">
        <v>0</v>
      </c>
      <c r="K1742" s="534">
        <v>0</v>
      </c>
      <c r="M1742" s="617">
        <f t="shared" si="56"/>
        <v>0</v>
      </c>
      <c r="N1742" s="617">
        <f t="shared" si="57"/>
        <v>6</v>
      </c>
      <c r="O1742" s="617"/>
    </row>
    <row r="1743" spans="2:15" ht="15" x14ac:dyDescent="0.25">
      <c r="B1743" s="529">
        <v>1738001</v>
      </c>
      <c r="C1743" s="529">
        <v>1739</v>
      </c>
      <c r="E1743" s="534">
        <v>0</v>
      </c>
      <c r="F1743" s="534">
        <v>0</v>
      </c>
      <c r="G1743" s="534">
        <v>6</v>
      </c>
      <c r="I1743" s="534">
        <v>0</v>
      </c>
      <c r="J1743" s="534">
        <v>0</v>
      </c>
      <c r="K1743" s="534">
        <v>0</v>
      </c>
      <c r="M1743" s="617">
        <f t="shared" si="56"/>
        <v>0</v>
      </c>
      <c r="N1743" s="617">
        <f t="shared" si="57"/>
        <v>6</v>
      </c>
      <c r="O1743" s="617"/>
    </row>
    <row r="1744" spans="2:15" ht="15" x14ac:dyDescent="0.25">
      <c r="B1744" s="529">
        <v>1739001</v>
      </c>
      <c r="C1744" s="529">
        <v>1740</v>
      </c>
      <c r="E1744" s="534">
        <v>0</v>
      </c>
      <c r="F1744" s="534">
        <v>0</v>
      </c>
      <c r="G1744" s="534">
        <v>6</v>
      </c>
      <c r="I1744" s="534">
        <v>0</v>
      </c>
      <c r="J1744" s="534">
        <v>0</v>
      </c>
      <c r="K1744" s="534">
        <v>0</v>
      </c>
      <c r="M1744" s="617">
        <f t="shared" si="56"/>
        <v>0</v>
      </c>
      <c r="N1744" s="617">
        <f t="shared" si="57"/>
        <v>6</v>
      </c>
      <c r="O1744" s="617"/>
    </row>
    <row r="1745" spans="2:15" ht="15" x14ac:dyDescent="0.25">
      <c r="B1745" s="529">
        <v>1740001</v>
      </c>
      <c r="C1745" s="529">
        <v>1741</v>
      </c>
      <c r="E1745" s="534">
        <v>0</v>
      </c>
      <c r="F1745" s="534">
        <v>0</v>
      </c>
      <c r="G1745" s="534">
        <v>6</v>
      </c>
      <c r="I1745" s="534">
        <v>0</v>
      </c>
      <c r="J1745" s="534">
        <v>0</v>
      </c>
      <c r="K1745" s="534">
        <v>0</v>
      </c>
      <c r="M1745" s="617">
        <f t="shared" si="56"/>
        <v>0</v>
      </c>
      <c r="N1745" s="617">
        <f t="shared" si="57"/>
        <v>6</v>
      </c>
      <c r="O1745" s="617"/>
    </row>
    <row r="1746" spans="2:15" ht="15" x14ac:dyDescent="0.25">
      <c r="B1746" s="529">
        <v>1741001</v>
      </c>
      <c r="C1746" s="529">
        <v>1742</v>
      </c>
      <c r="E1746" s="534">
        <v>0</v>
      </c>
      <c r="F1746" s="534">
        <v>0</v>
      </c>
      <c r="G1746" s="534">
        <v>6</v>
      </c>
      <c r="I1746" s="534">
        <v>0</v>
      </c>
      <c r="J1746" s="534">
        <v>0</v>
      </c>
      <c r="K1746" s="534">
        <v>0</v>
      </c>
      <c r="M1746" s="617">
        <f t="shared" si="56"/>
        <v>0</v>
      </c>
      <c r="N1746" s="617">
        <f t="shared" si="57"/>
        <v>6</v>
      </c>
      <c r="O1746" s="617"/>
    </row>
    <row r="1747" spans="2:15" ht="15" x14ac:dyDescent="0.25">
      <c r="B1747" s="529">
        <v>1742001</v>
      </c>
      <c r="C1747" s="529">
        <v>1743</v>
      </c>
      <c r="E1747" s="534">
        <v>0</v>
      </c>
      <c r="F1747" s="534">
        <v>0</v>
      </c>
      <c r="G1747" s="534">
        <v>6</v>
      </c>
      <c r="I1747" s="534">
        <v>0</v>
      </c>
      <c r="J1747" s="534">
        <v>0</v>
      </c>
      <c r="K1747" s="534">
        <v>0</v>
      </c>
      <c r="M1747" s="617">
        <f t="shared" si="56"/>
        <v>0</v>
      </c>
      <c r="N1747" s="617">
        <f t="shared" si="57"/>
        <v>6</v>
      </c>
      <c r="O1747" s="617"/>
    </row>
    <row r="1748" spans="2:15" ht="15" x14ac:dyDescent="0.25">
      <c r="B1748" s="529">
        <v>1743001</v>
      </c>
      <c r="C1748" s="529">
        <v>1744</v>
      </c>
      <c r="E1748" s="534">
        <v>0</v>
      </c>
      <c r="F1748" s="534">
        <v>0</v>
      </c>
      <c r="G1748" s="534">
        <v>6</v>
      </c>
      <c r="I1748" s="534">
        <v>0</v>
      </c>
      <c r="J1748" s="534">
        <v>0</v>
      </c>
      <c r="K1748" s="534">
        <v>0</v>
      </c>
      <c r="M1748" s="617">
        <f t="shared" si="56"/>
        <v>0</v>
      </c>
      <c r="N1748" s="617">
        <f t="shared" si="57"/>
        <v>6</v>
      </c>
      <c r="O1748" s="617"/>
    </row>
    <row r="1749" spans="2:15" ht="15" x14ac:dyDescent="0.25">
      <c r="B1749" s="529">
        <v>1744001</v>
      </c>
      <c r="C1749" s="529">
        <v>1745</v>
      </c>
      <c r="E1749" s="534">
        <v>0</v>
      </c>
      <c r="F1749" s="534">
        <v>0</v>
      </c>
      <c r="G1749" s="534">
        <v>6</v>
      </c>
      <c r="I1749" s="534">
        <v>0</v>
      </c>
      <c r="J1749" s="534">
        <v>0</v>
      </c>
      <c r="K1749" s="534">
        <v>0</v>
      </c>
      <c r="M1749" s="617">
        <f t="shared" si="56"/>
        <v>0</v>
      </c>
      <c r="N1749" s="617">
        <f t="shared" si="57"/>
        <v>6</v>
      </c>
      <c r="O1749" s="617"/>
    </row>
    <row r="1750" spans="2:15" ht="15" x14ac:dyDescent="0.25">
      <c r="B1750" s="529">
        <v>1745001</v>
      </c>
      <c r="C1750" s="529">
        <v>1746</v>
      </c>
      <c r="E1750" s="534">
        <v>0</v>
      </c>
      <c r="F1750" s="534">
        <v>0</v>
      </c>
      <c r="G1750" s="534">
        <v>6</v>
      </c>
      <c r="I1750" s="534">
        <v>0</v>
      </c>
      <c r="J1750" s="534">
        <v>0</v>
      </c>
      <c r="K1750" s="534">
        <v>0</v>
      </c>
      <c r="M1750" s="617">
        <f t="shared" si="56"/>
        <v>0</v>
      </c>
      <c r="N1750" s="617">
        <f t="shared" si="57"/>
        <v>6</v>
      </c>
      <c r="O1750" s="617"/>
    </row>
    <row r="1751" spans="2:15" ht="15" x14ac:dyDescent="0.25">
      <c r="B1751" s="529">
        <v>1746001</v>
      </c>
      <c r="C1751" s="529">
        <v>1747</v>
      </c>
      <c r="E1751" s="534">
        <v>0</v>
      </c>
      <c r="F1751" s="534">
        <v>0</v>
      </c>
      <c r="G1751" s="534">
        <v>6</v>
      </c>
      <c r="I1751" s="534">
        <v>0</v>
      </c>
      <c r="J1751" s="534">
        <v>0</v>
      </c>
      <c r="K1751" s="534">
        <v>0</v>
      </c>
      <c r="M1751" s="617">
        <f t="shared" si="56"/>
        <v>0</v>
      </c>
      <c r="N1751" s="617">
        <f t="shared" si="57"/>
        <v>6</v>
      </c>
      <c r="O1751" s="617"/>
    </row>
    <row r="1752" spans="2:15" ht="15" x14ac:dyDescent="0.25">
      <c r="B1752" s="529">
        <v>1747001</v>
      </c>
      <c r="C1752" s="529">
        <v>1748</v>
      </c>
      <c r="E1752" s="534">
        <v>0</v>
      </c>
      <c r="F1752" s="534">
        <v>0</v>
      </c>
      <c r="G1752" s="534">
        <v>6</v>
      </c>
      <c r="I1752" s="534">
        <v>0</v>
      </c>
      <c r="J1752" s="534">
        <v>0</v>
      </c>
      <c r="K1752" s="534">
        <v>0</v>
      </c>
      <c r="M1752" s="617">
        <f t="shared" si="56"/>
        <v>0</v>
      </c>
      <c r="N1752" s="617">
        <f t="shared" si="57"/>
        <v>6</v>
      </c>
      <c r="O1752" s="617"/>
    </row>
    <row r="1753" spans="2:15" ht="15" x14ac:dyDescent="0.25">
      <c r="B1753" s="529">
        <v>1748001</v>
      </c>
      <c r="C1753" s="529">
        <v>1749</v>
      </c>
      <c r="E1753" s="534">
        <v>0</v>
      </c>
      <c r="F1753" s="534">
        <v>0</v>
      </c>
      <c r="G1753" s="534">
        <v>6</v>
      </c>
      <c r="I1753" s="534">
        <v>0</v>
      </c>
      <c r="J1753" s="534">
        <v>0</v>
      </c>
      <c r="K1753" s="534">
        <v>0</v>
      </c>
      <c r="M1753" s="617">
        <f t="shared" si="56"/>
        <v>0</v>
      </c>
      <c r="N1753" s="617">
        <f t="shared" si="57"/>
        <v>6</v>
      </c>
      <c r="O1753" s="617"/>
    </row>
    <row r="1754" spans="2:15" ht="15" x14ac:dyDescent="0.25">
      <c r="B1754" s="529">
        <v>1749001</v>
      </c>
      <c r="C1754" s="529">
        <v>1750</v>
      </c>
      <c r="E1754" s="534">
        <v>0</v>
      </c>
      <c r="F1754" s="534">
        <v>0</v>
      </c>
      <c r="G1754" s="534">
        <v>6</v>
      </c>
      <c r="I1754" s="534">
        <v>0</v>
      </c>
      <c r="J1754" s="534">
        <v>0</v>
      </c>
      <c r="K1754" s="534">
        <v>0</v>
      </c>
      <c r="M1754" s="617">
        <f t="shared" si="56"/>
        <v>0</v>
      </c>
      <c r="N1754" s="617">
        <f t="shared" si="57"/>
        <v>6</v>
      </c>
      <c r="O1754" s="617"/>
    </row>
    <row r="1755" spans="2:15" ht="15" x14ac:dyDescent="0.25">
      <c r="B1755" s="529">
        <v>1750001</v>
      </c>
      <c r="C1755" s="529">
        <v>1751</v>
      </c>
      <c r="E1755" s="534">
        <v>0</v>
      </c>
      <c r="F1755" s="534">
        <v>0</v>
      </c>
      <c r="G1755" s="534">
        <v>6</v>
      </c>
      <c r="I1755" s="534">
        <v>0</v>
      </c>
      <c r="J1755" s="534">
        <v>0</v>
      </c>
      <c r="K1755" s="534">
        <v>0</v>
      </c>
      <c r="M1755" s="617">
        <f t="shared" si="56"/>
        <v>0</v>
      </c>
      <c r="N1755" s="617">
        <f t="shared" si="57"/>
        <v>6</v>
      </c>
      <c r="O1755" s="617"/>
    </row>
    <row r="1756" spans="2:15" ht="15" x14ac:dyDescent="0.25">
      <c r="B1756" s="529">
        <v>1751001</v>
      </c>
      <c r="C1756" s="529">
        <v>1752</v>
      </c>
      <c r="E1756" s="534">
        <v>0</v>
      </c>
      <c r="F1756" s="534">
        <v>0</v>
      </c>
      <c r="G1756" s="534">
        <v>6</v>
      </c>
      <c r="I1756" s="534">
        <v>0</v>
      </c>
      <c r="J1756" s="534">
        <v>0</v>
      </c>
      <c r="K1756" s="534">
        <v>0</v>
      </c>
      <c r="M1756" s="617">
        <f t="shared" si="56"/>
        <v>0</v>
      </c>
      <c r="N1756" s="617">
        <f t="shared" si="57"/>
        <v>6</v>
      </c>
      <c r="O1756" s="617"/>
    </row>
    <row r="1757" spans="2:15" ht="15" x14ac:dyDescent="0.25">
      <c r="B1757" s="529">
        <v>1752001</v>
      </c>
      <c r="C1757" s="529">
        <v>1753</v>
      </c>
      <c r="E1757" s="534">
        <v>0</v>
      </c>
      <c r="F1757" s="534">
        <v>0</v>
      </c>
      <c r="G1757" s="534">
        <v>6</v>
      </c>
      <c r="I1757" s="534">
        <v>0</v>
      </c>
      <c r="J1757" s="534">
        <v>0</v>
      </c>
      <c r="K1757" s="534">
        <v>0</v>
      </c>
      <c r="M1757" s="617">
        <f t="shared" si="56"/>
        <v>0</v>
      </c>
      <c r="N1757" s="617">
        <f t="shared" si="57"/>
        <v>6</v>
      </c>
      <c r="O1757" s="617"/>
    </row>
    <row r="1758" spans="2:15" ht="15" x14ac:dyDescent="0.25">
      <c r="B1758" s="529">
        <v>1753001</v>
      </c>
      <c r="C1758" s="529">
        <v>1754</v>
      </c>
      <c r="E1758" s="534">
        <v>0</v>
      </c>
      <c r="F1758" s="534">
        <v>0</v>
      </c>
      <c r="G1758" s="534">
        <v>6</v>
      </c>
      <c r="I1758" s="534">
        <v>0</v>
      </c>
      <c r="J1758" s="534">
        <v>0</v>
      </c>
      <c r="K1758" s="534">
        <v>0</v>
      </c>
      <c r="M1758" s="617">
        <f t="shared" si="56"/>
        <v>0</v>
      </c>
      <c r="N1758" s="617">
        <f t="shared" si="57"/>
        <v>6</v>
      </c>
      <c r="O1758" s="617"/>
    </row>
    <row r="1759" spans="2:15" ht="15" x14ac:dyDescent="0.25">
      <c r="B1759" s="529">
        <v>1754001</v>
      </c>
      <c r="C1759" s="529">
        <v>1755</v>
      </c>
      <c r="E1759" s="534">
        <v>0</v>
      </c>
      <c r="F1759" s="534">
        <v>0</v>
      </c>
      <c r="G1759" s="534">
        <v>6</v>
      </c>
      <c r="I1759" s="534">
        <v>0</v>
      </c>
      <c r="J1759" s="534">
        <v>0</v>
      </c>
      <c r="K1759" s="534">
        <v>0</v>
      </c>
      <c r="M1759" s="617">
        <f t="shared" si="56"/>
        <v>0</v>
      </c>
      <c r="N1759" s="617">
        <f t="shared" si="57"/>
        <v>6</v>
      </c>
      <c r="O1759" s="617"/>
    </row>
    <row r="1760" spans="2:15" ht="15" x14ac:dyDescent="0.25">
      <c r="B1760" s="529">
        <v>1755001</v>
      </c>
      <c r="C1760" s="529">
        <v>1756</v>
      </c>
      <c r="E1760" s="534">
        <v>0</v>
      </c>
      <c r="F1760" s="534">
        <v>0</v>
      </c>
      <c r="G1760" s="534">
        <v>6</v>
      </c>
      <c r="I1760" s="534">
        <v>0</v>
      </c>
      <c r="J1760" s="534">
        <v>0</v>
      </c>
      <c r="K1760" s="534">
        <v>0</v>
      </c>
      <c r="M1760" s="617">
        <f t="shared" si="56"/>
        <v>0</v>
      </c>
      <c r="N1760" s="617">
        <f t="shared" si="57"/>
        <v>6</v>
      </c>
      <c r="O1760" s="617"/>
    </row>
    <row r="1761" spans="2:15" ht="15" x14ac:dyDescent="0.25">
      <c r="B1761" s="529">
        <v>1756001</v>
      </c>
      <c r="C1761" s="529">
        <v>1757</v>
      </c>
      <c r="E1761" s="534">
        <v>0</v>
      </c>
      <c r="F1761" s="534">
        <v>0</v>
      </c>
      <c r="G1761" s="534">
        <v>6</v>
      </c>
      <c r="I1761" s="534">
        <v>0</v>
      </c>
      <c r="J1761" s="534">
        <v>0</v>
      </c>
      <c r="K1761" s="534">
        <v>0</v>
      </c>
      <c r="M1761" s="617">
        <f t="shared" si="56"/>
        <v>0</v>
      </c>
      <c r="N1761" s="617">
        <f t="shared" si="57"/>
        <v>6</v>
      </c>
      <c r="O1761" s="617"/>
    </row>
    <row r="1762" spans="2:15" ht="15" x14ac:dyDescent="0.25">
      <c r="B1762" s="529">
        <v>1757001</v>
      </c>
      <c r="C1762" s="529">
        <v>1758</v>
      </c>
      <c r="E1762" s="534">
        <v>0</v>
      </c>
      <c r="F1762" s="534">
        <v>0</v>
      </c>
      <c r="G1762" s="534">
        <v>6</v>
      </c>
      <c r="I1762" s="534">
        <v>0</v>
      </c>
      <c r="J1762" s="534">
        <v>0</v>
      </c>
      <c r="K1762" s="534">
        <v>0</v>
      </c>
      <c r="M1762" s="617">
        <f t="shared" si="56"/>
        <v>0</v>
      </c>
      <c r="N1762" s="617">
        <f t="shared" si="57"/>
        <v>6</v>
      </c>
      <c r="O1762" s="617"/>
    </row>
    <row r="1763" spans="2:15" ht="15" x14ac:dyDescent="0.25">
      <c r="B1763" s="529">
        <v>1758001</v>
      </c>
      <c r="C1763" s="529">
        <v>1759</v>
      </c>
      <c r="E1763" s="534">
        <v>0</v>
      </c>
      <c r="F1763" s="534">
        <v>0</v>
      </c>
      <c r="G1763" s="534">
        <v>6</v>
      </c>
      <c r="I1763" s="534">
        <v>0</v>
      </c>
      <c r="J1763" s="534">
        <v>0</v>
      </c>
      <c r="K1763" s="534">
        <v>0</v>
      </c>
      <c r="M1763" s="617">
        <f t="shared" si="56"/>
        <v>0</v>
      </c>
      <c r="N1763" s="617">
        <f t="shared" si="57"/>
        <v>6</v>
      </c>
      <c r="O1763" s="617"/>
    </row>
    <row r="1764" spans="2:15" ht="15" x14ac:dyDescent="0.25">
      <c r="B1764" s="529">
        <v>1759001</v>
      </c>
      <c r="C1764" s="529">
        <v>1760</v>
      </c>
      <c r="E1764" s="534">
        <v>0</v>
      </c>
      <c r="F1764" s="534">
        <v>0</v>
      </c>
      <c r="G1764" s="534">
        <v>6</v>
      </c>
      <c r="I1764" s="534">
        <v>0</v>
      </c>
      <c r="J1764" s="534">
        <v>0</v>
      </c>
      <c r="K1764" s="534">
        <v>0</v>
      </c>
      <c r="M1764" s="617">
        <f t="shared" si="56"/>
        <v>0</v>
      </c>
      <c r="N1764" s="617">
        <f t="shared" si="57"/>
        <v>6</v>
      </c>
      <c r="O1764" s="617"/>
    </row>
    <row r="1765" spans="2:15" ht="15" x14ac:dyDescent="0.25">
      <c r="B1765" s="529">
        <v>1760001</v>
      </c>
      <c r="C1765" s="529">
        <v>1761</v>
      </c>
      <c r="E1765" s="534">
        <v>0</v>
      </c>
      <c r="F1765" s="534">
        <v>0</v>
      </c>
      <c r="G1765" s="534">
        <v>6</v>
      </c>
      <c r="I1765" s="534">
        <v>0</v>
      </c>
      <c r="J1765" s="534">
        <v>0</v>
      </c>
      <c r="K1765" s="534">
        <v>0</v>
      </c>
      <c r="M1765" s="617">
        <f t="shared" si="56"/>
        <v>0</v>
      </c>
      <c r="N1765" s="617">
        <f t="shared" si="57"/>
        <v>6</v>
      </c>
      <c r="O1765" s="617"/>
    </row>
    <row r="1766" spans="2:15" ht="15" x14ac:dyDescent="0.25">
      <c r="B1766" s="529">
        <v>1761001</v>
      </c>
      <c r="C1766" s="529">
        <v>1762</v>
      </c>
      <c r="E1766" s="534">
        <v>0</v>
      </c>
      <c r="F1766" s="534">
        <v>0</v>
      </c>
      <c r="G1766" s="534">
        <v>6</v>
      </c>
      <c r="I1766" s="534">
        <v>0</v>
      </c>
      <c r="J1766" s="534">
        <v>0</v>
      </c>
      <c r="K1766" s="534">
        <v>0</v>
      </c>
      <c r="M1766" s="617">
        <f t="shared" si="56"/>
        <v>0</v>
      </c>
      <c r="N1766" s="617">
        <f t="shared" si="57"/>
        <v>6</v>
      </c>
      <c r="O1766" s="617"/>
    </row>
    <row r="1767" spans="2:15" ht="15" x14ac:dyDescent="0.25">
      <c r="B1767" s="529">
        <v>1762001</v>
      </c>
      <c r="C1767" s="529">
        <v>1763</v>
      </c>
      <c r="E1767" s="534">
        <v>0</v>
      </c>
      <c r="F1767" s="534">
        <v>0</v>
      </c>
      <c r="G1767" s="534">
        <v>6</v>
      </c>
      <c r="I1767" s="534">
        <v>0</v>
      </c>
      <c r="J1767" s="534">
        <v>0</v>
      </c>
      <c r="K1767" s="534">
        <v>0</v>
      </c>
      <c r="M1767" s="617">
        <f t="shared" si="56"/>
        <v>0</v>
      </c>
      <c r="N1767" s="617">
        <f t="shared" si="57"/>
        <v>6</v>
      </c>
      <c r="O1767" s="617"/>
    </row>
    <row r="1768" spans="2:15" ht="15" x14ac:dyDescent="0.25">
      <c r="B1768" s="529">
        <v>1763001</v>
      </c>
      <c r="C1768" s="529">
        <v>1764</v>
      </c>
      <c r="E1768" s="534">
        <v>0</v>
      </c>
      <c r="F1768" s="534">
        <v>0</v>
      </c>
      <c r="G1768" s="534">
        <v>6</v>
      </c>
      <c r="I1768" s="534">
        <v>0</v>
      </c>
      <c r="J1768" s="534">
        <v>0</v>
      </c>
      <c r="K1768" s="534">
        <v>0</v>
      </c>
      <c r="M1768" s="617">
        <f t="shared" si="56"/>
        <v>0</v>
      </c>
      <c r="N1768" s="617">
        <f t="shared" si="57"/>
        <v>6</v>
      </c>
      <c r="O1768" s="617"/>
    </row>
    <row r="1769" spans="2:15" ht="15" x14ac:dyDescent="0.25">
      <c r="B1769" s="529">
        <v>1764001</v>
      </c>
      <c r="C1769" s="529">
        <v>1765</v>
      </c>
      <c r="E1769" s="534">
        <v>0</v>
      </c>
      <c r="F1769" s="534">
        <v>0</v>
      </c>
      <c r="G1769" s="534">
        <v>6</v>
      </c>
      <c r="I1769" s="534">
        <v>0</v>
      </c>
      <c r="J1769" s="534">
        <v>0</v>
      </c>
      <c r="K1769" s="534">
        <v>0</v>
      </c>
      <c r="M1769" s="617">
        <f t="shared" si="56"/>
        <v>0</v>
      </c>
      <c r="N1769" s="617">
        <f t="shared" si="57"/>
        <v>6</v>
      </c>
      <c r="O1769" s="617"/>
    </row>
    <row r="1770" spans="2:15" ht="15" x14ac:dyDescent="0.25">
      <c r="B1770" s="529">
        <v>1765001</v>
      </c>
      <c r="C1770" s="529">
        <v>1766</v>
      </c>
      <c r="E1770" s="534">
        <v>0</v>
      </c>
      <c r="F1770" s="534">
        <v>0</v>
      </c>
      <c r="G1770" s="534">
        <v>6</v>
      </c>
      <c r="I1770" s="534">
        <v>0</v>
      </c>
      <c r="J1770" s="534">
        <v>0</v>
      </c>
      <c r="K1770" s="534">
        <v>0</v>
      </c>
      <c r="M1770" s="617">
        <f t="shared" si="56"/>
        <v>0</v>
      </c>
      <c r="N1770" s="617">
        <f t="shared" si="57"/>
        <v>6</v>
      </c>
      <c r="O1770" s="617"/>
    </row>
    <row r="1771" spans="2:15" ht="15" x14ac:dyDescent="0.25">
      <c r="B1771" s="529">
        <v>1766001</v>
      </c>
      <c r="C1771" s="529">
        <v>1767</v>
      </c>
      <c r="E1771" s="534">
        <v>0</v>
      </c>
      <c r="F1771" s="534">
        <v>0</v>
      </c>
      <c r="G1771" s="534">
        <v>6</v>
      </c>
      <c r="I1771" s="534">
        <v>0</v>
      </c>
      <c r="J1771" s="534">
        <v>0</v>
      </c>
      <c r="K1771" s="534">
        <v>0</v>
      </c>
      <c r="M1771" s="617">
        <f t="shared" si="56"/>
        <v>0</v>
      </c>
      <c r="N1771" s="617">
        <f t="shared" si="57"/>
        <v>6</v>
      </c>
      <c r="O1771" s="617"/>
    </row>
    <row r="1772" spans="2:15" ht="15" x14ac:dyDescent="0.25">
      <c r="B1772" s="529">
        <v>1767001</v>
      </c>
      <c r="C1772" s="529">
        <v>1768</v>
      </c>
      <c r="E1772" s="534">
        <v>0</v>
      </c>
      <c r="F1772" s="534">
        <v>0</v>
      </c>
      <c r="G1772" s="534">
        <v>6</v>
      </c>
      <c r="I1772" s="534">
        <v>0</v>
      </c>
      <c r="J1772" s="534">
        <v>0</v>
      </c>
      <c r="K1772" s="534">
        <v>0</v>
      </c>
      <c r="M1772" s="617">
        <f t="shared" si="56"/>
        <v>0</v>
      </c>
      <c r="N1772" s="617">
        <f t="shared" si="57"/>
        <v>6</v>
      </c>
      <c r="O1772" s="617"/>
    </row>
    <row r="1773" spans="2:15" ht="15" x14ac:dyDescent="0.25">
      <c r="B1773" s="529">
        <v>1768001</v>
      </c>
      <c r="C1773" s="529">
        <v>1769</v>
      </c>
      <c r="E1773" s="534">
        <v>0</v>
      </c>
      <c r="F1773" s="534">
        <v>0</v>
      </c>
      <c r="G1773" s="534">
        <v>6</v>
      </c>
      <c r="I1773" s="534">
        <v>0</v>
      </c>
      <c r="J1773" s="534">
        <v>0</v>
      </c>
      <c r="K1773" s="534">
        <v>0</v>
      </c>
      <c r="M1773" s="617">
        <f t="shared" si="56"/>
        <v>0</v>
      </c>
      <c r="N1773" s="617">
        <f t="shared" si="57"/>
        <v>6</v>
      </c>
      <c r="O1773" s="617"/>
    </row>
    <row r="1774" spans="2:15" ht="15" x14ac:dyDescent="0.25">
      <c r="B1774" s="529">
        <v>1769001</v>
      </c>
      <c r="C1774" s="529">
        <v>1770</v>
      </c>
      <c r="E1774" s="534">
        <v>0</v>
      </c>
      <c r="F1774" s="534">
        <v>0</v>
      </c>
      <c r="G1774" s="534">
        <v>6</v>
      </c>
      <c r="I1774" s="534">
        <v>0</v>
      </c>
      <c r="J1774" s="534">
        <v>0</v>
      </c>
      <c r="K1774" s="534">
        <v>0</v>
      </c>
      <c r="M1774" s="617">
        <f t="shared" si="56"/>
        <v>0</v>
      </c>
      <c r="N1774" s="617">
        <f t="shared" si="57"/>
        <v>6</v>
      </c>
      <c r="O1774" s="617"/>
    </row>
    <row r="1775" spans="2:15" ht="15" x14ac:dyDescent="0.25">
      <c r="B1775" s="529">
        <v>1770001</v>
      </c>
      <c r="C1775" s="529">
        <v>1771</v>
      </c>
      <c r="E1775" s="534">
        <v>0</v>
      </c>
      <c r="F1775" s="534">
        <v>0</v>
      </c>
      <c r="G1775" s="534">
        <v>6</v>
      </c>
      <c r="I1775" s="534">
        <v>0</v>
      </c>
      <c r="J1775" s="534">
        <v>0</v>
      </c>
      <c r="K1775" s="534">
        <v>0</v>
      </c>
      <c r="M1775" s="617">
        <f t="shared" si="56"/>
        <v>0</v>
      </c>
      <c r="N1775" s="617">
        <f t="shared" si="57"/>
        <v>6</v>
      </c>
      <c r="O1775" s="617"/>
    </row>
    <row r="1776" spans="2:15" ht="15" x14ac:dyDescent="0.25">
      <c r="B1776" s="529">
        <v>1771001</v>
      </c>
      <c r="C1776" s="529">
        <v>1772</v>
      </c>
      <c r="E1776" s="534">
        <v>0</v>
      </c>
      <c r="F1776" s="534">
        <v>0</v>
      </c>
      <c r="G1776" s="534">
        <v>6</v>
      </c>
      <c r="I1776" s="534">
        <v>0</v>
      </c>
      <c r="J1776" s="534">
        <v>0</v>
      </c>
      <c r="K1776" s="534">
        <v>0</v>
      </c>
      <c r="M1776" s="617">
        <f t="shared" si="56"/>
        <v>0</v>
      </c>
      <c r="N1776" s="617">
        <f t="shared" si="57"/>
        <v>6</v>
      </c>
      <c r="O1776" s="617"/>
    </row>
    <row r="1777" spans="2:15" ht="15" x14ac:dyDescent="0.25">
      <c r="B1777" s="529">
        <v>1772001</v>
      </c>
      <c r="C1777" s="529">
        <v>1773</v>
      </c>
      <c r="E1777" s="534">
        <v>0</v>
      </c>
      <c r="F1777" s="534">
        <v>0</v>
      </c>
      <c r="G1777" s="534">
        <v>6</v>
      </c>
      <c r="I1777" s="534">
        <v>0</v>
      </c>
      <c r="J1777" s="534">
        <v>0</v>
      </c>
      <c r="K1777" s="534">
        <v>0</v>
      </c>
      <c r="M1777" s="617">
        <f t="shared" si="56"/>
        <v>0</v>
      </c>
      <c r="N1777" s="617">
        <f t="shared" si="57"/>
        <v>6</v>
      </c>
      <c r="O1777" s="617"/>
    </row>
    <row r="1778" spans="2:15" ht="15" x14ac:dyDescent="0.25">
      <c r="B1778" s="529">
        <v>1773001</v>
      </c>
      <c r="C1778" s="529">
        <v>1774</v>
      </c>
      <c r="E1778" s="534">
        <v>0</v>
      </c>
      <c r="F1778" s="534">
        <v>0</v>
      </c>
      <c r="G1778" s="534">
        <v>6</v>
      </c>
      <c r="I1778" s="534">
        <v>0</v>
      </c>
      <c r="J1778" s="534">
        <v>0</v>
      </c>
      <c r="K1778" s="534">
        <v>0</v>
      </c>
      <c r="M1778" s="617">
        <f t="shared" si="56"/>
        <v>0</v>
      </c>
      <c r="N1778" s="617">
        <f t="shared" si="57"/>
        <v>6</v>
      </c>
      <c r="O1778" s="617"/>
    </row>
    <row r="1779" spans="2:15" ht="15" x14ac:dyDescent="0.25">
      <c r="B1779" s="529">
        <v>1774001</v>
      </c>
      <c r="C1779" s="529">
        <v>1775</v>
      </c>
      <c r="E1779" s="534">
        <v>0</v>
      </c>
      <c r="F1779" s="534">
        <v>0</v>
      </c>
      <c r="G1779" s="534">
        <v>6</v>
      </c>
      <c r="I1779" s="534">
        <v>0</v>
      </c>
      <c r="J1779" s="534">
        <v>0</v>
      </c>
      <c r="K1779" s="534">
        <v>0</v>
      </c>
      <c r="M1779" s="617">
        <f t="shared" si="56"/>
        <v>0</v>
      </c>
      <c r="N1779" s="617">
        <f t="shared" si="57"/>
        <v>6</v>
      </c>
      <c r="O1779" s="617"/>
    </row>
    <row r="1780" spans="2:15" ht="15" x14ac:dyDescent="0.25">
      <c r="B1780" s="529">
        <v>1775001</v>
      </c>
      <c r="C1780" s="529">
        <v>1776</v>
      </c>
      <c r="E1780" s="534">
        <v>0</v>
      </c>
      <c r="F1780" s="534">
        <v>0</v>
      </c>
      <c r="G1780" s="534">
        <v>6</v>
      </c>
      <c r="I1780" s="534">
        <v>0</v>
      </c>
      <c r="J1780" s="534">
        <v>0</v>
      </c>
      <c r="K1780" s="534">
        <v>0</v>
      </c>
      <c r="M1780" s="617">
        <f t="shared" si="56"/>
        <v>0</v>
      </c>
      <c r="N1780" s="617">
        <f t="shared" si="57"/>
        <v>6</v>
      </c>
      <c r="O1780" s="617"/>
    </row>
    <row r="1781" spans="2:15" ht="15" x14ac:dyDescent="0.25">
      <c r="B1781" s="529">
        <v>1776001</v>
      </c>
      <c r="C1781" s="529">
        <v>1777</v>
      </c>
      <c r="E1781" s="534">
        <v>0</v>
      </c>
      <c r="F1781" s="534">
        <v>0</v>
      </c>
      <c r="G1781" s="534">
        <v>6</v>
      </c>
      <c r="I1781" s="534">
        <v>0</v>
      </c>
      <c r="J1781" s="534">
        <v>0</v>
      </c>
      <c r="K1781" s="534">
        <v>0</v>
      </c>
      <c r="M1781" s="617">
        <f t="shared" si="56"/>
        <v>0</v>
      </c>
      <c r="N1781" s="617">
        <f t="shared" si="57"/>
        <v>6</v>
      </c>
      <c r="O1781" s="617"/>
    </row>
    <row r="1782" spans="2:15" ht="15" x14ac:dyDescent="0.25">
      <c r="B1782" s="529">
        <v>1777001</v>
      </c>
      <c r="C1782" s="529">
        <v>1778</v>
      </c>
      <c r="E1782" s="534">
        <v>0</v>
      </c>
      <c r="F1782" s="534">
        <v>0</v>
      </c>
      <c r="G1782" s="534">
        <v>6</v>
      </c>
      <c r="I1782" s="534">
        <v>0</v>
      </c>
      <c r="J1782" s="534">
        <v>0</v>
      </c>
      <c r="K1782" s="534">
        <v>0</v>
      </c>
      <c r="M1782" s="617">
        <f t="shared" si="56"/>
        <v>0</v>
      </c>
      <c r="N1782" s="617">
        <f t="shared" si="57"/>
        <v>6</v>
      </c>
      <c r="O1782" s="617"/>
    </row>
    <row r="1783" spans="2:15" ht="15" x14ac:dyDescent="0.25">
      <c r="B1783" s="529">
        <v>1778001</v>
      </c>
      <c r="C1783" s="529">
        <v>1779</v>
      </c>
      <c r="E1783" s="534">
        <v>0</v>
      </c>
      <c r="F1783" s="534">
        <v>0</v>
      </c>
      <c r="G1783" s="534">
        <v>6</v>
      </c>
      <c r="I1783" s="534">
        <v>0</v>
      </c>
      <c r="J1783" s="534">
        <v>0</v>
      </c>
      <c r="K1783" s="534">
        <v>0</v>
      </c>
      <c r="M1783" s="617">
        <f t="shared" si="56"/>
        <v>0</v>
      </c>
      <c r="N1783" s="617">
        <f t="shared" si="57"/>
        <v>6</v>
      </c>
      <c r="O1783" s="617"/>
    </row>
    <row r="1784" spans="2:15" ht="15" x14ac:dyDescent="0.25">
      <c r="B1784" s="529">
        <v>1779001</v>
      </c>
      <c r="C1784" s="529">
        <v>1780</v>
      </c>
      <c r="E1784" s="534">
        <v>0</v>
      </c>
      <c r="F1784" s="534">
        <v>0</v>
      </c>
      <c r="G1784" s="534">
        <v>6</v>
      </c>
      <c r="I1784" s="534">
        <v>0</v>
      </c>
      <c r="J1784" s="534">
        <v>0</v>
      </c>
      <c r="K1784" s="534">
        <v>0</v>
      </c>
      <c r="M1784" s="617">
        <f t="shared" si="56"/>
        <v>0</v>
      </c>
      <c r="N1784" s="617">
        <f t="shared" si="57"/>
        <v>6</v>
      </c>
      <c r="O1784" s="617"/>
    </row>
    <row r="1785" spans="2:15" ht="15" x14ac:dyDescent="0.25">
      <c r="B1785" s="529">
        <v>1780001</v>
      </c>
      <c r="C1785" s="529">
        <v>1781</v>
      </c>
      <c r="E1785" s="534">
        <v>0</v>
      </c>
      <c r="F1785" s="534">
        <v>0</v>
      </c>
      <c r="G1785" s="534">
        <v>6</v>
      </c>
      <c r="I1785" s="534">
        <v>0</v>
      </c>
      <c r="J1785" s="534">
        <v>0</v>
      </c>
      <c r="K1785" s="534">
        <v>0</v>
      </c>
      <c r="M1785" s="617">
        <f t="shared" si="56"/>
        <v>0</v>
      </c>
      <c r="N1785" s="617">
        <f t="shared" si="57"/>
        <v>6</v>
      </c>
      <c r="O1785" s="617"/>
    </row>
    <row r="1786" spans="2:15" ht="15" x14ac:dyDescent="0.25">
      <c r="B1786" s="529">
        <v>1781001</v>
      </c>
      <c r="C1786" s="529">
        <v>1782</v>
      </c>
      <c r="E1786" s="534">
        <v>0</v>
      </c>
      <c r="F1786" s="534">
        <v>0</v>
      </c>
      <c r="G1786" s="534">
        <v>6</v>
      </c>
      <c r="I1786" s="534">
        <v>0</v>
      </c>
      <c r="J1786" s="534">
        <v>0</v>
      </c>
      <c r="K1786" s="534">
        <v>0</v>
      </c>
      <c r="M1786" s="617">
        <f t="shared" si="56"/>
        <v>0</v>
      </c>
      <c r="N1786" s="617">
        <f t="shared" si="57"/>
        <v>6</v>
      </c>
      <c r="O1786" s="617"/>
    </row>
    <row r="1787" spans="2:15" ht="15" x14ac:dyDescent="0.25">
      <c r="B1787" s="529">
        <v>1782001</v>
      </c>
      <c r="C1787" s="529">
        <v>1783</v>
      </c>
      <c r="E1787" s="534">
        <v>0</v>
      </c>
      <c r="F1787" s="534">
        <v>0</v>
      </c>
      <c r="G1787" s="534">
        <v>6</v>
      </c>
      <c r="I1787" s="534">
        <v>0</v>
      </c>
      <c r="J1787" s="534">
        <v>0</v>
      </c>
      <c r="K1787" s="534">
        <v>0</v>
      </c>
      <c r="M1787" s="617">
        <f t="shared" si="56"/>
        <v>0</v>
      </c>
      <c r="N1787" s="617">
        <f t="shared" si="57"/>
        <v>6</v>
      </c>
      <c r="O1787" s="617"/>
    </row>
    <row r="1788" spans="2:15" ht="15" x14ac:dyDescent="0.25">
      <c r="B1788" s="529">
        <v>1783001</v>
      </c>
      <c r="C1788" s="529">
        <v>1784</v>
      </c>
      <c r="E1788" s="534">
        <v>0</v>
      </c>
      <c r="F1788" s="534">
        <v>0</v>
      </c>
      <c r="G1788" s="534">
        <v>6</v>
      </c>
      <c r="I1788" s="534">
        <v>0</v>
      </c>
      <c r="J1788" s="534">
        <v>0</v>
      </c>
      <c r="K1788" s="534">
        <v>0</v>
      </c>
      <c r="M1788" s="617">
        <f t="shared" si="56"/>
        <v>0</v>
      </c>
      <c r="N1788" s="617">
        <f t="shared" si="57"/>
        <v>6</v>
      </c>
      <c r="O1788" s="617"/>
    </row>
    <row r="1789" spans="2:15" ht="15" x14ac:dyDescent="0.25">
      <c r="B1789" s="529">
        <v>1784001</v>
      </c>
      <c r="C1789" s="529">
        <v>1785</v>
      </c>
      <c r="E1789" s="534">
        <v>0</v>
      </c>
      <c r="F1789" s="534">
        <v>0</v>
      </c>
      <c r="G1789" s="534">
        <v>6</v>
      </c>
      <c r="I1789" s="534">
        <v>0</v>
      </c>
      <c r="J1789" s="534">
        <v>0</v>
      </c>
      <c r="K1789" s="534">
        <v>0</v>
      </c>
      <c r="M1789" s="617">
        <f t="shared" si="56"/>
        <v>0</v>
      </c>
      <c r="N1789" s="617">
        <f t="shared" si="57"/>
        <v>6</v>
      </c>
      <c r="O1789" s="617"/>
    </row>
    <row r="1790" spans="2:15" ht="15" x14ac:dyDescent="0.25">
      <c r="B1790" s="529">
        <v>1785001</v>
      </c>
      <c r="C1790" s="529">
        <v>1786</v>
      </c>
      <c r="E1790" s="534">
        <v>0</v>
      </c>
      <c r="F1790" s="534">
        <v>0</v>
      </c>
      <c r="G1790" s="534">
        <v>6</v>
      </c>
      <c r="I1790" s="534">
        <v>0</v>
      </c>
      <c r="J1790" s="534">
        <v>0</v>
      </c>
      <c r="K1790" s="534">
        <v>0</v>
      </c>
      <c r="M1790" s="617">
        <f t="shared" si="56"/>
        <v>0</v>
      </c>
      <c r="N1790" s="617">
        <f t="shared" si="57"/>
        <v>6</v>
      </c>
      <c r="O1790" s="617"/>
    </row>
    <row r="1791" spans="2:15" ht="15" x14ac:dyDescent="0.25">
      <c r="B1791" s="529">
        <v>1786001</v>
      </c>
      <c r="C1791" s="529">
        <v>1787</v>
      </c>
      <c r="E1791" s="534">
        <v>0</v>
      </c>
      <c r="F1791" s="534">
        <v>0</v>
      </c>
      <c r="G1791" s="534">
        <v>6</v>
      </c>
      <c r="I1791" s="534">
        <v>0</v>
      </c>
      <c r="J1791" s="534">
        <v>0</v>
      </c>
      <c r="K1791" s="534">
        <v>0</v>
      </c>
      <c r="M1791" s="617">
        <f t="shared" si="56"/>
        <v>0</v>
      </c>
      <c r="N1791" s="617">
        <f t="shared" si="57"/>
        <v>6</v>
      </c>
      <c r="O1791" s="617"/>
    </row>
    <row r="1792" spans="2:15" ht="15" x14ac:dyDescent="0.25">
      <c r="B1792" s="529">
        <v>1787001</v>
      </c>
      <c r="C1792" s="529">
        <v>1788</v>
      </c>
      <c r="E1792" s="534">
        <v>0</v>
      </c>
      <c r="F1792" s="534">
        <v>0</v>
      </c>
      <c r="G1792" s="534">
        <v>6</v>
      </c>
      <c r="I1792" s="534">
        <v>0</v>
      </c>
      <c r="J1792" s="534">
        <v>0</v>
      </c>
      <c r="K1792" s="534">
        <v>0</v>
      </c>
      <c r="M1792" s="617">
        <f t="shared" si="56"/>
        <v>0</v>
      </c>
      <c r="N1792" s="617">
        <f t="shared" si="57"/>
        <v>6</v>
      </c>
      <c r="O1792" s="617"/>
    </row>
    <row r="1793" spans="2:15" ht="15" x14ac:dyDescent="0.25">
      <c r="B1793" s="529">
        <v>1788001</v>
      </c>
      <c r="C1793" s="529">
        <v>1789</v>
      </c>
      <c r="E1793" s="534">
        <v>0</v>
      </c>
      <c r="F1793" s="534">
        <v>0</v>
      </c>
      <c r="G1793" s="534">
        <v>6</v>
      </c>
      <c r="I1793" s="534">
        <v>0</v>
      </c>
      <c r="J1793" s="534">
        <v>0</v>
      </c>
      <c r="K1793" s="534">
        <v>0</v>
      </c>
      <c r="M1793" s="617">
        <f t="shared" si="56"/>
        <v>0</v>
      </c>
      <c r="N1793" s="617">
        <f t="shared" si="57"/>
        <v>6</v>
      </c>
      <c r="O1793" s="617"/>
    </row>
    <row r="1794" spans="2:15" ht="15" x14ac:dyDescent="0.25">
      <c r="B1794" s="529">
        <v>1789001</v>
      </c>
      <c r="C1794" s="529">
        <v>1790</v>
      </c>
      <c r="E1794" s="534">
        <v>0</v>
      </c>
      <c r="F1794" s="534">
        <v>0</v>
      </c>
      <c r="G1794" s="534">
        <v>6</v>
      </c>
      <c r="I1794" s="534">
        <v>0</v>
      </c>
      <c r="J1794" s="534">
        <v>0</v>
      </c>
      <c r="K1794" s="534">
        <v>0</v>
      </c>
      <c r="M1794" s="617">
        <f t="shared" si="56"/>
        <v>0</v>
      </c>
      <c r="N1794" s="617">
        <f t="shared" si="57"/>
        <v>6</v>
      </c>
      <c r="O1794" s="617"/>
    </row>
    <row r="1795" spans="2:15" ht="15" x14ac:dyDescent="0.25">
      <c r="B1795" s="529">
        <v>1790001</v>
      </c>
      <c r="C1795" s="529">
        <v>1791</v>
      </c>
      <c r="E1795" s="534">
        <v>0</v>
      </c>
      <c r="F1795" s="534">
        <v>0</v>
      </c>
      <c r="G1795" s="534">
        <v>6</v>
      </c>
      <c r="I1795" s="534">
        <v>0</v>
      </c>
      <c r="J1795" s="534">
        <v>0</v>
      </c>
      <c r="K1795" s="534">
        <v>0</v>
      </c>
      <c r="M1795" s="617">
        <f t="shared" si="56"/>
        <v>0</v>
      </c>
      <c r="N1795" s="617">
        <f t="shared" si="57"/>
        <v>6</v>
      </c>
      <c r="O1795" s="617"/>
    </row>
    <row r="1796" spans="2:15" ht="15" x14ac:dyDescent="0.25">
      <c r="B1796" s="529">
        <v>1791001</v>
      </c>
      <c r="C1796" s="529">
        <v>1792</v>
      </c>
      <c r="E1796" s="534">
        <v>0</v>
      </c>
      <c r="F1796" s="534">
        <v>0</v>
      </c>
      <c r="G1796" s="534">
        <v>6</v>
      </c>
      <c r="I1796" s="534">
        <v>0</v>
      </c>
      <c r="J1796" s="534">
        <v>0</v>
      </c>
      <c r="K1796" s="534">
        <v>0</v>
      </c>
      <c r="M1796" s="617">
        <f t="shared" si="56"/>
        <v>0</v>
      </c>
      <c r="N1796" s="617">
        <f t="shared" si="57"/>
        <v>6</v>
      </c>
      <c r="O1796" s="617"/>
    </row>
    <row r="1797" spans="2:15" ht="15" x14ac:dyDescent="0.25">
      <c r="B1797" s="529">
        <v>1792001</v>
      </c>
      <c r="C1797" s="529">
        <v>1793</v>
      </c>
      <c r="E1797" s="534">
        <v>0</v>
      </c>
      <c r="F1797" s="534">
        <v>0</v>
      </c>
      <c r="G1797" s="534">
        <v>6</v>
      </c>
      <c r="I1797" s="534">
        <v>0</v>
      </c>
      <c r="J1797" s="534">
        <v>0</v>
      </c>
      <c r="K1797" s="534">
        <v>0</v>
      </c>
      <c r="M1797" s="617">
        <f t="shared" ref="M1797:M1860" si="58">I1797+E1797</f>
        <v>0</v>
      </c>
      <c r="N1797" s="617">
        <f t="shared" ref="N1797:N1860" si="59">K1797+G1797</f>
        <v>6</v>
      </c>
      <c r="O1797" s="617"/>
    </row>
    <row r="1798" spans="2:15" ht="15" x14ac:dyDescent="0.25">
      <c r="B1798" s="529">
        <v>1793001</v>
      </c>
      <c r="C1798" s="529">
        <v>1794</v>
      </c>
      <c r="E1798" s="534">
        <v>0</v>
      </c>
      <c r="F1798" s="534">
        <v>0</v>
      </c>
      <c r="G1798" s="534">
        <v>6</v>
      </c>
      <c r="I1798" s="534">
        <v>0</v>
      </c>
      <c r="J1798" s="534">
        <v>0</v>
      </c>
      <c r="K1798" s="534">
        <v>0</v>
      </c>
      <c r="M1798" s="617">
        <f t="shared" si="58"/>
        <v>0</v>
      </c>
      <c r="N1798" s="617">
        <f t="shared" si="59"/>
        <v>6</v>
      </c>
      <c r="O1798" s="617"/>
    </row>
    <row r="1799" spans="2:15" ht="15" x14ac:dyDescent="0.25">
      <c r="B1799" s="529">
        <v>1794001</v>
      </c>
      <c r="C1799" s="529">
        <v>1795</v>
      </c>
      <c r="E1799" s="534">
        <v>0</v>
      </c>
      <c r="F1799" s="534">
        <v>0</v>
      </c>
      <c r="G1799" s="534">
        <v>6</v>
      </c>
      <c r="I1799" s="534">
        <v>0</v>
      </c>
      <c r="J1799" s="534">
        <v>0</v>
      </c>
      <c r="K1799" s="534">
        <v>0</v>
      </c>
      <c r="M1799" s="617">
        <f t="shared" si="58"/>
        <v>0</v>
      </c>
      <c r="N1799" s="617">
        <f t="shared" si="59"/>
        <v>6</v>
      </c>
      <c r="O1799" s="617"/>
    </row>
    <row r="1800" spans="2:15" ht="15" x14ac:dyDescent="0.25">
      <c r="B1800" s="529">
        <v>1795001</v>
      </c>
      <c r="C1800" s="529">
        <v>1796</v>
      </c>
      <c r="E1800" s="534">
        <v>0</v>
      </c>
      <c r="F1800" s="534">
        <v>0</v>
      </c>
      <c r="G1800" s="534">
        <v>6</v>
      </c>
      <c r="I1800" s="534">
        <v>0</v>
      </c>
      <c r="J1800" s="534">
        <v>0</v>
      </c>
      <c r="K1800" s="534">
        <v>0</v>
      </c>
      <c r="M1800" s="617">
        <f t="shared" si="58"/>
        <v>0</v>
      </c>
      <c r="N1800" s="617">
        <f t="shared" si="59"/>
        <v>6</v>
      </c>
      <c r="O1800" s="617"/>
    </row>
    <row r="1801" spans="2:15" ht="15" x14ac:dyDescent="0.25">
      <c r="B1801" s="529">
        <v>1796001</v>
      </c>
      <c r="C1801" s="529">
        <v>1797</v>
      </c>
      <c r="E1801" s="534">
        <v>0</v>
      </c>
      <c r="F1801" s="534">
        <v>0</v>
      </c>
      <c r="G1801" s="534">
        <v>6</v>
      </c>
      <c r="I1801" s="534">
        <v>0</v>
      </c>
      <c r="J1801" s="534">
        <v>0</v>
      </c>
      <c r="K1801" s="534">
        <v>0</v>
      </c>
      <c r="M1801" s="617">
        <f t="shared" si="58"/>
        <v>0</v>
      </c>
      <c r="N1801" s="617">
        <f t="shared" si="59"/>
        <v>6</v>
      </c>
      <c r="O1801" s="617"/>
    </row>
    <row r="1802" spans="2:15" ht="15" x14ac:dyDescent="0.25">
      <c r="B1802" s="529">
        <v>1797001</v>
      </c>
      <c r="C1802" s="529">
        <v>1798</v>
      </c>
      <c r="E1802" s="534">
        <v>0</v>
      </c>
      <c r="F1802" s="534">
        <v>0</v>
      </c>
      <c r="G1802" s="534">
        <v>6</v>
      </c>
      <c r="I1802" s="534">
        <v>0</v>
      </c>
      <c r="J1802" s="534">
        <v>0</v>
      </c>
      <c r="K1802" s="534">
        <v>0</v>
      </c>
      <c r="M1802" s="617">
        <f t="shared" si="58"/>
        <v>0</v>
      </c>
      <c r="N1802" s="617">
        <f t="shared" si="59"/>
        <v>6</v>
      </c>
      <c r="O1802" s="617"/>
    </row>
    <row r="1803" spans="2:15" ht="15" x14ac:dyDescent="0.25">
      <c r="B1803" s="529">
        <v>1798001</v>
      </c>
      <c r="C1803" s="529">
        <v>1799</v>
      </c>
      <c r="E1803" s="534">
        <v>0</v>
      </c>
      <c r="F1803" s="534">
        <v>0</v>
      </c>
      <c r="G1803" s="534">
        <v>6</v>
      </c>
      <c r="I1803" s="534">
        <v>0</v>
      </c>
      <c r="J1803" s="534">
        <v>0</v>
      </c>
      <c r="K1803" s="534">
        <v>0</v>
      </c>
      <c r="M1803" s="617">
        <f t="shared" si="58"/>
        <v>0</v>
      </c>
      <c r="N1803" s="617">
        <f t="shared" si="59"/>
        <v>6</v>
      </c>
      <c r="O1803" s="617"/>
    </row>
    <row r="1804" spans="2:15" ht="15" x14ac:dyDescent="0.25">
      <c r="B1804" s="529">
        <v>1799001</v>
      </c>
      <c r="C1804" s="529">
        <v>1800</v>
      </c>
      <c r="E1804" s="534">
        <v>0</v>
      </c>
      <c r="F1804" s="534">
        <v>0</v>
      </c>
      <c r="G1804" s="534">
        <v>6</v>
      </c>
      <c r="I1804" s="534">
        <v>0</v>
      </c>
      <c r="J1804" s="534">
        <v>0</v>
      </c>
      <c r="K1804" s="534">
        <v>0</v>
      </c>
      <c r="M1804" s="617">
        <f t="shared" si="58"/>
        <v>0</v>
      </c>
      <c r="N1804" s="617">
        <f t="shared" si="59"/>
        <v>6</v>
      </c>
      <c r="O1804" s="617"/>
    </row>
    <row r="1805" spans="2:15" ht="15" x14ac:dyDescent="0.25">
      <c r="B1805" s="529">
        <v>1800001</v>
      </c>
      <c r="C1805" s="529">
        <v>1801</v>
      </c>
      <c r="E1805" s="534">
        <v>0</v>
      </c>
      <c r="F1805" s="534">
        <v>0</v>
      </c>
      <c r="G1805" s="534">
        <v>6</v>
      </c>
      <c r="I1805" s="534">
        <v>0</v>
      </c>
      <c r="J1805" s="534">
        <v>0</v>
      </c>
      <c r="K1805" s="534">
        <v>0</v>
      </c>
      <c r="M1805" s="617">
        <f t="shared" si="58"/>
        <v>0</v>
      </c>
      <c r="N1805" s="617">
        <f t="shared" si="59"/>
        <v>6</v>
      </c>
      <c r="O1805" s="617"/>
    </row>
    <row r="1806" spans="2:15" ht="15" x14ac:dyDescent="0.25">
      <c r="B1806" s="529">
        <v>1801001</v>
      </c>
      <c r="C1806" s="529">
        <v>1802</v>
      </c>
      <c r="E1806" s="534">
        <v>0</v>
      </c>
      <c r="F1806" s="534">
        <v>0</v>
      </c>
      <c r="G1806" s="534">
        <v>6</v>
      </c>
      <c r="I1806" s="534">
        <v>0</v>
      </c>
      <c r="J1806" s="534">
        <v>0</v>
      </c>
      <c r="K1806" s="534">
        <v>0</v>
      </c>
      <c r="M1806" s="617">
        <f t="shared" si="58"/>
        <v>0</v>
      </c>
      <c r="N1806" s="617">
        <f t="shared" si="59"/>
        <v>6</v>
      </c>
      <c r="O1806" s="617"/>
    </row>
    <row r="1807" spans="2:15" ht="15" x14ac:dyDescent="0.25">
      <c r="B1807" s="529">
        <v>1802001</v>
      </c>
      <c r="C1807" s="529">
        <v>1803</v>
      </c>
      <c r="E1807" s="534">
        <v>0</v>
      </c>
      <c r="F1807" s="534">
        <v>0</v>
      </c>
      <c r="G1807" s="534">
        <v>6</v>
      </c>
      <c r="I1807" s="534">
        <v>0</v>
      </c>
      <c r="J1807" s="534">
        <v>0</v>
      </c>
      <c r="K1807" s="534">
        <v>0</v>
      </c>
      <c r="M1807" s="617">
        <f t="shared" si="58"/>
        <v>0</v>
      </c>
      <c r="N1807" s="617">
        <f t="shared" si="59"/>
        <v>6</v>
      </c>
      <c r="O1807" s="617"/>
    </row>
    <row r="1808" spans="2:15" ht="15" x14ac:dyDescent="0.25">
      <c r="B1808" s="529">
        <v>1803001</v>
      </c>
      <c r="C1808" s="529">
        <v>1804</v>
      </c>
      <c r="E1808" s="534">
        <v>0</v>
      </c>
      <c r="F1808" s="534">
        <v>0</v>
      </c>
      <c r="G1808" s="534">
        <v>6</v>
      </c>
      <c r="I1808" s="534">
        <v>0</v>
      </c>
      <c r="J1808" s="534">
        <v>0</v>
      </c>
      <c r="K1808" s="534">
        <v>0</v>
      </c>
      <c r="M1808" s="617">
        <f t="shared" si="58"/>
        <v>0</v>
      </c>
      <c r="N1808" s="617">
        <f t="shared" si="59"/>
        <v>6</v>
      </c>
      <c r="O1808" s="617"/>
    </row>
    <row r="1809" spans="2:15" ht="15" x14ac:dyDescent="0.25">
      <c r="B1809" s="529">
        <v>1804001</v>
      </c>
      <c r="C1809" s="529">
        <v>1805</v>
      </c>
      <c r="E1809" s="534">
        <v>0</v>
      </c>
      <c r="F1809" s="534">
        <v>0</v>
      </c>
      <c r="G1809" s="534">
        <v>6</v>
      </c>
      <c r="I1809" s="534">
        <v>0</v>
      </c>
      <c r="J1809" s="534">
        <v>0</v>
      </c>
      <c r="K1809" s="534">
        <v>0</v>
      </c>
      <c r="M1809" s="617">
        <f t="shared" si="58"/>
        <v>0</v>
      </c>
      <c r="N1809" s="617">
        <f t="shared" si="59"/>
        <v>6</v>
      </c>
      <c r="O1809" s="617"/>
    </row>
    <row r="1810" spans="2:15" ht="15" x14ac:dyDescent="0.25">
      <c r="B1810" s="529">
        <v>1805001</v>
      </c>
      <c r="C1810" s="529">
        <v>1806</v>
      </c>
      <c r="E1810" s="534">
        <v>0</v>
      </c>
      <c r="F1810" s="534">
        <v>0</v>
      </c>
      <c r="G1810" s="534">
        <v>6</v>
      </c>
      <c r="I1810" s="534">
        <v>0</v>
      </c>
      <c r="J1810" s="534">
        <v>0</v>
      </c>
      <c r="K1810" s="534">
        <v>0</v>
      </c>
      <c r="M1810" s="617">
        <f t="shared" si="58"/>
        <v>0</v>
      </c>
      <c r="N1810" s="617">
        <f t="shared" si="59"/>
        <v>6</v>
      </c>
      <c r="O1810" s="617"/>
    </row>
    <row r="1811" spans="2:15" ht="15" x14ac:dyDescent="0.25">
      <c r="B1811" s="529">
        <v>1806001</v>
      </c>
      <c r="C1811" s="529">
        <v>1807</v>
      </c>
      <c r="E1811" s="534">
        <v>0</v>
      </c>
      <c r="F1811" s="534">
        <v>0</v>
      </c>
      <c r="G1811" s="534">
        <v>6</v>
      </c>
      <c r="I1811" s="534">
        <v>0</v>
      </c>
      <c r="J1811" s="534">
        <v>0</v>
      </c>
      <c r="K1811" s="534">
        <v>0</v>
      </c>
      <c r="M1811" s="617">
        <f t="shared" si="58"/>
        <v>0</v>
      </c>
      <c r="N1811" s="617">
        <f t="shared" si="59"/>
        <v>6</v>
      </c>
      <c r="O1811" s="617"/>
    </row>
    <row r="1812" spans="2:15" ht="15" x14ac:dyDescent="0.25">
      <c r="B1812" s="529">
        <v>1807001</v>
      </c>
      <c r="C1812" s="529">
        <v>1808</v>
      </c>
      <c r="E1812" s="534">
        <v>0</v>
      </c>
      <c r="F1812" s="534">
        <v>0</v>
      </c>
      <c r="G1812" s="534">
        <v>6</v>
      </c>
      <c r="I1812" s="534">
        <v>0</v>
      </c>
      <c r="J1812" s="534">
        <v>0</v>
      </c>
      <c r="K1812" s="534">
        <v>0</v>
      </c>
      <c r="M1812" s="617">
        <f t="shared" si="58"/>
        <v>0</v>
      </c>
      <c r="N1812" s="617">
        <f t="shared" si="59"/>
        <v>6</v>
      </c>
      <c r="O1812" s="617"/>
    </row>
    <row r="1813" spans="2:15" ht="15" x14ac:dyDescent="0.25">
      <c r="B1813" s="529">
        <v>1808001</v>
      </c>
      <c r="C1813" s="529">
        <v>1809</v>
      </c>
      <c r="E1813" s="534">
        <v>0</v>
      </c>
      <c r="F1813" s="534">
        <v>0</v>
      </c>
      <c r="G1813" s="534">
        <v>6</v>
      </c>
      <c r="I1813" s="534">
        <v>0</v>
      </c>
      <c r="J1813" s="534">
        <v>0</v>
      </c>
      <c r="K1813" s="534">
        <v>0</v>
      </c>
      <c r="M1813" s="617">
        <f t="shared" si="58"/>
        <v>0</v>
      </c>
      <c r="N1813" s="617">
        <f t="shared" si="59"/>
        <v>6</v>
      </c>
      <c r="O1813" s="617"/>
    </row>
    <row r="1814" spans="2:15" ht="15" x14ac:dyDescent="0.25">
      <c r="B1814" s="529">
        <v>1809001</v>
      </c>
      <c r="C1814" s="529">
        <v>1810</v>
      </c>
      <c r="E1814" s="534">
        <v>1</v>
      </c>
      <c r="F1814" s="534">
        <v>1810</v>
      </c>
      <c r="G1814" s="534">
        <v>6</v>
      </c>
      <c r="I1814" s="534">
        <v>0</v>
      </c>
      <c r="J1814" s="534">
        <v>0</v>
      </c>
      <c r="K1814" s="534">
        <v>0</v>
      </c>
      <c r="M1814" s="617">
        <f t="shared" si="58"/>
        <v>1</v>
      </c>
      <c r="N1814" s="617">
        <f t="shared" si="59"/>
        <v>6</v>
      </c>
      <c r="O1814" s="617"/>
    </row>
    <row r="1815" spans="2:15" ht="15" x14ac:dyDescent="0.25">
      <c r="B1815" s="529">
        <v>1810001</v>
      </c>
      <c r="C1815" s="529">
        <v>1811</v>
      </c>
      <c r="E1815" s="534">
        <v>0</v>
      </c>
      <c r="F1815" s="534">
        <v>0</v>
      </c>
      <c r="G1815" s="534">
        <v>5</v>
      </c>
      <c r="I1815" s="534">
        <v>0</v>
      </c>
      <c r="J1815" s="534">
        <v>0</v>
      </c>
      <c r="K1815" s="534">
        <v>0</v>
      </c>
      <c r="M1815" s="617">
        <f t="shared" si="58"/>
        <v>0</v>
      </c>
      <c r="N1815" s="617">
        <f t="shared" si="59"/>
        <v>5</v>
      </c>
      <c r="O1815" s="617"/>
    </row>
    <row r="1816" spans="2:15" ht="15" x14ac:dyDescent="0.25">
      <c r="B1816" s="529">
        <v>1811001</v>
      </c>
      <c r="C1816" s="529">
        <v>1812</v>
      </c>
      <c r="E1816" s="534">
        <v>0</v>
      </c>
      <c r="F1816" s="534">
        <v>0</v>
      </c>
      <c r="G1816" s="534">
        <v>5</v>
      </c>
      <c r="I1816" s="534">
        <v>0</v>
      </c>
      <c r="J1816" s="534">
        <v>0</v>
      </c>
      <c r="K1816" s="534">
        <v>0</v>
      </c>
      <c r="M1816" s="617">
        <f t="shared" si="58"/>
        <v>0</v>
      </c>
      <c r="N1816" s="617">
        <f t="shared" si="59"/>
        <v>5</v>
      </c>
      <c r="O1816" s="617"/>
    </row>
    <row r="1817" spans="2:15" ht="15" x14ac:dyDescent="0.25">
      <c r="B1817" s="529">
        <v>1812001</v>
      </c>
      <c r="C1817" s="529">
        <v>1813</v>
      </c>
      <c r="E1817" s="534">
        <v>0</v>
      </c>
      <c r="F1817" s="534">
        <v>0</v>
      </c>
      <c r="G1817" s="534">
        <v>5</v>
      </c>
      <c r="I1817" s="534">
        <v>0</v>
      </c>
      <c r="J1817" s="534">
        <v>0</v>
      </c>
      <c r="K1817" s="534">
        <v>0</v>
      </c>
      <c r="M1817" s="617">
        <f t="shared" si="58"/>
        <v>0</v>
      </c>
      <c r="N1817" s="617">
        <f t="shared" si="59"/>
        <v>5</v>
      </c>
      <c r="O1817" s="617"/>
    </row>
    <row r="1818" spans="2:15" ht="15" x14ac:dyDescent="0.25">
      <c r="B1818" s="529">
        <v>1813001</v>
      </c>
      <c r="C1818" s="529">
        <v>1814</v>
      </c>
      <c r="E1818" s="534">
        <v>0</v>
      </c>
      <c r="F1818" s="534">
        <v>0</v>
      </c>
      <c r="G1818" s="534">
        <v>5</v>
      </c>
      <c r="I1818" s="534">
        <v>0</v>
      </c>
      <c r="J1818" s="534">
        <v>0</v>
      </c>
      <c r="K1818" s="534">
        <v>0</v>
      </c>
      <c r="M1818" s="617">
        <f t="shared" si="58"/>
        <v>0</v>
      </c>
      <c r="N1818" s="617">
        <f t="shared" si="59"/>
        <v>5</v>
      </c>
      <c r="O1818" s="617"/>
    </row>
    <row r="1819" spans="2:15" ht="15" x14ac:dyDescent="0.25">
      <c r="B1819" s="529">
        <v>1814001</v>
      </c>
      <c r="C1819" s="529">
        <v>1815</v>
      </c>
      <c r="E1819" s="534">
        <v>0</v>
      </c>
      <c r="F1819" s="534">
        <v>0</v>
      </c>
      <c r="G1819" s="534">
        <v>5</v>
      </c>
      <c r="I1819" s="534">
        <v>0</v>
      </c>
      <c r="J1819" s="534">
        <v>0</v>
      </c>
      <c r="K1819" s="534">
        <v>0</v>
      </c>
      <c r="M1819" s="617">
        <f t="shared" si="58"/>
        <v>0</v>
      </c>
      <c r="N1819" s="617">
        <f t="shared" si="59"/>
        <v>5</v>
      </c>
      <c r="O1819" s="617"/>
    </row>
    <row r="1820" spans="2:15" ht="15" x14ac:dyDescent="0.25">
      <c r="B1820" s="529">
        <v>1815001</v>
      </c>
      <c r="C1820" s="529">
        <v>1816</v>
      </c>
      <c r="E1820" s="534">
        <v>0</v>
      </c>
      <c r="F1820" s="534">
        <v>0</v>
      </c>
      <c r="G1820" s="534">
        <v>5</v>
      </c>
      <c r="I1820" s="534">
        <v>0</v>
      </c>
      <c r="J1820" s="534">
        <v>0</v>
      </c>
      <c r="K1820" s="534">
        <v>0</v>
      </c>
      <c r="M1820" s="617">
        <f t="shared" si="58"/>
        <v>0</v>
      </c>
      <c r="N1820" s="617">
        <f t="shared" si="59"/>
        <v>5</v>
      </c>
      <c r="O1820" s="617"/>
    </row>
    <row r="1821" spans="2:15" ht="15" x14ac:dyDescent="0.25">
      <c r="B1821" s="529">
        <v>1816001</v>
      </c>
      <c r="C1821" s="529">
        <v>1817</v>
      </c>
      <c r="E1821" s="534">
        <v>0</v>
      </c>
      <c r="F1821" s="534">
        <v>0</v>
      </c>
      <c r="G1821" s="534">
        <v>5</v>
      </c>
      <c r="I1821" s="534">
        <v>0</v>
      </c>
      <c r="J1821" s="534">
        <v>0</v>
      </c>
      <c r="K1821" s="534">
        <v>0</v>
      </c>
      <c r="M1821" s="617">
        <f t="shared" si="58"/>
        <v>0</v>
      </c>
      <c r="N1821" s="617">
        <f t="shared" si="59"/>
        <v>5</v>
      </c>
      <c r="O1821" s="617"/>
    </row>
    <row r="1822" spans="2:15" ht="15" x14ac:dyDescent="0.25">
      <c r="B1822" s="529">
        <v>1817001</v>
      </c>
      <c r="C1822" s="529">
        <v>1818</v>
      </c>
      <c r="E1822" s="534">
        <v>0</v>
      </c>
      <c r="F1822" s="534">
        <v>0</v>
      </c>
      <c r="G1822" s="534">
        <v>5</v>
      </c>
      <c r="I1822" s="534">
        <v>0</v>
      </c>
      <c r="J1822" s="534">
        <v>0</v>
      </c>
      <c r="K1822" s="534">
        <v>0</v>
      </c>
      <c r="M1822" s="617">
        <f t="shared" si="58"/>
        <v>0</v>
      </c>
      <c r="N1822" s="617">
        <f t="shared" si="59"/>
        <v>5</v>
      </c>
      <c r="O1822" s="617"/>
    </row>
    <row r="1823" spans="2:15" ht="15" x14ac:dyDescent="0.25">
      <c r="B1823" s="529">
        <v>1818001</v>
      </c>
      <c r="C1823" s="529">
        <v>1819</v>
      </c>
      <c r="E1823" s="534">
        <v>0</v>
      </c>
      <c r="F1823" s="534">
        <v>0</v>
      </c>
      <c r="G1823" s="534">
        <v>5</v>
      </c>
      <c r="I1823" s="534">
        <v>0</v>
      </c>
      <c r="J1823" s="534">
        <v>0</v>
      </c>
      <c r="K1823" s="534">
        <v>0</v>
      </c>
      <c r="M1823" s="617">
        <f t="shared" si="58"/>
        <v>0</v>
      </c>
      <c r="N1823" s="617">
        <f t="shared" si="59"/>
        <v>5</v>
      </c>
      <c r="O1823" s="617"/>
    </row>
    <row r="1824" spans="2:15" ht="15" x14ac:dyDescent="0.25">
      <c r="B1824" s="529">
        <v>1819001</v>
      </c>
      <c r="C1824" s="529">
        <v>1820</v>
      </c>
      <c r="E1824" s="534">
        <v>0</v>
      </c>
      <c r="F1824" s="534">
        <v>0</v>
      </c>
      <c r="G1824" s="534">
        <v>5</v>
      </c>
      <c r="I1824" s="534">
        <v>0</v>
      </c>
      <c r="J1824" s="534">
        <v>0</v>
      </c>
      <c r="K1824" s="534">
        <v>0</v>
      </c>
      <c r="M1824" s="617">
        <f t="shared" si="58"/>
        <v>0</v>
      </c>
      <c r="N1824" s="617">
        <f t="shared" si="59"/>
        <v>5</v>
      </c>
      <c r="O1824" s="617"/>
    </row>
    <row r="1825" spans="2:15" ht="15" x14ac:dyDescent="0.25">
      <c r="B1825" s="529">
        <v>1820001</v>
      </c>
      <c r="C1825" s="529">
        <v>1821</v>
      </c>
      <c r="E1825" s="534">
        <v>0</v>
      </c>
      <c r="F1825" s="534">
        <v>0</v>
      </c>
      <c r="G1825" s="534">
        <v>5</v>
      </c>
      <c r="I1825" s="534">
        <v>0</v>
      </c>
      <c r="J1825" s="534">
        <v>0</v>
      </c>
      <c r="K1825" s="534">
        <v>0</v>
      </c>
      <c r="M1825" s="617">
        <f t="shared" si="58"/>
        <v>0</v>
      </c>
      <c r="N1825" s="617">
        <f t="shared" si="59"/>
        <v>5</v>
      </c>
      <c r="O1825" s="617"/>
    </row>
    <row r="1826" spans="2:15" ht="15" x14ac:dyDescent="0.25">
      <c r="B1826" s="529">
        <v>1821001</v>
      </c>
      <c r="C1826" s="529">
        <v>1822</v>
      </c>
      <c r="E1826" s="534">
        <v>0</v>
      </c>
      <c r="F1826" s="534">
        <v>0</v>
      </c>
      <c r="G1826" s="534">
        <v>5</v>
      </c>
      <c r="I1826" s="534">
        <v>0</v>
      </c>
      <c r="J1826" s="534">
        <v>0</v>
      </c>
      <c r="K1826" s="534">
        <v>0</v>
      </c>
      <c r="M1826" s="617">
        <f t="shared" si="58"/>
        <v>0</v>
      </c>
      <c r="N1826" s="617">
        <f t="shared" si="59"/>
        <v>5</v>
      </c>
      <c r="O1826" s="617"/>
    </row>
    <row r="1827" spans="2:15" ht="15" x14ac:dyDescent="0.25">
      <c r="B1827" s="529">
        <v>1822001</v>
      </c>
      <c r="C1827" s="529">
        <v>1823</v>
      </c>
      <c r="E1827" s="534">
        <v>0</v>
      </c>
      <c r="F1827" s="534">
        <v>0</v>
      </c>
      <c r="G1827" s="534">
        <v>5</v>
      </c>
      <c r="I1827" s="534">
        <v>0</v>
      </c>
      <c r="J1827" s="534">
        <v>0</v>
      </c>
      <c r="K1827" s="534">
        <v>0</v>
      </c>
      <c r="M1827" s="617">
        <f t="shared" si="58"/>
        <v>0</v>
      </c>
      <c r="N1827" s="617">
        <f t="shared" si="59"/>
        <v>5</v>
      </c>
      <c r="O1827" s="617"/>
    </row>
    <row r="1828" spans="2:15" ht="15" x14ac:dyDescent="0.25">
      <c r="B1828" s="529">
        <v>1823001</v>
      </c>
      <c r="C1828" s="529">
        <v>1824</v>
      </c>
      <c r="E1828" s="534">
        <v>0</v>
      </c>
      <c r="F1828" s="534">
        <v>0</v>
      </c>
      <c r="G1828" s="534">
        <v>5</v>
      </c>
      <c r="I1828" s="534">
        <v>0</v>
      </c>
      <c r="J1828" s="534">
        <v>0</v>
      </c>
      <c r="K1828" s="534">
        <v>0</v>
      </c>
      <c r="M1828" s="617">
        <f t="shared" si="58"/>
        <v>0</v>
      </c>
      <c r="N1828" s="617">
        <f t="shared" si="59"/>
        <v>5</v>
      </c>
      <c r="O1828" s="617"/>
    </row>
    <row r="1829" spans="2:15" ht="15" x14ac:dyDescent="0.25">
      <c r="B1829" s="529">
        <v>1824001</v>
      </c>
      <c r="C1829" s="529">
        <v>1825</v>
      </c>
      <c r="E1829" s="534">
        <v>0</v>
      </c>
      <c r="F1829" s="534">
        <v>0</v>
      </c>
      <c r="G1829" s="534">
        <v>5</v>
      </c>
      <c r="I1829" s="534">
        <v>0</v>
      </c>
      <c r="J1829" s="534">
        <v>0</v>
      </c>
      <c r="K1829" s="534">
        <v>0</v>
      </c>
      <c r="M1829" s="617">
        <f t="shared" si="58"/>
        <v>0</v>
      </c>
      <c r="N1829" s="617">
        <f t="shared" si="59"/>
        <v>5</v>
      </c>
      <c r="O1829" s="617"/>
    </row>
    <row r="1830" spans="2:15" ht="15" x14ac:dyDescent="0.25">
      <c r="B1830" s="529">
        <v>1825001</v>
      </c>
      <c r="C1830" s="529">
        <v>1826</v>
      </c>
      <c r="E1830" s="534">
        <v>0</v>
      </c>
      <c r="F1830" s="534">
        <v>0</v>
      </c>
      <c r="G1830" s="534">
        <v>5</v>
      </c>
      <c r="I1830" s="534">
        <v>0</v>
      </c>
      <c r="J1830" s="534">
        <v>0</v>
      </c>
      <c r="K1830" s="534">
        <v>0</v>
      </c>
      <c r="M1830" s="617">
        <f t="shared" si="58"/>
        <v>0</v>
      </c>
      <c r="N1830" s="617">
        <f t="shared" si="59"/>
        <v>5</v>
      </c>
      <c r="O1830" s="617"/>
    </row>
    <row r="1831" spans="2:15" ht="15" x14ac:dyDescent="0.25">
      <c r="B1831" s="529">
        <v>1826001</v>
      </c>
      <c r="C1831" s="529">
        <v>1827</v>
      </c>
      <c r="E1831" s="534">
        <v>0</v>
      </c>
      <c r="F1831" s="534">
        <v>0</v>
      </c>
      <c r="G1831" s="534">
        <v>5</v>
      </c>
      <c r="I1831" s="534">
        <v>0</v>
      </c>
      <c r="J1831" s="534">
        <v>0</v>
      </c>
      <c r="K1831" s="534">
        <v>0</v>
      </c>
      <c r="M1831" s="617">
        <f t="shared" si="58"/>
        <v>0</v>
      </c>
      <c r="N1831" s="617">
        <f t="shared" si="59"/>
        <v>5</v>
      </c>
      <c r="O1831" s="617"/>
    </row>
    <row r="1832" spans="2:15" ht="15" x14ac:dyDescent="0.25">
      <c r="B1832" s="529">
        <v>1827001</v>
      </c>
      <c r="C1832" s="529">
        <v>1828</v>
      </c>
      <c r="E1832" s="534">
        <v>0</v>
      </c>
      <c r="F1832" s="534">
        <v>0</v>
      </c>
      <c r="G1832" s="534">
        <v>5</v>
      </c>
      <c r="I1832" s="534">
        <v>0</v>
      </c>
      <c r="J1832" s="534">
        <v>0</v>
      </c>
      <c r="K1832" s="534">
        <v>0</v>
      </c>
      <c r="M1832" s="617">
        <f t="shared" si="58"/>
        <v>0</v>
      </c>
      <c r="N1832" s="617">
        <f t="shared" si="59"/>
        <v>5</v>
      </c>
      <c r="O1832" s="617"/>
    </row>
    <row r="1833" spans="2:15" ht="15" x14ac:dyDescent="0.25">
      <c r="B1833" s="529">
        <v>1828001</v>
      </c>
      <c r="C1833" s="529">
        <v>1829</v>
      </c>
      <c r="E1833" s="534">
        <v>0</v>
      </c>
      <c r="F1833" s="534">
        <v>0</v>
      </c>
      <c r="G1833" s="534">
        <v>5</v>
      </c>
      <c r="I1833" s="534">
        <v>0</v>
      </c>
      <c r="J1833" s="534">
        <v>0</v>
      </c>
      <c r="K1833" s="534">
        <v>0</v>
      </c>
      <c r="M1833" s="617">
        <f t="shared" si="58"/>
        <v>0</v>
      </c>
      <c r="N1833" s="617">
        <f t="shared" si="59"/>
        <v>5</v>
      </c>
      <c r="O1833" s="617"/>
    </row>
    <row r="1834" spans="2:15" ht="15" x14ac:dyDescent="0.25">
      <c r="B1834" s="529">
        <v>1829001</v>
      </c>
      <c r="C1834" s="529">
        <v>1830</v>
      </c>
      <c r="E1834" s="534">
        <v>0</v>
      </c>
      <c r="F1834" s="534">
        <v>0</v>
      </c>
      <c r="G1834" s="534">
        <v>5</v>
      </c>
      <c r="I1834" s="534">
        <v>0</v>
      </c>
      <c r="J1834" s="534">
        <v>0</v>
      </c>
      <c r="K1834" s="534">
        <v>0</v>
      </c>
      <c r="M1834" s="617">
        <f t="shared" si="58"/>
        <v>0</v>
      </c>
      <c r="N1834" s="617">
        <f t="shared" si="59"/>
        <v>5</v>
      </c>
      <c r="O1834" s="617"/>
    </row>
    <row r="1835" spans="2:15" ht="15" x14ac:dyDescent="0.25">
      <c r="B1835" s="529">
        <v>1830001</v>
      </c>
      <c r="C1835" s="529">
        <v>1831</v>
      </c>
      <c r="E1835" s="534">
        <v>0</v>
      </c>
      <c r="F1835" s="534">
        <v>0</v>
      </c>
      <c r="G1835" s="534">
        <v>5</v>
      </c>
      <c r="I1835" s="534">
        <v>0</v>
      </c>
      <c r="J1835" s="534">
        <v>0</v>
      </c>
      <c r="K1835" s="534">
        <v>0</v>
      </c>
      <c r="M1835" s="617">
        <f t="shared" si="58"/>
        <v>0</v>
      </c>
      <c r="N1835" s="617">
        <f t="shared" si="59"/>
        <v>5</v>
      </c>
      <c r="O1835" s="617"/>
    </row>
    <row r="1836" spans="2:15" ht="15" x14ac:dyDescent="0.25">
      <c r="B1836" s="529">
        <v>1831001</v>
      </c>
      <c r="C1836" s="529">
        <v>1832</v>
      </c>
      <c r="E1836" s="534">
        <v>0</v>
      </c>
      <c r="F1836" s="534">
        <v>0</v>
      </c>
      <c r="G1836" s="534">
        <v>5</v>
      </c>
      <c r="I1836" s="534">
        <v>0</v>
      </c>
      <c r="J1836" s="534">
        <v>0</v>
      </c>
      <c r="K1836" s="534">
        <v>0</v>
      </c>
      <c r="M1836" s="617">
        <f t="shared" si="58"/>
        <v>0</v>
      </c>
      <c r="N1836" s="617">
        <f t="shared" si="59"/>
        <v>5</v>
      </c>
      <c r="O1836" s="617"/>
    </row>
    <row r="1837" spans="2:15" ht="15" x14ac:dyDescent="0.25">
      <c r="B1837" s="529">
        <v>1832001</v>
      </c>
      <c r="C1837" s="529">
        <v>1833</v>
      </c>
      <c r="E1837" s="534">
        <v>0</v>
      </c>
      <c r="F1837" s="534">
        <v>0</v>
      </c>
      <c r="G1837" s="534">
        <v>5</v>
      </c>
      <c r="I1837" s="534">
        <v>0</v>
      </c>
      <c r="J1837" s="534">
        <v>0</v>
      </c>
      <c r="K1837" s="534">
        <v>0</v>
      </c>
      <c r="M1837" s="617">
        <f t="shared" si="58"/>
        <v>0</v>
      </c>
      <c r="N1837" s="617">
        <f t="shared" si="59"/>
        <v>5</v>
      </c>
      <c r="O1837" s="617"/>
    </row>
    <row r="1838" spans="2:15" ht="15" x14ac:dyDescent="0.25">
      <c r="B1838" s="529">
        <v>1833001</v>
      </c>
      <c r="C1838" s="529">
        <v>1834</v>
      </c>
      <c r="E1838" s="534">
        <v>0</v>
      </c>
      <c r="F1838" s="534">
        <v>0</v>
      </c>
      <c r="G1838" s="534">
        <v>5</v>
      </c>
      <c r="I1838" s="534">
        <v>0</v>
      </c>
      <c r="J1838" s="534">
        <v>0</v>
      </c>
      <c r="K1838" s="534">
        <v>0</v>
      </c>
      <c r="M1838" s="617">
        <f t="shared" si="58"/>
        <v>0</v>
      </c>
      <c r="N1838" s="617">
        <f t="shared" si="59"/>
        <v>5</v>
      </c>
      <c r="O1838" s="617"/>
    </row>
    <row r="1839" spans="2:15" ht="15" x14ac:dyDescent="0.25">
      <c r="B1839" s="529">
        <v>1834001</v>
      </c>
      <c r="C1839" s="529">
        <v>1835</v>
      </c>
      <c r="E1839" s="534">
        <v>0</v>
      </c>
      <c r="F1839" s="534">
        <v>0</v>
      </c>
      <c r="G1839" s="534">
        <v>5</v>
      </c>
      <c r="I1839" s="534">
        <v>0</v>
      </c>
      <c r="J1839" s="534">
        <v>0</v>
      </c>
      <c r="K1839" s="534">
        <v>0</v>
      </c>
      <c r="M1839" s="617">
        <f t="shared" si="58"/>
        <v>0</v>
      </c>
      <c r="N1839" s="617">
        <f t="shared" si="59"/>
        <v>5</v>
      </c>
      <c r="O1839" s="617"/>
    </row>
    <row r="1840" spans="2:15" ht="15" x14ac:dyDescent="0.25">
      <c r="B1840" s="529">
        <v>1835001</v>
      </c>
      <c r="C1840" s="529">
        <v>1836</v>
      </c>
      <c r="E1840" s="534">
        <v>0</v>
      </c>
      <c r="F1840" s="534">
        <v>0</v>
      </c>
      <c r="G1840" s="534">
        <v>5</v>
      </c>
      <c r="I1840" s="534">
        <v>0</v>
      </c>
      <c r="J1840" s="534">
        <v>0</v>
      </c>
      <c r="K1840" s="534">
        <v>0</v>
      </c>
      <c r="M1840" s="617">
        <f t="shared" si="58"/>
        <v>0</v>
      </c>
      <c r="N1840" s="617">
        <f t="shared" si="59"/>
        <v>5</v>
      </c>
      <c r="O1840" s="617"/>
    </row>
    <row r="1841" spans="2:15" ht="15" x14ac:dyDescent="0.25">
      <c r="B1841" s="529">
        <v>1836001</v>
      </c>
      <c r="C1841" s="529">
        <v>1837</v>
      </c>
      <c r="E1841" s="534">
        <v>0</v>
      </c>
      <c r="F1841" s="534">
        <v>0</v>
      </c>
      <c r="G1841" s="534">
        <v>5</v>
      </c>
      <c r="I1841" s="534">
        <v>0</v>
      </c>
      <c r="J1841" s="534">
        <v>0</v>
      </c>
      <c r="K1841" s="534">
        <v>0</v>
      </c>
      <c r="M1841" s="617">
        <f t="shared" si="58"/>
        <v>0</v>
      </c>
      <c r="N1841" s="617">
        <f t="shared" si="59"/>
        <v>5</v>
      </c>
      <c r="O1841" s="617"/>
    </row>
    <row r="1842" spans="2:15" ht="15" x14ac:dyDescent="0.25">
      <c r="B1842" s="529">
        <v>1837001</v>
      </c>
      <c r="C1842" s="529">
        <v>1838</v>
      </c>
      <c r="E1842" s="534">
        <v>0</v>
      </c>
      <c r="F1842" s="534">
        <v>0</v>
      </c>
      <c r="G1842" s="534">
        <v>5</v>
      </c>
      <c r="I1842" s="534">
        <v>0</v>
      </c>
      <c r="J1842" s="534">
        <v>0</v>
      </c>
      <c r="K1842" s="534">
        <v>0</v>
      </c>
      <c r="M1842" s="617">
        <f t="shared" si="58"/>
        <v>0</v>
      </c>
      <c r="N1842" s="617">
        <f t="shared" si="59"/>
        <v>5</v>
      </c>
      <c r="O1842" s="617"/>
    </row>
    <row r="1843" spans="2:15" ht="15" x14ac:dyDescent="0.25">
      <c r="B1843" s="529">
        <v>1838001</v>
      </c>
      <c r="C1843" s="529">
        <v>1839</v>
      </c>
      <c r="E1843" s="534">
        <v>0</v>
      </c>
      <c r="F1843" s="534">
        <v>0</v>
      </c>
      <c r="G1843" s="534">
        <v>5</v>
      </c>
      <c r="I1843" s="534">
        <v>0</v>
      </c>
      <c r="J1843" s="534">
        <v>0</v>
      </c>
      <c r="K1843" s="534">
        <v>0</v>
      </c>
      <c r="M1843" s="617">
        <f t="shared" si="58"/>
        <v>0</v>
      </c>
      <c r="N1843" s="617">
        <f t="shared" si="59"/>
        <v>5</v>
      </c>
      <c r="O1843" s="617"/>
    </row>
    <row r="1844" spans="2:15" ht="15" x14ac:dyDescent="0.25">
      <c r="B1844" s="529">
        <v>1839001</v>
      </c>
      <c r="C1844" s="529">
        <v>1840</v>
      </c>
      <c r="E1844" s="534">
        <v>0</v>
      </c>
      <c r="F1844" s="534">
        <v>0</v>
      </c>
      <c r="G1844" s="534">
        <v>5</v>
      </c>
      <c r="I1844" s="534">
        <v>0</v>
      </c>
      <c r="J1844" s="534">
        <v>0</v>
      </c>
      <c r="K1844" s="534">
        <v>0</v>
      </c>
      <c r="M1844" s="617">
        <f t="shared" si="58"/>
        <v>0</v>
      </c>
      <c r="N1844" s="617">
        <f t="shared" si="59"/>
        <v>5</v>
      </c>
      <c r="O1844" s="617"/>
    </row>
    <row r="1845" spans="2:15" ht="15" x14ac:dyDescent="0.25">
      <c r="B1845" s="529">
        <v>1840001</v>
      </c>
      <c r="C1845" s="529">
        <v>1841</v>
      </c>
      <c r="E1845" s="534">
        <v>0</v>
      </c>
      <c r="F1845" s="534">
        <v>0</v>
      </c>
      <c r="G1845" s="534">
        <v>5</v>
      </c>
      <c r="I1845" s="534">
        <v>0</v>
      </c>
      <c r="J1845" s="534">
        <v>0</v>
      </c>
      <c r="K1845" s="534">
        <v>0</v>
      </c>
      <c r="M1845" s="617">
        <f t="shared" si="58"/>
        <v>0</v>
      </c>
      <c r="N1845" s="617">
        <f t="shared" si="59"/>
        <v>5</v>
      </c>
      <c r="O1845" s="617"/>
    </row>
    <row r="1846" spans="2:15" ht="15" x14ac:dyDescent="0.25">
      <c r="B1846" s="529">
        <v>1841001</v>
      </c>
      <c r="C1846" s="529">
        <v>1842</v>
      </c>
      <c r="E1846" s="534">
        <v>0</v>
      </c>
      <c r="F1846" s="534">
        <v>0</v>
      </c>
      <c r="G1846" s="534">
        <v>5</v>
      </c>
      <c r="I1846" s="534">
        <v>0</v>
      </c>
      <c r="J1846" s="534">
        <v>0</v>
      </c>
      <c r="K1846" s="534">
        <v>0</v>
      </c>
      <c r="M1846" s="617">
        <f t="shared" si="58"/>
        <v>0</v>
      </c>
      <c r="N1846" s="617">
        <f t="shared" si="59"/>
        <v>5</v>
      </c>
      <c r="O1846" s="617"/>
    </row>
    <row r="1847" spans="2:15" ht="15" x14ac:dyDescent="0.25">
      <c r="B1847" s="529">
        <v>1842001</v>
      </c>
      <c r="C1847" s="529">
        <v>1843</v>
      </c>
      <c r="E1847" s="534">
        <v>0</v>
      </c>
      <c r="F1847" s="534">
        <v>0</v>
      </c>
      <c r="G1847" s="534">
        <v>5</v>
      </c>
      <c r="I1847" s="534">
        <v>0</v>
      </c>
      <c r="J1847" s="534">
        <v>0</v>
      </c>
      <c r="K1847" s="534">
        <v>0</v>
      </c>
      <c r="M1847" s="617">
        <f t="shared" si="58"/>
        <v>0</v>
      </c>
      <c r="N1847" s="617">
        <f t="shared" si="59"/>
        <v>5</v>
      </c>
      <c r="O1847" s="617"/>
    </row>
    <row r="1848" spans="2:15" ht="15" x14ac:dyDescent="0.25">
      <c r="B1848" s="529">
        <v>1843001</v>
      </c>
      <c r="C1848" s="529">
        <v>1844</v>
      </c>
      <c r="E1848" s="534">
        <v>0</v>
      </c>
      <c r="F1848" s="534">
        <v>0</v>
      </c>
      <c r="G1848" s="534">
        <v>5</v>
      </c>
      <c r="I1848" s="534">
        <v>0</v>
      </c>
      <c r="J1848" s="534">
        <v>0</v>
      </c>
      <c r="K1848" s="534">
        <v>0</v>
      </c>
      <c r="M1848" s="617">
        <f t="shared" si="58"/>
        <v>0</v>
      </c>
      <c r="N1848" s="617">
        <f t="shared" si="59"/>
        <v>5</v>
      </c>
      <c r="O1848" s="617"/>
    </row>
    <row r="1849" spans="2:15" ht="15" x14ac:dyDescent="0.25">
      <c r="B1849" s="529">
        <v>1844001</v>
      </c>
      <c r="C1849" s="529">
        <v>1845</v>
      </c>
      <c r="E1849" s="534">
        <v>0</v>
      </c>
      <c r="F1849" s="534">
        <v>0</v>
      </c>
      <c r="G1849" s="534">
        <v>5</v>
      </c>
      <c r="I1849" s="534">
        <v>0</v>
      </c>
      <c r="J1849" s="534">
        <v>0</v>
      </c>
      <c r="K1849" s="534">
        <v>0</v>
      </c>
      <c r="M1849" s="617">
        <f t="shared" si="58"/>
        <v>0</v>
      </c>
      <c r="N1849" s="617">
        <f t="shared" si="59"/>
        <v>5</v>
      </c>
      <c r="O1849" s="617"/>
    </row>
    <row r="1850" spans="2:15" ht="15" x14ac:dyDescent="0.25">
      <c r="B1850" s="529">
        <v>1845001</v>
      </c>
      <c r="C1850" s="529">
        <v>1846</v>
      </c>
      <c r="E1850" s="534">
        <v>0</v>
      </c>
      <c r="F1850" s="534">
        <v>0</v>
      </c>
      <c r="G1850" s="534">
        <v>5</v>
      </c>
      <c r="I1850" s="534">
        <v>0</v>
      </c>
      <c r="J1850" s="534">
        <v>0</v>
      </c>
      <c r="K1850" s="534">
        <v>0</v>
      </c>
      <c r="M1850" s="617">
        <f t="shared" si="58"/>
        <v>0</v>
      </c>
      <c r="N1850" s="617">
        <f t="shared" si="59"/>
        <v>5</v>
      </c>
      <c r="O1850" s="617"/>
    </row>
    <row r="1851" spans="2:15" ht="15" x14ac:dyDescent="0.25">
      <c r="B1851" s="529">
        <v>1846001</v>
      </c>
      <c r="C1851" s="529">
        <v>1847</v>
      </c>
      <c r="E1851" s="534">
        <v>0</v>
      </c>
      <c r="F1851" s="534">
        <v>0</v>
      </c>
      <c r="G1851" s="534">
        <v>5</v>
      </c>
      <c r="I1851" s="534">
        <v>0</v>
      </c>
      <c r="J1851" s="534">
        <v>0</v>
      </c>
      <c r="K1851" s="534">
        <v>0</v>
      </c>
      <c r="M1851" s="617">
        <f t="shared" si="58"/>
        <v>0</v>
      </c>
      <c r="N1851" s="617">
        <f t="shared" si="59"/>
        <v>5</v>
      </c>
      <c r="O1851" s="617"/>
    </row>
    <row r="1852" spans="2:15" ht="15" x14ac:dyDescent="0.25">
      <c r="B1852" s="529">
        <v>1847001</v>
      </c>
      <c r="C1852" s="529">
        <v>1848</v>
      </c>
      <c r="E1852" s="534">
        <v>0</v>
      </c>
      <c r="F1852" s="534">
        <v>0</v>
      </c>
      <c r="G1852" s="534">
        <v>5</v>
      </c>
      <c r="I1852" s="534">
        <v>0</v>
      </c>
      <c r="J1852" s="534">
        <v>0</v>
      </c>
      <c r="K1852" s="534">
        <v>0</v>
      </c>
      <c r="M1852" s="617">
        <f t="shared" si="58"/>
        <v>0</v>
      </c>
      <c r="N1852" s="617">
        <f t="shared" si="59"/>
        <v>5</v>
      </c>
      <c r="O1852" s="617"/>
    </row>
    <row r="1853" spans="2:15" ht="15" x14ac:dyDescent="0.25">
      <c r="B1853" s="529">
        <v>1848001</v>
      </c>
      <c r="C1853" s="529">
        <v>1849</v>
      </c>
      <c r="E1853" s="534">
        <v>0</v>
      </c>
      <c r="F1853" s="534">
        <v>0</v>
      </c>
      <c r="G1853" s="534">
        <v>5</v>
      </c>
      <c r="I1853" s="534">
        <v>0</v>
      </c>
      <c r="J1853" s="534">
        <v>0</v>
      </c>
      <c r="K1853" s="534">
        <v>0</v>
      </c>
      <c r="M1853" s="617">
        <f t="shared" si="58"/>
        <v>0</v>
      </c>
      <c r="N1853" s="617">
        <f t="shared" si="59"/>
        <v>5</v>
      </c>
      <c r="O1853" s="617"/>
    </row>
    <row r="1854" spans="2:15" ht="15" x14ac:dyDescent="0.25">
      <c r="B1854" s="529">
        <v>1849001</v>
      </c>
      <c r="C1854" s="529">
        <v>1850</v>
      </c>
      <c r="E1854" s="534">
        <v>0</v>
      </c>
      <c r="F1854" s="534">
        <v>0</v>
      </c>
      <c r="G1854" s="534">
        <v>5</v>
      </c>
      <c r="I1854" s="534">
        <v>0</v>
      </c>
      <c r="J1854" s="534">
        <v>0</v>
      </c>
      <c r="K1854" s="534">
        <v>0</v>
      </c>
      <c r="M1854" s="617">
        <f t="shared" si="58"/>
        <v>0</v>
      </c>
      <c r="N1854" s="617">
        <f t="shared" si="59"/>
        <v>5</v>
      </c>
      <c r="O1854" s="617"/>
    </row>
    <row r="1855" spans="2:15" ht="15" x14ac:dyDescent="0.25">
      <c r="B1855" s="529">
        <v>1850001</v>
      </c>
      <c r="C1855" s="529">
        <v>1851</v>
      </c>
      <c r="E1855" s="534">
        <v>0</v>
      </c>
      <c r="F1855" s="534">
        <v>0</v>
      </c>
      <c r="G1855" s="534">
        <v>5</v>
      </c>
      <c r="I1855" s="534">
        <v>0</v>
      </c>
      <c r="J1855" s="534">
        <v>0</v>
      </c>
      <c r="K1855" s="534">
        <v>0</v>
      </c>
      <c r="M1855" s="617">
        <f t="shared" si="58"/>
        <v>0</v>
      </c>
      <c r="N1855" s="617">
        <f t="shared" si="59"/>
        <v>5</v>
      </c>
      <c r="O1855" s="617"/>
    </row>
    <row r="1856" spans="2:15" ht="15" x14ac:dyDescent="0.25">
      <c r="B1856" s="529">
        <v>1851001</v>
      </c>
      <c r="C1856" s="529">
        <v>1852</v>
      </c>
      <c r="E1856" s="534">
        <v>0</v>
      </c>
      <c r="F1856" s="534">
        <v>0</v>
      </c>
      <c r="G1856" s="534">
        <v>5</v>
      </c>
      <c r="I1856" s="534">
        <v>0</v>
      </c>
      <c r="J1856" s="534">
        <v>0</v>
      </c>
      <c r="K1856" s="534">
        <v>0</v>
      </c>
      <c r="M1856" s="617">
        <f t="shared" si="58"/>
        <v>0</v>
      </c>
      <c r="N1856" s="617">
        <f t="shared" si="59"/>
        <v>5</v>
      </c>
      <c r="O1856" s="617"/>
    </row>
    <row r="1857" spans="2:15" ht="15" x14ac:dyDescent="0.25">
      <c r="B1857" s="529">
        <v>1852001</v>
      </c>
      <c r="C1857" s="529">
        <v>1853</v>
      </c>
      <c r="E1857" s="534">
        <v>0</v>
      </c>
      <c r="F1857" s="534">
        <v>0</v>
      </c>
      <c r="G1857" s="534">
        <v>5</v>
      </c>
      <c r="I1857" s="534">
        <v>0</v>
      </c>
      <c r="J1857" s="534">
        <v>0</v>
      </c>
      <c r="K1857" s="534">
        <v>0</v>
      </c>
      <c r="M1857" s="617">
        <f t="shared" si="58"/>
        <v>0</v>
      </c>
      <c r="N1857" s="617">
        <f t="shared" si="59"/>
        <v>5</v>
      </c>
      <c r="O1857" s="617"/>
    </row>
    <row r="1858" spans="2:15" ht="15" x14ac:dyDescent="0.25">
      <c r="B1858" s="529">
        <v>1853001</v>
      </c>
      <c r="C1858" s="529">
        <v>1854</v>
      </c>
      <c r="E1858" s="534">
        <v>0</v>
      </c>
      <c r="F1858" s="534">
        <v>0</v>
      </c>
      <c r="G1858" s="534">
        <v>5</v>
      </c>
      <c r="I1858" s="534">
        <v>0</v>
      </c>
      <c r="J1858" s="534">
        <v>0</v>
      </c>
      <c r="K1858" s="534">
        <v>0</v>
      </c>
      <c r="M1858" s="617">
        <f t="shared" si="58"/>
        <v>0</v>
      </c>
      <c r="N1858" s="617">
        <f t="shared" si="59"/>
        <v>5</v>
      </c>
      <c r="O1858" s="617"/>
    </row>
    <row r="1859" spans="2:15" ht="15" x14ac:dyDescent="0.25">
      <c r="B1859" s="529">
        <v>1854001</v>
      </c>
      <c r="C1859" s="529">
        <v>1855</v>
      </c>
      <c r="E1859" s="534">
        <v>0</v>
      </c>
      <c r="F1859" s="534">
        <v>0</v>
      </c>
      <c r="G1859" s="534">
        <v>5</v>
      </c>
      <c r="I1859" s="534">
        <v>0</v>
      </c>
      <c r="J1859" s="534">
        <v>0</v>
      </c>
      <c r="K1859" s="534">
        <v>0</v>
      </c>
      <c r="M1859" s="617">
        <f t="shared" si="58"/>
        <v>0</v>
      </c>
      <c r="N1859" s="617">
        <f t="shared" si="59"/>
        <v>5</v>
      </c>
      <c r="O1859" s="617"/>
    </row>
    <row r="1860" spans="2:15" ht="15" x14ac:dyDescent="0.25">
      <c r="B1860" s="529">
        <v>1855001</v>
      </c>
      <c r="C1860" s="529">
        <v>1856</v>
      </c>
      <c r="E1860" s="534">
        <v>0</v>
      </c>
      <c r="F1860" s="534">
        <v>0</v>
      </c>
      <c r="G1860" s="534">
        <v>5</v>
      </c>
      <c r="I1860" s="534">
        <v>0</v>
      </c>
      <c r="J1860" s="534">
        <v>0</v>
      </c>
      <c r="K1860" s="534">
        <v>0</v>
      </c>
      <c r="M1860" s="617">
        <f t="shared" si="58"/>
        <v>0</v>
      </c>
      <c r="N1860" s="617">
        <f t="shared" si="59"/>
        <v>5</v>
      </c>
      <c r="O1860" s="617"/>
    </row>
    <row r="1861" spans="2:15" ht="15" x14ac:dyDescent="0.25">
      <c r="B1861" s="529">
        <v>1856001</v>
      </c>
      <c r="C1861" s="529">
        <v>1857</v>
      </c>
      <c r="E1861" s="534">
        <v>0</v>
      </c>
      <c r="F1861" s="534">
        <v>0</v>
      </c>
      <c r="G1861" s="534">
        <v>5</v>
      </c>
      <c r="I1861" s="534">
        <v>0</v>
      </c>
      <c r="J1861" s="534">
        <v>0</v>
      </c>
      <c r="K1861" s="534">
        <v>0</v>
      </c>
      <c r="M1861" s="617">
        <f t="shared" ref="M1861:M1924" si="60">I1861+E1861</f>
        <v>0</v>
      </c>
      <c r="N1861" s="617">
        <f t="shared" ref="N1861:N1924" si="61">K1861+G1861</f>
        <v>5</v>
      </c>
      <c r="O1861" s="617"/>
    </row>
    <row r="1862" spans="2:15" ht="15" x14ac:dyDescent="0.25">
      <c r="B1862" s="529">
        <v>1857001</v>
      </c>
      <c r="C1862" s="529">
        <v>1858</v>
      </c>
      <c r="E1862" s="534">
        <v>0</v>
      </c>
      <c r="F1862" s="534">
        <v>0</v>
      </c>
      <c r="G1862" s="534">
        <v>5</v>
      </c>
      <c r="I1862" s="534">
        <v>0</v>
      </c>
      <c r="J1862" s="534">
        <v>0</v>
      </c>
      <c r="K1862" s="534">
        <v>0</v>
      </c>
      <c r="M1862" s="617">
        <f t="shared" si="60"/>
        <v>0</v>
      </c>
      <c r="N1862" s="617">
        <f t="shared" si="61"/>
        <v>5</v>
      </c>
      <c r="O1862" s="617"/>
    </row>
    <row r="1863" spans="2:15" ht="15" x14ac:dyDescent="0.25">
      <c r="B1863" s="529">
        <v>1858001</v>
      </c>
      <c r="C1863" s="529">
        <v>1859</v>
      </c>
      <c r="E1863" s="534">
        <v>0</v>
      </c>
      <c r="F1863" s="534">
        <v>0</v>
      </c>
      <c r="G1863" s="534">
        <v>5</v>
      </c>
      <c r="I1863" s="534">
        <v>0</v>
      </c>
      <c r="J1863" s="534">
        <v>0</v>
      </c>
      <c r="K1863" s="534">
        <v>0</v>
      </c>
      <c r="M1863" s="617">
        <f t="shared" si="60"/>
        <v>0</v>
      </c>
      <c r="N1863" s="617">
        <f t="shared" si="61"/>
        <v>5</v>
      </c>
      <c r="O1863" s="617"/>
    </row>
    <row r="1864" spans="2:15" ht="15" x14ac:dyDescent="0.25">
      <c r="B1864" s="529">
        <v>1859001</v>
      </c>
      <c r="C1864" s="529">
        <v>1860</v>
      </c>
      <c r="E1864" s="534">
        <v>0</v>
      </c>
      <c r="F1864" s="534">
        <v>0</v>
      </c>
      <c r="G1864" s="534">
        <v>5</v>
      </c>
      <c r="I1864" s="534">
        <v>0</v>
      </c>
      <c r="J1864" s="534">
        <v>0</v>
      </c>
      <c r="K1864" s="534">
        <v>0</v>
      </c>
      <c r="M1864" s="617">
        <f t="shared" si="60"/>
        <v>0</v>
      </c>
      <c r="N1864" s="617">
        <f t="shared" si="61"/>
        <v>5</v>
      </c>
      <c r="O1864" s="617"/>
    </row>
    <row r="1865" spans="2:15" ht="15" x14ac:dyDescent="0.25">
      <c r="B1865" s="529">
        <v>1860001</v>
      </c>
      <c r="C1865" s="529">
        <v>1861</v>
      </c>
      <c r="E1865" s="534">
        <v>0</v>
      </c>
      <c r="F1865" s="534">
        <v>0</v>
      </c>
      <c r="G1865" s="534">
        <v>5</v>
      </c>
      <c r="I1865" s="534">
        <v>0</v>
      </c>
      <c r="J1865" s="534">
        <v>0</v>
      </c>
      <c r="K1865" s="534">
        <v>0</v>
      </c>
      <c r="M1865" s="617">
        <f t="shared" si="60"/>
        <v>0</v>
      </c>
      <c r="N1865" s="617">
        <f t="shared" si="61"/>
        <v>5</v>
      </c>
      <c r="O1865" s="617"/>
    </row>
    <row r="1866" spans="2:15" ht="15" x14ac:dyDescent="0.25">
      <c r="B1866" s="529">
        <v>1861001</v>
      </c>
      <c r="C1866" s="529">
        <v>1862</v>
      </c>
      <c r="E1866" s="534">
        <v>0</v>
      </c>
      <c r="F1866" s="534">
        <v>0</v>
      </c>
      <c r="G1866" s="534">
        <v>5</v>
      </c>
      <c r="I1866" s="534">
        <v>0</v>
      </c>
      <c r="J1866" s="534">
        <v>0</v>
      </c>
      <c r="K1866" s="534">
        <v>0</v>
      </c>
      <c r="M1866" s="617">
        <f t="shared" si="60"/>
        <v>0</v>
      </c>
      <c r="N1866" s="617">
        <f t="shared" si="61"/>
        <v>5</v>
      </c>
      <c r="O1866" s="617"/>
    </row>
    <row r="1867" spans="2:15" ht="15" x14ac:dyDescent="0.25">
      <c r="B1867" s="529">
        <v>1862001</v>
      </c>
      <c r="C1867" s="529">
        <v>1863</v>
      </c>
      <c r="E1867" s="534">
        <v>0</v>
      </c>
      <c r="F1867" s="534">
        <v>0</v>
      </c>
      <c r="G1867" s="534">
        <v>5</v>
      </c>
      <c r="I1867" s="534">
        <v>0</v>
      </c>
      <c r="J1867" s="534">
        <v>0</v>
      </c>
      <c r="K1867" s="534">
        <v>0</v>
      </c>
      <c r="M1867" s="617">
        <f t="shared" si="60"/>
        <v>0</v>
      </c>
      <c r="N1867" s="617">
        <f t="shared" si="61"/>
        <v>5</v>
      </c>
      <c r="O1867" s="617"/>
    </row>
    <row r="1868" spans="2:15" ht="15" x14ac:dyDescent="0.25">
      <c r="B1868" s="529">
        <v>1863001</v>
      </c>
      <c r="C1868" s="529">
        <v>1864</v>
      </c>
      <c r="E1868" s="534">
        <v>0</v>
      </c>
      <c r="F1868" s="534">
        <v>0</v>
      </c>
      <c r="G1868" s="534">
        <v>5</v>
      </c>
      <c r="I1868" s="534">
        <v>0</v>
      </c>
      <c r="J1868" s="534">
        <v>0</v>
      </c>
      <c r="K1868" s="534">
        <v>0</v>
      </c>
      <c r="M1868" s="617">
        <f t="shared" si="60"/>
        <v>0</v>
      </c>
      <c r="N1868" s="617">
        <f t="shared" si="61"/>
        <v>5</v>
      </c>
      <c r="O1868" s="617"/>
    </row>
    <row r="1869" spans="2:15" ht="15" x14ac:dyDescent="0.25">
      <c r="B1869" s="529">
        <v>1864001</v>
      </c>
      <c r="C1869" s="529">
        <v>1865</v>
      </c>
      <c r="E1869" s="534">
        <v>0</v>
      </c>
      <c r="F1869" s="534">
        <v>0</v>
      </c>
      <c r="G1869" s="534">
        <v>5</v>
      </c>
      <c r="I1869" s="534">
        <v>0</v>
      </c>
      <c r="J1869" s="534">
        <v>0</v>
      </c>
      <c r="K1869" s="534">
        <v>0</v>
      </c>
      <c r="M1869" s="617">
        <f t="shared" si="60"/>
        <v>0</v>
      </c>
      <c r="N1869" s="617">
        <f t="shared" si="61"/>
        <v>5</v>
      </c>
      <c r="O1869" s="617"/>
    </row>
    <row r="1870" spans="2:15" ht="15" x14ac:dyDescent="0.25">
      <c r="B1870" s="529">
        <v>1865001</v>
      </c>
      <c r="C1870" s="529">
        <v>1866</v>
      </c>
      <c r="E1870" s="534">
        <v>0</v>
      </c>
      <c r="F1870" s="534">
        <v>0</v>
      </c>
      <c r="G1870" s="534">
        <v>5</v>
      </c>
      <c r="I1870" s="534">
        <v>0</v>
      </c>
      <c r="J1870" s="534">
        <v>0</v>
      </c>
      <c r="K1870" s="534">
        <v>0</v>
      </c>
      <c r="M1870" s="617">
        <f t="shared" si="60"/>
        <v>0</v>
      </c>
      <c r="N1870" s="617">
        <f t="shared" si="61"/>
        <v>5</v>
      </c>
      <c r="O1870" s="617"/>
    </row>
    <row r="1871" spans="2:15" ht="15" x14ac:dyDescent="0.25">
      <c r="B1871" s="529">
        <v>1866001</v>
      </c>
      <c r="C1871" s="529">
        <v>1867</v>
      </c>
      <c r="E1871" s="534">
        <v>0</v>
      </c>
      <c r="F1871" s="534">
        <v>0</v>
      </c>
      <c r="G1871" s="534">
        <v>5</v>
      </c>
      <c r="I1871" s="534">
        <v>0</v>
      </c>
      <c r="J1871" s="534">
        <v>0</v>
      </c>
      <c r="K1871" s="534">
        <v>0</v>
      </c>
      <c r="M1871" s="617">
        <f t="shared" si="60"/>
        <v>0</v>
      </c>
      <c r="N1871" s="617">
        <f t="shared" si="61"/>
        <v>5</v>
      </c>
      <c r="O1871" s="617"/>
    </row>
    <row r="1872" spans="2:15" ht="15" x14ac:dyDescent="0.25">
      <c r="B1872" s="529">
        <v>1867001</v>
      </c>
      <c r="C1872" s="529">
        <v>1868</v>
      </c>
      <c r="E1872" s="534">
        <v>0</v>
      </c>
      <c r="F1872" s="534">
        <v>0</v>
      </c>
      <c r="G1872" s="534">
        <v>5</v>
      </c>
      <c r="I1872" s="534">
        <v>0</v>
      </c>
      <c r="J1872" s="534">
        <v>0</v>
      </c>
      <c r="K1872" s="534">
        <v>0</v>
      </c>
      <c r="M1872" s="617">
        <f t="shared" si="60"/>
        <v>0</v>
      </c>
      <c r="N1872" s="617">
        <f t="shared" si="61"/>
        <v>5</v>
      </c>
      <c r="O1872" s="617"/>
    </row>
    <row r="1873" spans="2:15" ht="15" x14ac:dyDescent="0.25">
      <c r="B1873" s="529">
        <v>1868001</v>
      </c>
      <c r="C1873" s="529">
        <v>1869</v>
      </c>
      <c r="E1873" s="534">
        <v>0</v>
      </c>
      <c r="F1873" s="534">
        <v>0</v>
      </c>
      <c r="G1873" s="534">
        <v>5</v>
      </c>
      <c r="I1873" s="534">
        <v>0</v>
      </c>
      <c r="J1873" s="534">
        <v>0</v>
      </c>
      <c r="K1873" s="534">
        <v>0</v>
      </c>
      <c r="M1873" s="617">
        <f t="shared" si="60"/>
        <v>0</v>
      </c>
      <c r="N1873" s="617">
        <f t="shared" si="61"/>
        <v>5</v>
      </c>
      <c r="O1873" s="617"/>
    </row>
    <row r="1874" spans="2:15" ht="15" x14ac:dyDescent="0.25">
      <c r="B1874" s="529">
        <v>1869001</v>
      </c>
      <c r="C1874" s="529">
        <v>1870</v>
      </c>
      <c r="E1874" s="534">
        <v>0</v>
      </c>
      <c r="F1874" s="534">
        <v>0</v>
      </c>
      <c r="G1874" s="534">
        <v>5</v>
      </c>
      <c r="I1874" s="534">
        <v>0</v>
      </c>
      <c r="J1874" s="534">
        <v>0</v>
      </c>
      <c r="K1874" s="534">
        <v>0</v>
      </c>
      <c r="M1874" s="617">
        <f t="shared" si="60"/>
        <v>0</v>
      </c>
      <c r="N1874" s="617">
        <f t="shared" si="61"/>
        <v>5</v>
      </c>
      <c r="O1874" s="617"/>
    </row>
    <row r="1875" spans="2:15" ht="15" x14ac:dyDescent="0.25">
      <c r="B1875" s="529">
        <v>1870001</v>
      </c>
      <c r="C1875" s="529">
        <v>1871</v>
      </c>
      <c r="E1875" s="534">
        <v>0</v>
      </c>
      <c r="F1875" s="534">
        <v>0</v>
      </c>
      <c r="G1875" s="534">
        <v>5</v>
      </c>
      <c r="I1875" s="534">
        <v>0</v>
      </c>
      <c r="J1875" s="534">
        <v>0</v>
      </c>
      <c r="K1875" s="534">
        <v>0</v>
      </c>
      <c r="M1875" s="617">
        <f t="shared" si="60"/>
        <v>0</v>
      </c>
      <c r="N1875" s="617">
        <f t="shared" si="61"/>
        <v>5</v>
      </c>
      <c r="O1875" s="617"/>
    </row>
    <row r="1876" spans="2:15" ht="15" x14ac:dyDescent="0.25">
      <c r="B1876" s="529">
        <v>1871001</v>
      </c>
      <c r="C1876" s="529">
        <v>1872</v>
      </c>
      <c r="E1876" s="534">
        <v>0</v>
      </c>
      <c r="F1876" s="534">
        <v>0</v>
      </c>
      <c r="G1876" s="534">
        <v>5</v>
      </c>
      <c r="I1876" s="534">
        <v>0</v>
      </c>
      <c r="J1876" s="534">
        <v>0</v>
      </c>
      <c r="K1876" s="534">
        <v>0</v>
      </c>
      <c r="M1876" s="617">
        <f t="shared" si="60"/>
        <v>0</v>
      </c>
      <c r="N1876" s="617">
        <f t="shared" si="61"/>
        <v>5</v>
      </c>
      <c r="O1876" s="617"/>
    </row>
    <row r="1877" spans="2:15" ht="15" x14ac:dyDescent="0.25">
      <c r="B1877" s="529">
        <v>1872001</v>
      </c>
      <c r="C1877" s="529">
        <v>1873</v>
      </c>
      <c r="E1877" s="534">
        <v>0</v>
      </c>
      <c r="F1877" s="534">
        <v>0</v>
      </c>
      <c r="G1877" s="534">
        <v>5</v>
      </c>
      <c r="I1877" s="534">
        <v>0</v>
      </c>
      <c r="J1877" s="534">
        <v>0</v>
      </c>
      <c r="K1877" s="534">
        <v>0</v>
      </c>
      <c r="M1877" s="617">
        <f t="shared" si="60"/>
        <v>0</v>
      </c>
      <c r="N1877" s="617">
        <f t="shared" si="61"/>
        <v>5</v>
      </c>
      <c r="O1877" s="617"/>
    </row>
    <row r="1878" spans="2:15" ht="15" x14ac:dyDescent="0.25">
      <c r="B1878" s="529">
        <v>1873001</v>
      </c>
      <c r="C1878" s="529">
        <v>1874</v>
      </c>
      <c r="E1878" s="534">
        <v>0</v>
      </c>
      <c r="F1878" s="534">
        <v>0</v>
      </c>
      <c r="G1878" s="534">
        <v>5</v>
      </c>
      <c r="I1878" s="534">
        <v>0</v>
      </c>
      <c r="J1878" s="534">
        <v>0</v>
      </c>
      <c r="K1878" s="534">
        <v>0</v>
      </c>
      <c r="M1878" s="617">
        <f t="shared" si="60"/>
        <v>0</v>
      </c>
      <c r="N1878" s="617">
        <f t="shared" si="61"/>
        <v>5</v>
      </c>
      <c r="O1878" s="617"/>
    </row>
    <row r="1879" spans="2:15" ht="15" x14ac:dyDescent="0.25">
      <c r="B1879" s="529">
        <v>1874001</v>
      </c>
      <c r="C1879" s="529">
        <v>1875</v>
      </c>
      <c r="E1879" s="534">
        <v>0</v>
      </c>
      <c r="F1879" s="534">
        <v>0</v>
      </c>
      <c r="G1879" s="534">
        <v>5</v>
      </c>
      <c r="I1879" s="534">
        <v>0</v>
      </c>
      <c r="J1879" s="534">
        <v>0</v>
      </c>
      <c r="K1879" s="534">
        <v>0</v>
      </c>
      <c r="M1879" s="617">
        <f t="shared" si="60"/>
        <v>0</v>
      </c>
      <c r="N1879" s="617">
        <f t="shared" si="61"/>
        <v>5</v>
      </c>
      <c r="O1879" s="617"/>
    </row>
    <row r="1880" spans="2:15" ht="15" x14ac:dyDescent="0.25">
      <c r="B1880" s="529">
        <v>1875001</v>
      </c>
      <c r="C1880" s="529">
        <v>1876</v>
      </c>
      <c r="E1880" s="534">
        <v>0</v>
      </c>
      <c r="F1880" s="534">
        <v>0</v>
      </c>
      <c r="G1880" s="534">
        <v>5</v>
      </c>
      <c r="I1880" s="534">
        <v>0</v>
      </c>
      <c r="J1880" s="534">
        <v>0</v>
      </c>
      <c r="K1880" s="534">
        <v>0</v>
      </c>
      <c r="M1880" s="617">
        <f t="shared" si="60"/>
        <v>0</v>
      </c>
      <c r="N1880" s="617">
        <f t="shared" si="61"/>
        <v>5</v>
      </c>
      <c r="O1880" s="617"/>
    </row>
    <row r="1881" spans="2:15" ht="15" x14ac:dyDescent="0.25">
      <c r="B1881" s="529">
        <v>1876001</v>
      </c>
      <c r="C1881" s="529">
        <v>1877</v>
      </c>
      <c r="E1881" s="534">
        <v>0</v>
      </c>
      <c r="F1881" s="534">
        <v>0</v>
      </c>
      <c r="G1881" s="534">
        <v>5</v>
      </c>
      <c r="I1881" s="534">
        <v>0</v>
      </c>
      <c r="J1881" s="534">
        <v>0</v>
      </c>
      <c r="K1881" s="534">
        <v>0</v>
      </c>
      <c r="M1881" s="617">
        <f t="shared" si="60"/>
        <v>0</v>
      </c>
      <c r="N1881" s="617">
        <f t="shared" si="61"/>
        <v>5</v>
      </c>
      <c r="O1881" s="617"/>
    </row>
    <row r="1882" spans="2:15" ht="15" x14ac:dyDescent="0.25">
      <c r="B1882" s="529">
        <v>1877001</v>
      </c>
      <c r="C1882" s="529">
        <v>1878</v>
      </c>
      <c r="E1882" s="534">
        <v>0</v>
      </c>
      <c r="F1882" s="534">
        <v>0</v>
      </c>
      <c r="G1882" s="534">
        <v>5</v>
      </c>
      <c r="I1882" s="534">
        <v>0</v>
      </c>
      <c r="J1882" s="534">
        <v>0</v>
      </c>
      <c r="K1882" s="534">
        <v>0</v>
      </c>
      <c r="M1882" s="617">
        <f t="shared" si="60"/>
        <v>0</v>
      </c>
      <c r="N1882" s="617">
        <f t="shared" si="61"/>
        <v>5</v>
      </c>
      <c r="O1882" s="617"/>
    </row>
    <row r="1883" spans="2:15" ht="15" x14ac:dyDescent="0.25">
      <c r="B1883" s="529">
        <v>1878001</v>
      </c>
      <c r="C1883" s="529">
        <v>1879</v>
      </c>
      <c r="E1883" s="534">
        <v>0</v>
      </c>
      <c r="F1883" s="534">
        <v>0</v>
      </c>
      <c r="G1883" s="534">
        <v>5</v>
      </c>
      <c r="I1883" s="534">
        <v>0</v>
      </c>
      <c r="J1883" s="534">
        <v>0</v>
      </c>
      <c r="K1883" s="534">
        <v>0</v>
      </c>
      <c r="M1883" s="617">
        <f t="shared" si="60"/>
        <v>0</v>
      </c>
      <c r="N1883" s="617">
        <f t="shared" si="61"/>
        <v>5</v>
      </c>
      <c r="O1883" s="617"/>
    </row>
    <row r="1884" spans="2:15" ht="15" x14ac:dyDescent="0.25">
      <c r="B1884" s="529">
        <v>1879001</v>
      </c>
      <c r="C1884" s="529">
        <v>1880</v>
      </c>
      <c r="E1884" s="534">
        <v>0</v>
      </c>
      <c r="F1884" s="534">
        <v>0</v>
      </c>
      <c r="G1884" s="534">
        <v>5</v>
      </c>
      <c r="I1884" s="534">
        <v>0</v>
      </c>
      <c r="J1884" s="534">
        <v>0</v>
      </c>
      <c r="K1884" s="534">
        <v>0</v>
      </c>
      <c r="M1884" s="617">
        <f t="shared" si="60"/>
        <v>0</v>
      </c>
      <c r="N1884" s="617">
        <f t="shared" si="61"/>
        <v>5</v>
      </c>
      <c r="O1884" s="617"/>
    </row>
    <row r="1885" spans="2:15" ht="15" x14ac:dyDescent="0.25">
      <c r="B1885" s="529">
        <v>1880001</v>
      </c>
      <c r="C1885" s="529">
        <v>1881</v>
      </c>
      <c r="E1885" s="534">
        <v>0</v>
      </c>
      <c r="F1885" s="534">
        <v>0</v>
      </c>
      <c r="G1885" s="534">
        <v>5</v>
      </c>
      <c r="I1885" s="534">
        <v>0</v>
      </c>
      <c r="J1885" s="534">
        <v>0</v>
      </c>
      <c r="K1885" s="534">
        <v>0</v>
      </c>
      <c r="M1885" s="617">
        <f t="shared" si="60"/>
        <v>0</v>
      </c>
      <c r="N1885" s="617">
        <f t="shared" si="61"/>
        <v>5</v>
      </c>
      <c r="O1885" s="617"/>
    </row>
    <row r="1886" spans="2:15" ht="15" x14ac:dyDescent="0.25">
      <c r="B1886" s="529">
        <v>1881001</v>
      </c>
      <c r="C1886" s="529">
        <v>1882</v>
      </c>
      <c r="E1886" s="534">
        <v>0</v>
      </c>
      <c r="F1886" s="534">
        <v>0</v>
      </c>
      <c r="G1886" s="534">
        <v>5</v>
      </c>
      <c r="I1886" s="534">
        <v>0</v>
      </c>
      <c r="J1886" s="534">
        <v>0</v>
      </c>
      <c r="K1886" s="534">
        <v>0</v>
      </c>
      <c r="M1886" s="617">
        <f t="shared" si="60"/>
        <v>0</v>
      </c>
      <c r="N1886" s="617">
        <f t="shared" si="61"/>
        <v>5</v>
      </c>
      <c r="O1886" s="617"/>
    </row>
    <row r="1887" spans="2:15" ht="15" x14ac:dyDescent="0.25">
      <c r="B1887" s="529">
        <v>1882001</v>
      </c>
      <c r="C1887" s="529">
        <v>1883</v>
      </c>
      <c r="E1887" s="534">
        <v>0</v>
      </c>
      <c r="F1887" s="534">
        <v>0</v>
      </c>
      <c r="G1887" s="534">
        <v>5</v>
      </c>
      <c r="I1887" s="534">
        <v>0</v>
      </c>
      <c r="J1887" s="534">
        <v>0</v>
      </c>
      <c r="K1887" s="534">
        <v>0</v>
      </c>
      <c r="M1887" s="617">
        <f t="shared" si="60"/>
        <v>0</v>
      </c>
      <c r="N1887" s="617">
        <f t="shared" si="61"/>
        <v>5</v>
      </c>
      <c r="O1887" s="617"/>
    </row>
    <row r="1888" spans="2:15" ht="15" x14ac:dyDescent="0.25">
      <c r="B1888" s="529">
        <v>1883001</v>
      </c>
      <c r="C1888" s="529">
        <v>1884</v>
      </c>
      <c r="E1888" s="534">
        <v>0</v>
      </c>
      <c r="F1888" s="534">
        <v>0</v>
      </c>
      <c r="G1888" s="534">
        <v>5</v>
      </c>
      <c r="I1888" s="534">
        <v>0</v>
      </c>
      <c r="J1888" s="534">
        <v>0</v>
      </c>
      <c r="K1888" s="534">
        <v>0</v>
      </c>
      <c r="M1888" s="617">
        <f t="shared" si="60"/>
        <v>0</v>
      </c>
      <c r="N1888" s="617">
        <f t="shared" si="61"/>
        <v>5</v>
      </c>
      <c r="O1888" s="617"/>
    </row>
    <row r="1889" spans="2:15" ht="15" x14ac:dyDescent="0.25">
      <c r="B1889" s="529">
        <v>1884001</v>
      </c>
      <c r="C1889" s="529">
        <v>1885</v>
      </c>
      <c r="E1889" s="534">
        <v>0</v>
      </c>
      <c r="F1889" s="534">
        <v>0</v>
      </c>
      <c r="G1889" s="534">
        <v>5</v>
      </c>
      <c r="I1889" s="534">
        <v>0</v>
      </c>
      <c r="J1889" s="534">
        <v>0</v>
      </c>
      <c r="K1889" s="534">
        <v>0</v>
      </c>
      <c r="M1889" s="617">
        <f t="shared" si="60"/>
        <v>0</v>
      </c>
      <c r="N1889" s="617">
        <f t="shared" si="61"/>
        <v>5</v>
      </c>
      <c r="O1889" s="617"/>
    </row>
    <row r="1890" spans="2:15" ht="15" x14ac:dyDescent="0.25">
      <c r="B1890" s="529">
        <v>1885001</v>
      </c>
      <c r="C1890" s="529">
        <v>1886</v>
      </c>
      <c r="E1890" s="534">
        <v>0</v>
      </c>
      <c r="F1890" s="534">
        <v>0</v>
      </c>
      <c r="G1890" s="534">
        <v>5</v>
      </c>
      <c r="I1890" s="534">
        <v>0</v>
      </c>
      <c r="J1890" s="534">
        <v>0</v>
      </c>
      <c r="K1890" s="534">
        <v>0</v>
      </c>
      <c r="M1890" s="617">
        <f t="shared" si="60"/>
        <v>0</v>
      </c>
      <c r="N1890" s="617">
        <f t="shared" si="61"/>
        <v>5</v>
      </c>
      <c r="O1890" s="617"/>
    </row>
    <row r="1891" spans="2:15" ht="15" x14ac:dyDescent="0.25">
      <c r="B1891" s="529">
        <v>1886001</v>
      </c>
      <c r="C1891" s="529">
        <v>1887</v>
      </c>
      <c r="E1891" s="534">
        <v>0</v>
      </c>
      <c r="F1891" s="534">
        <v>0</v>
      </c>
      <c r="G1891" s="534">
        <v>5</v>
      </c>
      <c r="I1891" s="534">
        <v>0</v>
      </c>
      <c r="J1891" s="534">
        <v>0</v>
      </c>
      <c r="K1891" s="534">
        <v>0</v>
      </c>
      <c r="M1891" s="617">
        <f t="shared" si="60"/>
        <v>0</v>
      </c>
      <c r="N1891" s="617">
        <f t="shared" si="61"/>
        <v>5</v>
      </c>
      <c r="O1891" s="617"/>
    </row>
    <row r="1892" spans="2:15" ht="15" x14ac:dyDescent="0.25">
      <c r="B1892" s="529">
        <v>1887001</v>
      </c>
      <c r="C1892" s="529">
        <v>1888</v>
      </c>
      <c r="E1892" s="534">
        <v>0</v>
      </c>
      <c r="F1892" s="534">
        <v>0</v>
      </c>
      <c r="G1892" s="534">
        <v>5</v>
      </c>
      <c r="I1892" s="534">
        <v>0</v>
      </c>
      <c r="J1892" s="534">
        <v>0</v>
      </c>
      <c r="K1892" s="534">
        <v>0</v>
      </c>
      <c r="M1892" s="617">
        <f t="shared" si="60"/>
        <v>0</v>
      </c>
      <c r="N1892" s="617">
        <f t="shared" si="61"/>
        <v>5</v>
      </c>
      <c r="O1892" s="617"/>
    </row>
    <row r="1893" spans="2:15" ht="15" x14ac:dyDescent="0.25">
      <c r="B1893" s="529">
        <v>1888001</v>
      </c>
      <c r="C1893" s="529">
        <v>1889</v>
      </c>
      <c r="E1893" s="534">
        <v>0</v>
      </c>
      <c r="F1893" s="534">
        <v>0</v>
      </c>
      <c r="G1893" s="534">
        <v>5</v>
      </c>
      <c r="I1893" s="534">
        <v>0</v>
      </c>
      <c r="J1893" s="534">
        <v>0</v>
      </c>
      <c r="K1893" s="534">
        <v>0</v>
      </c>
      <c r="M1893" s="617">
        <f t="shared" si="60"/>
        <v>0</v>
      </c>
      <c r="N1893" s="617">
        <f t="shared" si="61"/>
        <v>5</v>
      </c>
      <c r="O1893" s="617"/>
    </row>
    <row r="1894" spans="2:15" ht="15" x14ac:dyDescent="0.25">
      <c r="B1894" s="529">
        <v>1889001</v>
      </c>
      <c r="C1894" s="529">
        <v>1890</v>
      </c>
      <c r="E1894" s="534">
        <v>0</v>
      </c>
      <c r="F1894" s="534">
        <v>0</v>
      </c>
      <c r="G1894" s="534">
        <v>5</v>
      </c>
      <c r="I1894" s="534">
        <v>0</v>
      </c>
      <c r="J1894" s="534">
        <v>0</v>
      </c>
      <c r="K1894" s="534">
        <v>0</v>
      </c>
      <c r="M1894" s="617">
        <f t="shared" si="60"/>
        <v>0</v>
      </c>
      <c r="N1894" s="617">
        <f t="shared" si="61"/>
        <v>5</v>
      </c>
      <c r="O1894" s="617"/>
    </row>
    <row r="1895" spans="2:15" ht="15" x14ac:dyDescent="0.25">
      <c r="B1895" s="529">
        <v>1890001</v>
      </c>
      <c r="C1895" s="529">
        <v>1891</v>
      </c>
      <c r="E1895" s="534">
        <v>0</v>
      </c>
      <c r="F1895" s="534">
        <v>0</v>
      </c>
      <c r="G1895" s="534">
        <v>5</v>
      </c>
      <c r="I1895" s="534">
        <v>0</v>
      </c>
      <c r="J1895" s="534">
        <v>0</v>
      </c>
      <c r="K1895" s="534">
        <v>0</v>
      </c>
      <c r="M1895" s="617">
        <f t="shared" si="60"/>
        <v>0</v>
      </c>
      <c r="N1895" s="617">
        <f t="shared" si="61"/>
        <v>5</v>
      </c>
      <c r="O1895" s="617"/>
    </row>
    <row r="1896" spans="2:15" ht="15" x14ac:dyDescent="0.25">
      <c r="B1896" s="529">
        <v>1891001</v>
      </c>
      <c r="C1896" s="529">
        <v>1892</v>
      </c>
      <c r="E1896" s="534">
        <v>0</v>
      </c>
      <c r="F1896" s="534">
        <v>0</v>
      </c>
      <c r="G1896" s="534">
        <v>5</v>
      </c>
      <c r="I1896" s="534">
        <v>0</v>
      </c>
      <c r="J1896" s="534">
        <v>0</v>
      </c>
      <c r="K1896" s="534">
        <v>0</v>
      </c>
      <c r="M1896" s="617">
        <f t="shared" si="60"/>
        <v>0</v>
      </c>
      <c r="N1896" s="617">
        <f t="shared" si="61"/>
        <v>5</v>
      </c>
      <c r="O1896" s="617"/>
    </row>
    <row r="1897" spans="2:15" ht="15" x14ac:dyDescent="0.25">
      <c r="B1897" s="529">
        <v>1892001</v>
      </c>
      <c r="C1897" s="529">
        <v>1893</v>
      </c>
      <c r="E1897" s="534">
        <v>0</v>
      </c>
      <c r="F1897" s="534">
        <v>0</v>
      </c>
      <c r="G1897" s="534">
        <v>5</v>
      </c>
      <c r="I1897" s="534">
        <v>0</v>
      </c>
      <c r="J1897" s="534">
        <v>0</v>
      </c>
      <c r="K1897" s="534">
        <v>0</v>
      </c>
      <c r="M1897" s="617">
        <f t="shared" si="60"/>
        <v>0</v>
      </c>
      <c r="N1897" s="617">
        <f t="shared" si="61"/>
        <v>5</v>
      </c>
      <c r="O1897" s="617"/>
    </row>
    <row r="1898" spans="2:15" ht="15" x14ac:dyDescent="0.25">
      <c r="B1898" s="529">
        <v>1893001</v>
      </c>
      <c r="C1898" s="529">
        <v>1894</v>
      </c>
      <c r="E1898" s="534">
        <v>0</v>
      </c>
      <c r="F1898" s="534">
        <v>0</v>
      </c>
      <c r="G1898" s="534">
        <v>5</v>
      </c>
      <c r="I1898" s="534">
        <v>0</v>
      </c>
      <c r="J1898" s="534">
        <v>0</v>
      </c>
      <c r="K1898" s="534">
        <v>0</v>
      </c>
      <c r="M1898" s="617">
        <f t="shared" si="60"/>
        <v>0</v>
      </c>
      <c r="N1898" s="617">
        <f t="shared" si="61"/>
        <v>5</v>
      </c>
      <c r="O1898" s="617"/>
    </row>
    <row r="1899" spans="2:15" ht="15" x14ac:dyDescent="0.25">
      <c r="B1899" s="529">
        <v>1894001</v>
      </c>
      <c r="C1899" s="529">
        <v>1895</v>
      </c>
      <c r="E1899" s="534">
        <v>0</v>
      </c>
      <c r="F1899" s="534">
        <v>0</v>
      </c>
      <c r="G1899" s="534">
        <v>5</v>
      </c>
      <c r="I1899" s="534">
        <v>0</v>
      </c>
      <c r="J1899" s="534">
        <v>0</v>
      </c>
      <c r="K1899" s="534">
        <v>0</v>
      </c>
      <c r="M1899" s="617">
        <f t="shared" si="60"/>
        <v>0</v>
      </c>
      <c r="N1899" s="617">
        <f t="shared" si="61"/>
        <v>5</v>
      </c>
      <c r="O1899" s="617"/>
    </row>
    <row r="1900" spans="2:15" ht="15" x14ac:dyDescent="0.25">
      <c r="B1900" s="529">
        <v>1895001</v>
      </c>
      <c r="C1900" s="529">
        <v>1896</v>
      </c>
      <c r="E1900" s="534">
        <v>0</v>
      </c>
      <c r="F1900" s="534">
        <v>0</v>
      </c>
      <c r="G1900" s="534">
        <v>5</v>
      </c>
      <c r="I1900" s="534">
        <v>0</v>
      </c>
      <c r="J1900" s="534">
        <v>0</v>
      </c>
      <c r="K1900" s="534">
        <v>0</v>
      </c>
      <c r="M1900" s="617">
        <f t="shared" si="60"/>
        <v>0</v>
      </c>
      <c r="N1900" s="617">
        <f t="shared" si="61"/>
        <v>5</v>
      </c>
      <c r="O1900" s="617"/>
    </row>
    <row r="1901" spans="2:15" ht="15" x14ac:dyDescent="0.25">
      <c r="B1901" s="529">
        <v>1896001</v>
      </c>
      <c r="C1901" s="529">
        <v>1897</v>
      </c>
      <c r="E1901" s="534">
        <v>0</v>
      </c>
      <c r="F1901" s="534">
        <v>0</v>
      </c>
      <c r="G1901" s="534">
        <v>5</v>
      </c>
      <c r="I1901" s="534">
        <v>0</v>
      </c>
      <c r="J1901" s="534">
        <v>0</v>
      </c>
      <c r="K1901" s="534">
        <v>0</v>
      </c>
      <c r="M1901" s="617">
        <f t="shared" si="60"/>
        <v>0</v>
      </c>
      <c r="N1901" s="617">
        <f t="shared" si="61"/>
        <v>5</v>
      </c>
      <c r="O1901" s="617"/>
    </row>
    <row r="1902" spans="2:15" ht="15" x14ac:dyDescent="0.25">
      <c r="B1902" s="529">
        <v>1897001</v>
      </c>
      <c r="C1902" s="529">
        <v>1898</v>
      </c>
      <c r="E1902" s="534">
        <v>0</v>
      </c>
      <c r="F1902" s="534">
        <v>0</v>
      </c>
      <c r="G1902" s="534">
        <v>5</v>
      </c>
      <c r="I1902" s="534">
        <v>0</v>
      </c>
      <c r="J1902" s="534">
        <v>0</v>
      </c>
      <c r="K1902" s="534">
        <v>0</v>
      </c>
      <c r="M1902" s="617">
        <f t="shared" si="60"/>
        <v>0</v>
      </c>
      <c r="N1902" s="617">
        <f t="shared" si="61"/>
        <v>5</v>
      </c>
      <c r="O1902" s="617"/>
    </row>
    <row r="1903" spans="2:15" ht="15" x14ac:dyDescent="0.25">
      <c r="B1903" s="529">
        <v>1898001</v>
      </c>
      <c r="C1903" s="529">
        <v>1899</v>
      </c>
      <c r="E1903" s="534">
        <v>0</v>
      </c>
      <c r="F1903" s="534">
        <v>0</v>
      </c>
      <c r="G1903" s="534">
        <v>5</v>
      </c>
      <c r="I1903" s="534">
        <v>0</v>
      </c>
      <c r="J1903" s="534">
        <v>0</v>
      </c>
      <c r="K1903" s="534">
        <v>0</v>
      </c>
      <c r="M1903" s="617">
        <f t="shared" si="60"/>
        <v>0</v>
      </c>
      <c r="N1903" s="617">
        <f t="shared" si="61"/>
        <v>5</v>
      </c>
      <c r="O1903" s="617"/>
    </row>
    <row r="1904" spans="2:15" ht="15" x14ac:dyDescent="0.25">
      <c r="B1904" s="529">
        <v>1899001</v>
      </c>
      <c r="C1904" s="529">
        <v>1900</v>
      </c>
      <c r="E1904" s="534">
        <v>0</v>
      </c>
      <c r="F1904" s="534">
        <v>0</v>
      </c>
      <c r="G1904" s="534">
        <v>5</v>
      </c>
      <c r="I1904" s="534">
        <v>0</v>
      </c>
      <c r="J1904" s="534">
        <v>0</v>
      </c>
      <c r="K1904" s="534">
        <v>0</v>
      </c>
      <c r="M1904" s="617">
        <f t="shared" si="60"/>
        <v>0</v>
      </c>
      <c r="N1904" s="617">
        <f t="shared" si="61"/>
        <v>5</v>
      </c>
      <c r="O1904" s="617"/>
    </row>
    <row r="1905" spans="2:15" ht="15" x14ac:dyDescent="0.25">
      <c r="B1905" s="529">
        <v>1900001</v>
      </c>
      <c r="C1905" s="529">
        <v>1901</v>
      </c>
      <c r="E1905" s="534">
        <v>0</v>
      </c>
      <c r="F1905" s="534">
        <v>0</v>
      </c>
      <c r="G1905" s="534">
        <v>5</v>
      </c>
      <c r="I1905" s="534">
        <v>0</v>
      </c>
      <c r="J1905" s="534">
        <v>0</v>
      </c>
      <c r="K1905" s="534">
        <v>0</v>
      </c>
      <c r="M1905" s="617">
        <f t="shared" si="60"/>
        <v>0</v>
      </c>
      <c r="N1905" s="617">
        <f t="shared" si="61"/>
        <v>5</v>
      </c>
      <c r="O1905" s="617"/>
    </row>
    <row r="1906" spans="2:15" ht="15" x14ac:dyDescent="0.25">
      <c r="B1906" s="529">
        <v>1901001</v>
      </c>
      <c r="C1906" s="529">
        <v>1902</v>
      </c>
      <c r="E1906" s="534">
        <v>0</v>
      </c>
      <c r="F1906" s="534">
        <v>0</v>
      </c>
      <c r="G1906" s="534">
        <v>5</v>
      </c>
      <c r="I1906" s="534">
        <v>0</v>
      </c>
      <c r="J1906" s="534">
        <v>0</v>
      </c>
      <c r="K1906" s="534">
        <v>0</v>
      </c>
      <c r="M1906" s="617">
        <f t="shared" si="60"/>
        <v>0</v>
      </c>
      <c r="N1906" s="617">
        <f t="shared" si="61"/>
        <v>5</v>
      </c>
      <c r="O1906" s="617"/>
    </row>
    <row r="1907" spans="2:15" ht="15" x14ac:dyDescent="0.25">
      <c r="B1907" s="529">
        <v>1902001</v>
      </c>
      <c r="C1907" s="529">
        <v>1903</v>
      </c>
      <c r="E1907" s="534">
        <v>0</v>
      </c>
      <c r="F1907" s="534">
        <v>0</v>
      </c>
      <c r="G1907" s="534">
        <v>5</v>
      </c>
      <c r="I1907" s="534">
        <v>0</v>
      </c>
      <c r="J1907" s="534">
        <v>0</v>
      </c>
      <c r="K1907" s="534">
        <v>0</v>
      </c>
      <c r="M1907" s="617">
        <f t="shared" si="60"/>
        <v>0</v>
      </c>
      <c r="N1907" s="617">
        <f t="shared" si="61"/>
        <v>5</v>
      </c>
      <c r="O1907" s="617"/>
    </row>
    <row r="1908" spans="2:15" ht="15" x14ac:dyDescent="0.25">
      <c r="B1908" s="529">
        <v>1903001</v>
      </c>
      <c r="C1908" s="529">
        <v>1904</v>
      </c>
      <c r="E1908" s="534">
        <v>0</v>
      </c>
      <c r="F1908" s="534">
        <v>0</v>
      </c>
      <c r="G1908" s="534">
        <v>5</v>
      </c>
      <c r="I1908" s="534">
        <v>0</v>
      </c>
      <c r="J1908" s="534">
        <v>0</v>
      </c>
      <c r="K1908" s="534">
        <v>0</v>
      </c>
      <c r="M1908" s="617">
        <f t="shared" si="60"/>
        <v>0</v>
      </c>
      <c r="N1908" s="617">
        <f t="shared" si="61"/>
        <v>5</v>
      </c>
      <c r="O1908" s="617"/>
    </row>
    <row r="1909" spans="2:15" ht="15" x14ac:dyDescent="0.25">
      <c r="B1909" s="529">
        <v>1904001</v>
      </c>
      <c r="C1909" s="529">
        <v>1905</v>
      </c>
      <c r="E1909" s="534">
        <v>0</v>
      </c>
      <c r="F1909" s="534">
        <v>0</v>
      </c>
      <c r="G1909" s="534">
        <v>5</v>
      </c>
      <c r="I1909" s="534">
        <v>0</v>
      </c>
      <c r="J1909" s="534">
        <v>0</v>
      </c>
      <c r="K1909" s="534">
        <v>0</v>
      </c>
      <c r="M1909" s="617">
        <f t="shared" si="60"/>
        <v>0</v>
      </c>
      <c r="N1909" s="617">
        <f t="shared" si="61"/>
        <v>5</v>
      </c>
      <c r="O1909" s="617"/>
    </row>
    <row r="1910" spans="2:15" ht="15" x14ac:dyDescent="0.25">
      <c r="B1910" s="529">
        <v>1905001</v>
      </c>
      <c r="C1910" s="529">
        <v>1906</v>
      </c>
      <c r="E1910" s="534">
        <v>0</v>
      </c>
      <c r="F1910" s="534">
        <v>0</v>
      </c>
      <c r="G1910" s="534">
        <v>5</v>
      </c>
      <c r="I1910" s="534">
        <v>0</v>
      </c>
      <c r="J1910" s="534">
        <v>0</v>
      </c>
      <c r="K1910" s="534">
        <v>0</v>
      </c>
      <c r="M1910" s="617">
        <f t="shared" si="60"/>
        <v>0</v>
      </c>
      <c r="N1910" s="617">
        <f t="shared" si="61"/>
        <v>5</v>
      </c>
      <c r="O1910" s="617"/>
    </row>
    <row r="1911" spans="2:15" ht="15" x14ac:dyDescent="0.25">
      <c r="B1911" s="529">
        <v>1906001</v>
      </c>
      <c r="C1911" s="529">
        <v>1907</v>
      </c>
      <c r="E1911" s="534">
        <v>0</v>
      </c>
      <c r="F1911" s="534">
        <v>0</v>
      </c>
      <c r="G1911" s="534">
        <v>5</v>
      </c>
      <c r="I1911" s="534">
        <v>0</v>
      </c>
      <c r="J1911" s="534">
        <v>0</v>
      </c>
      <c r="K1911" s="534">
        <v>0</v>
      </c>
      <c r="M1911" s="617">
        <f t="shared" si="60"/>
        <v>0</v>
      </c>
      <c r="N1911" s="617">
        <f t="shared" si="61"/>
        <v>5</v>
      </c>
      <c r="O1911" s="617"/>
    </row>
    <row r="1912" spans="2:15" ht="15" x14ac:dyDescent="0.25">
      <c r="B1912" s="529">
        <v>1907001</v>
      </c>
      <c r="C1912" s="529">
        <v>1908</v>
      </c>
      <c r="E1912" s="534">
        <v>0</v>
      </c>
      <c r="F1912" s="534">
        <v>0</v>
      </c>
      <c r="G1912" s="534">
        <v>5</v>
      </c>
      <c r="I1912" s="534">
        <v>0</v>
      </c>
      <c r="J1912" s="534">
        <v>0</v>
      </c>
      <c r="K1912" s="534">
        <v>0</v>
      </c>
      <c r="M1912" s="617">
        <f t="shared" si="60"/>
        <v>0</v>
      </c>
      <c r="N1912" s="617">
        <f t="shared" si="61"/>
        <v>5</v>
      </c>
      <c r="O1912" s="617"/>
    </row>
    <row r="1913" spans="2:15" ht="15" x14ac:dyDescent="0.25">
      <c r="B1913" s="529">
        <v>1908001</v>
      </c>
      <c r="C1913" s="529">
        <v>1909</v>
      </c>
      <c r="E1913" s="534">
        <v>0</v>
      </c>
      <c r="F1913" s="534">
        <v>0</v>
      </c>
      <c r="G1913" s="534">
        <v>5</v>
      </c>
      <c r="I1913" s="534">
        <v>0</v>
      </c>
      <c r="J1913" s="534">
        <v>0</v>
      </c>
      <c r="K1913" s="534">
        <v>0</v>
      </c>
      <c r="M1913" s="617">
        <f t="shared" si="60"/>
        <v>0</v>
      </c>
      <c r="N1913" s="617">
        <f t="shared" si="61"/>
        <v>5</v>
      </c>
      <c r="O1913" s="617"/>
    </row>
    <row r="1914" spans="2:15" ht="15" x14ac:dyDescent="0.25">
      <c r="B1914" s="529">
        <v>1909001</v>
      </c>
      <c r="C1914" s="529">
        <v>1910</v>
      </c>
      <c r="E1914" s="534">
        <v>0</v>
      </c>
      <c r="F1914" s="534">
        <v>0</v>
      </c>
      <c r="G1914" s="534">
        <v>5</v>
      </c>
      <c r="I1914" s="534">
        <v>0</v>
      </c>
      <c r="J1914" s="534">
        <v>0</v>
      </c>
      <c r="K1914" s="534">
        <v>0</v>
      </c>
      <c r="M1914" s="617">
        <f t="shared" si="60"/>
        <v>0</v>
      </c>
      <c r="N1914" s="617">
        <f t="shared" si="61"/>
        <v>5</v>
      </c>
      <c r="O1914" s="617"/>
    </row>
    <row r="1915" spans="2:15" ht="15" x14ac:dyDescent="0.25">
      <c r="B1915" s="529">
        <v>1910001</v>
      </c>
      <c r="C1915" s="529">
        <v>1911</v>
      </c>
      <c r="E1915" s="534">
        <v>0</v>
      </c>
      <c r="F1915" s="534">
        <v>0</v>
      </c>
      <c r="G1915" s="534">
        <v>5</v>
      </c>
      <c r="I1915" s="534">
        <v>0</v>
      </c>
      <c r="J1915" s="534">
        <v>0</v>
      </c>
      <c r="K1915" s="534">
        <v>0</v>
      </c>
      <c r="M1915" s="617">
        <f t="shared" si="60"/>
        <v>0</v>
      </c>
      <c r="N1915" s="617">
        <f t="shared" si="61"/>
        <v>5</v>
      </c>
      <c r="O1915" s="617"/>
    </row>
    <row r="1916" spans="2:15" ht="15" x14ac:dyDescent="0.25">
      <c r="B1916" s="529">
        <v>1911001</v>
      </c>
      <c r="C1916" s="529">
        <v>1912</v>
      </c>
      <c r="E1916" s="534">
        <v>0</v>
      </c>
      <c r="F1916" s="534">
        <v>0</v>
      </c>
      <c r="G1916" s="534">
        <v>5</v>
      </c>
      <c r="I1916" s="534">
        <v>0</v>
      </c>
      <c r="J1916" s="534">
        <v>0</v>
      </c>
      <c r="K1916" s="534">
        <v>0</v>
      </c>
      <c r="M1916" s="617">
        <f t="shared" si="60"/>
        <v>0</v>
      </c>
      <c r="N1916" s="617">
        <f t="shared" si="61"/>
        <v>5</v>
      </c>
      <c r="O1916" s="617"/>
    </row>
    <row r="1917" spans="2:15" ht="15" x14ac:dyDescent="0.25">
      <c r="B1917" s="529">
        <v>1912001</v>
      </c>
      <c r="C1917" s="529">
        <v>1913</v>
      </c>
      <c r="E1917" s="534">
        <v>0</v>
      </c>
      <c r="F1917" s="534">
        <v>0</v>
      </c>
      <c r="G1917" s="534">
        <v>5</v>
      </c>
      <c r="I1917" s="534">
        <v>0</v>
      </c>
      <c r="J1917" s="534">
        <v>0</v>
      </c>
      <c r="K1917" s="534">
        <v>0</v>
      </c>
      <c r="M1917" s="617">
        <f t="shared" si="60"/>
        <v>0</v>
      </c>
      <c r="N1917" s="617">
        <f t="shared" si="61"/>
        <v>5</v>
      </c>
      <c r="O1917" s="617"/>
    </row>
    <row r="1918" spans="2:15" ht="15" x14ac:dyDescent="0.25">
      <c r="B1918" s="529">
        <v>1913001</v>
      </c>
      <c r="C1918" s="529">
        <v>1914</v>
      </c>
      <c r="E1918" s="534">
        <v>0</v>
      </c>
      <c r="F1918" s="534">
        <v>0</v>
      </c>
      <c r="G1918" s="534">
        <v>5</v>
      </c>
      <c r="I1918" s="534">
        <v>0</v>
      </c>
      <c r="J1918" s="534">
        <v>0</v>
      </c>
      <c r="K1918" s="534">
        <v>0</v>
      </c>
      <c r="M1918" s="617">
        <f t="shared" si="60"/>
        <v>0</v>
      </c>
      <c r="N1918" s="617">
        <f t="shared" si="61"/>
        <v>5</v>
      </c>
      <c r="O1918" s="617"/>
    </row>
    <row r="1919" spans="2:15" ht="15" x14ac:dyDescent="0.25">
      <c r="B1919" s="529">
        <v>1914001</v>
      </c>
      <c r="C1919" s="529">
        <v>1915</v>
      </c>
      <c r="E1919" s="534">
        <v>0</v>
      </c>
      <c r="F1919" s="534">
        <v>0</v>
      </c>
      <c r="G1919" s="534">
        <v>5</v>
      </c>
      <c r="I1919" s="534">
        <v>0</v>
      </c>
      <c r="J1919" s="534">
        <v>0</v>
      </c>
      <c r="K1919" s="534">
        <v>0</v>
      </c>
      <c r="M1919" s="617">
        <f t="shared" si="60"/>
        <v>0</v>
      </c>
      <c r="N1919" s="617">
        <f t="shared" si="61"/>
        <v>5</v>
      </c>
      <c r="O1919" s="617"/>
    </row>
    <row r="1920" spans="2:15" ht="15" x14ac:dyDescent="0.25">
      <c r="B1920" s="529">
        <v>1915001</v>
      </c>
      <c r="C1920" s="529">
        <v>1916</v>
      </c>
      <c r="E1920" s="534">
        <v>0</v>
      </c>
      <c r="F1920" s="534">
        <v>0</v>
      </c>
      <c r="G1920" s="534">
        <v>5</v>
      </c>
      <c r="I1920" s="534">
        <v>0</v>
      </c>
      <c r="J1920" s="534">
        <v>0</v>
      </c>
      <c r="K1920" s="534">
        <v>0</v>
      </c>
      <c r="M1920" s="617">
        <f t="shared" si="60"/>
        <v>0</v>
      </c>
      <c r="N1920" s="617">
        <f t="shared" si="61"/>
        <v>5</v>
      </c>
      <c r="O1920" s="617"/>
    </row>
    <row r="1921" spans="2:15" ht="15" x14ac:dyDescent="0.25">
      <c r="B1921" s="529">
        <v>1916001</v>
      </c>
      <c r="C1921" s="529">
        <v>1917</v>
      </c>
      <c r="E1921" s="534">
        <v>0</v>
      </c>
      <c r="F1921" s="534">
        <v>0</v>
      </c>
      <c r="G1921" s="534">
        <v>5</v>
      </c>
      <c r="I1921" s="534">
        <v>0</v>
      </c>
      <c r="J1921" s="534">
        <v>0</v>
      </c>
      <c r="K1921" s="534">
        <v>0</v>
      </c>
      <c r="M1921" s="617">
        <f t="shared" si="60"/>
        <v>0</v>
      </c>
      <c r="N1921" s="617">
        <f t="shared" si="61"/>
        <v>5</v>
      </c>
      <c r="O1921" s="617"/>
    </row>
    <row r="1922" spans="2:15" ht="15" x14ac:dyDescent="0.25">
      <c r="B1922" s="529">
        <v>1917001</v>
      </c>
      <c r="C1922" s="529">
        <v>1918</v>
      </c>
      <c r="E1922" s="534">
        <v>0</v>
      </c>
      <c r="F1922" s="534">
        <v>0</v>
      </c>
      <c r="G1922" s="534">
        <v>5</v>
      </c>
      <c r="I1922" s="534">
        <v>0</v>
      </c>
      <c r="J1922" s="534">
        <v>0</v>
      </c>
      <c r="K1922" s="534">
        <v>0</v>
      </c>
      <c r="M1922" s="617">
        <f t="shared" si="60"/>
        <v>0</v>
      </c>
      <c r="N1922" s="617">
        <f t="shared" si="61"/>
        <v>5</v>
      </c>
      <c r="O1922" s="617"/>
    </row>
    <row r="1923" spans="2:15" ht="15" x14ac:dyDescent="0.25">
      <c r="B1923" s="529">
        <v>1918001</v>
      </c>
      <c r="C1923" s="529">
        <v>1919</v>
      </c>
      <c r="E1923" s="534">
        <v>0</v>
      </c>
      <c r="F1923" s="534">
        <v>0</v>
      </c>
      <c r="G1923" s="534">
        <v>5</v>
      </c>
      <c r="I1923" s="534">
        <v>0</v>
      </c>
      <c r="J1923" s="534">
        <v>0</v>
      </c>
      <c r="K1923" s="534">
        <v>0</v>
      </c>
      <c r="M1923" s="617">
        <f t="shared" si="60"/>
        <v>0</v>
      </c>
      <c r="N1923" s="617">
        <f t="shared" si="61"/>
        <v>5</v>
      </c>
      <c r="O1923" s="617"/>
    </row>
    <row r="1924" spans="2:15" ht="15" x14ac:dyDescent="0.25">
      <c r="B1924" s="529">
        <v>1919001</v>
      </c>
      <c r="C1924" s="529">
        <v>1920</v>
      </c>
      <c r="E1924" s="534">
        <v>0</v>
      </c>
      <c r="F1924" s="534">
        <v>0</v>
      </c>
      <c r="G1924" s="534">
        <v>5</v>
      </c>
      <c r="I1924" s="534">
        <v>0</v>
      </c>
      <c r="J1924" s="534">
        <v>0</v>
      </c>
      <c r="K1924" s="534">
        <v>0</v>
      </c>
      <c r="M1924" s="617">
        <f t="shared" si="60"/>
        <v>0</v>
      </c>
      <c r="N1924" s="617">
        <f t="shared" si="61"/>
        <v>5</v>
      </c>
      <c r="O1924" s="617"/>
    </row>
    <row r="1925" spans="2:15" ht="15" x14ac:dyDescent="0.25">
      <c r="B1925" s="529">
        <v>1920001</v>
      </c>
      <c r="C1925" s="529">
        <v>1921</v>
      </c>
      <c r="E1925" s="534">
        <v>0</v>
      </c>
      <c r="F1925" s="534">
        <v>0</v>
      </c>
      <c r="G1925" s="534">
        <v>5</v>
      </c>
      <c r="I1925" s="534">
        <v>0</v>
      </c>
      <c r="J1925" s="534">
        <v>0</v>
      </c>
      <c r="K1925" s="534">
        <v>0</v>
      </c>
      <c r="M1925" s="617">
        <f t="shared" ref="M1925:M1988" si="62">I1925+E1925</f>
        <v>0</v>
      </c>
      <c r="N1925" s="617">
        <f t="shared" ref="N1925:N1988" si="63">K1925+G1925</f>
        <v>5</v>
      </c>
      <c r="O1925" s="617"/>
    </row>
    <row r="1926" spans="2:15" ht="15" x14ac:dyDescent="0.25">
      <c r="B1926" s="529">
        <v>1921001</v>
      </c>
      <c r="C1926" s="529">
        <v>1922</v>
      </c>
      <c r="E1926" s="534">
        <v>0</v>
      </c>
      <c r="F1926" s="534">
        <v>0</v>
      </c>
      <c r="G1926" s="534">
        <v>5</v>
      </c>
      <c r="I1926" s="534">
        <v>0</v>
      </c>
      <c r="J1926" s="534">
        <v>0</v>
      </c>
      <c r="K1926" s="534">
        <v>0</v>
      </c>
      <c r="M1926" s="617">
        <f t="shared" si="62"/>
        <v>0</v>
      </c>
      <c r="N1926" s="617">
        <f t="shared" si="63"/>
        <v>5</v>
      </c>
      <c r="O1926" s="617"/>
    </row>
    <row r="1927" spans="2:15" ht="15" x14ac:dyDescent="0.25">
      <c r="B1927" s="529">
        <v>1922001</v>
      </c>
      <c r="C1927" s="529">
        <v>1923</v>
      </c>
      <c r="E1927" s="534">
        <v>0</v>
      </c>
      <c r="F1927" s="534">
        <v>0</v>
      </c>
      <c r="G1927" s="534">
        <v>5</v>
      </c>
      <c r="I1927" s="534">
        <v>0</v>
      </c>
      <c r="J1927" s="534">
        <v>0</v>
      </c>
      <c r="K1927" s="534">
        <v>0</v>
      </c>
      <c r="M1927" s="617">
        <f t="shared" si="62"/>
        <v>0</v>
      </c>
      <c r="N1927" s="617">
        <f t="shared" si="63"/>
        <v>5</v>
      </c>
      <c r="O1927" s="617"/>
    </row>
    <row r="1928" spans="2:15" ht="15" x14ac:dyDescent="0.25">
      <c r="B1928" s="529">
        <v>1923001</v>
      </c>
      <c r="C1928" s="529">
        <v>1924</v>
      </c>
      <c r="E1928" s="534">
        <v>0</v>
      </c>
      <c r="F1928" s="534">
        <v>0</v>
      </c>
      <c r="G1928" s="534">
        <v>5</v>
      </c>
      <c r="I1928" s="534">
        <v>0</v>
      </c>
      <c r="J1928" s="534">
        <v>0</v>
      </c>
      <c r="K1928" s="534">
        <v>0</v>
      </c>
      <c r="M1928" s="617">
        <f t="shared" si="62"/>
        <v>0</v>
      </c>
      <c r="N1928" s="617">
        <f t="shared" si="63"/>
        <v>5</v>
      </c>
      <c r="O1928" s="617"/>
    </row>
    <row r="1929" spans="2:15" ht="15" x14ac:dyDescent="0.25">
      <c r="B1929" s="529">
        <v>1924001</v>
      </c>
      <c r="C1929" s="529">
        <v>1925</v>
      </c>
      <c r="E1929" s="534">
        <v>0</v>
      </c>
      <c r="F1929" s="534">
        <v>0</v>
      </c>
      <c r="G1929" s="534">
        <v>5</v>
      </c>
      <c r="I1929" s="534">
        <v>0</v>
      </c>
      <c r="J1929" s="534">
        <v>0</v>
      </c>
      <c r="K1929" s="534">
        <v>0</v>
      </c>
      <c r="M1929" s="617">
        <f t="shared" si="62"/>
        <v>0</v>
      </c>
      <c r="N1929" s="617">
        <f t="shared" si="63"/>
        <v>5</v>
      </c>
      <c r="O1929" s="617"/>
    </row>
    <row r="1930" spans="2:15" ht="15" x14ac:dyDescent="0.25">
      <c r="B1930" s="529">
        <v>1925001</v>
      </c>
      <c r="C1930" s="529">
        <v>1926</v>
      </c>
      <c r="E1930" s="534">
        <v>0</v>
      </c>
      <c r="F1930" s="534">
        <v>0</v>
      </c>
      <c r="G1930" s="534">
        <v>5</v>
      </c>
      <c r="I1930" s="534">
        <v>0</v>
      </c>
      <c r="J1930" s="534">
        <v>0</v>
      </c>
      <c r="K1930" s="534">
        <v>0</v>
      </c>
      <c r="M1930" s="617">
        <f t="shared" si="62"/>
        <v>0</v>
      </c>
      <c r="N1930" s="617">
        <f t="shared" si="63"/>
        <v>5</v>
      </c>
      <c r="O1930" s="617"/>
    </row>
    <row r="1931" spans="2:15" ht="15" x14ac:dyDescent="0.25">
      <c r="B1931" s="529">
        <v>1926001</v>
      </c>
      <c r="C1931" s="529">
        <v>1927</v>
      </c>
      <c r="E1931" s="534">
        <v>0</v>
      </c>
      <c r="F1931" s="534">
        <v>0</v>
      </c>
      <c r="G1931" s="534">
        <v>5</v>
      </c>
      <c r="I1931" s="534">
        <v>0</v>
      </c>
      <c r="J1931" s="534">
        <v>0</v>
      </c>
      <c r="K1931" s="534">
        <v>0</v>
      </c>
      <c r="M1931" s="617">
        <f t="shared" si="62"/>
        <v>0</v>
      </c>
      <c r="N1931" s="617">
        <f t="shared" si="63"/>
        <v>5</v>
      </c>
      <c r="O1931" s="617"/>
    </row>
    <row r="1932" spans="2:15" ht="15" x14ac:dyDescent="0.25">
      <c r="B1932" s="529">
        <v>1927001</v>
      </c>
      <c r="C1932" s="529">
        <v>1928</v>
      </c>
      <c r="E1932" s="534">
        <v>0</v>
      </c>
      <c r="F1932" s="534">
        <v>0</v>
      </c>
      <c r="G1932" s="534">
        <v>5</v>
      </c>
      <c r="I1932" s="534">
        <v>0</v>
      </c>
      <c r="J1932" s="534">
        <v>0</v>
      </c>
      <c r="K1932" s="534">
        <v>0</v>
      </c>
      <c r="M1932" s="617">
        <f t="shared" si="62"/>
        <v>0</v>
      </c>
      <c r="N1932" s="617">
        <f t="shared" si="63"/>
        <v>5</v>
      </c>
      <c r="O1932" s="617"/>
    </row>
    <row r="1933" spans="2:15" ht="15" x14ac:dyDescent="0.25">
      <c r="B1933" s="529">
        <v>1928001</v>
      </c>
      <c r="C1933" s="529">
        <v>1929</v>
      </c>
      <c r="E1933" s="534">
        <v>0</v>
      </c>
      <c r="F1933" s="534">
        <v>0</v>
      </c>
      <c r="G1933" s="534">
        <v>5</v>
      </c>
      <c r="I1933" s="534">
        <v>0</v>
      </c>
      <c r="J1933" s="534">
        <v>0</v>
      </c>
      <c r="K1933" s="534">
        <v>0</v>
      </c>
      <c r="M1933" s="617">
        <f t="shared" si="62"/>
        <v>0</v>
      </c>
      <c r="N1933" s="617">
        <f t="shared" si="63"/>
        <v>5</v>
      </c>
      <c r="O1933" s="617"/>
    </row>
    <row r="1934" spans="2:15" ht="15" x14ac:dyDescent="0.25">
      <c r="B1934" s="529">
        <v>1929001</v>
      </c>
      <c r="C1934" s="529">
        <v>1930</v>
      </c>
      <c r="E1934" s="534">
        <v>0</v>
      </c>
      <c r="F1934" s="534">
        <v>0</v>
      </c>
      <c r="G1934" s="534">
        <v>5</v>
      </c>
      <c r="I1934" s="534">
        <v>0</v>
      </c>
      <c r="J1934" s="534">
        <v>0</v>
      </c>
      <c r="K1934" s="534">
        <v>0</v>
      </c>
      <c r="M1934" s="617">
        <f t="shared" si="62"/>
        <v>0</v>
      </c>
      <c r="N1934" s="617">
        <f t="shared" si="63"/>
        <v>5</v>
      </c>
      <c r="O1934" s="617"/>
    </row>
    <row r="1935" spans="2:15" ht="15" x14ac:dyDescent="0.25">
      <c r="B1935" s="529">
        <v>1930001</v>
      </c>
      <c r="C1935" s="529">
        <v>1931</v>
      </c>
      <c r="E1935" s="534">
        <v>0</v>
      </c>
      <c r="F1935" s="534">
        <v>0</v>
      </c>
      <c r="G1935" s="534">
        <v>5</v>
      </c>
      <c r="I1935" s="534">
        <v>0</v>
      </c>
      <c r="J1935" s="534">
        <v>0</v>
      </c>
      <c r="K1935" s="534">
        <v>0</v>
      </c>
      <c r="M1935" s="617">
        <f t="shared" si="62"/>
        <v>0</v>
      </c>
      <c r="N1935" s="617">
        <f t="shared" si="63"/>
        <v>5</v>
      </c>
      <c r="O1935" s="617"/>
    </row>
    <row r="1936" spans="2:15" ht="15" x14ac:dyDescent="0.25">
      <c r="B1936" s="529">
        <v>1931001</v>
      </c>
      <c r="C1936" s="529">
        <v>1932</v>
      </c>
      <c r="E1936" s="534">
        <v>0</v>
      </c>
      <c r="F1936" s="534">
        <v>0</v>
      </c>
      <c r="G1936" s="534">
        <v>5</v>
      </c>
      <c r="I1936" s="534">
        <v>0</v>
      </c>
      <c r="J1936" s="534">
        <v>0</v>
      </c>
      <c r="K1936" s="534">
        <v>0</v>
      </c>
      <c r="M1936" s="617">
        <f t="shared" si="62"/>
        <v>0</v>
      </c>
      <c r="N1936" s="617">
        <f t="shared" si="63"/>
        <v>5</v>
      </c>
      <c r="O1936" s="617"/>
    </row>
    <row r="1937" spans="2:15" ht="15" x14ac:dyDescent="0.25">
      <c r="B1937" s="529">
        <v>1932001</v>
      </c>
      <c r="C1937" s="529">
        <v>1933</v>
      </c>
      <c r="E1937" s="534">
        <v>0</v>
      </c>
      <c r="F1937" s="534">
        <v>0</v>
      </c>
      <c r="G1937" s="534">
        <v>5</v>
      </c>
      <c r="I1937" s="534">
        <v>0</v>
      </c>
      <c r="J1937" s="534">
        <v>0</v>
      </c>
      <c r="K1937" s="534">
        <v>0</v>
      </c>
      <c r="M1937" s="617">
        <f t="shared" si="62"/>
        <v>0</v>
      </c>
      <c r="N1937" s="617">
        <f t="shared" si="63"/>
        <v>5</v>
      </c>
      <c r="O1937" s="617"/>
    </row>
    <row r="1938" spans="2:15" ht="15" x14ac:dyDescent="0.25">
      <c r="B1938" s="529">
        <v>1933001</v>
      </c>
      <c r="C1938" s="529">
        <v>1934</v>
      </c>
      <c r="E1938" s="534">
        <v>0</v>
      </c>
      <c r="F1938" s="534">
        <v>0</v>
      </c>
      <c r="G1938" s="534">
        <v>5</v>
      </c>
      <c r="I1938" s="534">
        <v>0</v>
      </c>
      <c r="J1938" s="534">
        <v>0</v>
      </c>
      <c r="K1938" s="534">
        <v>0</v>
      </c>
      <c r="M1938" s="617">
        <f t="shared" si="62"/>
        <v>0</v>
      </c>
      <c r="N1938" s="617">
        <f t="shared" si="63"/>
        <v>5</v>
      </c>
      <c r="O1938" s="617"/>
    </row>
    <row r="1939" spans="2:15" ht="15" x14ac:dyDescent="0.25">
      <c r="B1939" s="529">
        <v>1934001</v>
      </c>
      <c r="C1939" s="529">
        <v>1935</v>
      </c>
      <c r="E1939" s="534">
        <v>0</v>
      </c>
      <c r="F1939" s="534">
        <v>0</v>
      </c>
      <c r="G1939" s="534">
        <v>5</v>
      </c>
      <c r="I1939" s="534">
        <v>0</v>
      </c>
      <c r="J1939" s="534">
        <v>0</v>
      </c>
      <c r="K1939" s="534">
        <v>0</v>
      </c>
      <c r="M1939" s="617">
        <f t="shared" si="62"/>
        <v>0</v>
      </c>
      <c r="N1939" s="617">
        <f t="shared" si="63"/>
        <v>5</v>
      </c>
      <c r="O1939" s="617"/>
    </row>
    <row r="1940" spans="2:15" ht="15" x14ac:dyDescent="0.25">
      <c r="B1940" s="529">
        <v>1935001</v>
      </c>
      <c r="C1940" s="529">
        <v>1936</v>
      </c>
      <c r="E1940" s="534">
        <v>0</v>
      </c>
      <c r="F1940" s="534">
        <v>0</v>
      </c>
      <c r="G1940" s="534">
        <v>5</v>
      </c>
      <c r="I1940" s="534">
        <v>0</v>
      </c>
      <c r="J1940" s="534">
        <v>0</v>
      </c>
      <c r="K1940" s="534">
        <v>0</v>
      </c>
      <c r="M1940" s="617">
        <f t="shared" si="62"/>
        <v>0</v>
      </c>
      <c r="N1940" s="617">
        <f t="shared" si="63"/>
        <v>5</v>
      </c>
      <c r="O1940" s="617"/>
    </row>
    <row r="1941" spans="2:15" ht="15" x14ac:dyDescent="0.25">
      <c r="B1941" s="529">
        <v>1936001</v>
      </c>
      <c r="C1941" s="529">
        <v>1937</v>
      </c>
      <c r="E1941" s="534">
        <v>0</v>
      </c>
      <c r="F1941" s="534">
        <v>0</v>
      </c>
      <c r="G1941" s="534">
        <v>5</v>
      </c>
      <c r="I1941" s="534">
        <v>0</v>
      </c>
      <c r="J1941" s="534">
        <v>0</v>
      </c>
      <c r="K1941" s="534">
        <v>0</v>
      </c>
      <c r="M1941" s="617">
        <f t="shared" si="62"/>
        <v>0</v>
      </c>
      <c r="N1941" s="617">
        <f t="shared" si="63"/>
        <v>5</v>
      </c>
      <c r="O1941" s="617"/>
    </row>
    <row r="1942" spans="2:15" ht="15" x14ac:dyDescent="0.25">
      <c r="B1942" s="529">
        <v>1937001</v>
      </c>
      <c r="C1942" s="529">
        <v>1938</v>
      </c>
      <c r="E1942" s="534">
        <v>0</v>
      </c>
      <c r="F1942" s="534">
        <v>0</v>
      </c>
      <c r="G1942" s="534">
        <v>5</v>
      </c>
      <c r="I1942" s="534">
        <v>0</v>
      </c>
      <c r="J1942" s="534">
        <v>0</v>
      </c>
      <c r="K1942" s="534">
        <v>0</v>
      </c>
      <c r="M1942" s="617">
        <f t="shared" si="62"/>
        <v>0</v>
      </c>
      <c r="N1942" s="617">
        <f t="shared" si="63"/>
        <v>5</v>
      </c>
      <c r="O1942" s="617"/>
    </row>
    <row r="1943" spans="2:15" ht="15" x14ac:dyDescent="0.25">
      <c r="B1943" s="529">
        <v>1938001</v>
      </c>
      <c r="C1943" s="529">
        <v>1939</v>
      </c>
      <c r="E1943" s="534">
        <v>0</v>
      </c>
      <c r="F1943" s="534">
        <v>0</v>
      </c>
      <c r="G1943" s="534">
        <v>5</v>
      </c>
      <c r="I1943" s="534">
        <v>0</v>
      </c>
      <c r="J1943" s="534">
        <v>0</v>
      </c>
      <c r="K1943" s="534">
        <v>0</v>
      </c>
      <c r="M1943" s="617">
        <f t="shared" si="62"/>
        <v>0</v>
      </c>
      <c r="N1943" s="617">
        <f t="shared" si="63"/>
        <v>5</v>
      </c>
      <c r="O1943" s="617"/>
    </row>
    <row r="1944" spans="2:15" ht="15" x14ac:dyDescent="0.25">
      <c r="B1944" s="529">
        <v>1939001</v>
      </c>
      <c r="C1944" s="529">
        <v>1940</v>
      </c>
      <c r="E1944" s="534">
        <v>0</v>
      </c>
      <c r="F1944" s="534">
        <v>0</v>
      </c>
      <c r="G1944" s="534">
        <v>5</v>
      </c>
      <c r="I1944" s="534">
        <v>0</v>
      </c>
      <c r="J1944" s="534">
        <v>0</v>
      </c>
      <c r="K1944" s="534">
        <v>0</v>
      </c>
      <c r="M1944" s="617">
        <f t="shared" si="62"/>
        <v>0</v>
      </c>
      <c r="N1944" s="617">
        <f t="shared" si="63"/>
        <v>5</v>
      </c>
      <c r="O1944" s="617"/>
    </row>
    <row r="1945" spans="2:15" ht="15" x14ac:dyDescent="0.25">
      <c r="B1945" s="529">
        <v>1940001</v>
      </c>
      <c r="C1945" s="529">
        <v>1941</v>
      </c>
      <c r="E1945" s="534">
        <v>0</v>
      </c>
      <c r="F1945" s="534">
        <v>0</v>
      </c>
      <c r="G1945" s="534">
        <v>5</v>
      </c>
      <c r="I1945" s="534">
        <v>0</v>
      </c>
      <c r="J1945" s="534">
        <v>0</v>
      </c>
      <c r="K1945" s="534">
        <v>0</v>
      </c>
      <c r="M1945" s="617">
        <f t="shared" si="62"/>
        <v>0</v>
      </c>
      <c r="N1945" s="617">
        <f t="shared" si="63"/>
        <v>5</v>
      </c>
      <c r="O1945" s="617"/>
    </row>
    <row r="1946" spans="2:15" ht="15" x14ac:dyDescent="0.25">
      <c r="B1946" s="529">
        <v>1941001</v>
      </c>
      <c r="C1946" s="529">
        <v>1942</v>
      </c>
      <c r="E1946" s="534">
        <v>0</v>
      </c>
      <c r="F1946" s="534">
        <v>0</v>
      </c>
      <c r="G1946" s="534">
        <v>5</v>
      </c>
      <c r="I1946" s="534">
        <v>0</v>
      </c>
      <c r="J1946" s="534">
        <v>0</v>
      </c>
      <c r="K1946" s="534">
        <v>0</v>
      </c>
      <c r="M1946" s="617">
        <f t="shared" si="62"/>
        <v>0</v>
      </c>
      <c r="N1946" s="617">
        <f t="shared" si="63"/>
        <v>5</v>
      </c>
      <c r="O1946" s="617"/>
    </row>
    <row r="1947" spans="2:15" ht="15" x14ac:dyDescent="0.25">
      <c r="B1947" s="529">
        <v>1942001</v>
      </c>
      <c r="C1947" s="529">
        <v>1943</v>
      </c>
      <c r="E1947" s="534">
        <v>0</v>
      </c>
      <c r="F1947" s="534">
        <v>0</v>
      </c>
      <c r="G1947" s="534">
        <v>5</v>
      </c>
      <c r="I1947" s="534">
        <v>0</v>
      </c>
      <c r="J1947" s="534">
        <v>0</v>
      </c>
      <c r="K1947" s="534">
        <v>0</v>
      </c>
      <c r="M1947" s="617">
        <f t="shared" si="62"/>
        <v>0</v>
      </c>
      <c r="N1947" s="617">
        <f t="shared" si="63"/>
        <v>5</v>
      </c>
      <c r="O1947" s="617"/>
    </row>
    <row r="1948" spans="2:15" ht="15" x14ac:dyDescent="0.25">
      <c r="B1948" s="529">
        <v>1943001</v>
      </c>
      <c r="C1948" s="529">
        <v>1944</v>
      </c>
      <c r="E1948" s="534">
        <v>0</v>
      </c>
      <c r="F1948" s="534">
        <v>0</v>
      </c>
      <c r="G1948" s="534">
        <v>5</v>
      </c>
      <c r="I1948" s="534">
        <v>0</v>
      </c>
      <c r="J1948" s="534">
        <v>0</v>
      </c>
      <c r="K1948" s="534">
        <v>0</v>
      </c>
      <c r="M1948" s="617">
        <f t="shared" si="62"/>
        <v>0</v>
      </c>
      <c r="N1948" s="617">
        <f t="shared" si="63"/>
        <v>5</v>
      </c>
      <c r="O1948" s="617"/>
    </row>
    <row r="1949" spans="2:15" ht="15" x14ac:dyDescent="0.25">
      <c r="B1949" s="529">
        <v>1944001</v>
      </c>
      <c r="C1949" s="529">
        <v>1945</v>
      </c>
      <c r="E1949" s="534">
        <v>0</v>
      </c>
      <c r="F1949" s="534">
        <v>0</v>
      </c>
      <c r="G1949" s="534">
        <v>5</v>
      </c>
      <c r="I1949" s="534">
        <v>0</v>
      </c>
      <c r="J1949" s="534">
        <v>0</v>
      </c>
      <c r="K1949" s="534">
        <v>0</v>
      </c>
      <c r="M1949" s="617">
        <f t="shared" si="62"/>
        <v>0</v>
      </c>
      <c r="N1949" s="617">
        <f t="shared" si="63"/>
        <v>5</v>
      </c>
      <c r="O1949" s="617"/>
    </row>
    <row r="1950" spans="2:15" ht="15" x14ac:dyDescent="0.25">
      <c r="B1950" s="529">
        <v>1945001</v>
      </c>
      <c r="C1950" s="529">
        <v>1946</v>
      </c>
      <c r="E1950" s="534">
        <v>0</v>
      </c>
      <c r="F1950" s="534">
        <v>0</v>
      </c>
      <c r="G1950" s="534">
        <v>5</v>
      </c>
      <c r="I1950" s="534">
        <v>0</v>
      </c>
      <c r="J1950" s="534">
        <v>0</v>
      </c>
      <c r="K1950" s="534">
        <v>0</v>
      </c>
      <c r="M1950" s="617">
        <f t="shared" si="62"/>
        <v>0</v>
      </c>
      <c r="N1950" s="617">
        <f t="shared" si="63"/>
        <v>5</v>
      </c>
      <c r="O1950" s="617"/>
    </row>
    <row r="1951" spans="2:15" ht="15" x14ac:dyDescent="0.25">
      <c r="B1951" s="529">
        <v>1946001</v>
      </c>
      <c r="C1951" s="529">
        <v>1947</v>
      </c>
      <c r="E1951" s="534">
        <v>0</v>
      </c>
      <c r="F1951" s="534">
        <v>0</v>
      </c>
      <c r="G1951" s="534">
        <v>5</v>
      </c>
      <c r="I1951" s="534">
        <v>0</v>
      </c>
      <c r="J1951" s="534">
        <v>0</v>
      </c>
      <c r="K1951" s="534">
        <v>0</v>
      </c>
      <c r="M1951" s="617">
        <f t="shared" si="62"/>
        <v>0</v>
      </c>
      <c r="N1951" s="617">
        <f t="shared" si="63"/>
        <v>5</v>
      </c>
      <c r="O1951" s="617"/>
    </row>
    <row r="1952" spans="2:15" ht="15" x14ac:dyDescent="0.25">
      <c r="B1952" s="529">
        <v>1947001</v>
      </c>
      <c r="C1952" s="529">
        <v>1948</v>
      </c>
      <c r="E1952" s="534">
        <v>0</v>
      </c>
      <c r="F1952" s="534">
        <v>0</v>
      </c>
      <c r="G1952" s="534">
        <v>5</v>
      </c>
      <c r="I1952" s="534">
        <v>0</v>
      </c>
      <c r="J1952" s="534">
        <v>0</v>
      </c>
      <c r="K1952" s="534">
        <v>0</v>
      </c>
      <c r="M1952" s="617">
        <f t="shared" si="62"/>
        <v>0</v>
      </c>
      <c r="N1952" s="617">
        <f t="shared" si="63"/>
        <v>5</v>
      </c>
      <c r="O1952" s="617"/>
    </row>
    <row r="1953" spans="2:15" ht="15" x14ac:dyDescent="0.25">
      <c r="B1953" s="529">
        <v>1948001</v>
      </c>
      <c r="C1953" s="529">
        <v>1949</v>
      </c>
      <c r="E1953" s="534">
        <v>0</v>
      </c>
      <c r="F1953" s="534">
        <v>0</v>
      </c>
      <c r="G1953" s="534">
        <v>5</v>
      </c>
      <c r="I1953" s="534">
        <v>0</v>
      </c>
      <c r="J1953" s="534">
        <v>0</v>
      </c>
      <c r="K1953" s="534">
        <v>0</v>
      </c>
      <c r="M1953" s="617">
        <f t="shared" si="62"/>
        <v>0</v>
      </c>
      <c r="N1953" s="617">
        <f t="shared" si="63"/>
        <v>5</v>
      </c>
      <c r="O1953" s="617"/>
    </row>
    <row r="1954" spans="2:15" ht="15" x14ac:dyDescent="0.25">
      <c r="B1954" s="529">
        <v>1949001</v>
      </c>
      <c r="C1954" s="529">
        <v>1950</v>
      </c>
      <c r="E1954" s="534">
        <v>1</v>
      </c>
      <c r="F1954" s="534">
        <v>1950</v>
      </c>
      <c r="G1954" s="534">
        <v>5</v>
      </c>
      <c r="I1954" s="534">
        <v>0</v>
      </c>
      <c r="J1954" s="534">
        <v>0</v>
      </c>
      <c r="K1954" s="534">
        <v>0</v>
      </c>
      <c r="M1954" s="617">
        <f t="shared" si="62"/>
        <v>1</v>
      </c>
      <c r="N1954" s="617">
        <f t="shared" si="63"/>
        <v>5</v>
      </c>
      <c r="O1954" s="617"/>
    </row>
    <row r="1955" spans="2:15" ht="15" x14ac:dyDescent="0.25">
      <c r="B1955" s="529">
        <v>1950001</v>
      </c>
      <c r="C1955" s="529">
        <v>1951</v>
      </c>
      <c r="E1955" s="534">
        <v>0</v>
      </c>
      <c r="F1955" s="534">
        <v>0</v>
      </c>
      <c r="G1955" s="534">
        <v>4</v>
      </c>
      <c r="I1955" s="534">
        <v>0</v>
      </c>
      <c r="J1955" s="534">
        <v>0</v>
      </c>
      <c r="K1955" s="534">
        <v>0</v>
      </c>
      <c r="M1955" s="617">
        <f t="shared" si="62"/>
        <v>0</v>
      </c>
      <c r="N1955" s="617">
        <f t="shared" si="63"/>
        <v>4</v>
      </c>
      <c r="O1955" s="617"/>
    </row>
    <row r="1956" spans="2:15" ht="15" x14ac:dyDescent="0.25">
      <c r="B1956" s="529">
        <v>1951001</v>
      </c>
      <c r="C1956" s="529">
        <v>1952</v>
      </c>
      <c r="E1956" s="534">
        <v>0</v>
      </c>
      <c r="F1956" s="534">
        <v>0</v>
      </c>
      <c r="G1956" s="534">
        <v>4</v>
      </c>
      <c r="I1956" s="534">
        <v>0</v>
      </c>
      <c r="J1956" s="534">
        <v>0</v>
      </c>
      <c r="K1956" s="534">
        <v>0</v>
      </c>
      <c r="M1956" s="617">
        <f t="shared" si="62"/>
        <v>0</v>
      </c>
      <c r="N1956" s="617">
        <f t="shared" si="63"/>
        <v>4</v>
      </c>
      <c r="O1956" s="617"/>
    </row>
    <row r="1957" spans="2:15" ht="15" x14ac:dyDescent="0.25">
      <c r="B1957" s="529">
        <v>1952001</v>
      </c>
      <c r="C1957" s="529">
        <v>1953</v>
      </c>
      <c r="E1957" s="534">
        <v>0</v>
      </c>
      <c r="F1957" s="534">
        <v>0</v>
      </c>
      <c r="G1957" s="534">
        <v>4</v>
      </c>
      <c r="I1957" s="534">
        <v>0</v>
      </c>
      <c r="J1957" s="534">
        <v>0</v>
      </c>
      <c r="K1957" s="534">
        <v>0</v>
      </c>
      <c r="M1957" s="617">
        <f t="shared" si="62"/>
        <v>0</v>
      </c>
      <c r="N1957" s="617">
        <f t="shared" si="63"/>
        <v>4</v>
      </c>
      <c r="O1957" s="617"/>
    </row>
    <row r="1958" spans="2:15" ht="15" x14ac:dyDescent="0.25">
      <c r="B1958" s="529">
        <v>1953001</v>
      </c>
      <c r="C1958" s="529">
        <v>1954</v>
      </c>
      <c r="E1958" s="534">
        <v>0</v>
      </c>
      <c r="F1958" s="534">
        <v>0</v>
      </c>
      <c r="G1958" s="534">
        <v>4</v>
      </c>
      <c r="I1958" s="534">
        <v>0</v>
      </c>
      <c r="J1958" s="534">
        <v>0</v>
      </c>
      <c r="K1958" s="534">
        <v>0</v>
      </c>
      <c r="M1958" s="617">
        <f t="shared" si="62"/>
        <v>0</v>
      </c>
      <c r="N1958" s="617">
        <f t="shared" si="63"/>
        <v>4</v>
      </c>
      <c r="O1958" s="617"/>
    </row>
    <row r="1959" spans="2:15" ht="15" x14ac:dyDescent="0.25">
      <c r="B1959" s="529">
        <v>1954001</v>
      </c>
      <c r="C1959" s="529">
        <v>1955</v>
      </c>
      <c r="E1959" s="534">
        <v>0</v>
      </c>
      <c r="F1959" s="534">
        <v>0</v>
      </c>
      <c r="G1959" s="534">
        <v>4</v>
      </c>
      <c r="I1959" s="534">
        <v>0</v>
      </c>
      <c r="J1959" s="534">
        <v>0</v>
      </c>
      <c r="K1959" s="534">
        <v>0</v>
      </c>
      <c r="M1959" s="617">
        <f t="shared" si="62"/>
        <v>0</v>
      </c>
      <c r="N1959" s="617">
        <f t="shared" si="63"/>
        <v>4</v>
      </c>
      <c r="O1959" s="617"/>
    </row>
    <row r="1960" spans="2:15" ht="15" x14ac:dyDescent="0.25">
      <c r="B1960" s="529">
        <v>1955001</v>
      </c>
      <c r="C1960" s="529">
        <v>1956</v>
      </c>
      <c r="E1960" s="534">
        <v>0</v>
      </c>
      <c r="F1960" s="534">
        <v>0</v>
      </c>
      <c r="G1960" s="534">
        <v>4</v>
      </c>
      <c r="I1960" s="534">
        <v>0</v>
      </c>
      <c r="J1960" s="534">
        <v>0</v>
      </c>
      <c r="K1960" s="534">
        <v>0</v>
      </c>
      <c r="M1960" s="617">
        <f t="shared" si="62"/>
        <v>0</v>
      </c>
      <c r="N1960" s="617">
        <f t="shared" si="63"/>
        <v>4</v>
      </c>
      <c r="O1960" s="617"/>
    </row>
    <row r="1961" spans="2:15" ht="15" x14ac:dyDescent="0.25">
      <c r="B1961" s="529">
        <v>1956001</v>
      </c>
      <c r="C1961" s="529">
        <v>1957</v>
      </c>
      <c r="E1961" s="534">
        <v>0</v>
      </c>
      <c r="F1961" s="534">
        <v>0</v>
      </c>
      <c r="G1961" s="534">
        <v>4</v>
      </c>
      <c r="I1961" s="534">
        <v>0</v>
      </c>
      <c r="J1961" s="534">
        <v>0</v>
      </c>
      <c r="K1961" s="534">
        <v>0</v>
      </c>
      <c r="M1961" s="617">
        <f t="shared" si="62"/>
        <v>0</v>
      </c>
      <c r="N1961" s="617">
        <f t="shared" si="63"/>
        <v>4</v>
      </c>
      <c r="O1961" s="617"/>
    </row>
    <row r="1962" spans="2:15" ht="15" x14ac:dyDescent="0.25">
      <c r="B1962" s="529">
        <v>1957001</v>
      </c>
      <c r="C1962" s="529">
        <v>1958</v>
      </c>
      <c r="E1962" s="534">
        <v>0</v>
      </c>
      <c r="F1962" s="534">
        <v>0</v>
      </c>
      <c r="G1962" s="534">
        <v>4</v>
      </c>
      <c r="I1962" s="534">
        <v>0</v>
      </c>
      <c r="J1962" s="534">
        <v>0</v>
      </c>
      <c r="K1962" s="534">
        <v>0</v>
      </c>
      <c r="M1962" s="617">
        <f t="shared" si="62"/>
        <v>0</v>
      </c>
      <c r="N1962" s="617">
        <f t="shared" si="63"/>
        <v>4</v>
      </c>
      <c r="O1962" s="617"/>
    </row>
    <row r="1963" spans="2:15" ht="15" x14ac:dyDescent="0.25">
      <c r="B1963" s="529">
        <v>1958001</v>
      </c>
      <c r="C1963" s="529">
        <v>1959</v>
      </c>
      <c r="E1963" s="534">
        <v>0</v>
      </c>
      <c r="F1963" s="534">
        <v>0</v>
      </c>
      <c r="G1963" s="534">
        <v>4</v>
      </c>
      <c r="I1963" s="534">
        <v>0</v>
      </c>
      <c r="J1963" s="534">
        <v>0</v>
      </c>
      <c r="K1963" s="534">
        <v>0</v>
      </c>
      <c r="M1963" s="617">
        <f t="shared" si="62"/>
        <v>0</v>
      </c>
      <c r="N1963" s="617">
        <f t="shared" si="63"/>
        <v>4</v>
      </c>
      <c r="O1963" s="617"/>
    </row>
    <row r="1964" spans="2:15" ht="15" x14ac:dyDescent="0.25">
      <c r="B1964" s="529">
        <v>1959001</v>
      </c>
      <c r="C1964" s="529">
        <v>1960</v>
      </c>
      <c r="E1964" s="534">
        <v>0</v>
      </c>
      <c r="F1964" s="534">
        <v>0</v>
      </c>
      <c r="G1964" s="534">
        <v>4</v>
      </c>
      <c r="I1964" s="534">
        <v>0</v>
      </c>
      <c r="J1964" s="534">
        <v>0</v>
      </c>
      <c r="K1964" s="534">
        <v>0</v>
      </c>
      <c r="M1964" s="617">
        <f t="shared" si="62"/>
        <v>0</v>
      </c>
      <c r="N1964" s="617">
        <f t="shared" si="63"/>
        <v>4</v>
      </c>
      <c r="O1964" s="617"/>
    </row>
    <row r="1965" spans="2:15" ht="15" x14ac:dyDescent="0.25">
      <c r="B1965" s="529">
        <v>1960001</v>
      </c>
      <c r="C1965" s="529">
        <v>1961</v>
      </c>
      <c r="E1965" s="534">
        <v>0</v>
      </c>
      <c r="F1965" s="534">
        <v>0</v>
      </c>
      <c r="G1965" s="534">
        <v>4</v>
      </c>
      <c r="I1965" s="534">
        <v>0</v>
      </c>
      <c r="J1965" s="534">
        <v>0</v>
      </c>
      <c r="K1965" s="534">
        <v>0</v>
      </c>
      <c r="M1965" s="617">
        <f t="shared" si="62"/>
        <v>0</v>
      </c>
      <c r="N1965" s="617">
        <f t="shared" si="63"/>
        <v>4</v>
      </c>
      <c r="O1965" s="617"/>
    </row>
    <row r="1966" spans="2:15" ht="15" x14ac:dyDescent="0.25">
      <c r="B1966" s="529">
        <v>1961001</v>
      </c>
      <c r="C1966" s="529">
        <v>1962</v>
      </c>
      <c r="E1966" s="534">
        <v>0</v>
      </c>
      <c r="F1966" s="534">
        <v>0</v>
      </c>
      <c r="G1966" s="534">
        <v>4</v>
      </c>
      <c r="I1966" s="534">
        <v>0</v>
      </c>
      <c r="J1966" s="534">
        <v>0</v>
      </c>
      <c r="K1966" s="534">
        <v>0</v>
      </c>
      <c r="M1966" s="617">
        <f t="shared" si="62"/>
        <v>0</v>
      </c>
      <c r="N1966" s="617">
        <f t="shared" si="63"/>
        <v>4</v>
      </c>
      <c r="O1966" s="617"/>
    </row>
    <row r="1967" spans="2:15" ht="15" x14ac:dyDescent="0.25">
      <c r="B1967" s="529">
        <v>1962001</v>
      </c>
      <c r="C1967" s="529">
        <v>1963</v>
      </c>
      <c r="E1967" s="534">
        <v>0</v>
      </c>
      <c r="F1967" s="534">
        <v>0</v>
      </c>
      <c r="G1967" s="534">
        <v>4</v>
      </c>
      <c r="I1967" s="534">
        <v>0</v>
      </c>
      <c r="J1967" s="534">
        <v>0</v>
      </c>
      <c r="K1967" s="534">
        <v>0</v>
      </c>
      <c r="M1967" s="617">
        <f t="shared" si="62"/>
        <v>0</v>
      </c>
      <c r="N1967" s="617">
        <f t="shared" si="63"/>
        <v>4</v>
      </c>
      <c r="O1967" s="617"/>
    </row>
    <row r="1968" spans="2:15" ht="15" x14ac:dyDescent="0.25">
      <c r="B1968" s="529">
        <v>1963001</v>
      </c>
      <c r="C1968" s="529">
        <v>1964</v>
      </c>
      <c r="E1968" s="534">
        <v>0</v>
      </c>
      <c r="F1968" s="534">
        <v>0</v>
      </c>
      <c r="G1968" s="534">
        <v>4</v>
      </c>
      <c r="I1968" s="534">
        <v>0</v>
      </c>
      <c r="J1968" s="534">
        <v>0</v>
      </c>
      <c r="K1968" s="534">
        <v>0</v>
      </c>
      <c r="M1968" s="617">
        <f t="shared" si="62"/>
        <v>0</v>
      </c>
      <c r="N1968" s="617">
        <f t="shared" si="63"/>
        <v>4</v>
      </c>
      <c r="O1968" s="617"/>
    </row>
    <row r="1969" spans="2:15" ht="15" x14ac:dyDescent="0.25">
      <c r="B1969" s="529">
        <v>1964001</v>
      </c>
      <c r="C1969" s="529">
        <v>1965</v>
      </c>
      <c r="E1969" s="534">
        <v>0</v>
      </c>
      <c r="F1969" s="534">
        <v>0</v>
      </c>
      <c r="G1969" s="534">
        <v>4</v>
      </c>
      <c r="I1969" s="534">
        <v>0</v>
      </c>
      <c r="J1969" s="534">
        <v>0</v>
      </c>
      <c r="K1969" s="534">
        <v>0</v>
      </c>
      <c r="M1969" s="617">
        <f t="shared" si="62"/>
        <v>0</v>
      </c>
      <c r="N1969" s="617">
        <f t="shared" si="63"/>
        <v>4</v>
      </c>
      <c r="O1969" s="617"/>
    </row>
    <row r="1970" spans="2:15" ht="15" x14ac:dyDescent="0.25">
      <c r="B1970" s="529">
        <v>1965001</v>
      </c>
      <c r="C1970" s="529">
        <v>1966</v>
      </c>
      <c r="E1970" s="534">
        <v>0</v>
      </c>
      <c r="F1970" s="534">
        <v>0</v>
      </c>
      <c r="G1970" s="534">
        <v>4</v>
      </c>
      <c r="I1970" s="534">
        <v>0</v>
      </c>
      <c r="J1970" s="534">
        <v>0</v>
      </c>
      <c r="K1970" s="534">
        <v>0</v>
      </c>
      <c r="M1970" s="617">
        <f t="shared" si="62"/>
        <v>0</v>
      </c>
      <c r="N1970" s="617">
        <f t="shared" si="63"/>
        <v>4</v>
      </c>
      <c r="O1970" s="617"/>
    </row>
    <row r="1971" spans="2:15" ht="15" x14ac:dyDescent="0.25">
      <c r="B1971" s="529">
        <v>1966001</v>
      </c>
      <c r="C1971" s="529">
        <v>1967</v>
      </c>
      <c r="E1971" s="534">
        <v>0</v>
      </c>
      <c r="F1971" s="534">
        <v>0</v>
      </c>
      <c r="G1971" s="534">
        <v>4</v>
      </c>
      <c r="I1971" s="534">
        <v>0</v>
      </c>
      <c r="J1971" s="534">
        <v>0</v>
      </c>
      <c r="K1971" s="534">
        <v>0</v>
      </c>
      <c r="M1971" s="617">
        <f t="shared" si="62"/>
        <v>0</v>
      </c>
      <c r="N1971" s="617">
        <f t="shared" si="63"/>
        <v>4</v>
      </c>
      <c r="O1971" s="617"/>
    </row>
    <row r="1972" spans="2:15" ht="15" x14ac:dyDescent="0.25">
      <c r="B1972" s="529">
        <v>1967001</v>
      </c>
      <c r="C1972" s="529">
        <v>1968</v>
      </c>
      <c r="E1972" s="534">
        <v>0</v>
      </c>
      <c r="F1972" s="534">
        <v>0</v>
      </c>
      <c r="G1972" s="534">
        <v>4</v>
      </c>
      <c r="I1972" s="534">
        <v>0</v>
      </c>
      <c r="J1972" s="534">
        <v>0</v>
      </c>
      <c r="K1972" s="534">
        <v>0</v>
      </c>
      <c r="M1972" s="617">
        <f t="shared" si="62"/>
        <v>0</v>
      </c>
      <c r="N1972" s="617">
        <f t="shared" si="63"/>
        <v>4</v>
      </c>
      <c r="O1972" s="617"/>
    </row>
    <row r="1973" spans="2:15" ht="15" x14ac:dyDescent="0.25">
      <c r="B1973" s="529">
        <v>1968001</v>
      </c>
      <c r="C1973" s="529">
        <v>1969</v>
      </c>
      <c r="E1973" s="534">
        <v>0</v>
      </c>
      <c r="F1973" s="534">
        <v>0</v>
      </c>
      <c r="G1973" s="534">
        <v>4</v>
      </c>
      <c r="I1973" s="534">
        <v>0</v>
      </c>
      <c r="J1973" s="534">
        <v>0</v>
      </c>
      <c r="K1973" s="534">
        <v>0</v>
      </c>
      <c r="M1973" s="617">
        <f t="shared" si="62"/>
        <v>0</v>
      </c>
      <c r="N1973" s="617">
        <f t="shared" si="63"/>
        <v>4</v>
      </c>
      <c r="O1973" s="617"/>
    </row>
    <row r="1974" spans="2:15" ht="15" x14ac:dyDescent="0.25">
      <c r="B1974" s="529">
        <v>1969001</v>
      </c>
      <c r="C1974" s="529">
        <v>1970</v>
      </c>
      <c r="E1974" s="534">
        <v>0</v>
      </c>
      <c r="F1974" s="534">
        <v>0</v>
      </c>
      <c r="G1974" s="534">
        <v>4</v>
      </c>
      <c r="I1974" s="534">
        <v>0</v>
      </c>
      <c r="J1974" s="534">
        <v>0</v>
      </c>
      <c r="K1974" s="534">
        <v>0</v>
      </c>
      <c r="M1974" s="617">
        <f t="shared" si="62"/>
        <v>0</v>
      </c>
      <c r="N1974" s="617">
        <f t="shared" si="63"/>
        <v>4</v>
      </c>
      <c r="O1974" s="617"/>
    </row>
    <row r="1975" spans="2:15" ht="15" x14ac:dyDescent="0.25">
      <c r="B1975" s="529">
        <v>1970001</v>
      </c>
      <c r="C1975" s="529">
        <v>1971</v>
      </c>
      <c r="E1975" s="534">
        <v>0</v>
      </c>
      <c r="F1975" s="534">
        <v>0</v>
      </c>
      <c r="G1975" s="534">
        <v>4</v>
      </c>
      <c r="I1975" s="534">
        <v>0</v>
      </c>
      <c r="J1975" s="534">
        <v>0</v>
      </c>
      <c r="K1975" s="534">
        <v>0</v>
      </c>
      <c r="M1975" s="617">
        <f t="shared" si="62"/>
        <v>0</v>
      </c>
      <c r="N1975" s="617">
        <f t="shared" si="63"/>
        <v>4</v>
      </c>
      <c r="O1975" s="617"/>
    </row>
    <row r="1976" spans="2:15" ht="15" x14ac:dyDescent="0.25">
      <c r="B1976" s="529">
        <v>1971001</v>
      </c>
      <c r="C1976" s="529">
        <v>1972</v>
      </c>
      <c r="E1976" s="534">
        <v>0</v>
      </c>
      <c r="F1976" s="534">
        <v>0</v>
      </c>
      <c r="G1976" s="534">
        <v>4</v>
      </c>
      <c r="I1976" s="534">
        <v>0</v>
      </c>
      <c r="J1976" s="534">
        <v>0</v>
      </c>
      <c r="K1976" s="534">
        <v>0</v>
      </c>
      <c r="M1976" s="617">
        <f t="shared" si="62"/>
        <v>0</v>
      </c>
      <c r="N1976" s="617">
        <f t="shared" si="63"/>
        <v>4</v>
      </c>
      <c r="O1976" s="617"/>
    </row>
    <row r="1977" spans="2:15" ht="15" x14ac:dyDescent="0.25">
      <c r="B1977" s="529">
        <v>1972001</v>
      </c>
      <c r="C1977" s="529">
        <v>1973</v>
      </c>
      <c r="E1977" s="534">
        <v>0</v>
      </c>
      <c r="F1977" s="534">
        <v>0</v>
      </c>
      <c r="G1977" s="534">
        <v>4</v>
      </c>
      <c r="I1977" s="534">
        <v>0</v>
      </c>
      <c r="J1977" s="534">
        <v>0</v>
      </c>
      <c r="K1977" s="534">
        <v>0</v>
      </c>
      <c r="M1977" s="617">
        <f t="shared" si="62"/>
        <v>0</v>
      </c>
      <c r="N1977" s="617">
        <f t="shared" si="63"/>
        <v>4</v>
      </c>
      <c r="O1977" s="617"/>
    </row>
    <row r="1978" spans="2:15" ht="15" x14ac:dyDescent="0.25">
      <c r="B1978" s="529">
        <v>1973001</v>
      </c>
      <c r="C1978" s="529">
        <v>1974</v>
      </c>
      <c r="E1978" s="534">
        <v>0</v>
      </c>
      <c r="F1978" s="534">
        <v>0</v>
      </c>
      <c r="G1978" s="534">
        <v>4</v>
      </c>
      <c r="I1978" s="534">
        <v>0</v>
      </c>
      <c r="J1978" s="534">
        <v>0</v>
      </c>
      <c r="K1978" s="534">
        <v>0</v>
      </c>
      <c r="M1978" s="617">
        <f t="shared" si="62"/>
        <v>0</v>
      </c>
      <c r="N1978" s="617">
        <f t="shared" si="63"/>
        <v>4</v>
      </c>
      <c r="O1978" s="617"/>
    </row>
    <row r="1979" spans="2:15" ht="15" x14ac:dyDescent="0.25">
      <c r="B1979" s="529">
        <v>1974001</v>
      </c>
      <c r="C1979" s="529">
        <v>1975</v>
      </c>
      <c r="E1979" s="534">
        <v>0</v>
      </c>
      <c r="F1979" s="534">
        <v>0</v>
      </c>
      <c r="G1979" s="534">
        <v>4</v>
      </c>
      <c r="I1979" s="534">
        <v>0</v>
      </c>
      <c r="J1979" s="534">
        <v>0</v>
      </c>
      <c r="K1979" s="534">
        <v>0</v>
      </c>
      <c r="M1979" s="617">
        <f t="shared" si="62"/>
        <v>0</v>
      </c>
      <c r="N1979" s="617">
        <f t="shared" si="63"/>
        <v>4</v>
      </c>
      <c r="O1979" s="617"/>
    </row>
    <row r="1980" spans="2:15" ht="15" x14ac:dyDescent="0.25">
      <c r="B1980" s="529">
        <v>1975001</v>
      </c>
      <c r="C1980" s="529">
        <v>1976</v>
      </c>
      <c r="E1980" s="534">
        <v>0</v>
      </c>
      <c r="F1980" s="534">
        <v>0</v>
      </c>
      <c r="G1980" s="534">
        <v>4</v>
      </c>
      <c r="I1980" s="534">
        <v>0</v>
      </c>
      <c r="J1980" s="534">
        <v>0</v>
      </c>
      <c r="K1980" s="534">
        <v>0</v>
      </c>
      <c r="M1980" s="617">
        <f t="shared" si="62"/>
        <v>0</v>
      </c>
      <c r="N1980" s="617">
        <f t="shared" si="63"/>
        <v>4</v>
      </c>
      <c r="O1980" s="617"/>
    </row>
    <row r="1981" spans="2:15" ht="15" x14ac:dyDescent="0.25">
      <c r="B1981" s="529">
        <v>1976001</v>
      </c>
      <c r="C1981" s="529">
        <v>1977</v>
      </c>
      <c r="E1981" s="534">
        <v>0</v>
      </c>
      <c r="F1981" s="534">
        <v>0</v>
      </c>
      <c r="G1981" s="534">
        <v>4</v>
      </c>
      <c r="I1981" s="534">
        <v>0</v>
      </c>
      <c r="J1981" s="534">
        <v>0</v>
      </c>
      <c r="K1981" s="534">
        <v>0</v>
      </c>
      <c r="M1981" s="617">
        <f t="shared" si="62"/>
        <v>0</v>
      </c>
      <c r="N1981" s="617">
        <f t="shared" si="63"/>
        <v>4</v>
      </c>
      <c r="O1981" s="617"/>
    </row>
    <row r="1982" spans="2:15" ht="15" x14ac:dyDescent="0.25">
      <c r="B1982" s="529">
        <v>1977001</v>
      </c>
      <c r="C1982" s="529">
        <v>1978</v>
      </c>
      <c r="E1982" s="534">
        <v>0</v>
      </c>
      <c r="F1982" s="534">
        <v>0</v>
      </c>
      <c r="G1982" s="534">
        <v>4</v>
      </c>
      <c r="I1982" s="534">
        <v>0</v>
      </c>
      <c r="J1982" s="534">
        <v>0</v>
      </c>
      <c r="K1982" s="534">
        <v>0</v>
      </c>
      <c r="M1982" s="617">
        <f t="shared" si="62"/>
        <v>0</v>
      </c>
      <c r="N1982" s="617">
        <f t="shared" si="63"/>
        <v>4</v>
      </c>
      <c r="O1982" s="617"/>
    </row>
    <row r="1983" spans="2:15" ht="15" x14ac:dyDescent="0.25">
      <c r="B1983" s="529">
        <v>1978001</v>
      </c>
      <c r="C1983" s="529">
        <v>1979</v>
      </c>
      <c r="E1983" s="534">
        <v>0</v>
      </c>
      <c r="F1983" s="534">
        <v>0</v>
      </c>
      <c r="G1983" s="534">
        <v>4</v>
      </c>
      <c r="I1983" s="534">
        <v>0</v>
      </c>
      <c r="J1983" s="534">
        <v>0</v>
      </c>
      <c r="K1983" s="534">
        <v>0</v>
      </c>
      <c r="M1983" s="617">
        <f t="shared" si="62"/>
        <v>0</v>
      </c>
      <c r="N1983" s="617">
        <f t="shared" si="63"/>
        <v>4</v>
      </c>
      <c r="O1983" s="617"/>
    </row>
    <row r="1984" spans="2:15" ht="15" x14ac:dyDescent="0.25">
      <c r="B1984" s="529">
        <v>1979001</v>
      </c>
      <c r="C1984" s="529">
        <v>1980</v>
      </c>
      <c r="E1984" s="534">
        <v>0</v>
      </c>
      <c r="F1984" s="534">
        <v>0</v>
      </c>
      <c r="G1984" s="534">
        <v>4</v>
      </c>
      <c r="I1984" s="534">
        <v>0</v>
      </c>
      <c r="J1984" s="534">
        <v>0</v>
      </c>
      <c r="K1984" s="534">
        <v>0</v>
      </c>
      <c r="M1984" s="617">
        <f t="shared" si="62"/>
        <v>0</v>
      </c>
      <c r="N1984" s="617">
        <f t="shared" si="63"/>
        <v>4</v>
      </c>
      <c r="O1984" s="617"/>
    </row>
    <row r="1985" spans="2:15" ht="15" x14ac:dyDescent="0.25">
      <c r="B1985" s="529">
        <v>1980001</v>
      </c>
      <c r="C1985" s="529">
        <v>1981</v>
      </c>
      <c r="E1985" s="534">
        <v>0</v>
      </c>
      <c r="F1985" s="534">
        <v>0</v>
      </c>
      <c r="G1985" s="534">
        <v>4</v>
      </c>
      <c r="I1985" s="534">
        <v>0</v>
      </c>
      <c r="J1985" s="534">
        <v>0</v>
      </c>
      <c r="K1985" s="534">
        <v>0</v>
      </c>
      <c r="M1985" s="617">
        <f t="shared" si="62"/>
        <v>0</v>
      </c>
      <c r="N1985" s="617">
        <f t="shared" si="63"/>
        <v>4</v>
      </c>
      <c r="O1985" s="617"/>
    </row>
    <row r="1986" spans="2:15" ht="15" x14ac:dyDescent="0.25">
      <c r="B1986" s="529">
        <v>1981001</v>
      </c>
      <c r="C1986" s="529">
        <v>1982</v>
      </c>
      <c r="E1986" s="534">
        <v>0</v>
      </c>
      <c r="F1986" s="534">
        <v>0</v>
      </c>
      <c r="G1986" s="534">
        <v>4</v>
      </c>
      <c r="I1986" s="534">
        <v>0</v>
      </c>
      <c r="J1986" s="534">
        <v>0</v>
      </c>
      <c r="K1986" s="534">
        <v>0</v>
      </c>
      <c r="M1986" s="617">
        <f t="shared" si="62"/>
        <v>0</v>
      </c>
      <c r="N1986" s="617">
        <f t="shared" si="63"/>
        <v>4</v>
      </c>
      <c r="O1986" s="617"/>
    </row>
    <row r="1987" spans="2:15" ht="15" x14ac:dyDescent="0.25">
      <c r="B1987" s="529">
        <v>1982001</v>
      </c>
      <c r="C1987" s="529">
        <v>1983</v>
      </c>
      <c r="E1987" s="534">
        <v>0</v>
      </c>
      <c r="F1987" s="534">
        <v>0</v>
      </c>
      <c r="G1987" s="534">
        <v>4</v>
      </c>
      <c r="I1987" s="534">
        <v>0</v>
      </c>
      <c r="J1987" s="534">
        <v>0</v>
      </c>
      <c r="K1987" s="534">
        <v>0</v>
      </c>
      <c r="M1987" s="617">
        <f t="shared" si="62"/>
        <v>0</v>
      </c>
      <c r="N1987" s="617">
        <f t="shared" si="63"/>
        <v>4</v>
      </c>
      <c r="O1987" s="617"/>
    </row>
    <row r="1988" spans="2:15" ht="15" x14ac:dyDescent="0.25">
      <c r="B1988" s="529">
        <v>1983001</v>
      </c>
      <c r="C1988" s="529">
        <v>1984</v>
      </c>
      <c r="E1988" s="534">
        <v>0</v>
      </c>
      <c r="F1988" s="534">
        <v>0</v>
      </c>
      <c r="G1988" s="534">
        <v>4</v>
      </c>
      <c r="I1988" s="534">
        <v>0</v>
      </c>
      <c r="J1988" s="534">
        <v>0</v>
      </c>
      <c r="K1988" s="534">
        <v>0</v>
      </c>
      <c r="M1988" s="617">
        <f t="shared" si="62"/>
        <v>0</v>
      </c>
      <c r="N1988" s="617">
        <f t="shared" si="63"/>
        <v>4</v>
      </c>
      <c r="O1988" s="617"/>
    </row>
    <row r="1989" spans="2:15" ht="15" x14ac:dyDescent="0.25">
      <c r="B1989" s="529">
        <v>1984001</v>
      </c>
      <c r="C1989" s="529">
        <v>1985</v>
      </c>
      <c r="E1989" s="534">
        <v>0</v>
      </c>
      <c r="F1989" s="534">
        <v>0</v>
      </c>
      <c r="G1989" s="534">
        <v>4</v>
      </c>
      <c r="I1989" s="534">
        <v>0</v>
      </c>
      <c r="J1989" s="534">
        <v>0</v>
      </c>
      <c r="K1989" s="534">
        <v>0</v>
      </c>
      <c r="M1989" s="617">
        <f t="shared" ref="M1989:M2052" si="64">I1989+E1989</f>
        <v>0</v>
      </c>
      <c r="N1989" s="617">
        <f t="shared" ref="N1989:N2052" si="65">K1989+G1989</f>
        <v>4</v>
      </c>
      <c r="O1989" s="617"/>
    </row>
    <row r="1990" spans="2:15" ht="15" x14ac:dyDescent="0.25">
      <c r="B1990" s="529">
        <v>1985001</v>
      </c>
      <c r="C1990" s="529">
        <v>1986</v>
      </c>
      <c r="E1990" s="534">
        <v>0</v>
      </c>
      <c r="F1990" s="534">
        <v>0</v>
      </c>
      <c r="G1990" s="534">
        <v>4</v>
      </c>
      <c r="I1990" s="534">
        <v>0</v>
      </c>
      <c r="J1990" s="534">
        <v>0</v>
      </c>
      <c r="K1990" s="534">
        <v>0</v>
      </c>
      <c r="M1990" s="617">
        <f t="shared" si="64"/>
        <v>0</v>
      </c>
      <c r="N1990" s="617">
        <f t="shared" si="65"/>
        <v>4</v>
      </c>
      <c r="O1990" s="617"/>
    </row>
    <row r="1991" spans="2:15" ht="15" x14ac:dyDescent="0.25">
      <c r="B1991" s="529">
        <v>1986001</v>
      </c>
      <c r="C1991" s="529">
        <v>1987</v>
      </c>
      <c r="E1991" s="534">
        <v>0</v>
      </c>
      <c r="F1991" s="534">
        <v>0</v>
      </c>
      <c r="G1991" s="534">
        <v>4</v>
      </c>
      <c r="I1991" s="534">
        <v>0</v>
      </c>
      <c r="J1991" s="534">
        <v>0</v>
      </c>
      <c r="K1991" s="534">
        <v>0</v>
      </c>
      <c r="M1991" s="617">
        <f t="shared" si="64"/>
        <v>0</v>
      </c>
      <c r="N1991" s="617">
        <f t="shared" si="65"/>
        <v>4</v>
      </c>
      <c r="O1991" s="617"/>
    </row>
    <row r="1992" spans="2:15" ht="15" x14ac:dyDescent="0.25">
      <c r="B1992" s="529">
        <v>1987001</v>
      </c>
      <c r="C1992" s="529">
        <v>1988</v>
      </c>
      <c r="E1992" s="534">
        <v>0</v>
      </c>
      <c r="F1992" s="534">
        <v>0</v>
      </c>
      <c r="G1992" s="534">
        <v>4</v>
      </c>
      <c r="I1992" s="534">
        <v>0</v>
      </c>
      <c r="J1992" s="534">
        <v>0</v>
      </c>
      <c r="K1992" s="534">
        <v>0</v>
      </c>
      <c r="M1992" s="617">
        <f t="shared" si="64"/>
        <v>0</v>
      </c>
      <c r="N1992" s="617">
        <f t="shared" si="65"/>
        <v>4</v>
      </c>
      <c r="O1992" s="617"/>
    </row>
    <row r="1993" spans="2:15" ht="15" x14ac:dyDescent="0.25">
      <c r="B1993" s="529">
        <v>1988001</v>
      </c>
      <c r="C1993" s="529">
        <v>1989</v>
      </c>
      <c r="E1993" s="534">
        <v>0</v>
      </c>
      <c r="F1993" s="534">
        <v>0</v>
      </c>
      <c r="G1993" s="534">
        <v>4</v>
      </c>
      <c r="I1993" s="534">
        <v>0</v>
      </c>
      <c r="J1993" s="534">
        <v>0</v>
      </c>
      <c r="K1993" s="534">
        <v>0</v>
      </c>
      <c r="M1993" s="617">
        <f t="shared" si="64"/>
        <v>0</v>
      </c>
      <c r="N1993" s="617">
        <f t="shared" si="65"/>
        <v>4</v>
      </c>
      <c r="O1993" s="617"/>
    </row>
    <row r="1994" spans="2:15" ht="15" x14ac:dyDescent="0.25">
      <c r="B1994" s="529">
        <v>1989001</v>
      </c>
      <c r="C1994" s="529">
        <v>1990</v>
      </c>
      <c r="E1994" s="534">
        <v>0</v>
      </c>
      <c r="F1994" s="534">
        <v>0</v>
      </c>
      <c r="G1994" s="534">
        <v>4</v>
      </c>
      <c r="I1994" s="534">
        <v>0</v>
      </c>
      <c r="J1994" s="534">
        <v>0</v>
      </c>
      <c r="K1994" s="534">
        <v>0</v>
      </c>
      <c r="M1994" s="617">
        <f t="shared" si="64"/>
        <v>0</v>
      </c>
      <c r="N1994" s="617">
        <f t="shared" si="65"/>
        <v>4</v>
      </c>
      <c r="O1994" s="617"/>
    </row>
    <row r="1995" spans="2:15" ht="15" x14ac:dyDescent="0.25">
      <c r="B1995" s="529">
        <v>1990001</v>
      </c>
      <c r="C1995" s="529">
        <v>1991</v>
      </c>
      <c r="E1995" s="534">
        <v>0</v>
      </c>
      <c r="F1995" s="534">
        <v>0</v>
      </c>
      <c r="G1995" s="534">
        <v>4</v>
      </c>
      <c r="I1995" s="534">
        <v>0</v>
      </c>
      <c r="J1995" s="534">
        <v>0</v>
      </c>
      <c r="K1995" s="534">
        <v>0</v>
      </c>
      <c r="M1995" s="617">
        <f t="shared" si="64"/>
        <v>0</v>
      </c>
      <c r="N1995" s="617">
        <f t="shared" si="65"/>
        <v>4</v>
      </c>
      <c r="O1995" s="617"/>
    </row>
    <row r="1996" spans="2:15" ht="15" x14ac:dyDescent="0.25">
      <c r="B1996" s="529">
        <v>1991001</v>
      </c>
      <c r="C1996" s="529">
        <v>1992</v>
      </c>
      <c r="E1996" s="534">
        <v>0</v>
      </c>
      <c r="F1996" s="534">
        <v>0</v>
      </c>
      <c r="G1996" s="534">
        <v>4</v>
      </c>
      <c r="I1996" s="534">
        <v>0</v>
      </c>
      <c r="J1996" s="534">
        <v>0</v>
      </c>
      <c r="K1996" s="534">
        <v>0</v>
      </c>
      <c r="M1996" s="617">
        <f t="shared" si="64"/>
        <v>0</v>
      </c>
      <c r="N1996" s="617">
        <f t="shared" si="65"/>
        <v>4</v>
      </c>
      <c r="O1996" s="617"/>
    </row>
    <row r="1997" spans="2:15" ht="15" x14ac:dyDescent="0.25">
      <c r="B1997" s="529">
        <v>1992001</v>
      </c>
      <c r="C1997" s="529">
        <v>1993</v>
      </c>
      <c r="E1997" s="534">
        <v>0</v>
      </c>
      <c r="F1997" s="534">
        <v>0</v>
      </c>
      <c r="G1997" s="534">
        <v>4</v>
      </c>
      <c r="I1997" s="534">
        <v>0</v>
      </c>
      <c r="J1997" s="534">
        <v>0</v>
      </c>
      <c r="K1997" s="534">
        <v>0</v>
      </c>
      <c r="M1997" s="617">
        <f t="shared" si="64"/>
        <v>0</v>
      </c>
      <c r="N1997" s="617">
        <f t="shared" si="65"/>
        <v>4</v>
      </c>
      <c r="O1997" s="617"/>
    </row>
    <row r="1998" spans="2:15" ht="15" x14ac:dyDescent="0.25">
      <c r="B1998" s="529">
        <v>1993001</v>
      </c>
      <c r="C1998" s="529">
        <v>1994</v>
      </c>
      <c r="E1998" s="534">
        <v>0</v>
      </c>
      <c r="F1998" s="534">
        <v>0</v>
      </c>
      <c r="G1998" s="534">
        <v>4</v>
      </c>
      <c r="I1998" s="534">
        <v>0</v>
      </c>
      <c r="J1998" s="534">
        <v>0</v>
      </c>
      <c r="K1998" s="534">
        <v>0</v>
      </c>
      <c r="M1998" s="617">
        <f t="shared" si="64"/>
        <v>0</v>
      </c>
      <c r="N1998" s="617">
        <f t="shared" si="65"/>
        <v>4</v>
      </c>
      <c r="O1998" s="617"/>
    </row>
    <row r="1999" spans="2:15" ht="15" x14ac:dyDescent="0.25">
      <c r="B1999" s="529">
        <v>1994001</v>
      </c>
      <c r="C1999" s="529">
        <v>1995</v>
      </c>
      <c r="E1999" s="534">
        <v>0</v>
      </c>
      <c r="F1999" s="534">
        <v>0</v>
      </c>
      <c r="G1999" s="534">
        <v>4</v>
      </c>
      <c r="I1999" s="534">
        <v>0</v>
      </c>
      <c r="J1999" s="534">
        <v>0</v>
      </c>
      <c r="K1999" s="534">
        <v>0</v>
      </c>
      <c r="M1999" s="617">
        <f t="shared" si="64"/>
        <v>0</v>
      </c>
      <c r="N1999" s="617">
        <f t="shared" si="65"/>
        <v>4</v>
      </c>
      <c r="O1999" s="617"/>
    </row>
    <row r="2000" spans="2:15" ht="15" x14ac:dyDescent="0.25">
      <c r="B2000" s="529">
        <v>1995001</v>
      </c>
      <c r="C2000" s="529">
        <v>1996</v>
      </c>
      <c r="E2000" s="534">
        <v>0</v>
      </c>
      <c r="F2000" s="534">
        <v>0</v>
      </c>
      <c r="G2000" s="534">
        <v>4</v>
      </c>
      <c r="I2000" s="534">
        <v>0</v>
      </c>
      <c r="J2000" s="534">
        <v>0</v>
      </c>
      <c r="K2000" s="534">
        <v>0</v>
      </c>
      <c r="M2000" s="617">
        <f t="shared" si="64"/>
        <v>0</v>
      </c>
      <c r="N2000" s="617">
        <f t="shared" si="65"/>
        <v>4</v>
      </c>
      <c r="O2000" s="617"/>
    </row>
    <row r="2001" spans="2:15" ht="15" x14ac:dyDescent="0.25">
      <c r="B2001" s="529">
        <v>1996001</v>
      </c>
      <c r="C2001" s="529">
        <v>1997</v>
      </c>
      <c r="E2001" s="534">
        <v>0</v>
      </c>
      <c r="F2001" s="534">
        <v>0</v>
      </c>
      <c r="G2001" s="534">
        <v>4</v>
      </c>
      <c r="I2001" s="534">
        <v>0</v>
      </c>
      <c r="J2001" s="534">
        <v>0</v>
      </c>
      <c r="K2001" s="534">
        <v>0</v>
      </c>
      <c r="M2001" s="617">
        <f t="shared" si="64"/>
        <v>0</v>
      </c>
      <c r="N2001" s="617">
        <f t="shared" si="65"/>
        <v>4</v>
      </c>
      <c r="O2001" s="617"/>
    </row>
    <row r="2002" spans="2:15" ht="15" x14ac:dyDescent="0.25">
      <c r="B2002" s="529">
        <v>1997001</v>
      </c>
      <c r="C2002" s="529">
        <v>1998</v>
      </c>
      <c r="E2002" s="534">
        <v>0</v>
      </c>
      <c r="F2002" s="534">
        <v>0</v>
      </c>
      <c r="G2002" s="534">
        <v>4</v>
      </c>
      <c r="I2002" s="534">
        <v>0</v>
      </c>
      <c r="J2002" s="534">
        <v>0</v>
      </c>
      <c r="K2002" s="534">
        <v>0</v>
      </c>
      <c r="M2002" s="617">
        <f t="shared" si="64"/>
        <v>0</v>
      </c>
      <c r="N2002" s="617">
        <f t="shared" si="65"/>
        <v>4</v>
      </c>
      <c r="O2002" s="617"/>
    </row>
    <row r="2003" spans="2:15" ht="15" x14ac:dyDescent="0.25">
      <c r="B2003" s="529">
        <v>1998001</v>
      </c>
      <c r="C2003" s="529">
        <v>1999</v>
      </c>
      <c r="E2003" s="534">
        <v>0</v>
      </c>
      <c r="F2003" s="534">
        <v>0</v>
      </c>
      <c r="G2003" s="534">
        <v>4</v>
      </c>
      <c r="I2003" s="534">
        <v>0</v>
      </c>
      <c r="J2003" s="534">
        <v>0</v>
      </c>
      <c r="K2003" s="534">
        <v>0</v>
      </c>
      <c r="M2003" s="617">
        <f t="shared" si="64"/>
        <v>0</v>
      </c>
      <c r="N2003" s="617">
        <f t="shared" si="65"/>
        <v>4</v>
      </c>
      <c r="O2003" s="617"/>
    </row>
    <row r="2004" spans="2:15" ht="15" x14ac:dyDescent="0.25">
      <c r="B2004" s="529">
        <v>1999001</v>
      </c>
      <c r="C2004" s="529">
        <v>2000</v>
      </c>
      <c r="E2004" s="534">
        <v>0</v>
      </c>
      <c r="F2004" s="534">
        <v>0</v>
      </c>
      <c r="G2004" s="534">
        <v>4</v>
      </c>
      <c r="I2004" s="534">
        <v>0</v>
      </c>
      <c r="J2004" s="534">
        <v>0</v>
      </c>
      <c r="K2004" s="534">
        <v>0</v>
      </c>
      <c r="M2004" s="617">
        <f t="shared" si="64"/>
        <v>0</v>
      </c>
      <c r="N2004" s="617">
        <f t="shared" si="65"/>
        <v>4</v>
      </c>
      <c r="O2004" s="617"/>
    </row>
    <row r="2005" spans="2:15" ht="15" x14ac:dyDescent="0.25">
      <c r="B2005" s="529">
        <v>2000001</v>
      </c>
      <c r="C2005" s="529">
        <v>2001</v>
      </c>
      <c r="E2005" s="534">
        <v>0</v>
      </c>
      <c r="F2005" s="534">
        <v>0</v>
      </c>
      <c r="G2005" s="534">
        <v>4</v>
      </c>
      <c r="I2005" s="534">
        <v>0</v>
      </c>
      <c r="J2005" s="534">
        <v>0</v>
      </c>
      <c r="K2005" s="534">
        <v>0</v>
      </c>
      <c r="M2005" s="617">
        <f t="shared" si="64"/>
        <v>0</v>
      </c>
      <c r="N2005" s="617">
        <f t="shared" si="65"/>
        <v>4</v>
      </c>
      <c r="O2005" s="617"/>
    </row>
    <row r="2006" spans="2:15" ht="15" x14ac:dyDescent="0.25">
      <c r="B2006" s="529">
        <v>2001001</v>
      </c>
      <c r="C2006" s="529">
        <v>2002</v>
      </c>
      <c r="E2006" s="534">
        <v>0</v>
      </c>
      <c r="F2006" s="534">
        <v>0</v>
      </c>
      <c r="G2006" s="534">
        <v>4</v>
      </c>
      <c r="I2006" s="534">
        <v>0</v>
      </c>
      <c r="J2006" s="534">
        <v>0</v>
      </c>
      <c r="K2006" s="534">
        <v>0</v>
      </c>
      <c r="M2006" s="617">
        <f t="shared" si="64"/>
        <v>0</v>
      </c>
      <c r="N2006" s="617">
        <f t="shared" si="65"/>
        <v>4</v>
      </c>
      <c r="O2006" s="617"/>
    </row>
    <row r="2007" spans="2:15" ht="15" x14ac:dyDescent="0.25">
      <c r="B2007" s="529">
        <v>2002001</v>
      </c>
      <c r="C2007" s="529">
        <v>2003</v>
      </c>
      <c r="E2007" s="534">
        <v>0</v>
      </c>
      <c r="F2007" s="534">
        <v>0</v>
      </c>
      <c r="G2007" s="534">
        <v>4</v>
      </c>
      <c r="I2007" s="534">
        <v>0</v>
      </c>
      <c r="J2007" s="534">
        <v>0</v>
      </c>
      <c r="K2007" s="534">
        <v>0</v>
      </c>
      <c r="M2007" s="617">
        <f t="shared" si="64"/>
        <v>0</v>
      </c>
      <c r="N2007" s="617">
        <f t="shared" si="65"/>
        <v>4</v>
      </c>
      <c r="O2007" s="617"/>
    </row>
    <row r="2008" spans="2:15" ht="15" x14ac:dyDescent="0.25">
      <c r="B2008" s="529">
        <v>2003001</v>
      </c>
      <c r="C2008" s="529">
        <v>2004</v>
      </c>
      <c r="E2008" s="534">
        <v>0</v>
      </c>
      <c r="F2008" s="534">
        <v>0</v>
      </c>
      <c r="G2008" s="534">
        <v>4</v>
      </c>
      <c r="I2008" s="534">
        <v>0</v>
      </c>
      <c r="J2008" s="534">
        <v>0</v>
      </c>
      <c r="K2008" s="534">
        <v>0</v>
      </c>
      <c r="M2008" s="617">
        <f t="shared" si="64"/>
        <v>0</v>
      </c>
      <c r="N2008" s="617">
        <f t="shared" si="65"/>
        <v>4</v>
      </c>
      <c r="O2008" s="617"/>
    </row>
    <row r="2009" spans="2:15" ht="15" x14ac:dyDescent="0.25">
      <c r="B2009" s="529">
        <v>2004001</v>
      </c>
      <c r="C2009" s="529">
        <v>2005</v>
      </c>
      <c r="E2009" s="534">
        <v>0</v>
      </c>
      <c r="F2009" s="534">
        <v>0</v>
      </c>
      <c r="G2009" s="534">
        <v>4</v>
      </c>
      <c r="I2009" s="534">
        <v>0</v>
      </c>
      <c r="J2009" s="534">
        <v>0</v>
      </c>
      <c r="K2009" s="534">
        <v>0</v>
      </c>
      <c r="M2009" s="617">
        <f t="shared" si="64"/>
        <v>0</v>
      </c>
      <c r="N2009" s="617">
        <f t="shared" si="65"/>
        <v>4</v>
      </c>
      <c r="O2009" s="617"/>
    </row>
    <row r="2010" spans="2:15" ht="15" x14ac:dyDescent="0.25">
      <c r="B2010" s="529">
        <v>2005001</v>
      </c>
      <c r="C2010" s="529">
        <v>2006</v>
      </c>
      <c r="E2010" s="534">
        <v>0</v>
      </c>
      <c r="F2010" s="534">
        <v>0</v>
      </c>
      <c r="G2010" s="534">
        <v>4</v>
      </c>
      <c r="I2010" s="534">
        <v>0</v>
      </c>
      <c r="J2010" s="534">
        <v>0</v>
      </c>
      <c r="K2010" s="534">
        <v>0</v>
      </c>
      <c r="M2010" s="617">
        <f t="shared" si="64"/>
        <v>0</v>
      </c>
      <c r="N2010" s="617">
        <f t="shared" si="65"/>
        <v>4</v>
      </c>
      <c r="O2010" s="617"/>
    </row>
    <row r="2011" spans="2:15" ht="15" x14ac:dyDescent="0.25">
      <c r="B2011" s="529">
        <v>2006001</v>
      </c>
      <c r="C2011" s="529">
        <v>2007</v>
      </c>
      <c r="E2011" s="534">
        <v>0</v>
      </c>
      <c r="F2011" s="534">
        <v>0</v>
      </c>
      <c r="G2011" s="534">
        <v>4</v>
      </c>
      <c r="I2011" s="534">
        <v>0</v>
      </c>
      <c r="J2011" s="534">
        <v>0</v>
      </c>
      <c r="K2011" s="534">
        <v>0</v>
      </c>
      <c r="M2011" s="617">
        <f t="shared" si="64"/>
        <v>0</v>
      </c>
      <c r="N2011" s="617">
        <f t="shared" si="65"/>
        <v>4</v>
      </c>
      <c r="O2011" s="617"/>
    </row>
    <row r="2012" spans="2:15" ht="15" x14ac:dyDescent="0.25">
      <c r="B2012" s="529">
        <v>2007001</v>
      </c>
      <c r="C2012" s="529">
        <v>2008</v>
      </c>
      <c r="E2012" s="534">
        <v>0</v>
      </c>
      <c r="F2012" s="534">
        <v>0</v>
      </c>
      <c r="G2012" s="534">
        <v>4</v>
      </c>
      <c r="I2012" s="534">
        <v>0</v>
      </c>
      <c r="J2012" s="534">
        <v>0</v>
      </c>
      <c r="K2012" s="534">
        <v>0</v>
      </c>
      <c r="M2012" s="617">
        <f t="shared" si="64"/>
        <v>0</v>
      </c>
      <c r="N2012" s="617">
        <f t="shared" si="65"/>
        <v>4</v>
      </c>
      <c r="O2012" s="617"/>
    </row>
    <row r="2013" spans="2:15" ht="15" x14ac:dyDescent="0.25">
      <c r="B2013" s="529">
        <v>2008001</v>
      </c>
      <c r="C2013" s="529">
        <v>2009</v>
      </c>
      <c r="E2013" s="534">
        <v>0</v>
      </c>
      <c r="F2013" s="534">
        <v>0</v>
      </c>
      <c r="G2013" s="534">
        <v>4</v>
      </c>
      <c r="I2013" s="534">
        <v>0</v>
      </c>
      <c r="J2013" s="534">
        <v>0</v>
      </c>
      <c r="K2013" s="534">
        <v>0</v>
      </c>
      <c r="M2013" s="617">
        <f t="shared" si="64"/>
        <v>0</v>
      </c>
      <c r="N2013" s="617">
        <f t="shared" si="65"/>
        <v>4</v>
      </c>
      <c r="O2013" s="617"/>
    </row>
    <row r="2014" spans="2:15" ht="15" x14ac:dyDescent="0.25">
      <c r="B2014" s="529">
        <v>2009001</v>
      </c>
      <c r="C2014" s="529">
        <v>2010</v>
      </c>
      <c r="E2014" s="534">
        <v>0</v>
      </c>
      <c r="F2014" s="534">
        <v>0</v>
      </c>
      <c r="G2014" s="534">
        <v>4</v>
      </c>
      <c r="I2014" s="534">
        <v>0</v>
      </c>
      <c r="J2014" s="534">
        <v>0</v>
      </c>
      <c r="K2014" s="534">
        <v>0</v>
      </c>
      <c r="M2014" s="617">
        <f t="shared" si="64"/>
        <v>0</v>
      </c>
      <c r="N2014" s="617">
        <f t="shared" si="65"/>
        <v>4</v>
      </c>
      <c r="O2014" s="617"/>
    </row>
    <row r="2015" spans="2:15" ht="15" x14ac:dyDescent="0.25">
      <c r="B2015" s="529">
        <v>2010001</v>
      </c>
      <c r="C2015" s="529">
        <v>2011</v>
      </c>
      <c r="E2015" s="534">
        <v>0</v>
      </c>
      <c r="F2015" s="534">
        <v>0</v>
      </c>
      <c r="G2015" s="534">
        <v>4</v>
      </c>
      <c r="I2015" s="534">
        <v>0</v>
      </c>
      <c r="J2015" s="534">
        <v>0</v>
      </c>
      <c r="K2015" s="534">
        <v>0</v>
      </c>
      <c r="M2015" s="617">
        <f t="shared" si="64"/>
        <v>0</v>
      </c>
      <c r="N2015" s="617">
        <f t="shared" si="65"/>
        <v>4</v>
      </c>
      <c r="O2015" s="617"/>
    </row>
    <row r="2016" spans="2:15" ht="15" x14ac:dyDescent="0.25">
      <c r="B2016" s="529">
        <v>2011001</v>
      </c>
      <c r="C2016" s="529">
        <v>2012</v>
      </c>
      <c r="E2016" s="534">
        <v>0</v>
      </c>
      <c r="F2016" s="534">
        <v>0</v>
      </c>
      <c r="G2016" s="534">
        <v>4</v>
      </c>
      <c r="I2016" s="534">
        <v>0</v>
      </c>
      <c r="J2016" s="534">
        <v>0</v>
      </c>
      <c r="K2016" s="534">
        <v>0</v>
      </c>
      <c r="M2016" s="617">
        <f t="shared" si="64"/>
        <v>0</v>
      </c>
      <c r="N2016" s="617">
        <f t="shared" si="65"/>
        <v>4</v>
      </c>
      <c r="O2016" s="617"/>
    </row>
    <row r="2017" spans="2:15" ht="15" x14ac:dyDescent="0.25">
      <c r="B2017" s="529">
        <v>2012001</v>
      </c>
      <c r="C2017" s="529">
        <v>2013</v>
      </c>
      <c r="E2017" s="534">
        <v>0</v>
      </c>
      <c r="F2017" s="534">
        <v>0</v>
      </c>
      <c r="G2017" s="534">
        <v>4</v>
      </c>
      <c r="I2017" s="534">
        <v>0</v>
      </c>
      <c r="J2017" s="534">
        <v>0</v>
      </c>
      <c r="K2017" s="534">
        <v>0</v>
      </c>
      <c r="M2017" s="617">
        <f t="shared" si="64"/>
        <v>0</v>
      </c>
      <c r="N2017" s="617">
        <f t="shared" si="65"/>
        <v>4</v>
      </c>
      <c r="O2017" s="617"/>
    </row>
    <row r="2018" spans="2:15" ht="15" x14ac:dyDescent="0.25">
      <c r="B2018" s="529">
        <v>2013001</v>
      </c>
      <c r="C2018" s="529">
        <v>2014</v>
      </c>
      <c r="E2018" s="534">
        <v>0</v>
      </c>
      <c r="F2018" s="534">
        <v>0</v>
      </c>
      <c r="G2018" s="534">
        <v>4</v>
      </c>
      <c r="I2018" s="534">
        <v>0</v>
      </c>
      <c r="J2018" s="534">
        <v>0</v>
      </c>
      <c r="K2018" s="534">
        <v>0</v>
      </c>
      <c r="M2018" s="617">
        <f t="shared" si="64"/>
        <v>0</v>
      </c>
      <c r="N2018" s="617">
        <f t="shared" si="65"/>
        <v>4</v>
      </c>
      <c r="O2018" s="617"/>
    </row>
    <row r="2019" spans="2:15" ht="15" x14ac:dyDescent="0.25">
      <c r="B2019" s="529">
        <v>2014001</v>
      </c>
      <c r="C2019" s="529">
        <v>2015</v>
      </c>
      <c r="E2019" s="534">
        <v>0</v>
      </c>
      <c r="F2019" s="534">
        <v>0</v>
      </c>
      <c r="G2019" s="534">
        <v>4</v>
      </c>
      <c r="I2019" s="534">
        <v>0</v>
      </c>
      <c r="J2019" s="534">
        <v>0</v>
      </c>
      <c r="K2019" s="534">
        <v>0</v>
      </c>
      <c r="M2019" s="617">
        <f t="shared" si="64"/>
        <v>0</v>
      </c>
      <c r="N2019" s="617">
        <f t="shared" si="65"/>
        <v>4</v>
      </c>
      <c r="O2019" s="617"/>
    </row>
    <row r="2020" spans="2:15" ht="15" x14ac:dyDescent="0.25">
      <c r="B2020" s="529">
        <v>2015001</v>
      </c>
      <c r="C2020" s="529">
        <v>2016</v>
      </c>
      <c r="E2020" s="534">
        <v>0</v>
      </c>
      <c r="F2020" s="534">
        <v>0</v>
      </c>
      <c r="G2020" s="534">
        <v>4</v>
      </c>
      <c r="I2020" s="534">
        <v>0</v>
      </c>
      <c r="J2020" s="534">
        <v>0</v>
      </c>
      <c r="K2020" s="534">
        <v>0</v>
      </c>
      <c r="M2020" s="617">
        <f t="shared" si="64"/>
        <v>0</v>
      </c>
      <c r="N2020" s="617">
        <f t="shared" si="65"/>
        <v>4</v>
      </c>
      <c r="O2020" s="617"/>
    </row>
    <row r="2021" spans="2:15" ht="15" x14ac:dyDescent="0.25">
      <c r="B2021" s="529">
        <v>2016001</v>
      </c>
      <c r="C2021" s="529">
        <v>2017</v>
      </c>
      <c r="E2021" s="534">
        <v>0</v>
      </c>
      <c r="F2021" s="534">
        <v>0</v>
      </c>
      <c r="G2021" s="534">
        <v>4</v>
      </c>
      <c r="I2021" s="534">
        <v>0</v>
      </c>
      <c r="J2021" s="534">
        <v>0</v>
      </c>
      <c r="K2021" s="534">
        <v>0</v>
      </c>
      <c r="M2021" s="617">
        <f t="shared" si="64"/>
        <v>0</v>
      </c>
      <c r="N2021" s="617">
        <f t="shared" si="65"/>
        <v>4</v>
      </c>
      <c r="O2021" s="617"/>
    </row>
    <row r="2022" spans="2:15" ht="15" x14ac:dyDescent="0.25">
      <c r="B2022" s="529">
        <v>2017001</v>
      </c>
      <c r="C2022" s="529">
        <v>2018</v>
      </c>
      <c r="E2022" s="534">
        <v>0</v>
      </c>
      <c r="F2022" s="534">
        <v>0</v>
      </c>
      <c r="G2022" s="534">
        <v>4</v>
      </c>
      <c r="I2022" s="534">
        <v>0</v>
      </c>
      <c r="J2022" s="534">
        <v>0</v>
      </c>
      <c r="K2022" s="534">
        <v>0</v>
      </c>
      <c r="M2022" s="617">
        <f t="shared" si="64"/>
        <v>0</v>
      </c>
      <c r="N2022" s="617">
        <f t="shared" si="65"/>
        <v>4</v>
      </c>
      <c r="O2022" s="617"/>
    </row>
    <row r="2023" spans="2:15" ht="15" x14ac:dyDescent="0.25">
      <c r="B2023" s="529">
        <v>2018001</v>
      </c>
      <c r="C2023" s="529">
        <v>2019</v>
      </c>
      <c r="E2023" s="534">
        <v>0</v>
      </c>
      <c r="F2023" s="534">
        <v>0</v>
      </c>
      <c r="G2023" s="534">
        <v>4</v>
      </c>
      <c r="I2023" s="534">
        <v>0</v>
      </c>
      <c r="J2023" s="534">
        <v>0</v>
      </c>
      <c r="K2023" s="534">
        <v>0</v>
      </c>
      <c r="M2023" s="617">
        <f t="shared" si="64"/>
        <v>0</v>
      </c>
      <c r="N2023" s="617">
        <f t="shared" si="65"/>
        <v>4</v>
      </c>
      <c r="O2023" s="617"/>
    </row>
    <row r="2024" spans="2:15" ht="15" x14ac:dyDescent="0.25">
      <c r="B2024" s="529">
        <v>2019001</v>
      </c>
      <c r="C2024" s="529">
        <v>2020</v>
      </c>
      <c r="E2024" s="534">
        <v>0</v>
      </c>
      <c r="F2024" s="534">
        <v>0</v>
      </c>
      <c r="G2024" s="534">
        <v>4</v>
      </c>
      <c r="I2024" s="534">
        <v>0</v>
      </c>
      <c r="J2024" s="534">
        <v>0</v>
      </c>
      <c r="K2024" s="534">
        <v>0</v>
      </c>
      <c r="M2024" s="617">
        <f t="shared" si="64"/>
        <v>0</v>
      </c>
      <c r="N2024" s="617">
        <f t="shared" si="65"/>
        <v>4</v>
      </c>
      <c r="O2024" s="617"/>
    </row>
    <row r="2025" spans="2:15" ht="15" x14ac:dyDescent="0.25">
      <c r="B2025" s="529">
        <v>2020001</v>
      </c>
      <c r="C2025" s="529">
        <v>2021</v>
      </c>
      <c r="E2025" s="534">
        <v>0</v>
      </c>
      <c r="F2025" s="534">
        <v>0</v>
      </c>
      <c r="G2025" s="534">
        <v>4</v>
      </c>
      <c r="I2025" s="534">
        <v>0</v>
      </c>
      <c r="J2025" s="534">
        <v>0</v>
      </c>
      <c r="K2025" s="534">
        <v>0</v>
      </c>
      <c r="M2025" s="617">
        <f t="shared" si="64"/>
        <v>0</v>
      </c>
      <c r="N2025" s="617">
        <f t="shared" si="65"/>
        <v>4</v>
      </c>
      <c r="O2025" s="617"/>
    </row>
    <row r="2026" spans="2:15" ht="15" x14ac:dyDescent="0.25">
      <c r="B2026" s="529">
        <v>2021001</v>
      </c>
      <c r="C2026" s="529">
        <v>2022</v>
      </c>
      <c r="E2026" s="534">
        <v>0</v>
      </c>
      <c r="F2026" s="534">
        <v>0</v>
      </c>
      <c r="G2026" s="534">
        <v>4</v>
      </c>
      <c r="I2026" s="534">
        <v>0</v>
      </c>
      <c r="J2026" s="534">
        <v>0</v>
      </c>
      <c r="K2026" s="534">
        <v>0</v>
      </c>
      <c r="M2026" s="617">
        <f t="shared" si="64"/>
        <v>0</v>
      </c>
      <c r="N2026" s="617">
        <f t="shared" si="65"/>
        <v>4</v>
      </c>
      <c r="O2026" s="617"/>
    </row>
    <row r="2027" spans="2:15" ht="15" x14ac:dyDescent="0.25">
      <c r="B2027" s="529">
        <v>2022001</v>
      </c>
      <c r="C2027" s="529">
        <v>2023</v>
      </c>
      <c r="E2027" s="534">
        <v>0</v>
      </c>
      <c r="F2027" s="534">
        <v>0</v>
      </c>
      <c r="G2027" s="534">
        <v>4</v>
      </c>
      <c r="I2027" s="534">
        <v>0</v>
      </c>
      <c r="J2027" s="534">
        <v>0</v>
      </c>
      <c r="K2027" s="534">
        <v>0</v>
      </c>
      <c r="M2027" s="617">
        <f t="shared" si="64"/>
        <v>0</v>
      </c>
      <c r="N2027" s="617">
        <f t="shared" si="65"/>
        <v>4</v>
      </c>
      <c r="O2027" s="617"/>
    </row>
    <row r="2028" spans="2:15" ht="15" x14ac:dyDescent="0.25">
      <c r="B2028" s="529">
        <v>2023001</v>
      </c>
      <c r="C2028" s="529">
        <v>2024</v>
      </c>
      <c r="E2028" s="534">
        <v>0</v>
      </c>
      <c r="F2028" s="534">
        <v>0</v>
      </c>
      <c r="G2028" s="534">
        <v>4</v>
      </c>
      <c r="I2028" s="534">
        <v>0</v>
      </c>
      <c r="J2028" s="534">
        <v>0</v>
      </c>
      <c r="K2028" s="534">
        <v>0</v>
      </c>
      <c r="M2028" s="617">
        <f t="shared" si="64"/>
        <v>0</v>
      </c>
      <c r="N2028" s="617">
        <f t="shared" si="65"/>
        <v>4</v>
      </c>
      <c r="O2028" s="617"/>
    </row>
    <row r="2029" spans="2:15" ht="15" x14ac:dyDescent="0.25">
      <c r="B2029" s="529">
        <v>2024001</v>
      </c>
      <c r="C2029" s="529">
        <v>2025</v>
      </c>
      <c r="E2029" s="534">
        <v>0</v>
      </c>
      <c r="F2029" s="534">
        <v>0</v>
      </c>
      <c r="G2029" s="534">
        <v>4</v>
      </c>
      <c r="I2029" s="534">
        <v>0</v>
      </c>
      <c r="J2029" s="534">
        <v>0</v>
      </c>
      <c r="K2029" s="534">
        <v>0</v>
      </c>
      <c r="M2029" s="617">
        <f t="shared" si="64"/>
        <v>0</v>
      </c>
      <c r="N2029" s="617">
        <f t="shared" si="65"/>
        <v>4</v>
      </c>
      <c r="O2029" s="617"/>
    </row>
    <row r="2030" spans="2:15" ht="15" x14ac:dyDescent="0.25">
      <c r="B2030" s="529">
        <v>2025001</v>
      </c>
      <c r="C2030" s="529">
        <v>2026</v>
      </c>
      <c r="E2030" s="534">
        <v>0</v>
      </c>
      <c r="F2030" s="534">
        <v>0</v>
      </c>
      <c r="G2030" s="534">
        <v>4</v>
      </c>
      <c r="I2030" s="534">
        <v>0</v>
      </c>
      <c r="J2030" s="534">
        <v>0</v>
      </c>
      <c r="K2030" s="534">
        <v>0</v>
      </c>
      <c r="M2030" s="617">
        <f t="shared" si="64"/>
        <v>0</v>
      </c>
      <c r="N2030" s="617">
        <f t="shared" si="65"/>
        <v>4</v>
      </c>
      <c r="O2030" s="617"/>
    </row>
    <row r="2031" spans="2:15" ht="15" x14ac:dyDescent="0.25">
      <c r="B2031" s="529">
        <v>2026001</v>
      </c>
      <c r="C2031" s="529">
        <v>2027</v>
      </c>
      <c r="E2031" s="534">
        <v>0</v>
      </c>
      <c r="F2031" s="534">
        <v>0</v>
      </c>
      <c r="G2031" s="534">
        <v>4</v>
      </c>
      <c r="I2031" s="534">
        <v>0</v>
      </c>
      <c r="J2031" s="534">
        <v>0</v>
      </c>
      <c r="K2031" s="534">
        <v>0</v>
      </c>
      <c r="M2031" s="617">
        <f t="shared" si="64"/>
        <v>0</v>
      </c>
      <c r="N2031" s="617">
        <f t="shared" si="65"/>
        <v>4</v>
      </c>
      <c r="O2031" s="617"/>
    </row>
    <row r="2032" spans="2:15" ht="15" x14ac:dyDescent="0.25">
      <c r="B2032" s="529">
        <v>2027001</v>
      </c>
      <c r="C2032" s="529">
        <v>2028</v>
      </c>
      <c r="E2032" s="534">
        <v>0</v>
      </c>
      <c r="F2032" s="534">
        <v>0</v>
      </c>
      <c r="G2032" s="534">
        <v>4</v>
      </c>
      <c r="I2032" s="534">
        <v>0</v>
      </c>
      <c r="J2032" s="534">
        <v>0</v>
      </c>
      <c r="K2032" s="534">
        <v>0</v>
      </c>
      <c r="M2032" s="617">
        <f t="shared" si="64"/>
        <v>0</v>
      </c>
      <c r="N2032" s="617">
        <f t="shared" si="65"/>
        <v>4</v>
      </c>
      <c r="O2032" s="617"/>
    </row>
    <row r="2033" spans="2:15" ht="15" x14ac:dyDescent="0.25">
      <c r="B2033" s="529">
        <v>2028001</v>
      </c>
      <c r="C2033" s="529">
        <v>2029</v>
      </c>
      <c r="E2033" s="534">
        <v>0</v>
      </c>
      <c r="F2033" s="534">
        <v>0</v>
      </c>
      <c r="G2033" s="534">
        <v>4</v>
      </c>
      <c r="I2033" s="534">
        <v>0</v>
      </c>
      <c r="J2033" s="534">
        <v>0</v>
      </c>
      <c r="K2033" s="534">
        <v>0</v>
      </c>
      <c r="M2033" s="617">
        <f t="shared" si="64"/>
        <v>0</v>
      </c>
      <c r="N2033" s="617">
        <f t="shared" si="65"/>
        <v>4</v>
      </c>
      <c r="O2033" s="617"/>
    </row>
    <row r="2034" spans="2:15" ht="15" x14ac:dyDescent="0.25">
      <c r="B2034" s="529">
        <v>2029001</v>
      </c>
      <c r="C2034" s="529">
        <v>2030</v>
      </c>
      <c r="E2034" s="534">
        <v>0</v>
      </c>
      <c r="F2034" s="534">
        <v>0</v>
      </c>
      <c r="G2034" s="534">
        <v>4</v>
      </c>
      <c r="I2034" s="534">
        <v>0</v>
      </c>
      <c r="J2034" s="534">
        <v>0</v>
      </c>
      <c r="K2034" s="534">
        <v>0</v>
      </c>
      <c r="M2034" s="617">
        <f t="shared" si="64"/>
        <v>0</v>
      </c>
      <c r="N2034" s="617">
        <f t="shared" si="65"/>
        <v>4</v>
      </c>
      <c r="O2034" s="617"/>
    </row>
    <row r="2035" spans="2:15" ht="15" x14ac:dyDescent="0.25">
      <c r="B2035" s="529">
        <v>2030001</v>
      </c>
      <c r="C2035" s="529">
        <v>2031</v>
      </c>
      <c r="E2035" s="534">
        <v>0</v>
      </c>
      <c r="F2035" s="534">
        <v>0</v>
      </c>
      <c r="G2035" s="534">
        <v>4</v>
      </c>
      <c r="I2035" s="534">
        <v>0</v>
      </c>
      <c r="J2035" s="534">
        <v>0</v>
      </c>
      <c r="K2035" s="534">
        <v>0</v>
      </c>
      <c r="M2035" s="617">
        <f t="shared" si="64"/>
        <v>0</v>
      </c>
      <c r="N2035" s="617">
        <f t="shared" si="65"/>
        <v>4</v>
      </c>
      <c r="O2035" s="617"/>
    </row>
    <row r="2036" spans="2:15" ht="15" x14ac:dyDescent="0.25">
      <c r="B2036" s="529">
        <v>2031001</v>
      </c>
      <c r="C2036" s="529">
        <v>2032</v>
      </c>
      <c r="E2036" s="534">
        <v>0</v>
      </c>
      <c r="F2036" s="534">
        <v>0</v>
      </c>
      <c r="G2036" s="534">
        <v>4</v>
      </c>
      <c r="I2036" s="534">
        <v>0</v>
      </c>
      <c r="J2036" s="534">
        <v>0</v>
      </c>
      <c r="K2036" s="534">
        <v>0</v>
      </c>
      <c r="M2036" s="617">
        <f t="shared" si="64"/>
        <v>0</v>
      </c>
      <c r="N2036" s="617">
        <f t="shared" si="65"/>
        <v>4</v>
      </c>
      <c r="O2036" s="617"/>
    </row>
    <row r="2037" spans="2:15" ht="15" x14ac:dyDescent="0.25">
      <c r="B2037" s="529">
        <v>2032001</v>
      </c>
      <c r="C2037" s="529">
        <v>2033</v>
      </c>
      <c r="E2037" s="534">
        <v>0</v>
      </c>
      <c r="F2037" s="534">
        <v>0</v>
      </c>
      <c r="G2037" s="534">
        <v>4</v>
      </c>
      <c r="I2037" s="534">
        <v>0</v>
      </c>
      <c r="J2037" s="534">
        <v>0</v>
      </c>
      <c r="K2037" s="534">
        <v>0</v>
      </c>
      <c r="M2037" s="617">
        <f t="shared" si="64"/>
        <v>0</v>
      </c>
      <c r="N2037" s="617">
        <f t="shared" si="65"/>
        <v>4</v>
      </c>
      <c r="O2037" s="617"/>
    </row>
    <row r="2038" spans="2:15" ht="15" x14ac:dyDescent="0.25">
      <c r="B2038" s="529">
        <v>2033001</v>
      </c>
      <c r="C2038" s="529">
        <v>2034</v>
      </c>
      <c r="E2038" s="534">
        <v>0</v>
      </c>
      <c r="F2038" s="534">
        <v>0</v>
      </c>
      <c r="G2038" s="534">
        <v>4</v>
      </c>
      <c r="I2038" s="534">
        <v>0</v>
      </c>
      <c r="J2038" s="534">
        <v>0</v>
      </c>
      <c r="K2038" s="534">
        <v>0</v>
      </c>
      <c r="M2038" s="617">
        <f t="shared" si="64"/>
        <v>0</v>
      </c>
      <c r="N2038" s="617">
        <f t="shared" si="65"/>
        <v>4</v>
      </c>
      <c r="O2038" s="617"/>
    </row>
    <row r="2039" spans="2:15" ht="15" x14ac:dyDescent="0.25">
      <c r="B2039" s="529">
        <v>2034001</v>
      </c>
      <c r="C2039" s="529">
        <v>2035</v>
      </c>
      <c r="E2039" s="534">
        <v>0</v>
      </c>
      <c r="F2039" s="534">
        <v>0</v>
      </c>
      <c r="G2039" s="534">
        <v>4</v>
      </c>
      <c r="I2039" s="534">
        <v>0</v>
      </c>
      <c r="J2039" s="534">
        <v>0</v>
      </c>
      <c r="K2039" s="534">
        <v>0</v>
      </c>
      <c r="M2039" s="617">
        <f t="shared" si="64"/>
        <v>0</v>
      </c>
      <c r="N2039" s="617">
        <f t="shared" si="65"/>
        <v>4</v>
      </c>
      <c r="O2039" s="617"/>
    </row>
    <row r="2040" spans="2:15" ht="15" x14ac:dyDescent="0.25">
      <c r="B2040" s="529">
        <v>2035001</v>
      </c>
      <c r="C2040" s="529">
        <v>2036</v>
      </c>
      <c r="E2040" s="534">
        <v>0</v>
      </c>
      <c r="F2040" s="534">
        <v>0</v>
      </c>
      <c r="G2040" s="534">
        <v>4</v>
      </c>
      <c r="I2040" s="534">
        <v>0</v>
      </c>
      <c r="J2040" s="534">
        <v>0</v>
      </c>
      <c r="K2040" s="534">
        <v>0</v>
      </c>
      <c r="M2040" s="617">
        <f t="shared" si="64"/>
        <v>0</v>
      </c>
      <c r="N2040" s="617">
        <f t="shared" si="65"/>
        <v>4</v>
      </c>
      <c r="O2040" s="617"/>
    </row>
    <row r="2041" spans="2:15" ht="15" x14ac:dyDescent="0.25">
      <c r="B2041" s="529">
        <v>2036001</v>
      </c>
      <c r="C2041" s="529">
        <v>2037</v>
      </c>
      <c r="E2041" s="534">
        <v>0</v>
      </c>
      <c r="F2041" s="534">
        <v>0</v>
      </c>
      <c r="G2041" s="534">
        <v>4</v>
      </c>
      <c r="I2041" s="534">
        <v>0</v>
      </c>
      <c r="J2041" s="534">
        <v>0</v>
      </c>
      <c r="K2041" s="534">
        <v>0</v>
      </c>
      <c r="M2041" s="617">
        <f t="shared" si="64"/>
        <v>0</v>
      </c>
      <c r="N2041" s="617">
        <f t="shared" si="65"/>
        <v>4</v>
      </c>
      <c r="O2041" s="617"/>
    </row>
    <row r="2042" spans="2:15" ht="15" x14ac:dyDescent="0.25">
      <c r="B2042" s="529">
        <v>2037001</v>
      </c>
      <c r="C2042" s="529">
        <v>2038</v>
      </c>
      <c r="E2042" s="534">
        <v>0</v>
      </c>
      <c r="F2042" s="534">
        <v>0</v>
      </c>
      <c r="G2042" s="534">
        <v>4</v>
      </c>
      <c r="I2042" s="534">
        <v>0</v>
      </c>
      <c r="J2042" s="534">
        <v>0</v>
      </c>
      <c r="K2042" s="534">
        <v>0</v>
      </c>
      <c r="M2042" s="617">
        <f t="shared" si="64"/>
        <v>0</v>
      </c>
      <c r="N2042" s="617">
        <f t="shared" si="65"/>
        <v>4</v>
      </c>
      <c r="O2042" s="617"/>
    </row>
    <row r="2043" spans="2:15" ht="15" x14ac:dyDescent="0.25">
      <c r="B2043" s="529">
        <v>2038001</v>
      </c>
      <c r="C2043" s="529">
        <v>2039</v>
      </c>
      <c r="E2043" s="534">
        <v>0</v>
      </c>
      <c r="F2043" s="534">
        <v>0</v>
      </c>
      <c r="G2043" s="534">
        <v>4</v>
      </c>
      <c r="I2043" s="534">
        <v>0</v>
      </c>
      <c r="J2043" s="534">
        <v>0</v>
      </c>
      <c r="K2043" s="534">
        <v>0</v>
      </c>
      <c r="M2043" s="617">
        <f t="shared" si="64"/>
        <v>0</v>
      </c>
      <c r="N2043" s="617">
        <f t="shared" si="65"/>
        <v>4</v>
      </c>
      <c r="O2043" s="617"/>
    </row>
    <row r="2044" spans="2:15" ht="15" x14ac:dyDescent="0.25">
      <c r="B2044" s="529">
        <v>2039001</v>
      </c>
      <c r="C2044" s="529">
        <v>2040</v>
      </c>
      <c r="E2044" s="534">
        <v>0</v>
      </c>
      <c r="F2044" s="534">
        <v>0</v>
      </c>
      <c r="G2044" s="534">
        <v>4</v>
      </c>
      <c r="I2044" s="534">
        <v>0</v>
      </c>
      <c r="J2044" s="534">
        <v>0</v>
      </c>
      <c r="K2044" s="534">
        <v>0</v>
      </c>
      <c r="M2044" s="617">
        <f t="shared" si="64"/>
        <v>0</v>
      </c>
      <c r="N2044" s="617">
        <f t="shared" si="65"/>
        <v>4</v>
      </c>
      <c r="O2044" s="617"/>
    </row>
    <row r="2045" spans="2:15" ht="15" x14ac:dyDescent="0.25">
      <c r="B2045" s="529">
        <v>2040001</v>
      </c>
      <c r="C2045" s="529">
        <v>2041</v>
      </c>
      <c r="E2045" s="534">
        <v>0</v>
      </c>
      <c r="F2045" s="534">
        <v>0</v>
      </c>
      <c r="G2045" s="534">
        <v>4</v>
      </c>
      <c r="I2045" s="534">
        <v>0</v>
      </c>
      <c r="J2045" s="534">
        <v>0</v>
      </c>
      <c r="K2045" s="534">
        <v>0</v>
      </c>
      <c r="M2045" s="617">
        <f t="shared" si="64"/>
        <v>0</v>
      </c>
      <c r="N2045" s="617">
        <f t="shared" si="65"/>
        <v>4</v>
      </c>
      <c r="O2045" s="617"/>
    </row>
    <row r="2046" spans="2:15" ht="15" x14ac:dyDescent="0.25">
      <c r="B2046" s="529">
        <v>2041001</v>
      </c>
      <c r="C2046" s="529">
        <v>2042</v>
      </c>
      <c r="E2046" s="534">
        <v>0</v>
      </c>
      <c r="F2046" s="534">
        <v>0</v>
      </c>
      <c r="G2046" s="534">
        <v>4</v>
      </c>
      <c r="I2046" s="534">
        <v>0</v>
      </c>
      <c r="J2046" s="534">
        <v>0</v>
      </c>
      <c r="K2046" s="534">
        <v>0</v>
      </c>
      <c r="M2046" s="617">
        <f t="shared" si="64"/>
        <v>0</v>
      </c>
      <c r="N2046" s="617">
        <f t="shared" si="65"/>
        <v>4</v>
      </c>
      <c r="O2046" s="617"/>
    </row>
    <row r="2047" spans="2:15" ht="15" x14ac:dyDescent="0.25">
      <c r="B2047" s="529">
        <v>2042001</v>
      </c>
      <c r="C2047" s="529">
        <v>2043</v>
      </c>
      <c r="E2047" s="534">
        <v>0</v>
      </c>
      <c r="F2047" s="534">
        <v>0</v>
      </c>
      <c r="G2047" s="534">
        <v>4</v>
      </c>
      <c r="I2047" s="534">
        <v>0</v>
      </c>
      <c r="J2047" s="534">
        <v>0</v>
      </c>
      <c r="K2047" s="534">
        <v>0</v>
      </c>
      <c r="M2047" s="617">
        <f t="shared" si="64"/>
        <v>0</v>
      </c>
      <c r="N2047" s="617">
        <f t="shared" si="65"/>
        <v>4</v>
      </c>
      <c r="O2047" s="617"/>
    </row>
    <row r="2048" spans="2:15" ht="15" x14ac:dyDescent="0.25">
      <c r="B2048" s="529">
        <v>2043001</v>
      </c>
      <c r="C2048" s="529">
        <v>2044</v>
      </c>
      <c r="E2048" s="534">
        <v>0</v>
      </c>
      <c r="F2048" s="534">
        <v>0</v>
      </c>
      <c r="G2048" s="534">
        <v>4</v>
      </c>
      <c r="I2048" s="534">
        <v>0</v>
      </c>
      <c r="J2048" s="534">
        <v>0</v>
      </c>
      <c r="K2048" s="534">
        <v>0</v>
      </c>
      <c r="M2048" s="617">
        <f t="shared" si="64"/>
        <v>0</v>
      </c>
      <c r="N2048" s="617">
        <f t="shared" si="65"/>
        <v>4</v>
      </c>
      <c r="O2048" s="617"/>
    </row>
    <row r="2049" spans="2:15" ht="15" x14ac:dyDescent="0.25">
      <c r="B2049" s="529">
        <v>2044001</v>
      </c>
      <c r="C2049" s="529">
        <v>2045</v>
      </c>
      <c r="E2049" s="534">
        <v>0</v>
      </c>
      <c r="F2049" s="534">
        <v>0</v>
      </c>
      <c r="G2049" s="534">
        <v>4</v>
      </c>
      <c r="I2049" s="534">
        <v>0</v>
      </c>
      <c r="J2049" s="534">
        <v>0</v>
      </c>
      <c r="K2049" s="534">
        <v>0</v>
      </c>
      <c r="M2049" s="617">
        <f t="shared" si="64"/>
        <v>0</v>
      </c>
      <c r="N2049" s="617">
        <f t="shared" si="65"/>
        <v>4</v>
      </c>
      <c r="O2049" s="617"/>
    </row>
    <row r="2050" spans="2:15" ht="15" x14ac:dyDescent="0.25">
      <c r="B2050" s="529">
        <v>2045001</v>
      </c>
      <c r="C2050" s="529">
        <v>2046</v>
      </c>
      <c r="E2050" s="534">
        <v>0</v>
      </c>
      <c r="F2050" s="534">
        <v>0</v>
      </c>
      <c r="G2050" s="534">
        <v>4</v>
      </c>
      <c r="I2050" s="534">
        <v>0</v>
      </c>
      <c r="J2050" s="534">
        <v>0</v>
      </c>
      <c r="K2050" s="534">
        <v>0</v>
      </c>
      <c r="M2050" s="617">
        <f t="shared" si="64"/>
        <v>0</v>
      </c>
      <c r="N2050" s="617">
        <f t="shared" si="65"/>
        <v>4</v>
      </c>
      <c r="O2050" s="617"/>
    </row>
    <row r="2051" spans="2:15" ht="15" x14ac:dyDescent="0.25">
      <c r="B2051" s="529">
        <v>2046001</v>
      </c>
      <c r="C2051" s="529">
        <v>2047</v>
      </c>
      <c r="E2051" s="534">
        <v>0</v>
      </c>
      <c r="F2051" s="534">
        <v>0</v>
      </c>
      <c r="G2051" s="534">
        <v>4</v>
      </c>
      <c r="I2051" s="534">
        <v>0</v>
      </c>
      <c r="J2051" s="534">
        <v>0</v>
      </c>
      <c r="K2051" s="534">
        <v>0</v>
      </c>
      <c r="M2051" s="617">
        <f t="shared" si="64"/>
        <v>0</v>
      </c>
      <c r="N2051" s="617">
        <f t="shared" si="65"/>
        <v>4</v>
      </c>
      <c r="O2051" s="617"/>
    </row>
    <row r="2052" spans="2:15" ht="15" x14ac:dyDescent="0.25">
      <c r="B2052" s="529">
        <v>2047001</v>
      </c>
      <c r="C2052" s="529">
        <v>2048</v>
      </c>
      <c r="E2052" s="534">
        <v>0</v>
      </c>
      <c r="F2052" s="534">
        <v>0</v>
      </c>
      <c r="G2052" s="534">
        <v>4</v>
      </c>
      <c r="I2052" s="534">
        <v>0</v>
      </c>
      <c r="J2052" s="534">
        <v>0</v>
      </c>
      <c r="K2052" s="534">
        <v>0</v>
      </c>
      <c r="M2052" s="617">
        <f t="shared" si="64"/>
        <v>0</v>
      </c>
      <c r="N2052" s="617">
        <f t="shared" si="65"/>
        <v>4</v>
      </c>
      <c r="O2052" s="617"/>
    </row>
    <row r="2053" spans="2:15" ht="15" x14ac:dyDescent="0.25">
      <c r="B2053" s="529">
        <v>2048001</v>
      </c>
      <c r="C2053" s="529">
        <v>2049</v>
      </c>
      <c r="E2053" s="534">
        <v>0</v>
      </c>
      <c r="F2053" s="534">
        <v>0</v>
      </c>
      <c r="G2053" s="534">
        <v>4</v>
      </c>
      <c r="I2053" s="534">
        <v>0</v>
      </c>
      <c r="J2053" s="534">
        <v>0</v>
      </c>
      <c r="K2053" s="534">
        <v>0</v>
      </c>
      <c r="M2053" s="617">
        <f t="shared" ref="M2053:M2116" si="66">I2053+E2053</f>
        <v>0</v>
      </c>
      <c r="N2053" s="617">
        <f t="shared" ref="N2053:N2116" si="67">K2053+G2053</f>
        <v>4</v>
      </c>
      <c r="O2053" s="617"/>
    </row>
    <row r="2054" spans="2:15" ht="15" x14ac:dyDescent="0.25">
      <c r="B2054" s="529">
        <v>2049001</v>
      </c>
      <c r="C2054" s="529">
        <v>2050</v>
      </c>
      <c r="E2054" s="534">
        <v>0</v>
      </c>
      <c r="F2054" s="534">
        <v>0</v>
      </c>
      <c r="G2054" s="534">
        <v>4</v>
      </c>
      <c r="I2054" s="534">
        <v>0</v>
      </c>
      <c r="J2054" s="534">
        <v>0</v>
      </c>
      <c r="K2054" s="534">
        <v>0</v>
      </c>
      <c r="M2054" s="617">
        <f t="shared" si="66"/>
        <v>0</v>
      </c>
      <c r="N2054" s="617">
        <f t="shared" si="67"/>
        <v>4</v>
      </c>
      <c r="O2054" s="617"/>
    </row>
    <row r="2055" spans="2:15" ht="15" x14ac:dyDescent="0.25">
      <c r="B2055" s="529">
        <v>2050001</v>
      </c>
      <c r="C2055" s="529">
        <v>2051</v>
      </c>
      <c r="E2055" s="534">
        <v>0</v>
      </c>
      <c r="F2055" s="534">
        <v>0</v>
      </c>
      <c r="G2055" s="534">
        <v>4</v>
      </c>
      <c r="I2055" s="534">
        <v>0</v>
      </c>
      <c r="J2055" s="534">
        <v>0</v>
      </c>
      <c r="K2055" s="534">
        <v>0</v>
      </c>
      <c r="M2055" s="617">
        <f t="shared" si="66"/>
        <v>0</v>
      </c>
      <c r="N2055" s="617">
        <f t="shared" si="67"/>
        <v>4</v>
      </c>
      <c r="O2055" s="617"/>
    </row>
    <row r="2056" spans="2:15" ht="15" x14ac:dyDescent="0.25">
      <c r="B2056" s="529">
        <v>2051001</v>
      </c>
      <c r="C2056" s="529">
        <v>2052</v>
      </c>
      <c r="E2056" s="534">
        <v>0</v>
      </c>
      <c r="F2056" s="534">
        <v>0</v>
      </c>
      <c r="G2056" s="534">
        <v>4</v>
      </c>
      <c r="I2056" s="534">
        <v>0</v>
      </c>
      <c r="J2056" s="534">
        <v>0</v>
      </c>
      <c r="K2056" s="534">
        <v>0</v>
      </c>
      <c r="M2056" s="617">
        <f t="shared" si="66"/>
        <v>0</v>
      </c>
      <c r="N2056" s="617">
        <f t="shared" si="67"/>
        <v>4</v>
      </c>
      <c r="O2056" s="617"/>
    </row>
    <row r="2057" spans="2:15" ht="15" x14ac:dyDescent="0.25">
      <c r="B2057" s="529">
        <v>2052001</v>
      </c>
      <c r="C2057" s="529">
        <v>2053</v>
      </c>
      <c r="E2057" s="534">
        <v>0</v>
      </c>
      <c r="F2057" s="534">
        <v>0</v>
      </c>
      <c r="G2057" s="534">
        <v>4</v>
      </c>
      <c r="I2057" s="534">
        <v>0</v>
      </c>
      <c r="J2057" s="534">
        <v>0</v>
      </c>
      <c r="K2057" s="534">
        <v>0</v>
      </c>
      <c r="M2057" s="617">
        <f t="shared" si="66"/>
        <v>0</v>
      </c>
      <c r="N2057" s="617">
        <f t="shared" si="67"/>
        <v>4</v>
      </c>
      <c r="O2057" s="617"/>
    </row>
    <row r="2058" spans="2:15" ht="15" x14ac:dyDescent="0.25">
      <c r="B2058" s="529">
        <v>2053001</v>
      </c>
      <c r="C2058" s="529">
        <v>2054</v>
      </c>
      <c r="E2058" s="534">
        <v>0</v>
      </c>
      <c r="F2058" s="534">
        <v>0</v>
      </c>
      <c r="G2058" s="534">
        <v>4</v>
      </c>
      <c r="I2058" s="534">
        <v>0</v>
      </c>
      <c r="J2058" s="534">
        <v>0</v>
      </c>
      <c r="K2058" s="534">
        <v>0</v>
      </c>
      <c r="M2058" s="617">
        <f t="shared" si="66"/>
        <v>0</v>
      </c>
      <c r="N2058" s="617">
        <f t="shared" si="67"/>
        <v>4</v>
      </c>
      <c r="O2058" s="617"/>
    </row>
    <row r="2059" spans="2:15" ht="15" x14ac:dyDescent="0.25">
      <c r="B2059" s="529">
        <v>2054001</v>
      </c>
      <c r="C2059" s="529">
        <v>2055</v>
      </c>
      <c r="E2059" s="534">
        <v>0</v>
      </c>
      <c r="F2059" s="534">
        <v>0</v>
      </c>
      <c r="G2059" s="534">
        <v>4</v>
      </c>
      <c r="I2059" s="534">
        <v>0</v>
      </c>
      <c r="J2059" s="534">
        <v>0</v>
      </c>
      <c r="K2059" s="534">
        <v>0</v>
      </c>
      <c r="M2059" s="617">
        <f t="shared" si="66"/>
        <v>0</v>
      </c>
      <c r="N2059" s="617">
        <f t="shared" si="67"/>
        <v>4</v>
      </c>
      <c r="O2059" s="617"/>
    </row>
    <row r="2060" spans="2:15" ht="15" x14ac:dyDescent="0.25">
      <c r="B2060" s="529">
        <v>2055001</v>
      </c>
      <c r="C2060" s="529">
        <v>2056</v>
      </c>
      <c r="E2060" s="534">
        <v>0</v>
      </c>
      <c r="F2060" s="534">
        <v>0</v>
      </c>
      <c r="G2060" s="534">
        <v>4</v>
      </c>
      <c r="I2060" s="534">
        <v>0</v>
      </c>
      <c r="J2060" s="534">
        <v>0</v>
      </c>
      <c r="K2060" s="534">
        <v>0</v>
      </c>
      <c r="M2060" s="617">
        <f t="shared" si="66"/>
        <v>0</v>
      </c>
      <c r="N2060" s="617">
        <f t="shared" si="67"/>
        <v>4</v>
      </c>
      <c r="O2060" s="617"/>
    </row>
    <row r="2061" spans="2:15" ht="15" x14ac:dyDescent="0.25">
      <c r="B2061" s="529">
        <v>2056001</v>
      </c>
      <c r="C2061" s="529">
        <v>2057</v>
      </c>
      <c r="E2061" s="534">
        <v>0</v>
      </c>
      <c r="F2061" s="534">
        <v>0</v>
      </c>
      <c r="G2061" s="534">
        <v>4</v>
      </c>
      <c r="I2061" s="534">
        <v>0</v>
      </c>
      <c r="J2061" s="534">
        <v>0</v>
      </c>
      <c r="K2061" s="534">
        <v>0</v>
      </c>
      <c r="M2061" s="617">
        <f t="shared" si="66"/>
        <v>0</v>
      </c>
      <c r="N2061" s="617">
        <f t="shared" si="67"/>
        <v>4</v>
      </c>
      <c r="O2061" s="617"/>
    </row>
    <row r="2062" spans="2:15" ht="15" x14ac:dyDescent="0.25">
      <c r="B2062" s="529">
        <v>2057001</v>
      </c>
      <c r="C2062" s="529">
        <v>2058</v>
      </c>
      <c r="E2062" s="534">
        <v>0</v>
      </c>
      <c r="F2062" s="534">
        <v>0</v>
      </c>
      <c r="G2062" s="534">
        <v>4</v>
      </c>
      <c r="I2062" s="534">
        <v>0</v>
      </c>
      <c r="J2062" s="534">
        <v>0</v>
      </c>
      <c r="K2062" s="534">
        <v>0</v>
      </c>
      <c r="M2062" s="617">
        <f t="shared" si="66"/>
        <v>0</v>
      </c>
      <c r="N2062" s="617">
        <f t="shared" si="67"/>
        <v>4</v>
      </c>
      <c r="O2062" s="617"/>
    </row>
    <row r="2063" spans="2:15" ht="15" x14ac:dyDescent="0.25">
      <c r="B2063" s="529">
        <v>2058001</v>
      </c>
      <c r="C2063" s="529">
        <v>2059</v>
      </c>
      <c r="E2063" s="534">
        <v>0</v>
      </c>
      <c r="F2063" s="534">
        <v>0</v>
      </c>
      <c r="G2063" s="534">
        <v>4</v>
      </c>
      <c r="I2063" s="534">
        <v>0</v>
      </c>
      <c r="J2063" s="534">
        <v>0</v>
      </c>
      <c r="K2063" s="534">
        <v>0</v>
      </c>
      <c r="M2063" s="617">
        <f t="shared" si="66"/>
        <v>0</v>
      </c>
      <c r="N2063" s="617">
        <f t="shared" si="67"/>
        <v>4</v>
      </c>
      <c r="O2063" s="617"/>
    </row>
    <row r="2064" spans="2:15" ht="15" x14ac:dyDescent="0.25">
      <c r="B2064" s="529">
        <v>2059001</v>
      </c>
      <c r="C2064" s="529">
        <v>2060</v>
      </c>
      <c r="E2064" s="534">
        <v>0</v>
      </c>
      <c r="F2064" s="534">
        <v>0</v>
      </c>
      <c r="G2064" s="534">
        <v>4</v>
      </c>
      <c r="I2064" s="534">
        <v>0</v>
      </c>
      <c r="J2064" s="534">
        <v>0</v>
      </c>
      <c r="K2064" s="534">
        <v>0</v>
      </c>
      <c r="M2064" s="617">
        <f t="shared" si="66"/>
        <v>0</v>
      </c>
      <c r="N2064" s="617">
        <f t="shared" si="67"/>
        <v>4</v>
      </c>
      <c r="O2064" s="617"/>
    </row>
    <row r="2065" spans="2:15" ht="15" x14ac:dyDescent="0.25">
      <c r="B2065" s="529">
        <v>2060001</v>
      </c>
      <c r="C2065" s="529">
        <v>2061</v>
      </c>
      <c r="E2065" s="534">
        <v>0</v>
      </c>
      <c r="F2065" s="534">
        <v>0</v>
      </c>
      <c r="G2065" s="534">
        <v>4</v>
      </c>
      <c r="I2065" s="534">
        <v>0</v>
      </c>
      <c r="J2065" s="534">
        <v>0</v>
      </c>
      <c r="K2065" s="534">
        <v>0</v>
      </c>
      <c r="M2065" s="617">
        <f t="shared" si="66"/>
        <v>0</v>
      </c>
      <c r="N2065" s="617">
        <f t="shared" si="67"/>
        <v>4</v>
      </c>
      <c r="O2065" s="617"/>
    </row>
    <row r="2066" spans="2:15" ht="15" x14ac:dyDescent="0.25">
      <c r="B2066" s="529">
        <v>2061001</v>
      </c>
      <c r="C2066" s="529">
        <v>2062</v>
      </c>
      <c r="E2066" s="534">
        <v>1</v>
      </c>
      <c r="F2066" s="534">
        <v>2062</v>
      </c>
      <c r="G2066" s="534">
        <v>4</v>
      </c>
      <c r="I2066" s="534">
        <v>0</v>
      </c>
      <c r="J2066" s="534">
        <v>0</v>
      </c>
      <c r="K2066" s="534">
        <v>0</v>
      </c>
      <c r="M2066" s="617">
        <f t="shared" si="66"/>
        <v>1</v>
      </c>
      <c r="N2066" s="617">
        <f t="shared" si="67"/>
        <v>4</v>
      </c>
      <c r="O2066" s="617"/>
    </row>
    <row r="2067" spans="2:15" ht="15" x14ac:dyDescent="0.25">
      <c r="B2067" s="529">
        <v>2062001</v>
      </c>
      <c r="C2067" s="529">
        <v>2063</v>
      </c>
      <c r="E2067" s="534">
        <v>0</v>
      </c>
      <c r="F2067" s="534">
        <v>0</v>
      </c>
      <c r="G2067" s="534">
        <v>3</v>
      </c>
      <c r="I2067" s="534">
        <v>0</v>
      </c>
      <c r="J2067" s="534">
        <v>0</v>
      </c>
      <c r="K2067" s="534">
        <v>0</v>
      </c>
      <c r="M2067" s="617">
        <f t="shared" si="66"/>
        <v>0</v>
      </c>
      <c r="N2067" s="617">
        <f t="shared" si="67"/>
        <v>3</v>
      </c>
      <c r="O2067" s="617"/>
    </row>
    <row r="2068" spans="2:15" ht="15" x14ac:dyDescent="0.25">
      <c r="B2068" s="529">
        <v>2063001</v>
      </c>
      <c r="C2068" s="529">
        <v>2064</v>
      </c>
      <c r="E2068" s="534">
        <v>0</v>
      </c>
      <c r="F2068" s="534">
        <v>0</v>
      </c>
      <c r="G2068" s="534">
        <v>3</v>
      </c>
      <c r="I2068" s="534">
        <v>0</v>
      </c>
      <c r="J2068" s="534">
        <v>0</v>
      </c>
      <c r="K2068" s="534">
        <v>0</v>
      </c>
      <c r="M2068" s="617">
        <f t="shared" si="66"/>
        <v>0</v>
      </c>
      <c r="N2068" s="617">
        <f t="shared" si="67"/>
        <v>3</v>
      </c>
      <c r="O2068" s="617"/>
    </row>
    <row r="2069" spans="2:15" ht="15" x14ac:dyDescent="0.25">
      <c r="B2069" s="529">
        <v>2064001</v>
      </c>
      <c r="C2069" s="529">
        <v>2065</v>
      </c>
      <c r="E2069" s="534">
        <v>0</v>
      </c>
      <c r="F2069" s="534">
        <v>0</v>
      </c>
      <c r="G2069" s="534">
        <v>3</v>
      </c>
      <c r="I2069" s="534">
        <v>0</v>
      </c>
      <c r="J2069" s="534">
        <v>0</v>
      </c>
      <c r="K2069" s="534">
        <v>0</v>
      </c>
      <c r="M2069" s="617">
        <f t="shared" si="66"/>
        <v>0</v>
      </c>
      <c r="N2069" s="617">
        <f t="shared" si="67"/>
        <v>3</v>
      </c>
      <c r="O2069" s="617"/>
    </row>
    <row r="2070" spans="2:15" ht="15" x14ac:dyDescent="0.25">
      <c r="B2070" s="529">
        <v>2065001</v>
      </c>
      <c r="C2070" s="529">
        <v>2066</v>
      </c>
      <c r="E2070" s="534">
        <v>0</v>
      </c>
      <c r="F2070" s="534">
        <v>0</v>
      </c>
      <c r="G2070" s="534">
        <v>3</v>
      </c>
      <c r="I2070" s="534">
        <v>0</v>
      </c>
      <c r="J2070" s="534">
        <v>0</v>
      </c>
      <c r="K2070" s="534">
        <v>0</v>
      </c>
      <c r="M2070" s="617">
        <f t="shared" si="66"/>
        <v>0</v>
      </c>
      <c r="N2070" s="617">
        <f t="shared" si="67"/>
        <v>3</v>
      </c>
      <c r="O2070" s="617"/>
    </row>
    <row r="2071" spans="2:15" ht="15" x14ac:dyDescent="0.25">
      <c r="B2071" s="529">
        <v>2066001</v>
      </c>
      <c r="C2071" s="529">
        <v>2067</v>
      </c>
      <c r="E2071" s="534">
        <v>0</v>
      </c>
      <c r="F2071" s="534">
        <v>0</v>
      </c>
      <c r="G2071" s="534">
        <v>3</v>
      </c>
      <c r="I2071" s="534">
        <v>0</v>
      </c>
      <c r="J2071" s="534">
        <v>0</v>
      </c>
      <c r="K2071" s="534">
        <v>0</v>
      </c>
      <c r="M2071" s="617">
        <f t="shared" si="66"/>
        <v>0</v>
      </c>
      <c r="N2071" s="617">
        <f t="shared" si="67"/>
        <v>3</v>
      </c>
      <c r="O2071" s="617"/>
    </row>
    <row r="2072" spans="2:15" ht="15" x14ac:dyDescent="0.25">
      <c r="B2072" s="529">
        <v>2067001</v>
      </c>
      <c r="C2072" s="529">
        <v>2068</v>
      </c>
      <c r="E2072" s="534">
        <v>0</v>
      </c>
      <c r="F2072" s="534">
        <v>0</v>
      </c>
      <c r="G2072" s="534">
        <v>3</v>
      </c>
      <c r="I2072" s="534">
        <v>0</v>
      </c>
      <c r="J2072" s="534">
        <v>0</v>
      </c>
      <c r="K2072" s="534">
        <v>0</v>
      </c>
      <c r="M2072" s="617">
        <f t="shared" si="66"/>
        <v>0</v>
      </c>
      <c r="N2072" s="617">
        <f t="shared" si="67"/>
        <v>3</v>
      </c>
      <c r="O2072" s="617"/>
    </row>
    <row r="2073" spans="2:15" ht="15" x14ac:dyDescent="0.25">
      <c r="B2073" s="529">
        <v>2068001</v>
      </c>
      <c r="C2073" s="529">
        <v>2069</v>
      </c>
      <c r="E2073" s="534">
        <v>0</v>
      </c>
      <c r="F2073" s="534">
        <v>0</v>
      </c>
      <c r="G2073" s="534">
        <v>3</v>
      </c>
      <c r="I2073" s="534">
        <v>0</v>
      </c>
      <c r="J2073" s="534">
        <v>0</v>
      </c>
      <c r="K2073" s="534">
        <v>0</v>
      </c>
      <c r="M2073" s="617">
        <f t="shared" si="66"/>
        <v>0</v>
      </c>
      <c r="N2073" s="617">
        <f t="shared" si="67"/>
        <v>3</v>
      </c>
      <c r="O2073" s="617"/>
    </row>
    <row r="2074" spans="2:15" ht="15" x14ac:dyDescent="0.25">
      <c r="B2074" s="529">
        <v>2069001</v>
      </c>
      <c r="C2074" s="529">
        <v>2070</v>
      </c>
      <c r="E2074" s="534">
        <v>0</v>
      </c>
      <c r="F2074" s="534">
        <v>0</v>
      </c>
      <c r="G2074" s="534">
        <v>3</v>
      </c>
      <c r="I2074" s="534">
        <v>0</v>
      </c>
      <c r="J2074" s="534">
        <v>0</v>
      </c>
      <c r="K2074" s="534">
        <v>0</v>
      </c>
      <c r="M2074" s="617">
        <f t="shared" si="66"/>
        <v>0</v>
      </c>
      <c r="N2074" s="617">
        <f t="shared" si="67"/>
        <v>3</v>
      </c>
      <c r="O2074" s="617"/>
    </row>
    <row r="2075" spans="2:15" ht="15" x14ac:dyDescent="0.25">
      <c r="B2075" s="529">
        <v>2070001</v>
      </c>
      <c r="C2075" s="529">
        <v>2071</v>
      </c>
      <c r="E2075" s="534">
        <v>0</v>
      </c>
      <c r="F2075" s="534">
        <v>0</v>
      </c>
      <c r="G2075" s="534">
        <v>3</v>
      </c>
      <c r="I2075" s="534">
        <v>0</v>
      </c>
      <c r="J2075" s="534">
        <v>0</v>
      </c>
      <c r="K2075" s="534">
        <v>0</v>
      </c>
      <c r="M2075" s="617">
        <f t="shared" si="66"/>
        <v>0</v>
      </c>
      <c r="N2075" s="617">
        <f t="shared" si="67"/>
        <v>3</v>
      </c>
      <c r="O2075" s="617"/>
    </row>
    <row r="2076" spans="2:15" ht="15" x14ac:dyDescent="0.25">
      <c r="B2076" s="529">
        <v>2071001</v>
      </c>
      <c r="C2076" s="529">
        <v>2072</v>
      </c>
      <c r="E2076" s="534">
        <v>0</v>
      </c>
      <c r="F2076" s="534">
        <v>0</v>
      </c>
      <c r="G2076" s="534">
        <v>3</v>
      </c>
      <c r="I2076" s="534">
        <v>0</v>
      </c>
      <c r="J2076" s="534">
        <v>0</v>
      </c>
      <c r="K2076" s="534">
        <v>0</v>
      </c>
      <c r="M2076" s="617">
        <f t="shared" si="66"/>
        <v>0</v>
      </c>
      <c r="N2076" s="617">
        <f t="shared" si="67"/>
        <v>3</v>
      </c>
      <c r="O2076" s="617"/>
    </row>
    <row r="2077" spans="2:15" ht="15" x14ac:dyDescent="0.25">
      <c r="B2077" s="529">
        <v>2072001</v>
      </c>
      <c r="C2077" s="529">
        <v>2073</v>
      </c>
      <c r="E2077" s="534">
        <v>0</v>
      </c>
      <c r="F2077" s="534">
        <v>0</v>
      </c>
      <c r="G2077" s="534">
        <v>3</v>
      </c>
      <c r="I2077" s="534">
        <v>0</v>
      </c>
      <c r="J2077" s="534">
        <v>0</v>
      </c>
      <c r="K2077" s="534">
        <v>0</v>
      </c>
      <c r="M2077" s="617">
        <f t="shared" si="66"/>
        <v>0</v>
      </c>
      <c r="N2077" s="617">
        <f t="shared" si="67"/>
        <v>3</v>
      </c>
      <c r="O2077" s="617"/>
    </row>
    <row r="2078" spans="2:15" ht="15" x14ac:dyDescent="0.25">
      <c r="B2078" s="529">
        <v>2073001</v>
      </c>
      <c r="C2078" s="529">
        <v>2074</v>
      </c>
      <c r="E2078" s="534">
        <v>0</v>
      </c>
      <c r="F2078" s="534">
        <v>0</v>
      </c>
      <c r="G2078" s="534">
        <v>3</v>
      </c>
      <c r="I2078" s="534">
        <v>0</v>
      </c>
      <c r="J2078" s="534">
        <v>0</v>
      </c>
      <c r="K2078" s="534">
        <v>0</v>
      </c>
      <c r="M2078" s="617">
        <f t="shared" si="66"/>
        <v>0</v>
      </c>
      <c r="N2078" s="617">
        <f t="shared" si="67"/>
        <v>3</v>
      </c>
      <c r="O2078" s="617"/>
    </row>
    <row r="2079" spans="2:15" ht="15" x14ac:dyDescent="0.25">
      <c r="B2079" s="529">
        <v>2074001</v>
      </c>
      <c r="C2079" s="529">
        <v>2075</v>
      </c>
      <c r="E2079" s="534">
        <v>0</v>
      </c>
      <c r="F2079" s="534">
        <v>0</v>
      </c>
      <c r="G2079" s="534">
        <v>3</v>
      </c>
      <c r="I2079" s="534">
        <v>0</v>
      </c>
      <c r="J2079" s="534">
        <v>0</v>
      </c>
      <c r="K2079" s="534">
        <v>0</v>
      </c>
      <c r="M2079" s="617">
        <f t="shared" si="66"/>
        <v>0</v>
      </c>
      <c r="N2079" s="617">
        <f t="shared" si="67"/>
        <v>3</v>
      </c>
      <c r="O2079" s="617"/>
    </row>
    <row r="2080" spans="2:15" ht="15" x14ac:dyDescent="0.25">
      <c r="B2080" s="529">
        <v>2075001</v>
      </c>
      <c r="C2080" s="529">
        <v>2076</v>
      </c>
      <c r="E2080" s="534">
        <v>0</v>
      </c>
      <c r="F2080" s="534">
        <v>0</v>
      </c>
      <c r="G2080" s="534">
        <v>3</v>
      </c>
      <c r="I2080" s="534">
        <v>0</v>
      </c>
      <c r="J2080" s="534">
        <v>0</v>
      </c>
      <c r="K2080" s="534">
        <v>0</v>
      </c>
      <c r="M2080" s="617">
        <f t="shared" si="66"/>
        <v>0</v>
      </c>
      <c r="N2080" s="617">
        <f t="shared" si="67"/>
        <v>3</v>
      </c>
      <c r="O2080" s="617"/>
    </row>
    <row r="2081" spans="2:15" ht="15" x14ac:dyDescent="0.25">
      <c r="B2081" s="529">
        <v>2076001</v>
      </c>
      <c r="C2081" s="529">
        <v>2077</v>
      </c>
      <c r="E2081" s="534">
        <v>0</v>
      </c>
      <c r="F2081" s="534">
        <v>0</v>
      </c>
      <c r="G2081" s="534">
        <v>3</v>
      </c>
      <c r="I2081" s="534">
        <v>0</v>
      </c>
      <c r="J2081" s="534">
        <v>0</v>
      </c>
      <c r="K2081" s="534">
        <v>0</v>
      </c>
      <c r="M2081" s="617">
        <f t="shared" si="66"/>
        <v>0</v>
      </c>
      <c r="N2081" s="617">
        <f t="shared" si="67"/>
        <v>3</v>
      </c>
      <c r="O2081" s="617"/>
    </row>
    <row r="2082" spans="2:15" ht="15" x14ac:dyDescent="0.25">
      <c r="B2082" s="529">
        <v>2077001</v>
      </c>
      <c r="C2082" s="529">
        <v>2078</v>
      </c>
      <c r="E2082" s="534">
        <v>0</v>
      </c>
      <c r="F2082" s="534">
        <v>0</v>
      </c>
      <c r="G2082" s="534">
        <v>3</v>
      </c>
      <c r="I2082" s="534">
        <v>0</v>
      </c>
      <c r="J2082" s="534">
        <v>0</v>
      </c>
      <c r="K2082" s="534">
        <v>0</v>
      </c>
      <c r="M2082" s="617">
        <f t="shared" si="66"/>
        <v>0</v>
      </c>
      <c r="N2082" s="617">
        <f t="shared" si="67"/>
        <v>3</v>
      </c>
      <c r="O2082" s="617"/>
    </row>
    <row r="2083" spans="2:15" ht="15" x14ac:dyDescent="0.25">
      <c r="B2083" s="529">
        <v>2078001</v>
      </c>
      <c r="C2083" s="529">
        <v>2079</v>
      </c>
      <c r="E2083" s="534">
        <v>0</v>
      </c>
      <c r="F2083" s="534">
        <v>0</v>
      </c>
      <c r="G2083" s="534">
        <v>3</v>
      </c>
      <c r="I2083" s="534">
        <v>0</v>
      </c>
      <c r="J2083" s="534">
        <v>0</v>
      </c>
      <c r="K2083" s="534">
        <v>0</v>
      </c>
      <c r="M2083" s="617">
        <f t="shared" si="66"/>
        <v>0</v>
      </c>
      <c r="N2083" s="617">
        <f t="shared" si="67"/>
        <v>3</v>
      </c>
      <c r="O2083" s="617"/>
    </row>
    <row r="2084" spans="2:15" ht="15" x14ac:dyDescent="0.25">
      <c r="B2084" s="529">
        <v>2079001</v>
      </c>
      <c r="C2084" s="529">
        <v>2080</v>
      </c>
      <c r="E2084" s="534">
        <v>0</v>
      </c>
      <c r="F2084" s="534">
        <v>0</v>
      </c>
      <c r="G2084" s="534">
        <v>3</v>
      </c>
      <c r="I2084" s="534">
        <v>0</v>
      </c>
      <c r="J2084" s="534">
        <v>0</v>
      </c>
      <c r="K2084" s="534">
        <v>0</v>
      </c>
      <c r="M2084" s="617">
        <f t="shared" si="66"/>
        <v>0</v>
      </c>
      <c r="N2084" s="617">
        <f t="shared" si="67"/>
        <v>3</v>
      </c>
      <c r="O2084" s="617"/>
    </row>
    <row r="2085" spans="2:15" ht="15" x14ac:dyDescent="0.25">
      <c r="B2085" s="529">
        <v>2080001</v>
      </c>
      <c r="C2085" s="529">
        <v>2081</v>
      </c>
      <c r="E2085" s="534">
        <v>0</v>
      </c>
      <c r="F2085" s="534">
        <v>0</v>
      </c>
      <c r="G2085" s="534">
        <v>3</v>
      </c>
      <c r="I2085" s="534">
        <v>0</v>
      </c>
      <c r="J2085" s="534">
        <v>0</v>
      </c>
      <c r="K2085" s="534">
        <v>0</v>
      </c>
      <c r="M2085" s="617">
        <f t="shared" si="66"/>
        <v>0</v>
      </c>
      <c r="N2085" s="617">
        <f t="shared" si="67"/>
        <v>3</v>
      </c>
      <c r="O2085" s="617"/>
    </row>
    <row r="2086" spans="2:15" ht="15" x14ac:dyDescent="0.25">
      <c r="B2086" s="529">
        <v>2081001</v>
      </c>
      <c r="C2086" s="529">
        <v>2082</v>
      </c>
      <c r="E2086" s="534">
        <v>0</v>
      </c>
      <c r="F2086" s="534">
        <v>0</v>
      </c>
      <c r="G2086" s="534">
        <v>3</v>
      </c>
      <c r="I2086" s="534">
        <v>0</v>
      </c>
      <c r="J2086" s="534">
        <v>0</v>
      </c>
      <c r="K2086" s="534">
        <v>0</v>
      </c>
      <c r="M2086" s="617">
        <f t="shared" si="66"/>
        <v>0</v>
      </c>
      <c r="N2086" s="617">
        <f t="shared" si="67"/>
        <v>3</v>
      </c>
      <c r="O2086" s="617"/>
    </row>
    <row r="2087" spans="2:15" ht="15" x14ac:dyDescent="0.25">
      <c r="B2087" s="529">
        <v>2082001</v>
      </c>
      <c r="C2087" s="529">
        <v>2083</v>
      </c>
      <c r="E2087" s="534">
        <v>0</v>
      </c>
      <c r="F2087" s="534">
        <v>0</v>
      </c>
      <c r="G2087" s="534">
        <v>3</v>
      </c>
      <c r="I2087" s="534">
        <v>0</v>
      </c>
      <c r="J2087" s="534">
        <v>0</v>
      </c>
      <c r="K2087" s="534">
        <v>0</v>
      </c>
      <c r="M2087" s="617">
        <f t="shared" si="66"/>
        <v>0</v>
      </c>
      <c r="N2087" s="617">
        <f t="shared" si="67"/>
        <v>3</v>
      </c>
      <c r="O2087" s="617"/>
    </row>
    <row r="2088" spans="2:15" ht="15" x14ac:dyDescent="0.25">
      <c r="B2088" s="529">
        <v>2083001</v>
      </c>
      <c r="C2088" s="529">
        <v>2084</v>
      </c>
      <c r="E2088" s="534">
        <v>0</v>
      </c>
      <c r="F2088" s="534">
        <v>0</v>
      </c>
      <c r="G2088" s="534">
        <v>3</v>
      </c>
      <c r="I2088" s="534">
        <v>0</v>
      </c>
      <c r="J2088" s="534">
        <v>0</v>
      </c>
      <c r="K2088" s="534">
        <v>0</v>
      </c>
      <c r="M2088" s="617">
        <f t="shared" si="66"/>
        <v>0</v>
      </c>
      <c r="N2088" s="617">
        <f t="shared" si="67"/>
        <v>3</v>
      </c>
      <c r="O2088" s="617"/>
    </row>
    <row r="2089" spans="2:15" ht="15" x14ac:dyDescent="0.25">
      <c r="B2089" s="529">
        <v>2084001</v>
      </c>
      <c r="C2089" s="529">
        <v>2085</v>
      </c>
      <c r="E2089" s="534">
        <v>0</v>
      </c>
      <c r="F2089" s="534">
        <v>0</v>
      </c>
      <c r="G2089" s="534">
        <v>3</v>
      </c>
      <c r="I2089" s="534">
        <v>0</v>
      </c>
      <c r="J2089" s="534">
        <v>0</v>
      </c>
      <c r="K2089" s="534">
        <v>0</v>
      </c>
      <c r="M2089" s="617">
        <f t="shared" si="66"/>
        <v>0</v>
      </c>
      <c r="N2089" s="617">
        <f t="shared" si="67"/>
        <v>3</v>
      </c>
      <c r="O2089" s="617"/>
    </row>
    <row r="2090" spans="2:15" ht="15" x14ac:dyDescent="0.25">
      <c r="B2090" s="529">
        <v>2085001</v>
      </c>
      <c r="C2090" s="529">
        <v>2086</v>
      </c>
      <c r="E2090" s="534">
        <v>0</v>
      </c>
      <c r="F2090" s="534">
        <v>0</v>
      </c>
      <c r="G2090" s="534">
        <v>3</v>
      </c>
      <c r="I2090" s="534">
        <v>0</v>
      </c>
      <c r="J2090" s="534">
        <v>0</v>
      </c>
      <c r="K2090" s="534">
        <v>0</v>
      </c>
      <c r="M2090" s="617">
        <f t="shared" si="66"/>
        <v>0</v>
      </c>
      <c r="N2090" s="617">
        <f t="shared" si="67"/>
        <v>3</v>
      </c>
      <c r="O2090" s="617"/>
    </row>
    <row r="2091" spans="2:15" ht="15" x14ac:dyDescent="0.25">
      <c r="B2091" s="529">
        <v>2086001</v>
      </c>
      <c r="C2091" s="529">
        <v>2087</v>
      </c>
      <c r="E2091" s="534">
        <v>0</v>
      </c>
      <c r="F2091" s="534">
        <v>0</v>
      </c>
      <c r="G2091" s="534">
        <v>3</v>
      </c>
      <c r="I2091" s="534">
        <v>0</v>
      </c>
      <c r="J2091" s="534">
        <v>0</v>
      </c>
      <c r="K2091" s="534">
        <v>0</v>
      </c>
      <c r="M2091" s="617">
        <f t="shared" si="66"/>
        <v>0</v>
      </c>
      <c r="N2091" s="617">
        <f t="shared" si="67"/>
        <v>3</v>
      </c>
      <c r="O2091" s="617"/>
    </row>
    <row r="2092" spans="2:15" ht="15" x14ac:dyDescent="0.25">
      <c r="B2092" s="529">
        <v>2087001</v>
      </c>
      <c r="C2092" s="529">
        <v>2088</v>
      </c>
      <c r="E2092" s="534">
        <v>0</v>
      </c>
      <c r="F2092" s="534">
        <v>0</v>
      </c>
      <c r="G2092" s="534">
        <v>3</v>
      </c>
      <c r="I2092" s="534">
        <v>0</v>
      </c>
      <c r="J2092" s="534">
        <v>0</v>
      </c>
      <c r="K2092" s="534">
        <v>0</v>
      </c>
      <c r="M2092" s="617">
        <f t="shared" si="66"/>
        <v>0</v>
      </c>
      <c r="N2092" s="617">
        <f t="shared" si="67"/>
        <v>3</v>
      </c>
      <c r="O2092" s="617"/>
    </row>
    <row r="2093" spans="2:15" ht="15" x14ac:dyDescent="0.25">
      <c r="B2093" s="529">
        <v>2088001</v>
      </c>
      <c r="C2093" s="529">
        <v>2089</v>
      </c>
      <c r="E2093" s="534">
        <v>0</v>
      </c>
      <c r="F2093" s="534">
        <v>0</v>
      </c>
      <c r="G2093" s="534">
        <v>3</v>
      </c>
      <c r="I2093" s="534">
        <v>0</v>
      </c>
      <c r="J2093" s="534">
        <v>0</v>
      </c>
      <c r="K2093" s="534">
        <v>0</v>
      </c>
      <c r="M2093" s="617">
        <f t="shared" si="66"/>
        <v>0</v>
      </c>
      <c r="N2093" s="617">
        <f t="shared" si="67"/>
        <v>3</v>
      </c>
      <c r="O2093" s="617"/>
    </row>
    <row r="2094" spans="2:15" ht="15" x14ac:dyDescent="0.25">
      <c r="B2094" s="529">
        <v>2089001</v>
      </c>
      <c r="C2094" s="529">
        <v>2090</v>
      </c>
      <c r="E2094" s="534">
        <v>0</v>
      </c>
      <c r="F2094" s="534">
        <v>0</v>
      </c>
      <c r="G2094" s="534">
        <v>3</v>
      </c>
      <c r="I2094" s="534">
        <v>0</v>
      </c>
      <c r="J2094" s="534">
        <v>0</v>
      </c>
      <c r="K2094" s="534">
        <v>0</v>
      </c>
      <c r="M2094" s="617">
        <f t="shared" si="66"/>
        <v>0</v>
      </c>
      <c r="N2094" s="617">
        <f t="shared" si="67"/>
        <v>3</v>
      </c>
      <c r="O2094" s="617"/>
    </row>
    <row r="2095" spans="2:15" ht="15" x14ac:dyDescent="0.25">
      <c r="B2095" s="529">
        <v>2090001</v>
      </c>
      <c r="C2095" s="529">
        <v>2091</v>
      </c>
      <c r="E2095" s="534">
        <v>0</v>
      </c>
      <c r="F2095" s="534">
        <v>0</v>
      </c>
      <c r="G2095" s="534">
        <v>3</v>
      </c>
      <c r="I2095" s="534">
        <v>0</v>
      </c>
      <c r="J2095" s="534">
        <v>0</v>
      </c>
      <c r="K2095" s="534">
        <v>0</v>
      </c>
      <c r="M2095" s="617">
        <f t="shared" si="66"/>
        <v>0</v>
      </c>
      <c r="N2095" s="617">
        <f t="shared" si="67"/>
        <v>3</v>
      </c>
      <c r="O2095" s="617"/>
    </row>
    <row r="2096" spans="2:15" ht="15" x14ac:dyDescent="0.25">
      <c r="B2096" s="529">
        <v>2091001</v>
      </c>
      <c r="C2096" s="529">
        <v>2092</v>
      </c>
      <c r="E2096" s="534">
        <v>0</v>
      </c>
      <c r="F2096" s="534">
        <v>0</v>
      </c>
      <c r="G2096" s="534">
        <v>3</v>
      </c>
      <c r="I2096" s="534">
        <v>0</v>
      </c>
      <c r="J2096" s="534">
        <v>0</v>
      </c>
      <c r="K2096" s="534">
        <v>0</v>
      </c>
      <c r="M2096" s="617">
        <f t="shared" si="66"/>
        <v>0</v>
      </c>
      <c r="N2096" s="617">
        <f t="shared" si="67"/>
        <v>3</v>
      </c>
      <c r="O2096" s="617"/>
    </row>
    <row r="2097" spans="2:15" ht="15" x14ac:dyDescent="0.25">
      <c r="B2097" s="529">
        <v>2092001</v>
      </c>
      <c r="C2097" s="529">
        <v>2093</v>
      </c>
      <c r="E2097" s="534">
        <v>0</v>
      </c>
      <c r="F2097" s="534">
        <v>0</v>
      </c>
      <c r="G2097" s="534">
        <v>3</v>
      </c>
      <c r="I2097" s="534">
        <v>0</v>
      </c>
      <c r="J2097" s="534">
        <v>0</v>
      </c>
      <c r="K2097" s="534">
        <v>0</v>
      </c>
      <c r="M2097" s="617">
        <f t="shared" si="66"/>
        <v>0</v>
      </c>
      <c r="N2097" s="617">
        <f t="shared" si="67"/>
        <v>3</v>
      </c>
      <c r="O2097" s="617"/>
    </row>
    <row r="2098" spans="2:15" ht="15" x14ac:dyDescent="0.25">
      <c r="B2098" s="529">
        <v>2093001</v>
      </c>
      <c r="C2098" s="529">
        <v>2094</v>
      </c>
      <c r="E2098" s="534">
        <v>0</v>
      </c>
      <c r="F2098" s="534">
        <v>0</v>
      </c>
      <c r="G2098" s="534">
        <v>3</v>
      </c>
      <c r="I2098" s="534">
        <v>0</v>
      </c>
      <c r="J2098" s="534">
        <v>0</v>
      </c>
      <c r="K2098" s="534">
        <v>0</v>
      </c>
      <c r="M2098" s="617">
        <f t="shared" si="66"/>
        <v>0</v>
      </c>
      <c r="N2098" s="617">
        <f t="shared" si="67"/>
        <v>3</v>
      </c>
      <c r="O2098" s="617"/>
    </row>
    <row r="2099" spans="2:15" ht="15" x14ac:dyDescent="0.25">
      <c r="B2099" s="529">
        <v>2094001</v>
      </c>
      <c r="C2099" s="529">
        <v>2095</v>
      </c>
      <c r="E2099" s="534">
        <v>0</v>
      </c>
      <c r="F2099" s="534">
        <v>0</v>
      </c>
      <c r="G2099" s="534">
        <v>3</v>
      </c>
      <c r="I2099" s="534">
        <v>0</v>
      </c>
      <c r="J2099" s="534">
        <v>0</v>
      </c>
      <c r="K2099" s="534">
        <v>0</v>
      </c>
      <c r="M2099" s="617">
        <f t="shared" si="66"/>
        <v>0</v>
      </c>
      <c r="N2099" s="617">
        <f t="shared" si="67"/>
        <v>3</v>
      </c>
      <c r="O2099" s="617"/>
    </row>
    <row r="2100" spans="2:15" ht="15" x14ac:dyDescent="0.25">
      <c r="B2100" s="529">
        <v>2095001</v>
      </c>
      <c r="C2100" s="529">
        <v>2096</v>
      </c>
      <c r="E2100" s="534">
        <v>0</v>
      </c>
      <c r="F2100" s="534">
        <v>0</v>
      </c>
      <c r="G2100" s="534">
        <v>3</v>
      </c>
      <c r="I2100" s="534">
        <v>0</v>
      </c>
      <c r="J2100" s="534">
        <v>0</v>
      </c>
      <c r="K2100" s="534">
        <v>0</v>
      </c>
      <c r="M2100" s="617">
        <f t="shared" si="66"/>
        <v>0</v>
      </c>
      <c r="N2100" s="617">
        <f t="shared" si="67"/>
        <v>3</v>
      </c>
      <c r="O2100" s="617"/>
    </row>
    <row r="2101" spans="2:15" ht="15" x14ac:dyDescent="0.25">
      <c r="B2101" s="529">
        <v>2096001</v>
      </c>
      <c r="C2101" s="529">
        <v>2097</v>
      </c>
      <c r="E2101" s="534">
        <v>0</v>
      </c>
      <c r="F2101" s="534">
        <v>0</v>
      </c>
      <c r="G2101" s="534">
        <v>3</v>
      </c>
      <c r="I2101" s="534">
        <v>0</v>
      </c>
      <c r="J2101" s="534">
        <v>0</v>
      </c>
      <c r="K2101" s="534">
        <v>0</v>
      </c>
      <c r="M2101" s="617">
        <f t="shared" si="66"/>
        <v>0</v>
      </c>
      <c r="N2101" s="617">
        <f t="shared" si="67"/>
        <v>3</v>
      </c>
      <c r="O2101" s="617"/>
    </row>
    <row r="2102" spans="2:15" ht="15" x14ac:dyDescent="0.25">
      <c r="B2102" s="529">
        <v>2097001</v>
      </c>
      <c r="C2102" s="529">
        <v>2098</v>
      </c>
      <c r="E2102" s="534">
        <v>0</v>
      </c>
      <c r="F2102" s="534">
        <v>0</v>
      </c>
      <c r="G2102" s="534">
        <v>3</v>
      </c>
      <c r="I2102" s="534">
        <v>0</v>
      </c>
      <c r="J2102" s="534">
        <v>0</v>
      </c>
      <c r="K2102" s="534">
        <v>0</v>
      </c>
      <c r="M2102" s="617">
        <f t="shared" si="66"/>
        <v>0</v>
      </c>
      <c r="N2102" s="617">
        <f t="shared" si="67"/>
        <v>3</v>
      </c>
      <c r="O2102" s="617"/>
    </row>
    <row r="2103" spans="2:15" ht="15" x14ac:dyDescent="0.25">
      <c r="B2103" s="529">
        <v>2098001</v>
      </c>
      <c r="C2103" s="529">
        <v>2099</v>
      </c>
      <c r="E2103" s="534">
        <v>0</v>
      </c>
      <c r="F2103" s="534">
        <v>0</v>
      </c>
      <c r="G2103" s="534">
        <v>3</v>
      </c>
      <c r="I2103" s="534">
        <v>0</v>
      </c>
      <c r="J2103" s="534">
        <v>0</v>
      </c>
      <c r="K2103" s="534">
        <v>0</v>
      </c>
      <c r="M2103" s="617">
        <f t="shared" si="66"/>
        <v>0</v>
      </c>
      <c r="N2103" s="617">
        <f t="shared" si="67"/>
        <v>3</v>
      </c>
      <c r="O2103" s="617"/>
    </row>
    <row r="2104" spans="2:15" ht="15" x14ac:dyDescent="0.25">
      <c r="B2104" s="529">
        <v>2099001</v>
      </c>
      <c r="C2104" s="529">
        <v>2100</v>
      </c>
      <c r="E2104" s="534">
        <v>0</v>
      </c>
      <c r="F2104" s="534">
        <v>0</v>
      </c>
      <c r="G2104" s="534">
        <v>3</v>
      </c>
      <c r="I2104" s="534">
        <v>0</v>
      </c>
      <c r="J2104" s="534">
        <v>0</v>
      </c>
      <c r="K2104" s="534">
        <v>0</v>
      </c>
      <c r="M2104" s="617">
        <f t="shared" si="66"/>
        <v>0</v>
      </c>
      <c r="N2104" s="617">
        <f t="shared" si="67"/>
        <v>3</v>
      </c>
      <c r="O2104" s="617"/>
    </row>
    <row r="2105" spans="2:15" ht="15" x14ac:dyDescent="0.25">
      <c r="B2105" s="529">
        <v>2100001</v>
      </c>
      <c r="C2105" s="529">
        <v>2101</v>
      </c>
      <c r="E2105" s="534">
        <v>0</v>
      </c>
      <c r="F2105" s="534">
        <v>0</v>
      </c>
      <c r="G2105" s="534">
        <v>3</v>
      </c>
      <c r="I2105" s="534">
        <v>0</v>
      </c>
      <c r="J2105" s="534">
        <v>0</v>
      </c>
      <c r="K2105" s="534">
        <v>0</v>
      </c>
      <c r="M2105" s="617">
        <f t="shared" si="66"/>
        <v>0</v>
      </c>
      <c r="N2105" s="617">
        <f t="shared" si="67"/>
        <v>3</v>
      </c>
      <c r="O2105" s="617"/>
    </row>
    <row r="2106" spans="2:15" ht="15" x14ac:dyDescent="0.25">
      <c r="B2106" s="529">
        <v>2101001</v>
      </c>
      <c r="C2106" s="529">
        <v>2102</v>
      </c>
      <c r="E2106" s="534">
        <v>0</v>
      </c>
      <c r="F2106" s="534">
        <v>0</v>
      </c>
      <c r="G2106" s="534">
        <v>3</v>
      </c>
      <c r="I2106" s="534">
        <v>0</v>
      </c>
      <c r="J2106" s="534">
        <v>0</v>
      </c>
      <c r="K2106" s="534">
        <v>0</v>
      </c>
      <c r="M2106" s="617">
        <f t="shared" si="66"/>
        <v>0</v>
      </c>
      <c r="N2106" s="617">
        <f t="shared" si="67"/>
        <v>3</v>
      </c>
      <c r="O2106" s="617"/>
    </row>
    <row r="2107" spans="2:15" ht="15" x14ac:dyDescent="0.25">
      <c r="B2107" s="529">
        <v>2102001</v>
      </c>
      <c r="C2107" s="529">
        <v>2103</v>
      </c>
      <c r="E2107" s="534">
        <v>0</v>
      </c>
      <c r="F2107" s="534">
        <v>0</v>
      </c>
      <c r="G2107" s="534">
        <v>3</v>
      </c>
      <c r="I2107" s="534">
        <v>0</v>
      </c>
      <c r="J2107" s="534">
        <v>0</v>
      </c>
      <c r="K2107" s="534">
        <v>0</v>
      </c>
      <c r="M2107" s="617">
        <f t="shared" si="66"/>
        <v>0</v>
      </c>
      <c r="N2107" s="617">
        <f t="shared" si="67"/>
        <v>3</v>
      </c>
      <c r="O2107" s="617"/>
    </row>
    <row r="2108" spans="2:15" ht="15" x14ac:dyDescent="0.25">
      <c r="B2108" s="529">
        <v>2103001</v>
      </c>
      <c r="C2108" s="529">
        <v>2104</v>
      </c>
      <c r="E2108" s="534">
        <v>0</v>
      </c>
      <c r="F2108" s="534">
        <v>0</v>
      </c>
      <c r="G2108" s="534">
        <v>3</v>
      </c>
      <c r="I2108" s="534">
        <v>0</v>
      </c>
      <c r="J2108" s="534">
        <v>0</v>
      </c>
      <c r="K2108" s="534">
        <v>0</v>
      </c>
      <c r="M2108" s="617">
        <f t="shared" si="66"/>
        <v>0</v>
      </c>
      <c r="N2108" s="617">
        <f t="shared" si="67"/>
        <v>3</v>
      </c>
      <c r="O2108" s="617"/>
    </row>
    <row r="2109" spans="2:15" ht="15" x14ac:dyDescent="0.25">
      <c r="B2109" s="529">
        <v>2104001</v>
      </c>
      <c r="C2109" s="529">
        <v>2105</v>
      </c>
      <c r="E2109" s="534">
        <v>0</v>
      </c>
      <c r="F2109" s="534">
        <v>0</v>
      </c>
      <c r="G2109" s="534">
        <v>3</v>
      </c>
      <c r="I2109" s="534">
        <v>0</v>
      </c>
      <c r="J2109" s="534">
        <v>0</v>
      </c>
      <c r="K2109" s="534">
        <v>0</v>
      </c>
      <c r="M2109" s="617">
        <f t="shared" si="66"/>
        <v>0</v>
      </c>
      <c r="N2109" s="617">
        <f t="shared" si="67"/>
        <v>3</v>
      </c>
      <c r="O2109" s="617"/>
    </row>
    <row r="2110" spans="2:15" ht="15" x14ac:dyDescent="0.25">
      <c r="B2110" s="529">
        <v>2105001</v>
      </c>
      <c r="C2110" s="529">
        <v>2106</v>
      </c>
      <c r="E2110" s="534">
        <v>0</v>
      </c>
      <c r="F2110" s="534">
        <v>0</v>
      </c>
      <c r="G2110" s="534">
        <v>3</v>
      </c>
      <c r="I2110" s="534">
        <v>0</v>
      </c>
      <c r="J2110" s="534">
        <v>0</v>
      </c>
      <c r="K2110" s="534">
        <v>0</v>
      </c>
      <c r="M2110" s="617">
        <f t="shared" si="66"/>
        <v>0</v>
      </c>
      <c r="N2110" s="617">
        <f t="shared" si="67"/>
        <v>3</v>
      </c>
      <c r="O2110" s="617"/>
    </row>
    <row r="2111" spans="2:15" ht="15" x14ac:dyDescent="0.25">
      <c r="B2111" s="529">
        <v>2106001</v>
      </c>
      <c r="C2111" s="529">
        <v>2107</v>
      </c>
      <c r="E2111" s="534">
        <v>0</v>
      </c>
      <c r="F2111" s="534">
        <v>0</v>
      </c>
      <c r="G2111" s="534">
        <v>3</v>
      </c>
      <c r="I2111" s="534">
        <v>0</v>
      </c>
      <c r="J2111" s="534">
        <v>0</v>
      </c>
      <c r="K2111" s="534">
        <v>0</v>
      </c>
      <c r="M2111" s="617">
        <f t="shared" si="66"/>
        <v>0</v>
      </c>
      <c r="N2111" s="617">
        <f t="shared" si="67"/>
        <v>3</v>
      </c>
      <c r="O2111" s="617"/>
    </row>
    <row r="2112" spans="2:15" ht="15" x14ac:dyDescent="0.25">
      <c r="B2112" s="529">
        <v>2107001</v>
      </c>
      <c r="C2112" s="529">
        <v>2108</v>
      </c>
      <c r="E2112" s="534">
        <v>0</v>
      </c>
      <c r="F2112" s="534">
        <v>0</v>
      </c>
      <c r="G2112" s="534">
        <v>3</v>
      </c>
      <c r="I2112" s="534">
        <v>0</v>
      </c>
      <c r="J2112" s="534">
        <v>0</v>
      </c>
      <c r="K2112" s="534">
        <v>0</v>
      </c>
      <c r="M2112" s="617">
        <f t="shared" si="66"/>
        <v>0</v>
      </c>
      <c r="N2112" s="617">
        <f t="shared" si="67"/>
        <v>3</v>
      </c>
      <c r="O2112" s="617"/>
    </row>
    <row r="2113" spans="2:15" ht="15" x14ac:dyDescent="0.25">
      <c r="B2113" s="529">
        <v>2108001</v>
      </c>
      <c r="C2113" s="529">
        <v>2109</v>
      </c>
      <c r="E2113" s="534">
        <v>0</v>
      </c>
      <c r="F2113" s="534">
        <v>0</v>
      </c>
      <c r="G2113" s="534">
        <v>3</v>
      </c>
      <c r="I2113" s="534">
        <v>0</v>
      </c>
      <c r="J2113" s="534">
        <v>0</v>
      </c>
      <c r="K2113" s="534">
        <v>0</v>
      </c>
      <c r="M2113" s="617">
        <f t="shared" si="66"/>
        <v>0</v>
      </c>
      <c r="N2113" s="617">
        <f t="shared" si="67"/>
        <v>3</v>
      </c>
      <c r="O2113" s="617"/>
    </row>
    <row r="2114" spans="2:15" ht="15" x14ac:dyDescent="0.25">
      <c r="B2114" s="529">
        <v>2109001</v>
      </c>
      <c r="C2114" s="529">
        <v>2110</v>
      </c>
      <c r="E2114" s="534">
        <v>0</v>
      </c>
      <c r="F2114" s="534">
        <v>0</v>
      </c>
      <c r="G2114" s="534">
        <v>3</v>
      </c>
      <c r="I2114" s="534">
        <v>0</v>
      </c>
      <c r="J2114" s="534">
        <v>0</v>
      </c>
      <c r="K2114" s="534">
        <v>0</v>
      </c>
      <c r="M2114" s="617">
        <f t="shared" si="66"/>
        <v>0</v>
      </c>
      <c r="N2114" s="617">
        <f t="shared" si="67"/>
        <v>3</v>
      </c>
      <c r="O2114" s="617"/>
    </row>
    <row r="2115" spans="2:15" ht="15" x14ac:dyDescent="0.25">
      <c r="B2115" s="529">
        <v>2110001</v>
      </c>
      <c r="C2115" s="529">
        <v>2111</v>
      </c>
      <c r="E2115" s="534">
        <v>0</v>
      </c>
      <c r="F2115" s="534">
        <v>0</v>
      </c>
      <c r="G2115" s="534">
        <v>3</v>
      </c>
      <c r="I2115" s="534">
        <v>0</v>
      </c>
      <c r="J2115" s="534">
        <v>0</v>
      </c>
      <c r="K2115" s="534">
        <v>0</v>
      </c>
      <c r="M2115" s="617">
        <f t="shared" si="66"/>
        <v>0</v>
      </c>
      <c r="N2115" s="617">
        <f t="shared" si="67"/>
        <v>3</v>
      </c>
      <c r="O2115" s="617"/>
    </row>
    <row r="2116" spans="2:15" ht="15" x14ac:dyDescent="0.25">
      <c r="B2116" s="529">
        <v>2111001</v>
      </c>
      <c r="C2116" s="529">
        <v>2112</v>
      </c>
      <c r="E2116" s="534">
        <v>0</v>
      </c>
      <c r="F2116" s="534">
        <v>0</v>
      </c>
      <c r="G2116" s="534">
        <v>3</v>
      </c>
      <c r="I2116" s="534">
        <v>0</v>
      </c>
      <c r="J2116" s="534">
        <v>0</v>
      </c>
      <c r="K2116" s="534">
        <v>0</v>
      </c>
      <c r="M2116" s="617">
        <f t="shared" si="66"/>
        <v>0</v>
      </c>
      <c r="N2116" s="617">
        <f t="shared" si="67"/>
        <v>3</v>
      </c>
      <c r="O2116" s="617"/>
    </row>
    <row r="2117" spans="2:15" ht="15" x14ac:dyDescent="0.25">
      <c r="B2117" s="529">
        <v>2112001</v>
      </c>
      <c r="C2117" s="529">
        <v>2113</v>
      </c>
      <c r="E2117" s="534">
        <v>0</v>
      </c>
      <c r="F2117" s="534">
        <v>0</v>
      </c>
      <c r="G2117" s="534">
        <v>3</v>
      </c>
      <c r="I2117" s="534">
        <v>0</v>
      </c>
      <c r="J2117" s="534">
        <v>0</v>
      </c>
      <c r="K2117" s="534">
        <v>0</v>
      </c>
      <c r="M2117" s="617">
        <f t="shared" ref="M2117:M2180" si="68">I2117+E2117</f>
        <v>0</v>
      </c>
      <c r="N2117" s="617">
        <f t="shared" ref="N2117:N2180" si="69">K2117+G2117</f>
        <v>3</v>
      </c>
      <c r="O2117" s="617"/>
    </row>
    <row r="2118" spans="2:15" ht="15" x14ac:dyDescent="0.25">
      <c r="B2118" s="529">
        <v>2113001</v>
      </c>
      <c r="C2118" s="529">
        <v>2114</v>
      </c>
      <c r="E2118" s="534">
        <v>0</v>
      </c>
      <c r="F2118" s="534">
        <v>0</v>
      </c>
      <c r="G2118" s="534">
        <v>3</v>
      </c>
      <c r="I2118" s="534">
        <v>0</v>
      </c>
      <c r="J2118" s="534">
        <v>0</v>
      </c>
      <c r="K2118" s="534">
        <v>0</v>
      </c>
      <c r="M2118" s="617">
        <f t="shared" si="68"/>
        <v>0</v>
      </c>
      <c r="N2118" s="617">
        <f t="shared" si="69"/>
        <v>3</v>
      </c>
      <c r="O2118" s="617"/>
    </row>
    <row r="2119" spans="2:15" ht="15" x14ac:dyDescent="0.25">
      <c r="B2119" s="529">
        <v>2114001</v>
      </c>
      <c r="C2119" s="529">
        <v>2115</v>
      </c>
      <c r="E2119" s="534">
        <v>0</v>
      </c>
      <c r="F2119" s="534">
        <v>0</v>
      </c>
      <c r="G2119" s="534">
        <v>3</v>
      </c>
      <c r="I2119" s="534">
        <v>0</v>
      </c>
      <c r="J2119" s="534">
        <v>0</v>
      </c>
      <c r="K2119" s="534">
        <v>0</v>
      </c>
      <c r="M2119" s="617">
        <f t="shared" si="68"/>
        <v>0</v>
      </c>
      <c r="N2119" s="617">
        <f t="shared" si="69"/>
        <v>3</v>
      </c>
      <c r="O2119" s="617"/>
    </row>
    <row r="2120" spans="2:15" ht="15" x14ac:dyDescent="0.25">
      <c r="B2120" s="529">
        <v>2115001</v>
      </c>
      <c r="C2120" s="529">
        <v>2116</v>
      </c>
      <c r="E2120" s="534">
        <v>0</v>
      </c>
      <c r="F2120" s="534">
        <v>0</v>
      </c>
      <c r="G2120" s="534">
        <v>3</v>
      </c>
      <c r="I2120" s="534">
        <v>0</v>
      </c>
      <c r="J2120" s="534">
        <v>0</v>
      </c>
      <c r="K2120" s="534">
        <v>0</v>
      </c>
      <c r="M2120" s="617">
        <f t="shared" si="68"/>
        <v>0</v>
      </c>
      <c r="N2120" s="617">
        <f t="shared" si="69"/>
        <v>3</v>
      </c>
      <c r="O2120" s="617"/>
    </row>
    <row r="2121" spans="2:15" ht="15" x14ac:dyDescent="0.25">
      <c r="B2121" s="529">
        <v>2116001</v>
      </c>
      <c r="C2121" s="529">
        <v>2117</v>
      </c>
      <c r="E2121" s="534">
        <v>0</v>
      </c>
      <c r="F2121" s="534">
        <v>0</v>
      </c>
      <c r="G2121" s="534">
        <v>3</v>
      </c>
      <c r="I2121" s="534">
        <v>0</v>
      </c>
      <c r="J2121" s="534">
        <v>0</v>
      </c>
      <c r="K2121" s="534">
        <v>0</v>
      </c>
      <c r="M2121" s="617">
        <f t="shared" si="68"/>
        <v>0</v>
      </c>
      <c r="N2121" s="617">
        <f t="shared" si="69"/>
        <v>3</v>
      </c>
      <c r="O2121" s="617"/>
    </row>
    <row r="2122" spans="2:15" ht="15" x14ac:dyDescent="0.25">
      <c r="B2122" s="529">
        <v>2117001</v>
      </c>
      <c r="C2122" s="529">
        <v>2118</v>
      </c>
      <c r="E2122" s="534">
        <v>0</v>
      </c>
      <c r="F2122" s="534">
        <v>0</v>
      </c>
      <c r="G2122" s="534">
        <v>3</v>
      </c>
      <c r="I2122" s="534">
        <v>0</v>
      </c>
      <c r="J2122" s="534">
        <v>0</v>
      </c>
      <c r="K2122" s="534">
        <v>0</v>
      </c>
      <c r="M2122" s="617">
        <f t="shared" si="68"/>
        <v>0</v>
      </c>
      <c r="N2122" s="617">
        <f t="shared" si="69"/>
        <v>3</v>
      </c>
      <c r="O2122" s="617"/>
    </row>
    <row r="2123" spans="2:15" ht="15" x14ac:dyDescent="0.25">
      <c r="B2123" s="529">
        <v>2118001</v>
      </c>
      <c r="C2123" s="529">
        <v>2119</v>
      </c>
      <c r="E2123" s="534">
        <v>0</v>
      </c>
      <c r="F2123" s="534">
        <v>0</v>
      </c>
      <c r="G2123" s="534">
        <v>3</v>
      </c>
      <c r="I2123" s="534">
        <v>0</v>
      </c>
      <c r="J2123" s="534">
        <v>0</v>
      </c>
      <c r="K2123" s="534">
        <v>0</v>
      </c>
      <c r="M2123" s="617">
        <f t="shared" si="68"/>
        <v>0</v>
      </c>
      <c r="N2123" s="617">
        <f t="shared" si="69"/>
        <v>3</v>
      </c>
      <c r="O2123" s="617"/>
    </row>
    <row r="2124" spans="2:15" ht="15" x14ac:dyDescent="0.25">
      <c r="B2124" s="529">
        <v>2119001</v>
      </c>
      <c r="C2124" s="529">
        <v>2120</v>
      </c>
      <c r="E2124" s="534">
        <v>0</v>
      </c>
      <c r="F2124" s="534">
        <v>0</v>
      </c>
      <c r="G2124" s="534">
        <v>3</v>
      </c>
      <c r="I2124" s="534">
        <v>0</v>
      </c>
      <c r="J2124" s="534">
        <v>0</v>
      </c>
      <c r="K2124" s="534">
        <v>0</v>
      </c>
      <c r="M2124" s="617">
        <f t="shared" si="68"/>
        <v>0</v>
      </c>
      <c r="N2124" s="617">
        <f t="shared" si="69"/>
        <v>3</v>
      </c>
      <c r="O2124" s="617"/>
    </row>
    <row r="2125" spans="2:15" ht="15" x14ac:dyDescent="0.25">
      <c r="B2125" s="529">
        <v>2120001</v>
      </c>
      <c r="C2125" s="529">
        <v>2121</v>
      </c>
      <c r="E2125" s="534">
        <v>0</v>
      </c>
      <c r="F2125" s="534">
        <v>0</v>
      </c>
      <c r="G2125" s="534">
        <v>3</v>
      </c>
      <c r="I2125" s="534">
        <v>0</v>
      </c>
      <c r="J2125" s="534">
        <v>0</v>
      </c>
      <c r="K2125" s="534">
        <v>0</v>
      </c>
      <c r="M2125" s="617">
        <f t="shared" si="68"/>
        <v>0</v>
      </c>
      <c r="N2125" s="617">
        <f t="shared" si="69"/>
        <v>3</v>
      </c>
      <c r="O2125" s="617"/>
    </row>
    <row r="2126" spans="2:15" ht="15" x14ac:dyDescent="0.25">
      <c r="B2126" s="529">
        <v>2121001</v>
      </c>
      <c r="C2126" s="529">
        <v>2122</v>
      </c>
      <c r="E2126" s="534">
        <v>0</v>
      </c>
      <c r="F2126" s="534">
        <v>0</v>
      </c>
      <c r="G2126" s="534">
        <v>3</v>
      </c>
      <c r="I2126" s="534">
        <v>0</v>
      </c>
      <c r="J2126" s="534">
        <v>0</v>
      </c>
      <c r="K2126" s="534">
        <v>0</v>
      </c>
      <c r="M2126" s="617">
        <f t="shared" si="68"/>
        <v>0</v>
      </c>
      <c r="N2126" s="617">
        <f t="shared" si="69"/>
        <v>3</v>
      </c>
      <c r="O2126" s="617"/>
    </row>
    <row r="2127" spans="2:15" ht="15" x14ac:dyDescent="0.25">
      <c r="B2127" s="529">
        <v>2122001</v>
      </c>
      <c r="C2127" s="529">
        <v>2123</v>
      </c>
      <c r="E2127" s="534">
        <v>0</v>
      </c>
      <c r="F2127" s="534">
        <v>0</v>
      </c>
      <c r="G2127" s="534">
        <v>3</v>
      </c>
      <c r="I2127" s="534">
        <v>0</v>
      </c>
      <c r="J2127" s="534">
        <v>0</v>
      </c>
      <c r="K2127" s="534">
        <v>0</v>
      </c>
      <c r="M2127" s="617">
        <f t="shared" si="68"/>
        <v>0</v>
      </c>
      <c r="N2127" s="617">
        <f t="shared" si="69"/>
        <v>3</v>
      </c>
      <c r="O2127" s="617"/>
    </row>
    <row r="2128" spans="2:15" ht="15" x14ac:dyDescent="0.25">
      <c r="B2128" s="529">
        <v>2123001</v>
      </c>
      <c r="C2128" s="529">
        <v>2124</v>
      </c>
      <c r="E2128" s="534">
        <v>0</v>
      </c>
      <c r="F2128" s="534">
        <v>0</v>
      </c>
      <c r="G2128" s="534">
        <v>3</v>
      </c>
      <c r="I2128" s="534">
        <v>0</v>
      </c>
      <c r="J2128" s="534">
        <v>0</v>
      </c>
      <c r="K2128" s="534">
        <v>0</v>
      </c>
      <c r="M2128" s="617">
        <f t="shared" si="68"/>
        <v>0</v>
      </c>
      <c r="N2128" s="617">
        <f t="shared" si="69"/>
        <v>3</v>
      </c>
      <c r="O2128" s="617"/>
    </row>
    <row r="2129" spans="2:15" ht="15" x14ac:dyDescent="0.25">
      <c r="B2129" s="529">
        <v>2124001</v>
      </c>
      <c r="C2129" s="529">
        <v>2125</v>
      </c>
      <c r="E2129" s="534">
        <v>0</v>
      </c>
      <c r="F2129" s="534">
        <v>0</v>
      </c>
      <c r="G2129" s="534">
        <v>3</v>
      </c>
      <c r="I2129" s="534">
        <v>0</v>
      </c>
      <c r="J2129" s="534">
        <v>0</v>
      </c>
      <c r="K2129" s="534">
        <v>0</v>
      </c>
      <c r="M2129" s="617">
        <f t="shared" si="68"/>
        <v>0</v>
      </c>
      <c r="N2129" s="617">
        <f t="shared" si="69"/>
        <v>3</v>
      </c>
      <c r="O2129" s="617"/>
    </row>
    <row r="2130" spans="2:15" ht="15" x14ac:dyDescent="0.25">
      <c r="B2130" s="529">
        <v>2125001</v>
      </c>
      <c r="C2130" s="529">
        <v>2126</v>
      </c>
      <c r="E2130" s="534">
        <v>0</v>
      </c>
      <c r="F2130" s="534">
        <v>0</v>
      </c>
      <c r="G2130" s="534">
        <v>3</v>
      </c>
      <c r="I2130" s="534">
        <v>0</v>
      </c>
      <c r="J2130" s="534">
        <v>0</v>
      </c>
      <c r="K2130" s="534">
        <v>0</v>
      </c>
      <c r="M2130" s="617">
        <f t="shared" si="68"/>
        <v>0</v>
      </c>
      <c r="N2130" s="617">
        <f t="shared" si="69"/>
        <v>3</v>
      </c>
      <c r="O2130" s="617"/>
    </row>
    <row r="2131" spans="2:15" ht="15" x14ac:dyDescent="0.25">
      <c r="B2131" s="529">
        <v>2126001</v>
      </c>
      <c r="C2131" s="529">
        <v>2127</v>
      </c>
      <c r="E2131" s="534">
        <v>0</v>
      </c>
      <c r="F2131" s="534">
        <v>0</v>
      </c>
      <c r="G2131" s="534">
        <v>3</v>
      </c>
      <c r="I2131" s="534">
        <v>0</v>
      </c>
      <c r="J2131" s="534">
        <v>0</v>
      </c>
      <c r="K2131" s="534">
        <v>0</v>
      </c>
      <c r="M2131" s="617">
        <f t="shared" si="68"/>
        <v>0</v>
      </c>
      <c r="N2131" s="617">
        <f t="shared" si="69"/>
        <v>3</v>
      </c>
      <c r="O2131" s="617"/>
    </row>
    <row r="2132" spans="2:15" ht="15" x14ac:dyDescent="0.25">
      <c r="B2132" s="529">
        <v>2127001</v>
      </c>
      <c r="C2132" s="529">
        <v>2128</v>
      </c>
      <c r="E2132" s="534">
        <v>0</v>
      </c>
      <c r="F2132" s="534">
        <v>0</v>
      </c>
      <c r="G2132" s="534">
        <v>3</v>
      </c>
      <c r="I2132" s="534">
        <v>0</v>
      </c>
      <c r="J2132" s="534">
        <v>0</v>
      </c>
      <c r="K2132" s="534">
        <v>0</v>
      </c>
      <c r="M2132" s="617">
        <f t="shared" si="68"/>
        <v>0</v>
      </c>
      <c r="N2132" s="617">
        <f t="shared" si="69"/>
        <v>3</v>
      </c>
      <c r="O2132" s="617"/>
    </row>
    <row r="2133" spans="2:15" ht="15" x14ac:dyDescent="0.25">
      <c r="B2133" s="529">
        <v>2128001</v>
      </c>
      <c r="C2133" s="529">
        <v>2129</v>
      </c>
      <c r="E2133" s="534">
        <v>0</v>
      </c>
      <c r="F2133" s="534">
        <v>0</v>
      </c>
      <c r="G2133" s="534">
        <v>3</v>
      </c>
      <c r="I2133" s="534">
        <v>0</v>
      </c>
      <c r="J2133" s="534">
        <v>0</v>
      </c>
      <c r="K2133" s="534">
        <v>0</v>
      </c>
      <c r="M2133" s="617">
        <f t="shared" si="68"/>
        <v>0</v>
      </c>
      <c r="N2133" s="617">
        <f t="shared" si="69"/>
        <v>3</v>
      </c>
      <c r="O2133" s="617"/>
    </row>
    <row r="2134" spans="2:15" ht="15" x14ac:dyDescent="0.25">
      <c r="B2134" s="529">
        <v>2129001</v>
      </c>
      <c r="C2134" s="529">
        <v>2130</v>
      </c>
      <c r="E2134" s="534">
        <v>0</v>
      </c>
      <c r="F2134" s="534">
        <v>0</v>
      </c>
      <c r="G2134" s="534">
        <v>3</v>
      </c>
      <c r="I2134" s="534">
        <v>0</v>
      </c>
      <c r="J2134" s="534">
        <v>0</v>
      </c>
      <c r="K2134" s="534">
        <v>0</v>
      </c>
      <c r="M2134" s="617">
        <f t="shared" si="68"/>
        <v>0</v>
      </c>
      <c r="N2134" s="617">
        <f t="shared" si="69"/>
        <v>3</v>
      </c>
      <c r="O2134" s="617"/>
    </row>
    <row r="2135" spans="2:15" ht="15" x14ac:dyDescent="0.25">
      <c r="B2135" s="529">
        <v>2130001</v>
      </c>
      <c r="C2135" s="529">
        <v>2131</v>
      </c>
      <c r="E2135" s="534">
        <v>0</v>
      </c>
      <c r="F2135" s="534">
        <v>0</v>
      </c>
      <c r="G2135" s="534">
        <v>3</v>
      </c>
      <c r="I2135" s="534">
        <v>0</v>
      </c>
      <c r="J2135" s="534">
        <v>0</v>
      </c>
      <c r="K2135" s="534">
        <v>0</v>
      </c>
      <c r="M2135" s="617">
        <f t="shared" si="68"/>
        <v>0</v>
      </c>
      <c r="N2135" s="617">
        <f t="shared" si="69"/>
        <v>3</v>
      </c>
      <c r="O2135" s="617"/>
    </row>
    <row r="2136" spans="2:15" ht="15" x14ac:dyDescent="0.25">
      <c r="B2136" s="529">
        <v>2131001</v>
      </c>
      <c r="C2136" s="529">
        <v>2132</v>
      </c>
      <c r="E2136" s="534">
        <v>0</v>
      </c>
      <c r="F2136" s="534">
        <v>0</v>
      </c>
      <c r="G2136" s="534">
        <v>3</v>
      </c>
      <c r="I2136" s="534">
        <v>0</v>
      </c>
      <c r="J2136" s="534">
        <v>0</v>
      </c>
      <c r="K2136" s="534">
        <v>0</v>
      </c>
      <c r="M2136" s="617">
        <f t="shared" si="68"/>
        <v>0</v>
      </c>
      <c r="N2136" s="617">
        <f t="shared" si="69"/>
        <v>3</v>
      </c>
      <c r="O2136" s="617"/>
    </row>
    <row r="2137" spans="2:15" ht="15" x14ac:dyDescent="0.25">
      <c r="B2137" s="529">
        <v>2132001</v>
      </c>
      <c r="C2137" s="529">
        <v>2133</v>
      </c>
      <c r="E2137" s="534">
        <v>0</v>
      </c>
      <c r="F2137" s="534">
        <v>0</v>
      </c>
      <c r="G2137" s="534">
        <v>3</v>
      </c>
      <c r="I2137" s="534">
        <v>0</v>
      </c>
      <c r="J2137" s="534">
        <v>0</v>
      </c>
      <c r="K2137" s="534">
        <v>0</v>
      </c>
      <c r="M2137" s="617">
        <f t="shared" si="68"/>
        <v>0</v>
      </c>
      <c r="N2137" s="617">
        <f t="shared" si="69"/>
        <v>3</v>
      </c>
      <c r="O2137" s="617"/>
    </row>
    <row r="2138" spans="2:15" ht="15" x14ac:dyDescent="0.25">
      <c r="B2138" s="529">
        <v>2133001</v>
      </c>
      <c r="C2138" s="529">
        <v>2134</v>
      </c>
      <c r="E2138" s="534">
        <v>0</v>
      </c>
      <c r="F2138" s="534">
        <v>0</v>
      </c>
      <c r="G2138" s="534">
        <v>3</v>
      </c>
      <c r="I2138" s="534">
        <v>0</v>
      </c>
      <c r="J2138" s="534">
        <v>0</v>
      </c>
      <c r="K2138" s="534">
        <v>0</v>
      </c>
      <c r="M2138" s="617">
        <f t="shared" si="68"/>
        <v>0</v>
      </c>
      <c r="N2138" s="617">
        <f t="shared" si="69"/>
        <v>3</v>
      </c>
      <c r="O2138" s="617"/>
    </row>
    <row r="2139" spans="2:15" ht="15" x14ac:dyDescent="0.25">
      <c r="B2139" s="529">
        <v>2134001</v>
      </c>
      <c r="C2139" s="529">
        <v>2135</v>
      </c>
      <c r="E2139" s="534">
        <v>0</v>
      </c>
      <c r="F2139" s="534">
        <v>0</v>
      </c>
      <c r="G2139" s="534">
        <v>3</v>
      </c>
      <c r="I2139" s="534">
        <v>0</v>
      </c>
      <c r="J2139" s="534">
        <v>0</v>
      </c>
      <c r="K2139" s="534">
        <v>0</v>
      </c>
      <c r="M2139" s="617">
        <f t="shared" si="68"/>
        <v>0</v>
      </c>
      <c r="N2139" s="617">
        <f t="shared" si="69"/>
        <v>3</v>
      </c>
      <c r="O2139" s="617"/>
    </row>
    <row r="2140" spans="2:15" ht="15" x14ac:dyDescent="0.25">
      <c r="B2140" s="529">
        <v>2135001</v>
      </c>
      <c r="C2140" s="529">
        <v>2136</v>
      </c>
      <c r="E2140" s="534">
        <v>0</v>
      </c>
      <c r="F2140" s="534">
        <v>0</v>
      </c>
      <c r="G2140" s="534">
        <v>3</v>
      </c>
      <c r="I2140" s="534">
        <v>0</v>
      </c>
      <c r="J2140" s="534">
        <v>0</v>
      </c>
      <c r="K2140" s="534">
        <v>0</v>
      </c>
      <c r="M2140" s="617">
        <f t="shared" si="68"/>
        <v>0</v>
      </c>
      <c r="N2140" s="617">
        <f t="shared" si="69"/>
        <v>3</v>
      </c>
      <c r="O2140" s="617"/>
    </row>
    <row r="2141" spans="2:15" ht="15" x14ac:dyDescent="0.25">
      <c r="B2141" s="529">
        <v>2136001</v>
      </c>
      <c r="C2141" s="529">
        <v>2137</v>
      </c>
      <c r="E2141" s="534">
        <v>1</v>
      </c>
      <c r="F2141" s="534">
        <v>2137</v>
      </c>
      <c r="G2141" s="534">
        <v>3</v>
      </c>
      <c r="I2141" s="534">
        <v>0</v>
      </c>
      <c r="J2141" s="534">
        <v>0</v>
      </c>
      <c r="K2141" s="534">
        <v>0</v>
      </c>
      <c r="M2141" s="617">
        <f t="shared" si="68"/>
        <v>1</v>
      </c>
      <c r="N2141" s="617">
        <f t="shared" si="69"/>
        <v>3</v>
      </c>
      <c r="O2141" s="617"/>
    </row>
    <row r="2142" spans="2:15" ht="15" x14ac:dyDescent="0.25">
      <c r="B2142" s="529">
        <v>2137001</v>
      </c>
      <c r="C2142" s="529">
        <v>2138</v>
      </c>
      <c r="E2142" s="534">
        <v>0</v>
      </c>
      <c r="F2142" s="534">
        <v>0</v>
      </c>
      <c r="G2142" s="534">
        <v>2</v>
      </c>
      <c r="I2142" s="534">
        <v>0</v>
      </c>
      <c r="J2142" s="534">
        <v>0</v>
      </c>
      <c r="K2142" s="534">
        <v>0</v>
      </c>
      <c r="M2142" s="617">
        <f t="shared" si="68"/>
        <v>0</v>
      </c>
      <c r="N2142" s="617">
        <f t="shared" si="69"/>
        <v>2</v>
      </c>
      <c r="O2142" s="617"/>
    </row>
    <row r="2143" spans="2:15" ht="15" x14ac:dyDescent="0.25">
      <c r="B2143" s="529">
        <v>2138001</v>
      </c>
      <c r="C2143" s="529">
        <v>2139</v>
      </c>
      <c r="E2143" s="534">
        <v>0</v>
      </c>
      <c r="F2143" s="534">
        <v>0</v>
      </c>
      <c r="G2143" s="534">
        <v>2</v>
      </c>
      <c r="I2143" s="534">
        <v>0</v>
      </c>
      <c r="J2143" s="534">
        <v>0</v>
      </c>
      <c r="K2143" s="534">
        <v>0</v>
      </c>
      <c r="M2143" s="617">
        <f t="shared" si="68"/>
        <v>0</v>
      </c>
      <c r="N2143" s="617">
        <f t="shared" si="69"/>
        <v>2</v>
      </c>
      <c r="O2143" s="617"/>
    </row>
    <row r="2144" spans="2:15" ht="15" x14ac:dyDescent="0.25">
      <c r="B2144" s="529">
        <v>2139001</v>
      </c>
      <c r="C2144" s="529">
        <v>2140</v>
      </c>
      <c r="E2144" s="534">
        <v>0</v>
      </c>
      <c r="F2144" s="534">
        <v>0</v>
      </c>
      <c r="G2144" s="534">
        <v>2</v>
      </c>
      <c r="I2144" s="534">
        <v>0</v>
      </c>
      <c r="J2144" s="534">
        <v>0</v>
      </c>
      <c r="K2144" s="534">
        <v>0</v>
      </c>
      <c r="M2144" s="617">
        <f t="shared" si="68"/>
        <v>0</v>
      </c>
      <c r="N2144" s="617">
        <f t="shared" si="69"/>
        <v>2</v>
      </c>
      <c r="O2144" s="617"/>
    </row>
    <row r="2145" spans="2:15" ht="15" x14ac:dyDescent="0.25">
      <c r="B2145" s="529">
        <v>2140001</v>
      </c>
      <c r="C2145" s="529">
        <v>2141</v>
      </c>
      <c r="E2145" s="534">
        <v>0</v>
      </c>
      <c r="F2145" s="534">
        <v>0</v>
      </c>
      <c r="G2145" s="534">
        <v>2</v>
      </c>
      <c r="I2145" s="534">
        <v>0</v>
      </c>
      <c r="J2145" s="534">
        <v>0</v>
      </c>
      <c r="K2145" s="534">
        <v>0</v>
      </c>
      <c r="M2145" s="617">
        <f t="shared" si="68"/>
        <v>0</v>
      </c>
      <c r="N2145" s="617">
        <f t="shared" si="69"/>
        <v>2</v>
      </c>
      <c r="O2145" s="617"/>
    </row>
    <row r="2146" spans="2:15" ht="15" x14ac:dyDescent="0.25">
      <c r="B2146" s="529">
        <v>2141001</v>
      </c>
      <c r="C2146" s="529">
        <v>2142</v>
      </c>
      <c r="E2146" s="534">
        <v>0</v>
      </c>
      <c r="F2146" s="534">
        <v>0</v>
      </c>
      <c r="G2146" s="534">
        <v>2</v>
      </c>
      <c r="I2146" s="534">
        <v>0</v>
      </c>
      <c r="J2146" s="534">
        <v>0</v>
      </c>
      <c r="K2146" s="534">
        <v>0</v>
      </c>
      <c r="M2146" s="617">
        <f t="shared" si="68"/>
        <v>0</v>
      </c>
      <c r="N2146" s="617">
        <f t="shared" si="69"/>
        <v>2</v>
      </c>
      <c r="O2146" s="617"/>
    </row>
    <row r="2147" spans="2:15" ht="15" x14ac:dyDescent="0.25">
      <c r="B2147" s="529">
        <v>2142001</v>
      </c>
      <c r="C2147" s="529">
        <v>2143</v>
      </c>
      <c r="E2147" s="534">
        <v>0</v>
      </c>
      <c r="F2147" s="534">
        <v>0</v>
      </c>
      <c r="G2147" s="534">
        <v>2</v>
      </c>
      <c r="I2147" s="534">
        <v>0</v>
      </c>
      <c r="J2147" s="534">
        <v>0</v>
      </c>
      <c r="K2147" s="534">
        <v>0</v>
      </c>
      <c r="M2147" s="617">
        <f t="shared" si="68"/>
        <v>0</v>
      </c>
      <c r="N2147" s="617">
        <f t="shared" si="69"/>
        <v>2</v>
      </c>
      <c r="O2147" s="617"/>
    </row>
    <row r="2148" spans="2:15" ht="15" x14ac:dyDescent="0.25">
      <c r="B2148" s="529">
        <v>2143001</v>
      </c>
      <c r="C2148" s="529">
        <v>2144</v>
      </c>
      <c r="E2148" s="534">
        <v>0</v>
      </c>
      <c r="F2148" s="534">
        <v>0</v>
      </c>
      <c r="G2148" s="534">
        <v>2</v>
      </c>
      <c r="I2148" s="534">
        <v>0</v>
      </c>
      <c r="J2148" s="534">
        <v>0</v>
      </c>
      <c r="K2148" s="534">
        <v>0</v>
      </c>
      <c r="M2148" s="617">
        <f t="shared" si="68"/>
        <v>0</v>
      </c>
      <c r="N2148" s="617">
        <f t="shared" si="69"/>
        <v>2</v>
      </c>
      <c r="O2148" s="617"/>
    </row>
    <row r="2149" spans="2:15" ht="15" x14ac:dyDescent="0.25">
      <c r="B2149" s="529">
        <v>2144001</v>
      </c>
      <c r="C2149" s="529">
        <v>2145</v>
      </c>
      <c r="E2149" s="534">
        <v>0</v>
      </c>
      <c r="F2149" s="534">
        <v>0</v>
      </c>
      <c r="G2149" s="534">
        <v>2</v>
      </c>
      <c r="I2149" s="534">
        <v>0</v>
      </c>
      <c r="J2149" s="534">
        <v>0</v>
      </c>
      <c r="K2149" s="534">
        <v>0</v>
      </c>
      <c r="M2149" s="617">
        <f t="shared" si="68"/>
        <v>0</v>
      </c>
      <c r="N2149" s="617">
        <f t="shared" si="69"/>
        <v>2</v>
      </c>
      <c r="O2149" s="617"/>
    </row>
    <row r="2150" spans="2:15" ht="15" x14ac:dyDescent="0.25">
      <c r="B2150" s="529">
        <v>2145001</v>
      </c>
      <c r="C2150" s="529">
        <v>2146</v>
      </c>
      <c r="E2150" s="534">
        <v>0</v>
      </c>
      <c r="F2150" s="534">
        <v>0</v>
      </c>
      <c r="G2150" s="534">
        <v>2</v>
      </c>
      <c r="I2150" s="534">
        <v>0</v>
      </c>
      <c r="J2150" s="534">
        <v>0</v>
      </c>
      <c r="K2150" s="534">
        <v>0</v>
      </c>
      <c r="M2150" s="617">
        <f t="shared" si="68"/>
        <v>0</v>
      </c>
      <c r="N2150" s="617">
        <f t="shared" si="69"/>
        <v>2</v>
      </c>
      <c r="O2150" s="617"/>
    </row>
    <row r="2151" spans="2:15" ht="15" x14ac:dyDescent="0.25">
      <c r="B2151" s="529">
        <v>2146001</v>
      </c>
      <c r="C2151" s="529">
        <v>2147</v>
      </c>
      <c r="E2151" s="534">
        <v>0</v>
      </c>
      <c r="F2151" s="534">
        <v>0</v>
      </c>
      <c r="G2151" s="534">
        <v>2</v>
      </c>
      <c r="I2151" s="534">
        <v>0</v>
      </c>
      <c r="J2151" s="534">
        <v>0</v>
      </c>
      <c r="K2151" s="534">
        <v>0</v>
      </c>
      <c r="M2151" s="617">
        <f t="shared" si="68"/>
        <v>0</v>
      </c>
      <c r="N2151" s="617">
        <f t="shared" si="69"/>
        <v>2</v>
      </c>
      <c r="O2151" s="617"/>
    </row>
    <row r="2152" spans="2:15" ht="15" x14ac:dyDescent="0.25">
      <c r="B2152" s="529">
        <v>2147001</v>
      </c>
      <c r="C2152" s="529">
        <v>2148</v>
      </c>
      <c r="E2152" s="534">
        <v>0</v>
      </c>
      <c r="F2152" s="534">
        <v>0</v>
      </c>
      <c r="G2152" s="534">
        <v>2</v>
      </c>
      <c r="I2152" s="534">
        <v>0</v>
      </c>
      <c r="J2152" s="534">
        <v>0</v>
      </c>
      <c r="K2152" s="534">
        <v>0</v>
      </c>
      <c r="M2152" s="617">
        <f t="shared" si="68"/>
        <v>0</v>
      </c>
      <c r="N2152" s="617">
        <f t="shared" si="69"/>
        <v>2</v>
      </c>
      <c r="O2152" s="617"/>
    </row>
    <row r="2153" spans="2:15" ht="15" x14ac:dyDescent="0.25">
      <c r="B2153" s="529">
        <v>2148001</v>
      </c>
      <c r="C2153" s="529">
        <v>2149</v>
      </c>
      <c r="E2153" s="534">
        <v>0</v>
      </c>
      <c r="F2153" s="534">
        <v>0</v>
      </c>
      <c r="G2153" s="534">
        <v>2</v>
      </c>
      <c r="I2153" s="534">
        <v>0</v>
      </c>
      <c r="J2153" s="534">
        <v>0</v>
      </c>
      <c r="K2153" s="534">
        <v>0</v>
      </c>
      <c r="M2153" s="617">
        <f t="shared" si="68"/>
        <v>0</v>
      </c>
      <c r="N2153" s="617">
        <f t="shared" si="69"/>
        <v>2</v>
      </c>
      <c r="O2153" s="617"/>
    </row>
    <row r="2154" spans="2:15" ht="15" x14ac:dyDescent="0.25">
      <c r="B2154" s="529">
        <v>2149001</v>
      </c>
      <c r="C2154" s="529">
        <v>2150</v>
      </c>
      <c r="E2154" s="534">
        <v>0</v>
      </c>
      <c r="F2154" s="534">
        <v>0</v>
      </c>
      <c r="G2154" s="534">
        <v>2</v>
      </c>
      <c r="I2154" s="534">
        <v>0</v>
      </c>
      <c r="J2154" s="534">
        <v>0</v>
      </c>
      <c r="K2154" s="534">
        <v>0</v>
      </c>
      <c r="M2154" s="617">
        <f t="shared" si="68"/>
        <v>0</v>
      </c>
      <c r="N2154" s="617">
        <f t="shared" si="69"/>
        <v>2</v>
      </c>
      <c r="O2154" s="617"/>
    </row>
    <row r="2155" spans="2:15" ht="15" x14ac:dyDescent="0.25">
      <c r="B2155" s="529">
        <v>2150001</v>
      </c>
      <c r="C2155" s="529">
        <v>2151</v>
      </c>
      <c r="E2155" s="534">
        <v>0</v>
      </c>
      <c r="F2155" s="534">
        <v>0</v>
      </c>
      <c r="G2155" s="534">
        <v>2</v>
      </c>
      <c r="I2155" s="534">
        <v>0</v>
      </c>
      <c r="J2155" s="534">
        <v>0</v>
      </c>
      <c r="K2155" s="534">
        <v>0</v>
      </c>
      <c r="M2155" s="617">
        <f t="shared" si="68"/>
        <v>0</v>
      </c>
      <c r="N2155" s="617">
        <f t="shared" si="69"/>
        <v>2</v>
      </c>
      <c r="O2155" s="617"/>
    </row>
    <row r="2156" spans="2:15" ht="15" x14ac:dyDescent="0.25">
      <c r="B2156" s="529">
        <v>2151001</v>
      </c>
      <c r="C2156" s="529">
        <v>2152</v>
      </c>
      <c r="E2156" s="534">
        <v>0</v>
      </c>
      <c r="F2156" s="534">
        <v>0</v>
      </c>
      <c r="G2156" s="534">
        <v>2</v>
      </c>
      <c r="I2156" s="534">
        <v>0</v>
      </c>
      <c r="J2156" s="534">
        <v>0</v>
      </c>
      <c r="K2156" s="534">
        <v>0</v>
      </c>
      <c r="M2156" s="617">
        <f t="shared" si="68"/>
        <v>0</v>
      </c>
      <c r="N2156" s="617">
        <f t="shared" si="69"/>
        <v>2</v>
      </c>
      <c r="O2156" s="617"/>
    </row>
    <row r="2157" spans="2:15" ht="15" x14ac:dyDescent="0.25">
      <c r="B2157" s="529">
        <v>2152001</v>
      </c>
      <c r="C2157" s="529">
        <v>2153</v>
      </c>
      <c r="E2157" s="534">
        <v>0</v>
      </c>
      <c r="F2157" s="534">
        <v>0</v>
      </c>
      <c r="G2157" s="534">
        <v>2</v>
      </c>
      <c r="I2157" s="534">
        <v>0</v>
      </c>
      <c r="J2157" s="534">
        <v>0</v>
      </c>
      <c r="K2157" s="534">
        <v>0</v>
      </c>
      <c r="M2157" s="617">
        <f t="shared" si="68"/>
        <v>0</v>
      </c>
      <c r="N2157" s="617">
        <f t="shared" si="69"/>
        <v>2</v>
      </c>
      <c r="O2157" s="617"/>
    </row>
    <row r="2158" spans="2:15" ht="15" x14ac:dyDescent="0.25">
      <c r="B2158" s="529">
        <v>2153001</v>
      </c>
      <c r="C2158" s="529">
        <v>2154</v>
      </c>
      <c r="E2158" s="534">
        <v>0</v>
      </c>
      <c r="F2158" s="534">
        <v>0</v>
      </c>
      <c r="G2158" s="534">
        <v>2</v>
      </c>
      <c r="I2158" s="534">
        <v>0</v>
      </c>
      <c r="J2158" s="534">
        <v>0</v>
      </c>
      <c r="K2158" s="534">
        <v>0</v>
      </c>
      <c r="M2158" s="617">
        <f t="shared" si="68"/>
        <v>0</v>
      </c>
      <c r="N2158" s="617">
        <f t="shared" si="69"/>
        <v>2</v>
      </c>
      <c r="O2158" s="617"/>
    </row>
    <row r="2159" spans="2:15" ht="15" x14ac:dyDescent="0.25">
      <c r="B2159" s="529">
        <v>2154001</v>
      </c>
      <c r="C2159" s="529">
        <v>2155</v>
      </c>
      <c r="E2159" s="534">
        <v>0</v>
      </c>
      <c r="F2159" s="534">
        <v>0</v>
      </c>
      <c r="G2159" s="534">
        <v>2</v>
      </c>
      <c r="I2159" s="534">
        <v>0</v>
      </c>
      <c r="J2159" s="534">
        <v>0</v>
      </c>
      <c r="K2159" s="534">
        <v>0</v>
      </c>
      <c r="M2159" s="617">
        <f t="shared" si="68"/>
        <v>0</v>
      </c>
      <c r="N2159" s="617">
        <f t="shared" si="69"/>
        <v>2</v>
      </c>
      <c r="O2159" s="617"/>
    </row>
    <row r="2160" spans="2:15" ht="15" x14ac:dyDescent="0.25">
      <c r="B2160" s="529">
        <v>2155001</v>
      </c>
      <c r="C2160" s="529">
        <v>2156</v>
      </c>
      <c r="E2160" s="534">
        <v>0</v>
      </c>
      <c r="F2160" s="534">
        <v>0</v>
      </c>
      <c r="G2160" s="534">
        <v>2</v>
      </c>
      <c r="I2160" s="534">
        <v>0</v>
      </c>
      <c r="J2160" s="534">
        <v>0</v>
      </c>
      <c r="K2160" s="534">
        <v>0</v>
      </c>
      <c r="M2160" s="617">
        <f t="shared" si="68"/>
        <v>0</v>
      </c>
      <c r="N2160" s="617">
        <f t="shared" si="69"/>
        <v>2</v>
      </c>
      <c r="O2160" s="617"/>
    </row>
    <row r="2161" spans="2:15" ht="15" x14ac:dyDescent="0.25">
      <c r="B2161" s="529">
        <v>2156001</v>
      </c>
      <c r="C2161" s="529">
        <v>2157</v>
      </c>
      <c r="E2161" s="534">
        <v>0</v>
      </c>
      <c r="F2161" s="534">
        <v>0</v>
      </c>
      <c r="G2161" s="534">
        <v>2</v>
      </c>
      <c r="I2161" s="534">
        <v>0</v>
      </c>
      <c r="J2161" s="534">
        <v>0</v>
      </c>
      <c r="K2161" s="534">
        <v>0</v>
      </c>
      <c r="M2161" s="617">
        <f t="shared" si="68"/>
        <v>0</v>
      </c>
      <c r="N2161" s="617">
        <f t="shared" si="69"/>
        <v>2</v>
      </c>
      <c r="O2161" s="617"/>
    </row>
    <row r="2162" spans="2:15" ht="15" x14ac:dyDescent="0.25">
      <c r="B2162" s="529">
        <v>2157001</v>
      </c>
      <c r="C2162" s="529">
        <v>2158</v>
      </c>
      <c r="E2162" s="534">
        <v>0</v>
      </c>
      <c r="F2162" s="534">
        <v>0</v>
      </c>
      <c r="G2162" s="534">
        <v>2</v>
      </c>
      <c r="I2162" s="534">
        <v>0</v>
      </c>
      <c r="J2162" s="534">
        <v>0</v>
      </c>
      <c r="K2162" s="534">
        <v>0</v>
      </c>
      <c r="M2162" s="617">
        <f t="shared" si="68"/>
        <v>0</v>
      </c>
      <c r="N2162" s="617">
        <f t="shared" si="69"/>
        <v>2</v>
      </c>
      <c r="O2162" s="617"/>
    </row>
    <row r="2163" spans="2:15" ht="15" x14ac:dyDescent="0.25">
      <c r="B2163" s="529">
        <v>2158001</v>
      </c>
      <c r="C2163" s="529">
        <v>2159</v>
      </c>
      <c r="E2163" s="534">
        <v>0</v>
      </c>
      <c r="F2163" s="534">
        <v>0</v>
      </c>
      <c r="G2163" s="534">
        <v>2</v>
      </c>
      <c r="I2163" s="534">
        <v>0</v>
      </c>
      <c r="J2163" s="534">
        <v>0</v>
      </c>
      <c r="K2163" s="534">
        <v>0</v>
      </c>
      <c r="M2163" s="617">
        <f t="shared" si="68"/>
        <v>0</v>
      </c>
      <c r="N2163" s="617">
        <f t="shared" si="69"/>
        <v>2</v>
      </c>
      <c r="O2163" s="617"/>
    </row>
    <row r="2164" spans="2:15" ht="15" x14ac:dyDescent="0.25">
      <c r="B2164" s="529">
        <v>2159001</v>
      </c>
      <c r="C2164" s="529">
        <v>2160</v>
      </c>
      <c r="E2164" s="534">
        <v>0</v>
      </c>
      <c r="F2164" s="534">
        <v>0</v>
      </c>
      <c r="G2164" s="534">
        <v>2</v>
      </c>
      <c r="I2164" s="534">
        <v>0</v>
      </c>
      <c r="J2164" s="534">
        <v>0</v>
      </c>
      <c r="K2164" s="534">
        <v>0</v>
      </c>
      <c r="M2164" s="617">
        <f t="shared" si="68"/>
        <v>0</v>
      </c>
      <c r="N2164" s="617">
        <f t="shared" si="69"/>
        <v>2</v>
      </c>
      <c r="O2164" s="617"/>
    </row>
    <row r="2165" spans="2:15" ht="15" x14ac:dyDescent="0.25">
      <c r="B2165" s="529">
        <v>2160001</v>
      </c>
      <c r="C2165" s="529">
        <v>2161</v>
      </c>
      <c r="E2165" s="534">
        <v>0</v>
      </c>
      <c r="F2165" s="534">
        <v>0</v>
      </c>
      <c r="G2165" s="534">
        <v>2</v>
      </c>
      <c r="I2165" s="534">
        <v>0</v>
      </c>
      <c r="J2165" s="534">
        <v>0</v>
      </c>
      <c r="K2165" s="534">
        <v>0</v>
      </c>
      <c r="M2165" s="617">
        <f t="shared" si="68"/>
        <v>0</v>
      </c>
      <c r="N2165" s="617">
        <f t="shared" si="69"/>
        <v>2</v>
      </c>
      <c r="O2165" s="617"/>
    </row>
    <row r="2166" spans="2:15" ht="15" x14ac:dyDescent="0.25">
      <c r="B2166" s="529">
        <v>2161001</v>
      </c>
      <c r="C2166" s="529">
        <v>2162</v>
      </c>
      <c r="E2166" s="534">
        <v>0</v>
      </c>
      <c r="F2166" s="534">
        <v>0</v>
      </c>
      <c r="G2166" s="534">
        <v>2</v>
      </c>
      <c r="I2166" s="534">
        <v>0</v>
      </c>
      <c r="J2166" s="534">
        <v>0</v>
      </c>
      <c r="K2166" s="534">
        <v>0</v>
      </c>
      <c r="M2166" s="617">
        <f t="shared" si="68"/>
        <v>0</v>
      </c>
      <c r="N2166" s="617">
        <f t="shared" si="69"/>
        <v>2</v>
      </c>
      <c r="O2166" s="617"/>
    </row>
    <row r="2167" spans="2:15" ht="15" x14ac:dyDescent="0.25">
      <c r="B2167" s="529">
        <v>2162001</v>
      </c>
      <c r="C2167" s="529">
        <v>2163</v>
      </c>
      <c r="E2167" s="534">
        <v>0</v>
      </c>
      <c r="F2167" s="534">
        <v>0</v>
      </c>
      <c r="G2167" s="534">
        <v>2</v>
      </c>
      <c r="I2167" s="534">
        <v>0</v>
      </c>
      <c r="J2167" s="534">
        <v>0</v>
      </c>
      <c r="K2167" s="534">
        <v>0</v>
      </c>
      <c r="M2167" s="617">
        <f t="shared" si="68"/>
        <v>0</v>
      </c>
      <c r="N2167" s="617">
        <f t="shared" si="69"/>
        <v>2</v>
      </c>
      <c r="O2167" s="617"/>
    </row>
    <row r="2168" spans="2:15" ht="15" x14ac:dyDescent="0.25">
      <c r="B2168" s="529">
        <v>2163001</v>
      </c>
      <c r="C2168" s="529">
        <v>2164</v>
      </c>
      <c r="E2168" s="534">
        <v>0</v>
      </c>
      <c r="F2168" s="534">
        <v>0</v>
      </c>
      <c r="G2168" s="534">
        <v>2</v>
      </c>
      <c r="I2168" s="534">
        <v>0</v>
      </c>
      <c r="J2168" s="534">
        <v>0</v>
      </c>
      <c r="K2168" s="534">
        <v>0</v>
      </c>
      <c r="M2168" s="617">
        <f t="shared" si="68"/>
        <v>0</v>
      </c>
      <c r="N2168" s="617">
        <f t="shared" si="69"/>
        <v>2</v>
      </c>
      <c r="O2168" s="617"/>
    </row>
    <row r="2169" spans="2:15" ht="15" x14ac:dyDescent="0.25">
      <c r="B2169" s="529">
        <v>2164001</v>
      </c>
      <c r="C2169" s="529">
        <v>2165</v>
      </c>
      <c r="E2169" s="534">
        <v>0</v>
      </c>
      <c r="F2169" s="534">
        <v>0</v>
      </c>
      <c r="G2169" s="534">
        <v>2</v>
      </c>
      <c r="I2169" s="534">
        <v>0</v>
      </c>
      <c r="J2169" s="534">
        <v>0</v>
      </c>
      <c r="K2169" s="534">
        <v>0</v>
      </c>
      <c r="M2169" s="617">
        <f t="shared" si="68"/>
        <v>0</v>
      </c>
      <c r="N2169" s="617">
        <f t="shared" si="69"/>
        <v>2</v>
      </c>
      <c r="O2169" s="617"/>
    </row>
    <row r="2170" spans="2:15" ht="15" x14ac:dyDescent="0.25">
      <c r="B2170" s="529">
        <v>2165001</v>
      </c>
      <c r="C2170" s="529">
        <v>2166</v>
      </c>
      <c r="E2170" s="534">
        <v>0</v>
      </c>
      <c r="F2170" s="534">
        <v>0</v>
      </c>
      <c r="G2170" s="534">
        <v>2</v>
      </c>
      <c r="I2170" s="534">
        <v>0</v>
      </c>
      <c r="J2170" s="534">
        <v>0</v>
      </c>
      <c r="K2170" s="534">
        <v>0</v>
      </c>
      <c r="M2170" s="617">
        <f t="shared" si="68"/>
        <v>0</v>
      </c>
      <c r="N2170" s="617">
        <f t="shared" si="69"/>
        <v>2</v>
      </c>
      <c r="O2170" s="617"/>
    </row>
    <row r="2171" spans="2:15" ht="15" x14ac:dyDescent="0.25">
      <c r="B2171" s="529">
        <v>2166001</v>
      </c>
      <c r="C2171" s="529">
        <v>2167</v>
      </c>
      <c r="E2171" s="534">
        <v>0</v>
      </c>
      <c r="F2171" s="534">
        <v>0</v>
      </c>
      <c r="G2171" s="534">
        <v>2</v>
      </c>
      <c r="I2171" s="534">
        <v>0</v>
      </c>
      <c r="J2171" s="534">
        <v>0</v>
      </c>
      <c r="K2171" s="534">
        <v>0</v>
      </c>
      <c r="M2171" s="617">
        <f t="shared" si="68"/>
        <v>0</v>
      </c>
      <c r="N2171" s="617">
        <f t="shared" si="69"/>
        <v>2</v>
      </c>
      <c r="O2171" s="617"/>
    </row>
    <row r="2172" spans="2:15" ht="15" x14ac:dyDescent="0.25">
      <c r="B2172" s="529">
        <v>2167001</v>
      </c>
      <c r="C2172" s="529">
        <v>2168</v>
      </c>
      <c r="E2172" s="534">
        <v>0</v>
      </c>
      <c r="F2172" s="534">
        <v>0</v>
      </c>
      <c r="G2172" s="534">
        <v>2</v>
      </c>
      <c r="I2172" s="534">
        <v>0</v>
      </c>
      <c r="J2172" s="534">
        <v>0</v>
      </c>
      <c r="K2172" s="534">
        <v>0</v>
      </c>
      <c r="M2172" s="617">
        <f t="shared" si="68"/>
        <v>0</v>
      </c>
      <c r="N2172" s="617">
        <f t="shared" si="69"/>
        <v>2</v>
      </c>
      <c r="O2172" s="617"/>
    </row>
    <row r="2173" spans="2:15" ht="15" x14ac:dyDescent="0.25">
      <c r="B2173" s="529">
        <v>2168001</v>
      </c>
      <c r="C2173" s="529">
        <v>2169</v>
      </c>
      <c r="E2173" s="534">
        <v>0</v>
      </c>
      <c r="F2173" s="534">
        <v>0</v>
      </c>
      <c r="G2173" s="534">
        <v>2</v>
      </c>
      <c r="I2173" s="534">
        <v>0</v>
      </c>
      <c r="J2173" s="534">
        <v>0</v>
      </c>
      <c r="K2173" s="534">
        <v>0</v>
      </c>
      <c r="M2173" s="617">
        <f t="shared" si="68"/>
        <v>0</v>
      </c>
      <c r="N2173" s="617">
        <f t="shared" si="69"/>
        <v>2</v>
      </c>
      <c r="O2173" s="617"/>
    </row>
    <row r="2174" spans="2:15" ht="15" x14ac:dyDescent="0.25">
      <c r="B2174" s="529">
        <v>2169001</v>
      </c>
      <c r="C2174" s="529">
        <v>2170</v>
      </c>
      <c r="E2174" s="534">
        <v>0</v>
      </c>
      <c r="F2174" s="534">
        <v>0</v>
      </c>
      <c r="G2174" s="534">
        <v>2</v>
      </c>
      <c r="I2174" s="534">
        <v>0</v>
      </c>
      <c r="J2174" s="534">
        <v>0</v>
      </c>
      <c r="K2174" s="534">
        <v>0</v>
      </c>
      <c r="M2174" s="617">
        <f t="shared" si="68"/>
        <v>0</v>
      </c>
      <c r="N2174" s="617">
        <f t="shared" si="69"/>
        <v>2</v>
      </c>
      <c r="O2174" s="617"/>
    </row>
    <row r="2175" spans="2:15" ht="15" x14ac:dyDescent="0.25">
      <c r="B2175" s="529">
        <v>2170001</v>
      </c>
      <c r="C2175" s="529">
        <v>2171</v>
      </c>
      <c r="E2175" s="534">
        <v>0</v>
      </c>
      <c r="F2175" s="534">
        <v>0</v>
      </c>
      <c r="G2175" s="534">
        <v>2</v>
      </c>
      <c r="I2175" s="534">
        <v>0</v>
      </c>
      <c r="J2175" s="534">
        <v>0</v>
      </c>
      <c r="K2175" s="534">
        <v>0</v>
      </c>
      <c r="M2175" s="617">
        <f t="shared" si="68"/>
        <v>0</v>
      </c>
      <c r="N2175" s="617">
        <f t="shared" si="69"/>
        <v>2</v>
      </c>
      <c r="O2175" s="617"/>
    </row>
    <row r="2176" spans="2:15" ht="15" x14ac:dyDescent="0.25">
      <c r="B2176" s="529">
        <v>2171001</v>
      </c>
      <c r="C2176" s="529">
        <v>2172</v>
      </c>
      <c r="E2176" s="534">
        <v>0</v>
      </c>
      <c r="F2176" s="534">
        <v>0</v>
      </c>
      <c r="G2176" s="534">
        <v>2</v>
      </c>
      <c r="I2176" s="534">
        <v>0</v>
      </c>
      <c r="J2176" s="534">
        <v>0</v>
      </c>
      <c r="K2176" s="534">
        <v>0</v>
      </c>
      <c r="M2176" s="617">
        <f t="shared" si="68"/>
        <v>0</v>
      </c>
      <c r="N2176" s="617">
        <f t="shared" si="69"/>
        <v>2</v>
      </c>
      <c r="O2176" s="617"/>
    </row>
    <row r="2177" spans="2:15" ht="15" x14ac:dyDescent="0.25">
      <c r="B2177" s="529">
        <v>2172001</v>
      </c>
      <c r="C2177" s="529">
        <v>2173</v>
      </c>
      <c r="E2177" s="534">
        <v>0</v>
      </c>
      <c r="F2177" s="534">
        <v>0</v>
      </c>
      <c r="G2177" s="534">
        <v>2</v>
      </c>
      <c r="I2177" s="534">
        <v>0</v>
      </c>
      <c r="J2177" s="534">
        <v>0</v>
      </c>
      <c r="K2177" s="534">
        <v>0</v>
      </c>
      <c r="M2177" s="617">
        <f t="shared" si="68"/>
        <v>0</v>
      </c>
      <c r="N2177" s="617">
        <f t="shared" si="69"/>
        <v>2</v>
      </c>
      <c r="O2177" s="617"/>
    </row>
    <row r="2178" spans="2:15" ht="15" x14ac:dyDescent="0.25">
      <c r="B2178" s="529">
        <v>2173001</v>
      </c>
      <c r="C2178" s="529">
        <v>2174</v>
      </c>
      <c r="E2178" s="534">
        <v>0</v>
      </c>
      <c r="F2178" s="534">
        <v>0</v>
      </c>
      <c r="G2178" s="534">
        <v>2</v>
      </c>
      <c r="I2178" s="534">
        <v>0</v>
      </c>
      <c r="J2178" s="534">
        <v>0</v>
      </c>
      <c r="K2178" s="534">
        <v>0</v>
      </c>
      <c r="M2178" s="617">
        <f t="shared" si="68"/>
        <v>0</v>
      </c>
      <c r="N2178" s="617">
        <f t="shared" si="69"/>
        <v>2</v>
      </c>
      <c r="O2178" s="617"/>
    </row>
    <row r="2179" spans="2:15" ht="15" x14ac:dyDescent="0.25">
      <c r="B2179" s="529">
        <v>2174001</v>
      </c>
      <c r="C2179" s="529">
        <v>2175</v>
      </c>
      <c r="E2179" s="534">
        <v>0</v>
      </c>
      <c r="F2179" s="534">
        <v>0</v>
      </c>
      <c r="G2179" s="534">
        <v>2</v>
      </c>
      <c r="I2179" s="534">
        <v>0</v>
      </c>
      <c r="J2179" s="534">
        <v>0</v>
      </c>
      <c r="K2179" s="534">
        <v>0</v>
      </c>
      <c r="M2179" s="617">
        <f t="shared" si="68"/>
        <v>0</v>
      </c>
      <c r="N2179" s="617">
        <f t="shared" si="69"/>
        <v>2</v>
      </c>
      <c r="O2179" s="617"/>
    </row>
    <row r="2180" spans="2:15" ht="15" x14ac:dyDescent="0.25">
      <c r="B2180" s="529">
        <v>2175001</v>
      </c>
      <c r="C2180" s="529">
        <v>2176</v>
      </c>
      <c r="E2180" s="534">
        <v>0</v>
      </c>
      <c r="F2180" s="534">
        <v>0</v>
      </c>
      <c r="G2180" s="534">
        <v>2</v>
      </c>
      <c r="I2180" s="534">
        <v>0</v>
      </c>
      <c r="J2180" s="534">
        <v>0</v>
      </c>
      <c r="K2180" s="534">
        <v>0</v>
      </c>
      <c r="M2180" s="617">
        <f t="shared" si="68"/>
        <v>0</v>
      </c>
      <c r="N2180" s="617">
        <f t="shared" si="69"/>
        <v>2</v>
      </c>
      <c r="O2180" s="617"/>
    </row>
    <row r="2181" spans="2:15" ht="15" x14ac:dyDescent="0.25">
      <c r="B2181" s="529">
        <v>2176001</v>
      </c>
      <c r="C2181" s="529">
        <v>2177</v>
      </c>
      <c r="E2181" s="534">
        <v>0</v>
      </c>
      <c r="F2181" s="534">
        <v>0</v>
      </c>
      <c r="G2181" s="534">
        <v>2</v>
      </c>
      <c r="I2181" s="534">
        <v>0</v>
      </c>
      <c r="J2181" s="534">
        <v>0</v>
      </c>
      <c r="K2181" s="534">
        <v>0</v>
      </c>
      <c r="M2181" s="617">
        <f t="shared" ref="M2181:M2244" si="70">I2181+E2181</f>
        <v>0</v>
      </c>
      <c r="N2181" s="617">
        <f t="shared" ref="N2181:N2244" si="71">K2181+G2181</f>
        <v>2</v>
      </c>
      <c r="O2181" s="617"/>
    </row>
    <row r="2182" spans="2:15" ht="15" x14ac:dyDescent="0.25">
      <c r="B2182" s="529">
        <v>2177001</v>
      </c>
      <c r="C2182" s="529">
        <v>2178</v>
      </c>
      <c r="E2182" s="534">
        <v>0</v>
      </c>
      <c r="F2182" s="534">
        <v>0</v>
      </c>
      <c r="G2182" s="534">
        <v>2</v>
      </c>
      <c r="I2182" s="534">
        <v>0</v>
      </c>
      <c r="J2182" s="534">
        <v>0</v>
      </c>
      <c r="K2182" s="534">
        <v>0</v>
      </c>
      <c r="M2182" s="617">
        <f t="shared" si="70"/>
        <v>0</v>
      </c>
      <c r="N2182" s="617">
        <f t="shared" si="71"/>
        <v>2</v>
      </c>
      <c r="O2182" s="617"/>
    </row>
    <row r="2183" spans="2:15" ht="15" x14ac:dyDescent="0.25">
      <c r="B2183" s="529">
        <v>2178001</v>
      </c>
      <c r="C2183" s="529">
        <v>2179</v>
      </c>
      <c r="E2183" s="534">
        <v>0</v>
      </c>
      <c r="F2183" s="534">
        <v>0</v>
      </c>
      <c r="G2183" s="534">
        <v>2</v>
      </c>
      <c r="I2183" s="534">
        <v>0</v>
      </c>
      <c r="J2183" s="534">
        <v>0</v>
      </c>
      <c r="K2183" s="534">
        <v>0</v>
      </c>
      <c r="M2183" s="617">
        <f t="shared" si="70"/>
        <v>0</v>
      </c>
      <c r="N2183" s="617">
        <f t="shared" si="71"/>
        <v>2</v>
      </c>
      <c r="O2183" s="617"/>
    </row>
    <row r="2184" spans="2:15" ht="15" x14ac:dyDescent="0.25">
      <c r="B2184" s="529">
        <v>2179001</v>
      </c>
      <c r="C2184" s="529">
        <v>2180</v>
      </c>
      <c r="E2184" s="534">
        <v>0</v>
      </c>
      <c r="F2184" s="534">
        <v>0</v>
      </c>
      <c r="G2184" s="534">
        <v>2</v>
      </c>
      <c r="I2184" s="534">
        <v>0</v>
      </c>
      <c r="J2184" s="534">
        <v>0</v>
      </c>
      <c r="K2184" s="534">
        <v>0</v>
      </c>
      <c r="M2184" s="617">
        <f t="shared" si="70"/>
        <v>0</v>
      </c>
      <c r="N2184" s="617">
        <f t="shared" si="71"/>
        <v>2</v>
      </c>
      <c r="O2184" s="617"/>
    </row>
    <row r="2185" spans="2:15" ht="15" x14ac:dyDescent="0.25">
      <c r="B2185" s="529">
        <v>2180001</v>
      </c>
      <c r="C2185" s="529">
        <v>2181</v>
      </c>
      <c r="E2185" s="534">
        <v>0</v>
      </c>
      <c r="F2185" s="534">
        <v>0</v>
      </c>
      <c r="G2185" s="534">
        <v>2</v>
      </c>
      <c r="I2185" s="534">
        <v>0</v>
      </c>
      <c r="J2185" s="534">
        <v>0</v>
      </c>
      <c r="K2185" s="534">
        <v>0</v>
      </c>
      <c r="M2185" s="617">
        <f t="shared" si="70"/>
        <v>0</v>
      </c>
      <c r="N2185" s="617">
        <f t="shared" si="71"/>
        <v>2</v>
      </c>
      <c r="O2185" s="617"/>
    </row>
    <row r="2186" spans="2:15" ht="15" x14ac:dyDescent="0.25">
      <c r="B2186" s="529">
        <v>2181001</v>
      </c>
      <c r="C2186" s="529">
        <v>2182</v>
      </c>
      <c r="E2186" s="534">
        <v>0</v>
      </c>
      <c r="F2186" s="534">
        <v>0</v>
      </c>
      <c r="G2186" s="534">
        <v>2</v>
      </c>
      <c r="I2186" s="534">
        <v>0</v>
      </c>
      <c r="J2186" s="534">
        <v>0</v>
      </c>
      <c r="K2186" s="534">
        <v>0</v>
      </c>
      <c r="M2186" s="617">
        <f t="shared" si="70"/>
        <v>0</v>
      </c>
      <c r="N2186" s="617">
        <f t="shared" si="71"/>
        <v>2</v>
      </c>
      <c r="O2186" s="617"/>
    </row>
    <row r="2187" spans="2:15" ht="15" x14ac:dyDescent="0.25">
      <c r="B2187" s="529">
        <v>2182001</v>
      </c>
      <c r="C2187" s="529">
        <v>2183</v>
      </c>
      <c r="E2187" s="534">
        <v>0</v>
      </c>
      <c r="F2187" s="534">
        <v>0</v>
      </c>
      <c r="G2187" s="534">
        <v>2</v>
      </c>
      <c r="I2187" s="534">
        <v>0</v>
      </c>
      <c r="J2187" s="534">
        <v>0</v>
      </c>
      <c r="K2187" s="534">
        <v>0</v>
      </c>
      <c r="M2187" s="617">
        <f t="shared" si="70"/>
        <v>0</v>
      </c>
      <c r="N2187" s="617">
        <f t="shared" si="71"/>
        <v>2</v>
      </c>
      <c r="O2187" s="617"/>
    </row>
    <row r="2188" spans="2:15" ht="15" x14ac:dyDescent="0.25">
      <c r="B2188" s="529">
        <v>2183001</v>
      </c>
      <c r="C2188" s="529">
        <v>2184</v>
      </c>
      <c r="E2188" s="534">
        <v>0</v>
      </c>
      <c r="F2188" s="534">
        <v>0</v>
      </c>
      <c r="G2188" s="534">
        <v>2</v>
      </c>
      <c r="I2188" s="534">
        <v>0</v>
      </c>
      <c r="J2188" s="534">
        <v>0</v>
      </c>
      <c r="K2188" s="534">
        <v>0</v>
      </c>
      <c r="M2188" s="617">
        <f t="shared" si="70"/>
        <v>0</v>
      </c>
      <c r="N2188" s="617">
        <f t="shared" si="71"/>
        <v>2</v>
      </c>
      <c r="O2188" s="617"/>
    </row>
    <row r="2189" spans="2:15" ht="15" x14ac:dyDescent="0.25">
      <c r="B2189" s="529">
        <v>2184001</v>
      </c>
      <c r="C2189" s="529">
        <v>2185</v>
      </c>
      <c r="E2189" s="534">
        <v>0</v>
      </c>
      <c r="F2189" s="534">
        <v>0</v>
      </c>
      <c r="G2189" s="534">
        <v>2</v>
      </c>
      <c r="I2189" s="534">
        <v>0</v>
      </c>
      <c r="J2189" s="534">
        <v>0</v>
      </c>
      <c r="K2189" s="534">
        <v>0</v>
      </c>
      <c r="M2189" s="617">
        <f t="shared" si="70"/>
        <v>0</v>
      </c>
      <c r="N2189" s="617">
        <f t="shared" si="71"/>
        <v>2</v>
      </c>
      <c r="O2189" s="617"/>
    </row>
    <row r="2190" spans="2:15" ht="15" x14ac:dyDescent="0.25">
      <c r="B2190" s="529">
        <v>2185001</v>
      </c>
      <c r="C2190" s="529">
        <v>2186</v>
      </c>
      <c r="E2190" s="534">
        <v>0</v>
      </c>
      <c r="F2190" s="534">
        <v>0</v>
      </c>
      <c r="G2190" s="534">
        <v>2</v>
      </c>
      <c r="I2190" s="534">
        <v>0</v>
      </c>
      <c r="J2190" s="534">
        <v>0</v>
      </c>
      <c r="K2190" s="534">
        <v>0</v>
      </c>
      <c r="M2190" s="617">
        <f t="shared" si="70"/>
        <v>0</v>
      </c>
      <c r="N2190" s="617">
        <f t="shared" si="71"/>
        <v>2</v>
      </c>
      <c r="O2190" s="617"/>
    </row>
    <row r="2191" spans="2:15" ht="15" x14ac:dyDescent="0.25">
      <c r="B2191" s="529">
        <v>2186001</v>
      </c>
      <c r="C2191" s="529">
        <v>2187</v>
      </c>
      <c r="E2191" s="534">
        <v>0</v>
      </c>
      <c r="F2191" s="534">
        <v>0</v>
      </c>
      <c r="G2191" s="534">
        <v>2</v>
      </c>
      <c r="I2191" s="534">
        <v>0</v>
      </c>
      <c r="J2191" s="534">
        <v>0</v>
      </c>
      <c r="K2191" s="534">
        <v>0</v>
      </c>
      <c r="M2191" s="617">
        <f t="shared" si="70"/>
        <v>0</v>
      </c>
      <c r="N2191" s="617">
        <f t="shared" si="71"/>
        <v>2</v>
      </c>
      <c r="O2191" s="617"/>
    </row>
    <row r="2192" spans="2:15" ht="15" x14ac:dyDescent="0.25">
      <c r="B2192" s="529">
        <v>2187001</v>
      </c>
      <c r="C2192" s="529">
        <v>2188</v>
      </c>
      <c r="E2192" s="534">
        <v>0</v>
      </c>
      <c r="F2192" s="534">
        <v>0</v>
      </c>
      <c r="G2192" s="534">
        <v>2</v>
      </c>
      <c r="I2192" s="534">
        <v>0</v>
      </c>
      <c r="J2192" s="534">
        <v>0</v>
      </c>
      <c r="K2192" s="534">
        <v>0</v>
      </c>
      <c r="M2192" s="617">
        <f t="shared" si="70"/>
        <v>0</v>
      </c>
      <c r="N2192" s="617">
        <f t="shared" si="71"/>
        <v>2</v>
      </c>
      <c r="O2192" s="617"/>
    </row>
    <row r="2193" spans="2:15" ht="15" x14ac:dyDescent="0.25">
      <c r="B2193" s="529">
        <v>2188001</v>
      </c>
      <c r="C2193" s="529">
        <v>2189</v>
      </c>
      <c r="E2193" s="534">
        <v>0</v>
      </c>
      <c r="F2193" s="534">
        <v>0</v>
      </c>
      <c r="G2193" s="534">
        <v>2</v>
      </c>
      <c r="I2193" s="534">
        <v>0</v>
      </c>
      <c r="J2193" s="534">
        <v>0</v>
      </c>
      <c r="K2193" s="534">
        <v>0</v>
      </c>
      <c r="M2193" s="617">
        <f t="shared" si="70"/>
        <v>0</v>
      </c>
      <c r="N2193" s="617">
        <f t="shared" si="71"/>
        <v>2</v>
      </c>
      <c r="O2193" s="617"/>
    </row>
    <row r="2194" spans="2:15" ht="15" x14ac:dyDescent="0.25">
      <c r="B2194" s="529">
        <v>2189001</v>
      </c>
      <c r="C2194" s="529">
        <v>2190</v>
      </c>
      <c r="E2194" s="534">
        <v>0</v>
      </c>
      <c r="F2194" s="534">
        <v>0</v>
      </c>
      <c r="G2194" s="534">
        <v>2</v>
      </c>
      <c r="I2194" s="534">
        <v>0</v>
      </c>
      <c r="J2194" s="534">
        <v>0</v>
      </c>
      <c r="K2194" s="534">
        <v>0</v>
      </c>
      <c r="M2194" s="617">
        <f t="shared" si="70"/>
        <v>0</v>
      </c>
      <c r="N2194" s="617">
        <f t="shared" si="71"/>
        <v>2</v>
      </c>
      <c r="O2194" s="617"/>
    </row>
    <row r="2195" spans="2:15" ht="15" x14ac:dyDescent="0.25">
      <c r="B2195" s="529">
        <v>2190001</v>
      </c>
      <c r="C2195" s="529">
        <v>2191</v>
      </c>
      <c r="E2195" s="534">
        <v>0</v>
      </c>
      <c r="F2195" s="534">
        <v>0</v>
      </c>
      <c r="G2195" s="534">
        <v>2</v>
      </c>
      <c r="I2195" s="534">
        <v>0</v>
      </c>
      <c r="J2195" s="534">
        <v>0</v>
      </c>
      <c r="K2195" s="534">
        <v>0</v>
      </c>
      <c r="M2195" s="617">
        <f t="shared" si="70"/>
        <v>0</v>
      </c>
      <c r="N2195" s="617">
        <f t="shared" si="71"/>
        <v>2</v>
      </c>
      <c r="O2195" s="617"/>
    </row>
    <row r="2196" spans="2:15" ht="15" x14ac:dyDescent="0.25">
      <c r="B2196" s="529">
        <v>2191001</v>
      </c>
      <c r="C2196" s="529">
        <v>2192</v>
      </c>
      <c r="E2196" s="534">
        <v>0</v>
      </c>
      <c r="F2196" s="534">
        <v>0</v>
      </c>
      <c r="G2196" s="534">
        <v>2</v>
      </c>
      <c r="I2196" s="534">
        <v>0</v>
      </c>
      <c r="J2196" s="534">
        <v>0</v>
      </c>
      <c r="K2196" s="534">
        <v>0</v>
      </c>
      <c r="M2196" s="617">
        <f t="shared" si="70"/>
        <v>0</v>
      </c>
      <c r="N2196" s="617">
        <f t="shared" si="71"/>
        <v>2</v>
      </c>
      <c r="O2196" s="617"/>
    </row>
    <row r="2197" spans="2:15" ht="15" x14ac:dyDescent="0.25">
      <c r="B2197" s="529">
        <v>2192001</v>
      </c>
      <c r="C2197" s="529">
        <v>2193</v>
      </c>
      <c r="E2197" s="534">
        <v>0</v>
      </c>
      <c r="F2197" s="534">
        <v>0</v>
      </c>
      <c r="G2197" s="534">
        <v>2</v>
      </c>
      <c r="I2197" s="534">
        <v>0</v>
      </c>
      <c r="J2197" s="534">
        <v>0</v>
      </c>
      <c r="K2197" s="534">
        <v>0</v>
      </c>
      <c r="M2197" s="617">
        <f t="shared" si="70"/>
        <v>0</v>
      </c>
      <c r="N2197" s="617">
        <f t="shared" si="71"/>
        <v>2</v>
      </c>
      <c r="O2197" s="617"/>
    </row>
    <row r="2198" spans="2:15" ht="15" x14ac:dyDescent="0.25">
      <c r="B2198" s="529">
        <v>2193001</v>
      </c>
      <c r="C2198" s="529">
        <v>2194</v>
      </c>
      <c r="E2198" s="534">
        <v>0</v>
      </c>
      <c r="F2198" s="534">
        <v>0</v>
      </c>
      <c r="G2198" s="534">
        <v>2</v>
      </c>
      <c r="I2198" s="534">
        <v>0</v>
      </c>
      <c r="J2198" s="534">
        <v>0</v>
      </c>
      <c r="K2198" s="534">
        <v>0</v>
      </c>
      <c r="M2198" s="617">
        <f t="shared" si="70"/>
        <v>0</v>
      </c>
      <c r="N2198" s="617">
        <f t="shared" si="71"/>
        <v>2</v>
      </c>
      <c r="O2198" s="617"/>
    </row>
    <row r="2199" spans="2:15" ht="15" x14ac:dyDescent="0.25">
      <c r="B2199" s="529">
        <v>2194001</v>
      </c>
      <c r="C2199" s="529">
        <v>2195</v>
      </c>
      <c r="E2199" s="534">
        <v>0</v>
      </c>
      <c r="F2199" s="534">
        <v>0</v>
      </c>
      <c r="G2199" s="534">
        <v>2</v>
      </c>
      <c r="I2199" s="534">
        <v>0</v>
      </c>
      <c r="J2199" s="534">
        <v>0</v>
      </c>
      <c r="K2199" s="534">
        <v>0</v>
      </c>
      <c r="M2199" s="617">
        <f t="shared" si="70"/>
        <v>0</v>
      </c>
      <c r="N2199" s="617">
        <f t="shared" si="71"/>
        <v>2</v>
      </c>
      <c r="O2199" s="617"/>
    </row>
    <row r="2200" spans="2:15" ht="15" x14ac:dyDescent="0.25">
      <c r="B2200" s="529">
        <v>2195001</v>
      </c>
      <c r="C2200" s="529">
        <v>2196</v>
      </c>
      <c r="E2200" s="534">
        <v>0</v>
      </c>
      <c r="F2200" s="534">
        <v>0</v>
      </c>
      <c r="G2200" s="534">
        <v>2</v>
      </c>
      <c r="I2200" s="534">
        <v>0</v>
      </c>
      <c r="J2200" s="534">
        <v>0</v>
      </c>
      <c r="K2200" s="534">
        <v>0</v>
      </c>
      <c r="M2200" s="617">
        <f t="shared" si="70"/>
        <v>0</v>
      </c>
      <c r="N2200" s="617">
        <f t="shared" si="71"/>
        <v>2</v>
      </c>
      <c r="O2200" s="617"/>
    </row>
    <row r="2201" spans="2:15" ht="15" x14ac:dyDescent="0.25">
      <c r="B2201" s="529">
        <v>2196001</v>
      </c>
      <c r="C2201" s="529">
        <v>2197</v>
      </c>
      <c r="E2201" s="534">
        <v>0</v>
      </c>
      <c r="F2201" s="534">
        <v>0</v>
      </c>
      <c r="G2201" s="534">
        <v>2</v>
      </c>
      <c r="I2201" s="534">
        <v>0</v>
      </c>
      <c r="J2201" s="534">
        <v>0</v>
      </c>
      <c r="K2201" s="534">
        <v>0</v>
      </c>
      <c r="M2201" s="617">
        <f t="shared" si="70"/>
        <v>0</v>
      </c>
      <c r="N2201" s="617">
        <f t="shared" si="71"/>
        <v>2</v>
      </c>
      <c r="O2201" s="617"/>
    </row>
    <row r="2202" spans="2:15" ht="15" x14ac:dyDescent="0.25">
      <c r="B2202" s="529">
        <v>2197001</v>
      </c>
      <c r="C2202" s="529">
        <v>2198</v>
      </c>
      <c r="E2202" s="534">
        <v>0</v>
      </c>
      <c r="F2202" s="534">
        <v>0</v>
      </c>
      <c r="G2202" s="534">
        <v>2</v>
      </c>
      <c r="I2202" s="534">
        <v>0</v>
      </c>
      <c r="J2202" s="534">
        <v>0</v>
      </c>
      <c r="K2202" s="534">
        <v>0</v>
      </c>
      <c r="M2202" s="617">
        <f t="shared" si="70"/>
        <v>0</v>
      </c>
      <c r="N2202" s="617">
        <f t="shared" si="71"/>
        <v>2</v>
      </c>
      <c r="O2202" s="617"/>
    </row>
    <row r="2203" spans="2:15" ht="15" x14ac:dyDescent="0.25">
      <c r="B2203" s="529">
        <v>2198001</v>
      </c>
      <c r="C2203" s="529">
        <v>2199</v>
      </c>
      <c r="E2203" s="534">
        <v>0</v>
      </c>
      <c r="F2203" s="534">
        <v>0</v>
      </c>
      <c r="G2203" s="534">
        <v>2</v>
      </c>
      <c r="I2203" s="534">
        <v>0</v>
      </c>
      <c r="J2203" s="534">
        <v>0</v>
      </c>
      <c r="K2203" s="534">
        <v>0</v>
      </c>
      <c r="M2203" s="617">
        <f t="shared" si="70"/>
        <v>0</v>
      </c>
      <c r="N2203" s="617">
        <f t="shared" si="71"/>
        <v>2</v>
      </c>
      <c r="O2203" s="617"/>
    </row>
    <row r="2204" spans="2:15" ht="15" x14ac:dyDescent="0.25">
      <c r="B2204" s="529">
        <v>2199001</v>
      </c>
      <c r="C2204" s="529">
        <v>2200</v>
      </c>
      <c r="E2204" s="534">
        <v>0</v>
      </c>
      <c r="F2204" s="534">
        <v>0</v>
      </c>
      <c r="G2204" s="534">
        <v>2</v>
      </c>
      <c r="I2204" s="534">
        <v>0</v>
      </c>
      <c r="J2204" s="534">
        <v>0</v>
      </c>
      <c r="K2204" s="534">
        <v>0</v>
      </c>
      <c r="M2204" s="617">
        <f t="shared" si="70"/>
        <v>0</v>
      </c>
      <c r="N2204" s="617">
        <f t="shared" si="71"/>
        <v>2</v>
      </c>
      <c r="O2204" s="617"/>
    </row>
    <row r="2205" spans="2:15" ht="15" x14ac:dyDescent="0.25">
      <c r="B2205" s="529">
        <v>2200001</v>
      </c>
      <c r="C2205" s="529">
        <v>2201</v>
      </c>
      <c r="E2205" s="534">
        <v>0</v>
      </c>
      <c r="F2205" s="534">
        <v>0</v>
      </c>
      <c r="G2205" s="534">
        <v>2</v>
      </c>
      <c r="I2205" s="534">
        <v>0</v>
      </c>
      <c r="J2205" s="534">
        <v>0</v>
      </c>
      <c r="K2205" s="534">
        <v>0</v>
      </c>
      <c r="M2205" s="617">
        <f t="shared" si="70"/>
        <v>0</v>
      </c>
      <c r="N2205" s="617">
        <f t="shared" si="71"/>
        <v>2</v>
      </c>
      <c r="O2205" s="617"/>
    </row>
    <row r="2206" spans="2:15" ht="15" x14ac:dyDescent="0.25">
      <c r="B2206" s="529">
        <v>2201001</v>
      </c>
      <c r="C2206" s="529">
        <v>2202</v>
      </c>
      <c r="E2206" s="534">
        <v>0</v>
      </c>
      <c r="F2206" s="534">
        <v>0</v>
      </c>
      <c r="G2206" s="534">
        <v>2</v>
      </c>
      <c r="I2206" s="534">
        <v>0</v>
      </c>
      <c r="J2206" s="534">
        <v>0</v>
      </c>
      <c r="K2206" s="534">
        <v>0</v>
      </c>
      <c r="M2206" s="617">
        <f t="shared" si="70"/>
        <v>0</v>
      </c>
      <c r="N2206" s="617">
        <f t="shared" si="71"/>
        <v>2</v>
      </c>
      <c r="O2206" s="617"/>
    </row>
    <row r="2207" spans="2:15" ht="15" x14ac:dyDescent="0.25">
      <c r="B2207" s="529">
        <v>2202001</v>
      </c>
      <c r="C2207" s="529">
        <v>2203</v>
      </c>
      <c r="E2207" s="534">
        <v>0</v>
      </c>
      <c r="F2207" s="534">
        <v>0</v>
      </c>
      <c r="G2207" s="534">
        <v>2</v>
      </c>
      <c r="I2207" s="534">
        <v>0</v>
      </c>
      <c r="J2207" s="534">
        <v>0</v>
      </c>
      <c r="K2207" s="534">
        <v>0</v>
      </c>
      <c r="M2207" s="617">
        <f t="shared" si="70"/>
        <v>0</v>
      </c>
      <c r="N2207" s="617">
        <f t="shared" si="71"/>
        <v>2</v>
      </c>
      <c r="O2207" s="617"/>
    </row>
    <row r="2208" spans="2:15" ht="15" x14ac:dyDescent="0.25">
      <c r="B2208" s="529">
        <v>2203001</v>
      </c>
      <c r="C2208" s="529">
        <v>2204</v>
      </c>
      <c r="E2208" s="534">
        <v>0</v>
      </c>
      <c r="F2208" s="534">
        <v>0</v>
      </c>
      <c r="G2208" s="534">
        <v>2</v>
      </c>
      <c r="I2208" s="534">
        <v>0</v>
      </c>
      <c r="J2208" s="534">
        <v>0</v>
      </c>
      <c r="K2208" s="534">
        <v>0</v>
      </c>
      <c r="M2208" s="617">
        <f t="shared" si="70"/>
        <v>0</v>
      </c>
      <c r="N2208" s="617">
        <f t="shared" si="71"/>
        <v>2</v>
      </c>
      <c r="O2208" s="617"/>
    </row>
    <row r="2209" spans="2:15" ht="15" x14ac:dyDescent="0.25">
      <c r="B2209" s="529">
        <v>2204001</v>
      </c>
      <c r="C2209" s="529">
        <v>2205</v>
      </c>
      <c r="E2209" s="534">
        <v>0</v>
      </c>
      <c r="F2209" s="534">
        <v>0</v>
      </c>
      <c r="G2209" s="534">
        <v>2</v>
      </c>
      <c r="I2209" s="534">
        <v>0</v>
      </c>
      <c r="J2209" s="534">
        <v>0</v>
      </c>
      <c r="K2209" s="534">
        <v>0</v>
      </c>
      <c r="M2209" s="617">
        <f t="shared" si="70"/>
        <v>0</v>
      </c>
      <c r="N2209" s="617">
        <f t="shared" si="71"/>
        <v>2</v>
      </c>
      <c r="O2209" s="617"/>
    </row>
    <row r="2210" spans="2:15" ht="15" x14ac:dyDescent="0.25">
      <c r="B2210" s="529">
        <v>2205001</v>
      </c>
      <c r="C2210" s="529">
        <v>2206</v>
      </c>
      <c r="E2210" s="534">
        <v>0</v>
      </c>
      <c r="F2210" s="534">
        <v>0</v>
      </c>
      <c r="G2210" s="534">
        <v>2</v>
      </c>
      <c r="I2210" s="534">
        <v>0</v>
      </c>
      <c r="J2210" s="534">
        <v>0</v>
      </c>
      <c r="K2210" s="534">
        <v>0</v>
      </c>
      <c r="M2210" s="617">
        <f t="shared" si="70"/>
        <v>0</v>
      </c>
      <c r="N2210" s="617">
        <f t="shared" si="71"/>
        <v>2</v>
      </c>
      <c r="O2210" s="617"/>
    </row>
    <row r="2211" spans="2:15" ht="15" x14ac:dyDescent="0.25">
      <c r="B2211" s="529">
        <v>2206001</v>
      </c>
      <c r="C2211" s="529">
        <v>2207</v>
      </c>
      <c r="E2211" s="534">
        <v>0</v>
      </c>
      <c r="F2211" s="534">
        <v>0</v>
      </c>
      <c r="G2211" s="534">
        <v>2</v>
      </c>
      <c r="I2211" s="534">
        <v>0</v>
      </c>
      <c r="J2211" s="534">
        <v>0</v>
      </c>
      <c r="K2211" s="534">
        <v>0</v>
      </c>
      <c r="M2211" s="617">
        <f t="shared" si="70"/>
        <v>0</v>
      </c>
      <c r="N2211" s="617">
        <f t="shared" si="71"/>
        <v>2</v>
      </c>
      <c r="O2211" s="617"/>
    </row>
    <row r="2212" spans="2:15" ht="15" x14ac:dyDescent="0.25">
      <c r="B2212" s="529">
        <v>2207001</v>
      </c>
      <c r="C2212" s="529">
        <v>2208</v>
      </c>
      <c r="E2212" s="534">
        <v>0</v>
      </c>
      <c r="F2212" s="534">
        <v>0</v>
      </c>
      <c r="G2212" s="534">
        <v>2</v>
      </c>
      <c r="I2212" s="534">
        <v>0</v>
      </c>
      <c r="J2212" s="534">
        <v>0</v>
      </c>
      <c r="K2212" s="534">
        <v>0</v>
      </c>
      <c r="M2212" s="617">
        <f t="shared" si="70"/>
        <v>0</v>
      </c>
      <c r="N2212" s="617">
        <f t="shared" si="71"/>
        <v>2</v>
      </c>
      <c r="O2212" s="617"/>
    </row>
    <row r="2213" spans="2:15" ht="15" x14ac:dyDescent="0.25">
      <c r="B2213" s="529">
        <v>2208001</v>
      </c>
      <c r="C2213" s="529">
        <v>2209</v>
      </c>
      <c r="E2213" s="534">
        <v>0</v>
      </c>
      <c r="F2213" s="534">
        <v>0</v>
      </c>
      <c r="G2213" s="534">
        <v>2</v>
      </c>
      <c r="I2213" s="534">
        <v>0</v>
      </c>
      <c r="J2213" s="534">
        <v>0</v>
      </c>
      <c r="K2213" s="534">
        <v>0</v>
      </c>
      <c r="M2213" s="617">
        <f t="shared" si="70"/>
        <v>0</v>
      </c>
      <c r="N2213" s="617">
        <f t="shared" si="71"/>
        <v>2</v>
      </c>
      <c r="O2213" s="617"/>
    </row>
    <row r="2214" spans="2:15" ht="15" x14ac:dyDescent="0.25">
      <c r="B2214" s="529">
        <v>2209001</v>
      </c>
      <c r="C2214" s="529">
        <v>2210</v>
      </c>
      <c r="E2214" s="534">
        <v>0</v>
      </c>
      <c r="F2214" s="534">
        <v>0</v>
      </c>
      <c r="G2214" s="534">
        <v>2</v>
      </c>
      <c r="I2214" s="534">
        <v>0</v>
      </c>
      <c r="J2214" s="534">
        <v>0</v>
      </c>
      <c r="K2214" s="534">
        <v>0</v>
      </c>
      <c r="M2214" s="617">
        <f t="shared" si="70"/>
        <v>0</v>
      </c>
      <c r="N2214" s="617">
        <f t="shared" si="71"/>
        <v>2</v>
      </c>
      <c r="O2214" s="617"/>
    </row>
    <row r="2215" spans="2:15" ht="15" x14ac:dyDescent="0.25">
      <c r="B2215" s="529">
        <v>2210001</v>
      </c>
      <c r="C2215" s="529">
        <v>2211</v>
      </c>
      <c r="E2215" s="534">
        <v>0</v>
      </c>
      <c r="F2215" s="534">
        <v>0</v>
      </c>
      <c r="G2215" s="534">
        <v>2</v>
      </c>
      <c r="I2215" s="534">
        <v>0</v>
      </c>
      <c r="J2215" s="534">
        <v>0</v>
      </c>
      <c r="K2215" s="534">
        <v>0</v>
      </c>
      <c r="M2215" s="617">
        <f t="shared" si="70"/>
        <v>0</v>
      </c>
      <c r="N2215" s="617">
        <f t="shared" si="71"/>
        <v>2</v>
      </c>
      <c r="O2215" s="617"/>
    </row>
    <row r="2216" spans="2:15" ht="15" x14ac:dyDescent="0.25">
      <c r="B2216" s="529">
        <v>2211001</v>
      </c>
      <c r="C2216" s="529">
        <v>2212</v>
      </c>
      <c r="E2216" s="534">
        <v>0</v>
      </c>
      <c r="F2216" s="534">
        <v>0</v>
      </c>
      <c r="G2216" s="534">
        <v>2</v>
      </c>
      <c r="I2216" s="534">
        <v>0</v>
      </c>
      <c r="J2216" s="534">
        <v>0</v>
      </c>
      <c r="K2216" s="534">
        <v>0</v>
      </c>
      <c r="M2216" s="617">
        <f t="shared" si="70"/>
        <v>0</v>
      </c>
      <c r="N2216" s="617">
        <f t="shared" si="71"/>
        <v>2</v>
      </c>
      <c r="O2216" s="617"/>
    </row>
    <row r="2217" spans="2:15" ht="15" x14ac:dyDescent="0.25">
      <c r="B2217" s="529">
        <v>2212001</v>
      </c>
      <c r="C2217" s="529">
        <v>2213</v>
      </c>
      <c r="E2217" s="534">
        <v>0</v>
      </c>
      <c r="F2217" s="534">
        <v>0</v>
      </c>
      <c r="G2217" s="534">
        <v>2</v>
      </c>
      <c r="I2217" s="534">
        <v>0</v>
      </c>
      <c r="J2217" s="534">
        <v>0</v>
      </c>
      <c r="K2217" s="534">
        <v>0</v>
      </c>
      <c r="M2217" s="617">
        <f t="shared" si="70"/>
        <v>0</v>
      </c>
      <c r="N2217" s="617">
        <f t="shared" si="71"/>
        <v>2</v>
      </c>
      <c r="O2217" s="617"/>
    </row>
    <row r="2218" spans="2:15" ht="15" x14ac:dyDescent="0.25">
      <c r="B2218" s="529">
        <v>2213001</v>
      </c>
      <c r="C2218" s="529">
        <v>2214</v>
      </c>
      <c r="E2218" s="534">
        <v>0</v>
      </c>
      <c r="F2218" s="534">
        <v>0</v>
      </c>
      <c r="G2218" s="534">
        <v>2</v>
      </c>
      <c r="I2218" s="534">
        <v>0</v>
      </c>
      <c r="J2218" s="534">
        <v>0</v>
      </c>
      <c r="K2218" s="534">
        <v>0</v>
      </c>
      <c r="M2218" s="617">
        <f t="shared" si="70"/>
        <v>0</v>
      </c>
      <c r="N2218" s="617">
        <f t="shared" si="71"/>
        <v>2</v>
      </c>
      <c r="O2218" s="617"/>
    </row>
    <row r="2219" spans="2:15" ht="15" x14ac:dyDescent="0.25">
      <c r="B2219" s="529">
        <v>2214001</v>
      </c>
      <c r="C2219" s="529">
        <v>2215</v>
      </c>
      <c r="E2219" s="534">
        <v>0</v>
      </c>
      <c r="F2219" s="534">
        <v>0</v>
      </c>
      <c r="G2219" s="534">
        <v>2</v>
      </c>
      <c r="I2219" s="534">
        <v>0</v>
      </c>
      <c r="J2219" s="534">
        <v>0</v>
      </c>
      <c r="K2219" s="534">
        <v>0</v>
      </c>
      <c r="M2219" s="617">
        <f t="shared" si="70"/>
        <v>0</v>
      </c>
      <c r="N2219" s="617">
        <f t="shared" si="71"/>
        <v>2</v>
      </c>
      <c r="O2219" s="617"/>
    </row>
    <row r="2220" spans="2:15" ht="15" x14ac:dyDescent="0.25">
      <c r="B2220" s="529">
        <v>2215001</v>
      </c>
      <c r="C2220" s="529">
        <v>2216</v>
      </c>
      <c r="E2220" s="534">
        <v>0</v>
      </c>
      <c r="F2220" s="534">
        <v>0</v>
      </c>
      <c r="G2220" s="534">
        <v>2</v>
      </c>
      <c r="I2220" s="534">
        <v>0</v>
      </c>
      <c r="J2220" s="534">
        <v>0</v>
      </c>
      <c r="K2220" s="534">
        <v>0</v>
      </c>
      <c r="M2220" s="617">
        <f t="shared" si="70"/>
        <v>0</v>
      </c>
      <c r="N2220" s="617">
        <f t="shared" si="71"/>
        <v>2</v>
      </c>
      <c r="O2220" s="617"/>
    </row>
    <row r="2221" spans="2:15" ht="15" x14ac:dyDescent="0.25">
      <c r="B2221" s="529">
        <v>2216001</v>
      </c>
      <c r="C2221" s="529">
        <v>2217</v>
      </c>
      <c r="E2221" s="534">
        <v>0</v>
      </c>
      <c r="F2221" s="534">
        <v>0</v>
      </c>
      <c r="G2221" s="534">
        <v>2</v>
      </c>
      <c r="I2221" s="534">
        <v>0</v>
      </c>
      <c r="J2221" s="534">
        <v>0</v>
      </c>
      <c r="K2221" s="534">
        <v>0</v>
      </c>
      <c r="M2221" s="617">
        <f t="shared" si="70"/>
        <v>0</v>
      </c>
      <c r="N2221" s="617">
        <f t="shared" si="71"/>
        <v>2</v>
      </c>
      <c r="O2221" s="617"/>
    </row>
    <row r="2222" spans="2:15" ht="15" x14ac:dyDescent="0.25">
      <c r="B2222" s="529">
        <v>2217001</v>
      </c>
      <c r="C2222" s="529">
        <v>2218</v>
      </c>
      <c r="E2222" s="534">
        <v>0</v>
      </c>
      <c r="F2222" s="534">
        <v>0</v>
      </c>
      <c r="G2222" s="534">
        <v>2</v>
      </c>
      <c r="I2222" s="534">
        <v>0</v>
      </c>
      <c r="J2222" s="534">
        <v>0</v>
      </c>
      <c r="K2222" s="534">
        <v>0</v>
      </c>
      <c r="M2222" s="617">
        <f t="shared" si="70"/>
        <v>0</v>
      </c>
      <c r="N2222" s="617">
        <f t="shared" si="71"/>
        <v>2</v>
      </c>
      <c r="O2222" s="617"/>
    </row>
    <row r="2223" spans="2:15" ht="15" x14ac:dyDescent="0.25">
      <c r="B2223" s="529">
        <v>2218001</v>
      </c>
      <c r="C2223" s="529">
        <v>2219</v>
      </c>
      <c r="E2223" s="534">
        <v>0</v>
      </c>
      <c r="F2223" s="534">
        <v>0</v>
      </c>
      <c r="G2223" s="534">
        <v>2</v>
      </c>
      <c r="I2223" s="534">
        <v>0</v>
      </c>
      <c r="J2223" s="534">
        <v>0</v>
      </c>
      <c r="K2223" s="534">
        <v>0</v>
      </c>
      <c r="M2223" s="617">
        <f t="shared" si="70"/>
        <v>0</v>
      </c>
      <c r="N2223" s="617">
        <f t="shared" si="71"/>
        <v>2</v>
      </c>
      <c r="O2223" s="617"/>
    </row>
    <row r="2224" spans="2:15" ht="15" x14ac:dyDescent="0.25">
      <c r="B2224" s="529">
        <v>2219001</v>
      </c>
      <c r="C2224" s="529">
        <v>2220</v>
      </c>
      <c r="E2224" s="534">
        <v>0</v>
      </c>
      <c r="F2224" s="534">
        <v>0</v>
      </c>
      <c r="G2224" s="534">
        <v>2</v>
      </c>
      <c r="I2224" s="534">
        <v>0</v>
      </c>
      <c r="J2224" s="534">
        <v>0</v>
      </c>
      <c r="K2224" s="534">
        <v>0</v>
      </c>
      <c r="M2224" s="617">
        <f t="shared" si="70"/>
        <v>0</v>
      </c>
      <c r="N2224" s="617">
        <f t="shared" si="71"/>
        <v>2</v>
      </c>
      <c r="O2224" s="617"/>
    </row>
    <row r="2225" spans="1:22" ht="15" x14ac:dyDescent="0.25">
      <c r="B2225" s="529">
        <v>2220001</v>
      </c>
      <c r="C2225" s="529">
        <v>2221</v>
      </c>
      <c r="E2225" s="534">
        <v>0</v>
      </c>
      <c r="F2225" s="534">
        <v>0</v>
      </c>
      <c r="G2225" s="534">
        <v>2</v>
      </c>
      <c r="I2225" s="534">
        <v>0</v>
      </c>
      <c r="J2225" s="534">
        <v>0</v>
      </c>
      <c r="K2225" s="534">
        <v>0</v>
      </c>
      <c r="M2225" s="617">
        <f t="shared" si="70"/>
        <v>0</v>
      </c>
      <c r="N2225" s="617">
        <f t="shared" si="71"/>
        <v>2</v>
      </c>
      <c r="O2225" s="617"/>
    </row>
    <row r="2226" spans="1:22" ht="15" x14ac:dyDescent="0.25">
      <c r="B2226" s="529">
        <v>2221001</v>
      </c>
      <c r="C2226" s="529">
        <v>2222</v>
      </c>
      <c r="E2226" s="534">
        <v>0</v>
      </c>
      <c r="F2226" s="534">
        <v>0</v>
      </c>
      <c r="G2226" s="534">
        <v>2</v>
      </c>
      <c r="I2226" s="534">
        <v>0</v>
      </c>
      <c r="J2226" s="534">
        <v>0</v>
      </c>
      <c r="K2226" s="534">
        <v>0</v>
      </c>
      <c r="M2226" s="617">
        <f t="shared" si="70"/>
        <v>0</v>
      </c>
      <c r="N2226" s="617">
        <f t="shared" si="71"/>
        <v>2</v>
      </c>
      <c r="O2226" s="617"/>
    </row>
    <row r="2227" spans="1:22" ht="15" x14ac:dyDescent="0.25">
      <c r="B2227" s="529">
        <v>2222001</v>
      </c>
      <c r="C2227" s="529">
        <v>2223</v>
      </c>
      <c r="E2227" s="534">
        <v>0</v>
      </c>
      <c r="F2227" s="534">
        <v>0</v>
      </c>
      <c r="G2227" s="534">
        <v>2</v>
      </c>
      <c r="I2227" s="534">
        <v>0</v>
      </c>
      <c r="J2227" s="534">
        <v>0</v>
      </c>
      <c r="K2227" s="534">
        <v>0</v>
      </c>
      <c r="M2227" s="617">
        <f t="shared" si="70"/>
        <v>0</v>
      </c>
      <c r="N2227" s="617">
        <f t="shared" si="71"/>
        <v>2</v>
      </c>
      <c r="O2227" s="617"/>
    </row>
    <row r="2228" spans="1:22" ht="15" x14ac:dyDescent="0.25">
      <c r="B2228" s="529">
        <v>2223001</v>
      </c>
      <c r="C2228" s="529">
        <v>2224</v>
      </c>
      <c r="E2228" s="534">
        <v>0</v>
      </c>
      <c r="F2228" s="534">
        <v>0</v>
      </c>
      <c r="G2228" s="534">
        <v>2</v>
      </c>
      <c r="I2228" s="534">
        <v>0</v>
      </c>
      <c r="J2228" s="534">
        <v>0</v>
      </c>
      <c r="K2228" s="534">
        <v>0</v>
      </c>
      <c r="M2228" s="617">
        <f t="shared" si="70"/>
        <v>0</v>
      </c>
      <c r="N2228" s="617">
        <f t="shared" si="71"/>
        <v>2</v>
      </c>
      <c r="O2228" s="617"/>
    </row>
    <row r="2229" spans="1:22" ht="15" x14ac:dyDescent="0.25">
      <c r="B2229" s="529">
        <v>2224001</v>
      </c>
      <c r="C2229" s="529">
        <v>2225</v>
      </c>
      <c r="E2229" s="534">
        <v>0</v>
      </c>
      <c r="F2229" s="534">
        <v>0</v>
      </c>
      <c r="G2229" s="534">
        <v>2</v>
      </c>
      <c r="I2229" s="534">
        <v>0</v>
      </c>
      <c r="J2229" s="534">
        <v>0</v>
      </c>
      <c r="K2229" s="534">
        <v>0</v>
      </c>
      <c r="M2229" s="617">
        <f t="shared" si="70"/>
        <v>0</v>
      </c>
      <c r="N2229" s="617">
        <f t="shared" si="71"/>
        <v>2</v>
      </c>
      <c r="O2229" s="617"/>
    </row>
    <row r="2230" spans="1:22" ht="15" x14ac:dyDescent="0.25">
      <c r="B2230" s="529">
        <v>2225001</v>
      </c>
      <c r="C2230" s="529">
        <v>2226</v>
      </c>
      <c r="E2230" s="534">
        <v>0</v>
      </c>
      <c r="F2230" s="534">
        <v>0</v>
      </c>
      <c r="G2230" s="534">
        <v>2</v>
      </c>
      <c r="I2230" s="534">
        <v>0</v>
      </c>
      <c r="J2230" s="534">
        <v>0</v>
      </c>
      <c r="K2230" s="534">
        <v>0</v>
      </c>
      <c r="M2230" s="617">
        <f t="shared" si="70"/>
        <v>0</v>
      </c>
      <c r="N2230" s="617">
        <f t="shared" si="71"/>
        <v>2</v>
      </c>
      <c r="O2230" s="617"/>
    </row>
    <row r="2231" spans="1:22" ht="15" x14ac:dyDescent="0.25">
      <c r="B2231" s="529">
        <v>2226001</v>
      </c>
      <c r="C2231" s="529">
        <v>2227</v>
      </c>
      <c r="E2231" s="534">
        <v>0</v>
      </c>
      <c r="F2231" s="534">
        <v>0</v>
      </c>
      <c r="G2231" s="534">
        <v>2</v>
      </c>
      <c r="I2231" s="534">
        <v>0</v>
      </c>
      <c r="J2231" s="534">
        <v>0</v>
      </c>
      <c r="K2231" s="534">
        <v>0</v>
      </c>
      <c r="M2231" s="617">
        <f t="shared" si="70"/>
        <v>0</v>
      </c>
      <c r="N2231" s="617">
        <f t="shared" si="71"/>
        <v>2</v>
      </c>
      <c r="O2231" s="617"/>
    </row>
    <row r="2232" spans="1:22" ht="15" x14ac:dyDescent="0.25">
      <c r="B2232" s="529">
        <v>2227001</v>
      </c>
      <c r="C2232" s="529">
        <v>2228</v>
      </c>
      <c r="E2232" s="534">
        <v>0</v>
      </c>
      <c r="F2232" s="534">
        <v>0</v>
      </c>
      <c r="G2232" s="534">
        <v>2</v>
      </c>
      <c r="I2232" s="534">
        <v>0</v>
      </c>
      <c r="J2232" s="534">
        <v>0</v>
      </c>
      <c r="K2232" s="534">
        <v>0</v>
      </c>
      <c r="M2232" s="617">
        <f t="shared" si="70"/>
        <v>0</v>
      </c>
      <c r="N2232" s="617">
        <f t="shared" si="71"/>
        <v>2</v>
      </c>
      <c r="O2232" s="617"/>
    </row>
    <row r="2233" spans="1:22" ht="15" x14ac:dyDescent="0.25">
      <c r="B2233" s="529">
        <v>2228001</v>
      </c>
      <c r="C2233" s="529">
        <v>2229</v>
      </c>
      <c r="E2233" s="534">
        <v>0</v>
      </c>
      <c r="F2233" s="534">
        <v>0</v>
      </c>
      <c r="G2233" s="534">
        <v>2</v>
      </c>
      <c r="I2233" s="534">
        <v>0</v>
      </c>
      <c r="J2233" s="534">
        <v>0</v>
      </c>
      <c r="K2233" s="534">
        <v>0</v>
      </c>
      <c r="M2233" s="617">
        <f t="shared" si="70"/>
        <v>0</v>
      </c>
      <c r="N2233" s="617">
        <f t="shared" si="71"/>
        <v>2</v>
      </c>
      <c r="O2233" s="617"/>
    </row>
    <row r="2234" spans="1:22" ht="15" x14ac:dyDescent="0.25">
      <c r="B2234" s="529">
        <v>2229001</v>
      </c>
      <c r="C2234" s="529">
        <v>2230</v>
      </c>
      <c r="E2234" s="534">
        <v>0</v>
      </c>
      <c r="F2234" s="534">
        <v>0</v>
      </c>
      <c r="G2234" s="534">
        <v>2</v>
      </c>
      <c r="I2234" s="534">
        <v>0</v>
      </c>
      <c r="J2234" s="534">
        <v>0</v>
      </c>
      <c r="K2234" s="534">
        <v>0</v>
      </c>
      <c r="M2234" s="617">
        <f t="shared" si="70"/>
        <v>0</v>
      </c>
      <c r="N2234" s="617">
        <f t="shared" si="71"/>
        <v>2</v>
      </c>
      <c r="O2234" s="617"/>
    </row>
    <row r="2235" spans="1:22" ht="15" x14ac:dyDescent="0.25">
      <c r="B2235" s="529">
        <v>2230001</v>
      </c>
      <c r="C2235" s="529">
        <v>2231</v>
      </c>
      <c r="E2235" s="534">
        <v>0</v>
      </c>
      <c r="F2235" s="534">
        <v>0</v>
      </c>
      <c r="G2235" s="534">
        <v>2</v>
      </c>
      <c r="I2235" s="534">
        <v>0</v>
      </c>
      <c r="J2235" s="534">
        <v>0</v>
      </c>
      <c r="K2235" s="534">
        <v>0</v>
      </c>
      <c r="M2235" s="617">
        <f t="shared" si="70"/>
        <v>0</v>
      </c>
      <c r="N2235" s="617">
        <f t="shared" si="71"/>
        <v>2</v>
      </c>
      <c r="O2235" s="617"/>
    </row>
    <row r="2236" spans="1:22" s="530" customFormat="1" ht="15" x14ac:dyDescent="0.25">
      <c r="A2236" s="123"/>
      <c r="B2236" s="529">
        <v>2231001</v>
      </c>
      <c r="C2236" s="529">
        <v>2232</v>
      </c>
      <c r="E2236" s="534">
        <v>0</v>
      </c>
      <c r="F2236" s="534">
        <v>0</v>
      </c>
      <c r="G2236" s="534">
        <v>2</v>
      </c>
      <c r="I2236" s="534">
        <v>0</v>
      </c>
      <c r="J2236" s="534">
        <v>0</v>
      </c>
      <c r="K2236" s="534">
        <v>0</v>
      </c>
      <c r="M2236" s="617">
        <f t="shared" si="70"/>
        <v>0</v>
      </c>
      <c r="N2236" s="617">
        <f t="shared" si="71"/>
        <v>2</v>
      </c>
      <c r="O2236" s="617"/>
      <c r="P2236" s="123"/>
      <c r="R2236" s="123"/>
      <c r="S2236" s="123"/>
      <c r="U2236" s="123"/>
      <c r="V2236" s="123"/>
    </row>
    <row r="2237" spans="1:22" s="530" customFormat="1" ht="15" x14ac:dyDescent="0.25">
      <c r="A2237" s="123"/>
      <c r="B2237" s="529">
        <v>2232001</v>
      </c>
      <c r="C2237" s="529">
        <v>2233</v>
      </c>
      <c r="E2237" s="534">
        <v>0</v>
      </c>
      <c r="F2237" s="534">
        <v>0</v>
      </c>
      <c r="G2237" s="534">
        <v>2</v>
      </c>
      <c r="I2237" s="534">
        <v>0</v>
      </c>
      <c r="J2237" s="534">
        <v>0</v>
      </c>
      <c r="K2237" s="534">
        <v>0</v>
      </c>
      <c r="M2237" s="617">
        <f t="shared" si="70"/>
        <v>0</v>
      </c>
      <c r="N2237" s="617">
        <f t="shared" si="71"/>
        <v>2</v>
      </c>
      <c r="O2237" s="617"/>
      <c r="P2237" s="123"/>
      <c r="R2237" s="123"/>
      <c r="S2237" s="123"/>
      <c r="U2237" s="123"/>
      <c r="V2237" s="123"/>
    </row>
    <row r="2238" spans="1:22" s="530" customFormat="1" ht="15" x14ac:dyDescent="0.25">
      <c r="A2238" s="123"/>
      <c r="B2238" s="529">
        <v>2233001</v>
      </c>
      <c r="C2238" s="529">
        <v>2234</v>
      </c>
      <c r="E2238" s="534">
        <v>0</v>
      </c>
      <c r="F2238" s="534">
        <v>0</v>
      </c>
      <c r="G2238" s="534">
        <v>2</v>
      </c>
      <c r="I2238" s="534">
        <v>0</v>
      </c>
      <c r="J2238" s="534">
        <v>0</v>
      </c>
      <c r="K2238" s="534">
        <v>0</v>
      </c>
      <c r="M2238" s="617">
        <f t="shared" si="70"/>
        <v>0</v>
      </c>
      <c r="N2238" s="617">
        <f t="shared" si="71"/>
        <v>2</v>
      </c>
      <c r="O2238" s="617"/>
      <c r="P2238" s="123"/>
      <c r="R2238" s="123"/>
      <c r="S2238" s="123"/>
      <c r="U2238" s="123"/>
      <c r="V2238" s="123"/>
    </row>
    <row r="2239" spans="1:22" s="530" customFormat="1" ht="15" x14ac:dyDescent="0.25">
      <c r="A2239" s="123"/>
      <c r="B2239" s="529">
        <v>2234001</v>
      </c>
      <c r="C2239" s="529">
        <v>2235</v>
      </c>
      <c r="E2239" s="534">
        <v>0</v>
      </c>
      <c r="F2239" s="534">
        <v>0</v>
      </c>
      <c r="G2239" s="534">
        <v>2</v>
      </c>
      <c r="I2239" s="534">
        <v>0</v>
      </c>
      <c r="J2239" s="534">
        <v>0</v>
      </c>
      <c r="K2239" s="534">
        <v>0</v>
      </c>
      <c r="M2239" s="617">
        <f t="shared" si="70"/>
        <v>0</v>
      </c>
      <c r="N2239" s="617">
        <f t="shared" si="71"/>
        <v>2</v>
      </c>
      <c r="O2239" s="617"/>
      <c r="P2239" s="123"/>
      <c r="R2239" s="123"/>
      <c r="S2239" s="123"/>
      <c r="U2239" s="123"/>
      <c r="V2239" s="123"/>
    </row>
    <row r="2240" spans="1:22" s="530" customFormat="1" ht="15" x14ac:dyDescent="0.25">
      <c r="A2240" s="123"/>
      <c r="B2240" s="529">
        <v>2235001</v>
      </c>
      <c r="C2240" s="529">
        <v>2236</v>
      </c>
      <c r="E2240" s="534">
        <v>0</v>
      </c>
      <c r="F2240" s="534">
        <v>0</v>
      </c>
      <c r="G2240" s="534">
        <v>2</v>
      </c>
      <c r="I2240" s="534">
        <v>0</v>
      </c>
      <c r="J2240" s="534">
        <v>0</v>
      </c>
      <c r="K2240" s="534">
        <v>0</v>
      </c>
      <c r="M2240" s="617">
        <f t="shared" si="70"/>
        <v>0</v>
      </c>
      <c r="N2240" s="617">
        <f t="shared" si="71"/>
        <v>2</v>
      </c>
      <c r="O2240" s="617"/>
      <c r="P2240" s="123"/>
      <c r="R2240" s="123"/>
      <c r="S2240" s="123"/>
      <c r="U2240" s="123"/>
      <c r="V2240" s="123"/>
    </row>
    <row r="2241" spans="1:22" s="530" customFormat="1" ht="15" x14ac:dyDescent="0.25">
      <c r="A2241" s="123"/>
      <c r="B2241" s="529">
        <v>2236001</v>
      </c>
      <c r="C2241" s="529">
        <v>2237</v>
      </c>
      <c r="E2241" s="534">
        <v>0</v>
      </c>
      <c r="F2241" s="534">
        <v>0</v>
      </c>
      <c r="G2241" s="534">
        <v>2</v>
      </c>
      <c r="I2241" s="534">
        <v>0</v>
      </c>
      <c r="J2241" s="534">
        <v>0</v>
      </c>
      <c r="K2241" s="534">
        <v>0</v>
      </c>
      <c r="M2241" s="617">
        <f t="shared" si="70"/>
        <v>0</v>
      </c>
      <c r="N2241" s="617">
        <f t="shared" si="71"/>
        <v>2</v>
      </c>
      <c r="O2241" s="617"/>
      <c r="P2241" s="123"/>
      <c r="R2241" s="123"/>
      <c r="S2241" s="123"/>
      <c r="U2241" s="123"/>
      <c r="V2241" s="123"/>
    </row>
    <row r="2242" spans="1:22" s="530" customFormat="1" ht="15" x14ac:dyDescent="0.25">
      <c r="A2242" s="123"/>
      <c r="B2242" s="529">
        <v>2237001</v>
      </c>
      <c r="C2242" s="529">
        <v>2238</v>
      </c>
      <c r="E2242" s="534">
        <v>0</v>
      </c>
      <c r="F2242" s="534">
        <v>0</v>
      </c>
      <c r="G2242" s="534">
        <v>2</v>
      </c>
      <c r="I2242" s="534">
        <v>0</v>
      </c>
      <c r="J2242" s="534">
        <v>0</v>
      </c>
      <c r="K2242" s="534">
        <v>0</v>
      </c>
      <c r="M2242" s="617">
        <f t="shared" si="70"/>
        <v>0</v>
      </c>
      <c r="N2242" s="617">
        <f t="shared" si="71"/>
        <v>2</v>
      </c>
      <c r="O2242" s="617"/>
      <c r="P2242" s="123"/>
      <c r="R2242" s="123"/>
      <c r="S2242" s="123"/>
      <c r="U2242" s="123"/>
      <c r="V2242" s="123"/>
    </row>
    <row r="2243" spans="1:22" s="530" customFormat="1" ht="15" x14ac:dyDescent="0.25">
      <c r="A2243" s="123"/>
      <c r="B2243" s="529">
        <v>2238001</v>
      </c>
      <c r="C2243" s="529">
        <v>2239</v>
      </c>
      <c r="E2243" s="534">
        <v>0</v>
      </c>
      <c r="F2243" s="534">
        <v>0</v>
      </c>
      <c r="G2243" s="534">
        <v>2</v>
      </c>
      <c r="I2243" s="534">
        <v>0</v>
      </c>
      <c r="J2243" s="534">
        <v>0</v>
      </c>
      <c r="K2243" s="534">
        <v>0</v>
      </c>
      <c r="M2243" s="617">
        <f t="shared" si="70"/>
        <v>0</v>
      </c>
      <c r="N2243" s="617">
        <f t="shared" si="71"/>
        <v>2</v>
      </c>
      <c r="O2243" s="617"/>
      <c r="P2243" s="123"/>
      <c r="R2243" s="123"/>
      <c r="S2243" s="123"/>
      <c r="U2243" s="123"/>
      <c r="V2243" s="123"/>
    </row>
    <row r="2244" spans="1:22" s="530" customFormat="1" ht="15" x14ac:dyDescent="0.25">
      <c r="A2244" s="123"/>
      <c r="B2244" s="529">
        <v>2239001</v>
      </c>
      <c r="C2244" s="529">
        <v>2240</v>
      </c>
      <c r="E2244" s="534">
        <v>0</v>
      </c>
      <c r="F2244" s="534">
        <v>0</v>
      </c>
      <c r="G2244" s="534">
        <v>2</v>
      </c>
      <c r="I2244" s="534">
        <v>0</v>
      </c>
      <c r="J2244" s="534">
        <v>0</v>
      </c>
      <c r="K2244" s="534">
        <v>0</v>
      </c>
      <c r="M2244" s="617">
        <f t="shared" si="70"/>
        <v>0</v>
      </c>
      <c r="N2244" s="617">
        <f t="shared" si="71"/>
        <v>2</v>
      </c>
      <c r="O2244" s="617"/>
      <c r="P2244" s="123"/>
      <c r="R2244" s="123"/>
      <c r="S2244" s="123"/>
      <c r="U2244" s="123"/>
      <c r="V2244" s="123"/>
    </row>
    <row r="2245" spans="1:22" s="530" customFormat="1" ht="15" x14ac:dyDescent="0.25">
      <c r="A2245" s="123"/>
      <c r="B2245" s="529">
        <v>2240001</v>
      </c>
      <c r="C2245" s="529">
        <v>2241</v>
      </c>
      <c r="E2245" s="534">
        <v>0</v>
      </c>
      <c r="F2245" s="534">
        <v>0</v>
      </c>
      <c r="G2245" s="534">
        <v>2</v>
      </c>
      <c r="I2245" s="534">
        <v>0</v>
      </c>
      <c r="J2245" s="534">
        <v>0</v>
      </c>
      <c r="K2245" s="534">
        <v>0</v>
      </c>
      <c r="M2245" s="617">
        <f t="shared" ref="M2245:M2308" si="72">I2245+E2245</f>
        <v>0</v>
      </c>
      <c r="N2245" s="617">
        <f t="shared" ref="N2245:N2308" si="73">K2245+G2245</f>
        <v>2</v>
      </c>
      <c r="O2245" s="617"/>
      <c r="P2245" s="123"/>
      <c r="R2245" s="123"/>
      <c r="S2245" s="123"/>
      <c r="U2245" s="123"/>
      <c r="V2245" s="123"/>
    </row>
    <row r="2246" spans="1:22" s="530" customFormat="1" ht="15" x14ac:dyDescent="0.25">
      <c r="A2246" s="123"/>
      <c r="B2246" s="529">
        <v>2241001</v>
      </c>
      <c r="C2246" s="529">
        <v>2242</v>
      </c>
      <c r="E2246" s="534">
        <v>0</v>
      </c>
      <c r="F2246" s="534">
        <v>0</v>
      </c>
      <c r="G2246" s="534">
        <v>2</v>
      </c>
      <c r="I2246" s="534">
        <v>0</v>
      </c>
      <c r="J2246" s="534">
        <v>0</v>
      </c>
      <c r="K2246" s="534">
        <v>0</v>
      </c>
      <c r="M2246" s="617">
        <f t="shared" si="72"/>
        <v>0</v>
      </c>
      <c r="N2246" s="617">
        <f t="shared" si="73"/>
        <v>2</v>
      </c>
      <c r="O2246" s="617"/>
      <c r="P2246" s="123"/>
      <c r="R2246" s="123"/>
      <c r="S2246" s="123"/>
      <c r="U2246" s="123"/>
      <c r="V2246" s="123"/>
    </row>
    <row r="2247" spans="1:22" s="530" customFormat="1" ht="15" x14ac:dyDescent="0.25">
      <c r="A2247" s="123"/>
      <c r="B2247" s="529">
        <v>2242001</v>
      </c>
      <c r="C2247" s="529">
        <v>2243</v>
      </c>
      <c r="E2247" s="534">
        <v>0</v>
      </c>
      <c r="F2247" s="534">
        <v>0</v>
      </c>
      <c r="G2247" s="534">
        <v>2</v>
      </c>
      <c r="I2247" s="534">
        <v>0</v>
      </c>
      <c r="J2247" s="534">
        <v>0</v>
      </c>
      <c r="K2247" s="534">
        <v>0</v>
      </c>
      <c r="M2247" s="617">
        <f t="shared" si="72"/>
        <v>0</v>
      </c>
      <c r="N2247" s="617">
        <f t="shared" si="73"/>
        <v>2</v>
      </c>
      <c r="O2247" s="617"/>
      <c r="P2247" s="123"/>
      <c r="R2247" s="123"/>
      <c r="S2247" s="123"/>
      <c r="U2247" s="123"/>
      <c r="V2247" s="123"/>
    </row>
    <row r="2248" spans="1:22" s="530" customFormat="1" ht="15" x14ac:dyDescent="0.25">
      <c r="A2248" s="123"/>
      <c r="B2248" s="529">
        <v>2243001</v>
      </c>
      <c r="C2248" s="529">
        <v>2244</v>
      </c>
      <c r="E2248" s="534">
        <v>0</v>
      </c>
      <c r="F2248" s="534">
        <v>0</v>
      </c>
      <c r="G2248" s="534">
        <v>2</v>
      </c>
      <c r="I2248" s="534">
        <v>0</v>
      </c>
      <c r="J2248" s="534">
        <v>0</v>
      </c>
      <c r="K2248" s="534">
        <v>0</v>
      </c>
      <c r="M2248" s="617">
        <f t="shared" si="72"/>
        <v>0</v>
      </c>
      <c r="N2248" s="617">
        <f t="shared" si="73"/>
        <v>2</v>
      </c>
      <c r="O2248" s="617"/>
      <c r="P2248" s="123"/>
      <c r="R2248" s="123"/>
      <c r="S2248" s="123"/>
      <c r="U2248" s="123"/>
      <c r="V2248" s="123"/>
    </row>
    <row r="2249" spans="1:22" s="530" customFormat="1" ht="15" x14ac:dyDescent="0.25">
      <c r="A2249" s="123"/>
      <c r="B2249" s="529">
        <v>2244001</v>
      </c>
      <c r="C2249" s="529">
        <v>2245</v>
      </c>
      <c r="E2249" s="534">
        <v>0</v>
      </c>
      <c r="F2249" s="534">
        <v>0</v>
      </c>
      <c r="G2249" s="534">
        <v>2</v>
      </c>
      <c r="I2249" s="534">
        <v>0</v>
      </c>
      <c r="J2249" s="534">
        <v>0</v>
      </c>
      <c r="K2249" s="534">
        <v>0</v>
      </c>
      <c r="M2249" s="617">
        <f t="shared" si="72"/>
        <v>0</v>
      </c>
      <c r="N2249" s="617">
        <f t="shared" si="73"/>
        <v>2</v>
      </c>
      <c r="O2249" s="617"/>
      <c r="P2249" s="123"/>
      <c r="R2249" s="123"/>
      <c r="S2249" s="123"/>
      <c r="U2249" s="123"/>
      <c r="V2249" s="123"/>
    </row>
    <row r="2250" spans="1:22" s="530" customFormat="1" ht="15" x14ac:dyDescent="0.25">
      <c r="A2250" s="123"/>
      <c r="B2250" s="529">
        <v>2245001</v>
      </c>
      <c r="C2250" s="529">
        <v>2246</v>
      </c>
      <c r="E2250" s="534">
        <v>0</v>
      </c>
      <c r="F2250" s="534">
        <v>0</v>
      </c>
      <c r="G2250" s="534">
        <v>2</v>
      </c>
      <c r="I2250" s="534">
        <v>0</v>
      </c>
      <c r="J2250" s="534">
        <v>0</v>
      </c>
      <c r="K2250" s="534">
        <v>0</v>
      </c>
      <c r="M2250" s="617">
        <f t="shared" si="72"/>
        <v>0</v>
      </c>
      <c r="N2250" s="617">
        <f t="shared" si="73"/>
        <v>2</v>
      </c>
      <c r="O2250" s="617"/>
      <c r="P2250" s="123"/>
      <c r="R2250" s="123"/>
      <c r="S2250" s="123"/>
      <c r="U2250" s="123"/>
      <c r="V2250" s="123"/>
    </row>
    <row r="2251" spans="1:22" s="530" customFormat="1" ht="15" x14ac:dyDescent="0.25">
      <c r="A2251" s="123"/>
      <c r="B2251" s="529">
        <v>2246001</v>
      </c>
      <c r="C2251" s="529">
        <v>2247</v>
      </c>
      <c r="E2251" s="534">
        <v>0</v>
      </c>
      <c r="F2251" s="534">
        <v>0</v>
      </c>
      <c r="G2251" s="534">
        <v>2</v>
      </c>
      <c r="I2251" s="534">
        <v>0</v>
      </c>
      <c r="J2251" s="534">
        <v>0</v>
      </c>
      <c r="K2251" s="534">
        <v>0</v>
      </c>
      <c r="M2251" s="617">
        <f t="shared" si="72"/>
        <v>0</v>
      </c>
      <c r="N2251" s="617">
        <f t="shared" si="73"/>
        <v>2</v>
      </c>
      <c r="O2251" s="617"/>
      <c r="P2251" s="123"/>
      <c r="R2251" s="123"/>
      <c r="S2251" s="123"/>
      <c r="U2251" s="123"/>
      <c r="V2251" s="123"/>
    </row>
    <row r="2252" spans="1:22" s="530" customFormat="1" ht="15" x14ac:dyDescent="0.25">
      <c r="A2252" s="123"/>
      <c r="B2252" s="529">
        <v>2247001</v>
      </c>
      <c r="C2252" s="529">
        <v>2248</v>
      </c>
      <c r="E2252" s="534">
        <v>0</v>
      </c>
      <c r="F2252" s="534">
        <v>0</v>
      </c>
      <c r="G2252" s="534">
        <v>2</v>
      </c>
      <c r="I2252" s="534">
        <v>0</v>
      </c>
      <c r="J2252" s="534">
        <v>0</v>
      </c>
      <c r="K2252" s="534">
        <v>0</v>
      </c>
      <c r="M2252" s="617">
        <f t="shared" si="72"/>
        <v>0</v>
      </c>
      <c r="N2252" s="617">
        <f t="shared" si="73"/>
        <v>2</v>
      </c>
      <c r="O2252" s="617"/>
      <c r="P2252" s="123"/>
      <c r="R2252" s="123"/>
      <c r="S2252" s="123"/>
      <c r="U2252" s="123"/>
      <c r="V2252" s="123"/>
    </row>
    <row r="2253" spans="1:22" s="530" customFormat="1" ht="15" x14ac:dyDescent="0.25">
      <c r="A2253" s="123"/>
      <c r="B2253" s="529">
        <v>2248001</v>
      </c>
      <c r="C2253" s="529">
        <v>2249</v>
      </c>
      <c r="E2253" s="534">
        <v>0</v>
      </c>
      <c r="F2253" s="534">
        <v>0</v>
      </c>
      <c r="G2253" s="534">
        <v>2</v>
      </c>
      <c r="I2253" s="534">
        <v>0</v>
      </c>
      <c r="J2253" s="534">
        <v>0</v>
      </c>
      <c r="K2253" s="534">
        <v>0</v>
      </c>
      <c r="M2253" s="617">
        <f t="shared" si="72"/>
        <v>0</v>
      </c>
      <c r="N2253" s="617">
        <f t="shared" si="73"/>
        <v>2</v>
      </c>
      <c r="O2253" s="617"/>
      <c r="P2253" s="123"/>
      <c r="R2253" s="123"/>
      <c r="S2253" s="123"/>
      <c r="U2253" s="123"/>
      <c r="V2253" s="123"/>
    </row>
    <row r="2254" spans="1:22" s="530" customFormat="1" ht="15" x14ac:dyDescent="0.25">
      <c r="A2254" s="123"/>
      <c r="B2254" s="529">
        <v>2249001</v>
      </c>
      <c r="C2254" s="529">
        <v>2250</v>
      </c>
      <c r="E2254" s="534">
        <v>0</v>
      </c>
      <c r="F2254" s="534">
        <v>0</v>
      </c>
      <c r="G2254" s="534">
        <v>2</v>
      </c>
      <c r="I2254" s="534">
        <v>0</v>
      </c>
      <c r="J2254" s="534">
        <v>0</v>
      </c>
      <c r="K2254" s="534">
        <v>0</v>
      </c>
      <c r="M2254" s="617">
        <f t="shared" si="72"/>
        <v>0</v>
      </c>
      <c r="N2254" s="617">
        <f t="shared" si="73"/>
        <v>2</v>
      </c>
      <c r="O2254" s="617"/>
      <c r="P2254" s="123"/>
      <c r="R2254" s="123"/>
      <c r="S2254" s="123"/>
      <c r="U2254" s="123"/>
      <c r="V2254" s="123"/>
    </row>
    <row r="2255" spans="1:22" s="530" customFormat="1" ht="15" x14ac:dyDescent="0.25">
      <c r="A2255" s="123"/>
      <c r="B2255" s="529">
        <v>2250001</v>
      </c>
      <c r="C2255" s="529">
        <v>2251</v>
      </c>
      <c r="E2255" s="534">
        <v>0</v>
      </c>
      <c r="F2255" s="534">
        <v>0</v>
      </c>
      <c r="G2255" s="534">
        <v>2</v>
      </c>
      <c r="I2255" s="534">
        <v>0</v>
      </c>
      <c r="J2255" s="534">
        <v>0</v>
      </c>
      <c r="K2255" s="534">
        <v>0</v>
      </c>
      <c r="M2255" s="617">
        <f t="shared" si="72"/>
        <v>0</v>
      </c>
      <c r="N2255" s="617">
        <f t="shared" si="73"/>
        <v>2</v>
      </c>
      <c r="O2255" s="617"/>
      <c r="P2255" s="123"/>
      <c r="R2255" s="123"/>
      <c r="S2255" s="123"/>
      <c r="U2255" s="123"/>
      <c r="V2255" s="123"/>
    </row>
    <row r="2256" spans="1:22" s="530" customFormat="1" ht="15" x14ac:dyDescent="0.25">
      <c r="A2256" s="123"/>
      <c r="B2256" s="529">
        <v>2251001</v>
      </c>
      <c r="C2256" s="529">
        <v>2252</v>
      </c>
      <c r="E2256" s="534">
        <v>0</v>
      </c>
      <c r="F2256" s="534">
        <v>0</v>
      </c>
      <c r="G2256" s="534">
        <v>2</v>
      </c>
      <c r="I2256" s="534">
        <v>0</v>
      </c>
      <c r="J2256" s="534">
        <v>0</v>
      </c>
      <c r="K2256" s="534">
        <v>0</v>
      </c>
      <c r="M2256" s="617">
        <f t="shared" si="72"/>
        <v>0</v>
      </c>
      <c r="N2256" s="617">
        <f t="shared" si="73"/>
        <v>2</v>
      </c>
      <c r="O2256" s="617"/>
      <c r="P2256" s="123"/>
      <c r="R2256" s="123"/>
      <c r="S2256" s="123"/>
      <c r="U2256" s="123"/>
      <c r="V2256" s="123"/>
    </row>
    <row r="2257" spans="1:22" s="530" customFormat="1" ht="15" x14ac:dyDescent="0.25">
      <c r="A2257" s="123"/>
      <c r="B2257" s="529">
        <v>2252001</v>
      </c>
      <c r="C2257" s="529">
        <v>2253</v>
      </c>
      <c r="E2257" s="534">
        <v>0</v>
      </c>
      <c r="F2257" s="534">
        <v>0</v>
      </c>
      <c r="G2257" s="534">
        <v>2</v>
      </c>
      <c r="I2257" s="534">
        <v>0</v>
      </c>
      <c r="J2257" s="534">
        <v>0</v>
      </c>
      <c r="K2257" s="534">
        <v>0</v>
      </c>
      <c r="M2257" s="617">
        <f t="shared" si="72"/>
        <v>0</v>
      </c>
      <c r="N2257" s="617">
        <f t="shared" si="73"/>
        <v>2</v>
      </c>
      <c r="O2257" s="617"/>
      <c r="P2257" s="123"/>
      <c r="R2257" s="123"/>
      <c r="S2257" s="123"/>
      <c r="U2257" s="123"/>
      <c r="V2257" s="123"/>
    </row>
    <row r="2258" spans="1:22" s="530" customFormat="1" ht="15" x14ac:dyDescent="0.25">
      <c r="A2258" s="123"/>
      <c r="B2258" s="529">
        <v>2253001</v>
      </c>
      <c r="C2258" s="529">
        <v>2254</v>
      </c>
      <c r="E2258" s="534">
        <v>0</v>
      </c>
      <c r="F2258" s="534">
        <v>0</v>
      </c>
      <c r="G2258" s="534">
        <v>2</v>
      </c>
      <c r="I2258" s="534">
        <v>0</v>
      </c>
      <c r="J2258" s="534">
        <v>0</v>
      </c>
      <c r="K2258" s="534">
        <v>0</v>
      </c>
      <c r="M2258" s="617">
        <f t="shared" si="72"/>
        <v>0</v>
      </c>
      <c r="N2258" s="617">
        <f t="shared" si="73"/>
        <v>2</v>
      </c>
      <c r="O2258" s="617"/>
      <c r="P2258" s="123"/>
      <c r="R2258" s="123"/>
      <c r="S2258" s="123"/>
      <c r="U2258" s="123"/>
      <c r="V2258" s="123"/>
    </row>
    <row r="2259" spans="1:22" s="530" customFormat="1" ht="15" x14ac:dyDescent="0.25">
      <c r="A2259" s="123"/>
      <c r="B2259" s="529">
        <v>2254001</v>
      </c>
      <c r="C2259" s="529">
        <v>2255</v>
      </c>
      <c r="E2259" s="534">
        <v>0</v>
      </c>
      <c r="F2259" s="534">
        <v>0</v>
      </c>
      <c r="G2259" s="534">
        <v>2</v>
      </c>
      <c r="I2259" s="534">
        <v>0</v>
      </c>
      <c r="J2259" s="534">
        <v>0</v>
      </c>
      <c r="K2259" s="534">
        <v>0</v>
      </c>
      <c r="M2259" s="617">
        <f t="shared" si="72"/>
        <v>0</v>
      </c>
      <c r="N2259" s="617">
        <f t="shared" si="73"/>
        <v>2</v>
      </c>
      <c r="O2259" s="617"/>
      <c r="P2259" s="123"/>
      <c r="R2259" s="123"/>
      <c r="S2259" s="123"/>
      <c r="U2259" s="123"/>
      <c r="V2259" s="123"/>
    </row>
    <row r="2260" spans="1:22" s="530" customFormat="1" ht="15" x14ac:dyDescent="0.25">
      <c r="A2260" s="123"/>
      <c r="B2260" s="529">
        <v>2255001</v>
      </c>
      <c r="C2260" s="529">
        <v>2256</v>
      </c>
      <c r="E2260" s="534">
        <v>0</v>
      </c>
      <c r="F2260" s="534">
        <v>0</v>
      </c>
      <c r="G2260" s="534">
        <v>2</v>
      </c>
      <c r="I2260" s="534">
        <v>0</v>
      </c>
      <c r="J2260" s="534">
        <v>0</v>
      </c>
      <c r="K2260" s="534">
        <v>0</v>
      </c>
      <c r="M2260" s="617">
        <f t="shared" si="72"/>
        <v>0</v>
      </c>
      <c r="N2260" s="617">
        <f t="shared" si="73"/>
        <v>2</v>
      </c>
      <c r="O2260" s="617"/>
      <c r="P2260" s="123"/>
      <c r="R2260" s="123"/>
      <c r="S2260" s="123"/>
      <c r="U2260" s="123"/>
      <c r="V2260" s="123"/>
    </row>
    <row r="2261" spans="1:22" s="530" customFormat="1" ht="15" x14ac:dyDescent="0.25">
      <c r="A2261" s="123"/>
      <c r="B2261" s="529">
        <v>2256001</v>
      </c>
      <c r="C2261" s="529">
        <v>2257</v>
      </c>
      <c r="E2261" s="534">
        <v>0</v>
      </c>
      <c r="F2261" s="534">
        <v>0</v>
      </c>
      <c r="G2261" s="534">
        <v>2</v>
      </c>
      <c r="I2261" s="534">
        <v>0</v>
      </c>
      <c r="J2261" s="534">
        <v>0</v>
      </c>
      <c r="K2261" s="534">
        <v>0</v>
      </c>
      <c r="M2261" s="617">
        <f t="shared" si="72"/>
        <v>0</v>
      </c>
      <c r="N2261" s="617">
        <f t="shared" si="73"/>
        <v>2</v>
      </c>
      <c r="O2261" s="617"/>
      <c r="P2261" s="123"/>
      <c r="R2261" s="123"/>
      <c r="S2261" s="123"/>
      <c r="U2261" s="123"/>
      <c r="V2261" s="123"/>
    </row>
    <row r="2262" spans="1:22" s="530" customFormat="1" ht="15" x14ac:dyDescent="0.25">
      <c r="A2262" s="123"/>
      <c r="B2262" s="529">
        <v>2257001</v>
      </c>
      <c r="C2262" s="529">
        <v>2258</v>
      </c>
      <c r="E2262" s="534">
        <v>0</v>
      </c>
      <c r="F2262" s="534">
        <v>0</v>
      </c>
      <c r="G2262" s="534">
        <v>2</v>
      </c>
      <c r="I2262" s="534">
        <v>0</v>
      </c>
      <c r="J2262" s="534">
        <v>0</v>
      </c>
      <c r="K2262" s="534">
        <v>0</v>
      </c>
      <c r="M2262" s="617">
        <f t="shared" si="72"/>
        <v>0</v>
      </c>
      <c r="N2262" s="617">
        <f t="shared" si="73"/>
        <v>2</v>
      </c>
      <c r="O2262" s="617"/>
      <c r="P2262" s="123"/>
      <c r="R2262" s="123"/>
      <c r="S2262" s="123"/>
      <c r="U2262" s="123"/>
      <c r="V2262" s="123"/>
    </row>
    <row r="2263" spans="1:22" s="530" customFormat="1" ht="15" x14ac:dyDescent="0.25">
      <c r="A2263" s="123"/>
      <c r="B2263" s="529">
        <v>2258001</v>
      </c>
      <c r="C2263" s="529">
        <v>2259</v>
      </c>
      <c r="E2263" s="534">
        <v>0</v>
      </c>
      <c r="F2263" s="534">
        <v>0</v>
      </c>
      <c r="G2263" s="534">
        <v>2</v>
      </c>
      <c r="I2263" s="534">
        <v>0</v>
      </c>
      <c r="J2263" s="534">
        <v>0</v>
      </c>
      <c r="K2263" s="534">
        <v>0</v>
      </c>
      <c r="M2263" s="617">
        <f t="shared" si="72"/>
        <v>0</v>
      </c>
      <c r="N2263" s="617">
        <f t="shared" si="73"/>
        <v>2</v>
      </c>
      <c r="O2263" s="617"/>
      <c r="P2263" s="123"/>
      <c r="R2263" s="123"/>
      <c r="S2263" s="123"/>
      <c r="U2263" s="123"/>
      <c r="V2263" s="123"/>
    </row>
    <row r="2264" spans="1:22" s="530" customFormat="1" ht="15" x14ac:dyDescent="0.25">
      <c r="A2264" s="123"/>
      <c r="B2264" s="529">
        <v>2259001</v>
      </c>
      <c r="C2264" s="529">
        <v>2260</v>
      </c>
      <c r="E2264" s="534">
        <v>0</v>
      </c>
      <c r="F2264" s="534">
        <v>0</v>
      </c>
      <c r="G2264" s="534">
        <v>2</v>
      </c>
      <c r="I2264" s="534">
        <v>0</v>
      </c>
      <c r="J2264" s="534">
        <v>0</v>
      </c>
      <c r="K2264" s="534">
        <v>0</v>
      </c>
      <c r="M2264" s="617">
        <f t="shared" si="72"/>
        <v>0</v>
      </c>
      <c r="N2264" s="617">
        <f t="shared" si="73"/>
        <v>2</v>
      </c>
      <c r="O2264" s="617"/>
      <c r="P2264" s="123"/>
      <c r="R2264" s="123"/>
      <c r="S2264" s="123"/>
      <c r="U2264" s="123"/>
      <c r="V2264" s="123"/>
    </row>
    <row r="2265" spans="1:22" s="530" customFormat="1" ht="15" x14ac:dyDescent="0.25">
      <c r="A2265" s="123"/>
      <c r="B2265" s="529">
        <v>2260001</v>
      </c>
      <c r="C2265" s="529">
        <v>2261</v>
      </c>
      <c r="E2265" s="534">
        <v>0</v>
      </c>
      <c r="F2265" s="534">
        <v>0</v>
      </c>
      <c r="G2265" s="534">
        <v>2</v>
      </c>
      <c r="I2265" s="534">
        <v>0</v>
      </c>
      <c r="J2265" s="534">
        <v>0</v>
      </c>
      <c r="K2265" s="534">
        <v>0</v>
      </c>
      <c r="M2265" s="617">
        <f t="shared" si="72"/>
        <v>0</v>
      </c>
      <c r="N2265" s="617">
        <f t="shared" si="73"/>
        <v>2</v>
      </c>
      <c r="O2265" s="617"/>
      <c r="P2265" s="123"/>
      <c r="R2265" s="123"/>
      <c r="S2265" s="123"/>
      <c r="U2265" s="123"/>
      <c r="V2265" s="123"/>
    </row>
    <row r="2266" spans="1:22" s="530" customFormat="1" ht="15" x14ac:dyDescent="0.25">
      <c r="A2266" s="123"/>
      <c r="B2266" s="529">
        <v>2261001</v>
      </c>
      <c r="C2266" s="529">
        <v>2262</v>
      </c>
      <c r="E2266" s="534">
        <v>0</v>
      </c>
      <c r="F2266" s="534">
        <v>0</v>
      </c>
      <c r="G2266" s="534">
        <v>2</v>
      </c>
      <c r="I2266" s="534">
        <v>0</v>
      </c>
      <c r="J2266" s="534">
        <v>0</v>
      </c>
      <c r="K2266" s="534">
        <v>0</v>
      </c>
      <c r="M2266" s="617">
        <f t="shared" si="72"/>
        <v>0</v>
      </c>
      <c r="N2266" s="617">
        <f t="shared" si="73"/>
        <v>2</v>
      </c>
      <c r="O2266" s="617"/>
      <c r="P2266" s="123"/>
      <c r="R2266" s="123"/>
      <c r="S2266" s="123"/>
      <c r="U2266" s="123"/>
      <c r="V2266" s="123"/>
    </row>
    <row r="2267" spans="1:22" s="530" customFormat="1" ht="15" x14ac:dyDescent="0.25">
      <c r="A2267" s="123"/>
      <c r="B2267" s="529">
        <v>2262001</v>
      </c>
      <c r="C2267" s="529">
        <v>2263</v>
      </c>
      <c r="E2267" s="534">
        <v>0</v>
      </c>
      <c r="F2267" s="534">
        <v>0</v>
      </c>
      <c r="G2267" s="534">
        <v>2</v>
      </c>
      <c r="I2267" s="534">
        <v>0</v>
      </c>
      <c r="J2267" s="534">
        <v>0</v>
      </c>
      <c r="K2267" s="534">
        <v>0</v>
      </c>
      <c r="M2267" s="617">
        <f t="shared" si="72"/>
        <v>0</v>
      </c>
      <c r="N2267" s="617">
        <f t="shared" si="73"/>
        <v>2</v>
      </c>
      <c r="O2267" s="617"/>
      <c r="P2267" s="123"/>
      <c r="R2267" s="123"/>
      <c r="S2267" s="123"/>
      <c r="U2267" s="123"/>
      <c r="V2267" s="123"/>
    </row>
    <row r="2268" spans="1:22" s="530" customFormat="1" ht="15" x14ac:dyDescent="0.25">
      <c r="A2268" s="123"/>
      <c r="B2268" s="529">
        <v>2263001</v>
      </c>
      <c r="C2268" s="529">
        <v>2264</v>
      </c>
      <c r="E2268" s="534">
        <v>0</v>
      </c>
      <c r="F2268" s="534">
        <v>0</v>
      </c>
      <c r="G2268" s="534">
        <v>2</v>
      </c>
      <c r="I2268" s="534">
        <v>0</v>
      </c>
      <c r="J2268" s="534">
        <v>0</v>
      </c>
      <c r="K2268" s="534">
        <v>0</v>
      </c>
      <c r="M2268" s="617">
        <f t="shared" si="72"/>
        <v>0</v>
      </c>
      <c r="N2268" s="617">
        <f t="shared" si="73"/>
        <v>2</v>
      </c>
      <c r="O2268" s="617"/>
      <c r="P2268" s="123"/>
      <c r="R2268" s="123"/>
      <c r="S2268" s="123"/>
      <c r="U2268" s="123"/>
      <c r="V2268" s="123"/>
    </row>
    <row r="2269" spans="1:22" s="530" customFormat="1" ht="15" x14ac:dyDescent="0.25">
      <c r="A2269" s="123"/>
      <c r="B2269" s="529">
        <v>2264001</v>
      </c>
      <c r="C2269" s="529">
        <v>2265</v>
      </c>
      <c r="E2269" s="534">
        <v>0</v>
      </c>
      <c r="F2269" s="534">
        <v>0</v>
      </c>
      <c r="G2269" s="534">
        <v>2</v>
      </c>
      <c r="I2269" s="534">
        <v>0</v>
      </c>
      <c r="J2269" s="534">
        <v>0</v>
      </c>
      <c r="K2269" s="534">
        <v>0</v>
      </c>
      <c r="M2269" s="617">
        <f t="shared" si="72"/>
        <v>0</v>
      </c>
      <c r="N2269" s="617">
        <f t="shared" si="73"/>
        <v>2</v>
      </c>
      <c r="O2269" s="617"/>
      <c r="P2269" s="123"/>
      <c r="R2269" s="123"/>
      <c r="S2269" s="123"/>
      <c r="U2269" s="123"/>
      <c r="V2269" s="123"/>
    </row>
    <row r="2270" spans="1:22" s="530" customFormat="1" ht="15" x14ac:dyDescent="0.25">
      <c r="A2270" s="123"/>
      <c r="B2270" s="529">
        <v>2265001</v>
      </c>
      <c r="C2270" s="529">
        <v>2266</v>
      </c>
      <c r="E2270" s="534">
        <v>0</v>
      </c>
      <c r="F2270" s="534">
        <v>0</v>
      </c>
      <c r="G2270" s="534">
        <v>2</v>
      </c>
      <c r="I2270" s="534">
        <v>0</v>
      </c>
      <c r="J2270" s="534">
        <v>0</v>
      </c>
      <c r="K2270" s="534">
        <v>0</v>
      </c>
      <c r="M2270" s="617">
        <f t="shared" si="72"/>
        <v>0</v>
      </c>
      <c r="N2270" s="617">
        <f t="shared" si="73"/>
        <v>2</v>
      </c>
      <c r="O2270" s="617"/>
      <c r="P2270" s="123"/>
      <c r="R2270" s="123"/>
      <c r="S2270" s="123"/>
      <c r="U2270" s="123"/>
      <c r="V2270" s="123"/>
    </row>
    <row r="2271" spans="1:22" s="530" customFormat="1" ht="15" x14ac:dyDescent="0.25">
      <c r="A2271" s="123"/>
      <c r="B2271" s="529">
        <v>2266001</v>
      </c>
      <c r="C2271" s="529">
        <v>2267</v>
      </c>
      <c r="E2271" s="534">
        <v>0</v>
      </c>
      <c r="F2271" s="534">
        <v>0</v>
      </c>
      <c r="G2271" s="534">
        <v>2</v>
      </c>
      <c r="I2271" s="534">
        <v>0</v>
      </c>
      <c r="J2271" s="534">
        <v>0</v>
      </c>
      <c r="K2271" s="534">
        <v>0</v>
      </c>
      <c r="M2271" s="617">
        <f t="shared" si="72"/>
        <v>0</v>
      </c>
      <c r="N2271" s="617">
        <f t="shared" si="73"/>
        <v>2</v>
      </c>
      <c r="O2271" s="617"/>
      <c r="P2271" s="123"/>
      <c r="R2271" s="123"/>
      <c r="S2271" s="123"/>
      <c r="U2271" s="123"/>
      <c r="V2271" s="123"/>
    </row>
    <row r="2272" spans="1:22" s="530" customFormat="1" ht="15" x14ac:dyDescent="0.25">
      <c r="A2272" s="123"/>
      <c r="B2272" s="529">
        <v>2267001</v>
      </c>
      <c r="C2272" s="529">
        <v>2268</v>
      </c>
      <c r="E2272" s="534">
        <v>0</v>
      </c>
      <c r="F2272" s="534">
        <v>0</v>
      </c>
      <c r="G2272" s="534">
        <v>2</v>
      </c>
      <c r="I2272" s="534">
        <v>0</v>
      </c>
      <c r="J2272" s="534">
        <v>0</v>
      </c>
      <c r="K2272" s="534">
        <v>0</v>
      </c>
      <c r="M2272" s="617">
        <f t="shared" si="72"/>
        <v>0</v>
      </c>
      <c r="N2272" s="617">
        <f t="shared" si="73"/>
        <v>2</v>
      </c>
      <c r="O2272" s="617"/>
      <c r="P2272" s="123"/>
      <c r="R2272" s="123"/>
      <c r="S2272" s="123"/>
      <c r="U2272" s="123"/>
      <c r="V2272" s="123"/>
    </row>
    <row r="2273" spans="1:22" s="530" customFormat="1" ht="15" x14ac:dyDescent="0.25">
      <c r="A2273" s="123"/>
      <c r="B2273" s="529">
        <v>2268001</v>
      </c>
      <c r="C2273" s="529">
        <v>2269</v>
      </c>
      <c r="E2273" s="534">
        <v>0</v>
      </c>
      <c r="F2273" s="534">
        <v>0</v>
      </c>
      <c r="G2273" s="534">
        <v>2</v>
      </c>
      <c r="I2273" s="534">
        <v>0</v>
      </c>
      <c r="J2273" s="534">
        <v>0</v>
      </c>
      <c r="K2273" s="534">
        <v>0</v>
      </c>
      <c r="M2273" s="617">
        <f t="shared" si="72"/>
        <v>0</v>
      </c>
      <c r="N2273" s="617">
        <f t="shared" si="73"/>
        <v>2</v>
      </c>
      <c r="O2273" s="617"/>
      <c r="P2273" s="123"/>
      <c r="R2273" s="123"/>
      <c r="S2273" s="123"/>
      <c r="U2273" s="123"/>
      <c r="V2273" s="123"/>
    </row>
    <row r="2274" spans="1:22" s="530" customFormat="1" ht="15" x14ac:dyDescent="0.25">
      <c r="A2274" s="123"/>
      <c r="B2274" s="529">
        <v>2269001</v>
      </c>
      <c r="C2274" s="529">
        <v>2270</v>
      </c>
      <c r="E2274" s="534">
        <v>0</v>
      </c>
      <c r="F2274" s="534">
        <v>0</v>
      </c>
      <c r="G2274" s="534">
        <v>2</v>
      </c>
      <c r="I2274" s="534">
        <v>0</v>
      </c>
      <c r="J2274" s="534">
        <v>0</v>
      </c>
      <c r="K2274" s="534">
        <v>0</v>
      </c>
      <c r="M2274" s="617">
        <f t="shared" si="72"/>
        <v>0</v>
      </c>
      <c r="N2274" s="617">
        <f t="shared" si="73"/>
        <v>2</v>
      </c>
      <c r="O2274" s="617"/>
      <c r="P2274" s="123"/>
      <c r="R2274" s="123"/>
      <c r="S2274" s="123"/>
      <c r="U2274" s="123"/>
      <c r="V2274" s="123"/>
    </row>
    <row r="2275" spans="1:22" s="530" customFormat="1" ht="15" x14ac:dyDescent="0.25">
      <c r="A2275" s="123"/>
      <c r="B2275" s="529">
        <v>2270001</v>
      </c>
      <c r="C2275" s="529">
        <v>2271</v>
      </c>
      <c r="E2275" s="534">
        <v>0</v>
      </c>
      <c r="F2275" s="534">
        <v>0</v>
      </c>
      <c r="G2275" s="534">
        <v>2</v>
      </c>
      <c r="I2275" s="534">
        <v>0</v>
      </c>
      <c r="J2275" s="534">
        <v>0</v>
      </c>
      <c r="K2275" s="534">
        <v>0</v>
      </c>
      <c r="M2275" s="617">
        <f t="shared" si="72"/>
        <v>0</v>
      </c>
      <c r="N2275" s="617">
        <f t="shared" si="73"/>
        <v>2</v>
      </c>
      <c r="O2275" s="617"/>
      <c r="P2275" s="123"/>
      <c r="R2275" s="123"/>
      <c r="S2275" s="123"/>
      <c r="U2275" s="123"/>
      <c r="V2275" s="123"/>
    </row>
    <row r="2276" spans="1:22" s="530" customFormat="1" ht="15" x14ac:dyDescent="0.25">
      <c r="A2276" s="123"/>
      <c r="B2276" s="529">
        <v>2271001</v>
      </c>
      <c r="C2276" s="529">
        <v>2272</v>
      </c>
      <c r="E2276" s="534">
        <v>0</v>
      </c>
      <c r="F2276" s="534">
        <v>0</v>
      </c>
      <c r="G2276" s="534">
        <v>2</v>
      </c>
      <c r="I2276" s="534">
        <v>0</v>
      </c>
      <c r="J2276" s="534">
        <v>0</v>
      </c>
      <c r="K2276" s="534">
        <v>0</v>
      </c>
      <c r="M2276" s="617">
        <f t="shared" si="72"/>
        <v>0</v>
      </c>
      <c r="N2276" s="617">
        <f t="shared" si="73"/>
        <v>2</v>
      </c>
      <c r="O2276" s="617"/>
      <c r="P2276" s="123"/>
      <c r="R2276" s="123"/>
      <c r="S2276" s="123"/>
      <c r="U2276" s="123"/>
      <c r="V2276" s="123"/>
    </row>
    <row r="2277" spans="1:22" s="530" customFormat="1" ht="15" x14ac:dyDescent="0.25">
      <c r="A2277" s="123"/>
      <c r="B2277" s="529">
        <v>2272001</v>
      </c>
      <c r="C2277" s="529">
        <v>2273</v>
      </c>
      <c r="E2277" s="534">
        <v>0</v>
      </c>
      <c r="F2277" s="534">
        <v>0</v>
      </c>
      <c r="G2277" s="534">
        <v>2</v>
      </c>
      <c r="I2277" s="534">
        <v>0</v>
      </c>
      <c r="J2277" s="534">
        <v>0</v>
      </c>
      <c r="K2277" s="534">
        <v>0</v>
      </c>
      <c r="M2277" s="617">
        <f t="shared" si="72"/>
        <v>0</v>
      </c>
      <c r="N2277" s="617">
        <f t="shared" si="73"/>
        <v>2</v>
      </c>
      <c r="O2277" s="617"/>
      <c r="P2277" s="123"/>
      <c r="R2277" s="123"/>
      <c r="S2277" s="123"/>
      <c r="U2277" s="123"/>
      <c r="V2277" s="123"/>
    </row>
    <row r="2278" spans="1:22" s="530" customFormat="1" ht="15" x14ac:dyDescent="0.25">
      <c r="A2278" s="123"/>
      <c r="B2278" s="529">
        <v>2273001</v>
      </c>
      <c r="C2278" s="529">
        <v>2274</v>
      </c>
      <c r="E2278" s="534">
        <v>0</v>
      </c>
      <c r="F2278" s="534">
        <v>0</v>
      </c>
      <c r="G2278" s="534">
        <v>2</v>
      </c>
      <c r="I2278" s="534">
        <v>0</v>
      </c>
      <c r="J2278" s="534">
        <v>0</v>
      </c>
      <c r="K2278" s="534">
        <v>0</v>
      </c>
      <c r="M2278" s="617">
        <f t="shared" si="72"/>
        <v>0</v>
      </c>
      <c r="N2278" s="617">
        <f t="shared" si="73"/>
        <v>2</v>
      </c>
      <c r="O2278" s="617"/>
      <c r="P2278" s="123"/>
      <c r="R2278" s="123"/>
      <c r="S2278" s="123"/>
      <c r="U2278" s="123"/>
      <c r="V2278" s="123"/>
    </row>
    <row r="2279" spans="1:22" s="530" customFormat="1" ht="15" x14ac:dyDescent="0.25">
      <c r="A2279" s="123"/>
      <c r="B2279" s="529">
        <v>2274001</v>
      </c>
      <c r="C2279" s="529">
        <v>2275</v>
      </c>
      <c r="E2279" s="534">
        <v>0</v>
      </c>
      <c r="F2279" s="534">
        <v>0</v>
      </c>
      <c r="G2279" s="534">
        <v>2</v>
      </c>
      <c r="I2279" s="534">
        <v>0</v>
      </c>
      <c r="J2279" s="534">
        <v>0</v>
      </c>
      <c r="K2279" s="534">
        <v>0</v>
      </c>
      <c r="M2279" s="617">
        <f t="shared" si="72"/>
        <v>0</v>
      </c>
      <c r="N2279" s="617">
        <f t="shared" si="73"/>
        <v>2</v>
      </c>
      <c r="O2279" s="617"/>
      <c r="P2279" s="123"/>
      <c r="R2279" s="123"/>
      <c r="S2279" s="123"/>
      <c r="U2279" s="123"/>
      <c r="V2279" s="123"/>
    </row>
    <row r="2280" spans="1:22" s="530" customFormat="1" ht="15" x14ac:dyDescent="0.25">
      <c r="A2280" s="123"/>
      <c r="B2280" s="529">
        <v>2275001</v>
      </c>
      <c r="C2280" s="529">
        <v>2276</v>
      </c>
      <c r="E2280" s="534">
        <v>0</v>
      </c>
      <c r="F2280" s="534">
        <v>0</v>
      </c>
      <c r="G2280" s="534">
        <v>2</v>
      </c>
      <c r="I2280" s="534">
        <v>0</v>
      </c>
      <c r="J2280" s="534">
        <v>0</v>
      </c>
      <c r="K2280" s="534">
        <v>0</v>
      </c>
      <c r="M2280" s="617">
        <f t="shared" si="72"/>
        <v>0</v>
      </c>
      <c r="N2280" s="617">
        <f t="shared" si="73"/>
        <v>2</v>
      </c>
      <c r="O2280" s="617"/>
      <c r="P2280" s="123"/>
      <c r="R2280" s="123"/>
      <c r="S2280" s="123"/>
      <c r="U2280" s="123"/>
      <c r="V2280" s="123"/>
    </row>
    <row r="2281" spans="1:22" s="530" customFormat="1" ht="15" x14ac:dyDescent="0.25">
      <c r="A2281" s="123"/>
      <c r="B2281" s="529">
        <v>2276001</v>
      </c>
      <c r="C2281" s="529">
        <v>2277</v>
      </c>
      <c r="E2281" s="534">
        <v>0</v>
      </c>
      <c r="F2281" s="534">
        <v>0</v>
      </c>
      <c r="G2281" s="534">
        <v>2</v>
      </c>
      <c r="I2281" s="534">
        <v>0</v>
      </c>
      <c r="J2281" s="534">
        <v>0</v>
      </c>
      <c r="K2281" s="534">
        <v>0</v>
      </c>
      <c r="M2281" s="617">
        <f t="shared" si="72"/>
        <v>0</v>
      </c>
      <c r="N2281" s="617">
        <f t="shared" si="73"/>
        <v>2</v>
      </c>
      <c r="O2281" s="617"/>
      <c r="P2281" s="123"/>
      <c r="R2281" s="123"/>
      <c r="S2281" s="123"/>
      <c r="U2281" s="123"/>
      <c r="V2281" s="123"/>
    </row>
    <row r="2282" spans="1:22" s="530" customFormat="1" ht="15" x14ac:dyDescent="0.25">
      <c r="A2282" s="123"/>
      <c r="B2282" s="529">
        <v>2277001</v>
      </c>
      <c r="C2282" s="529">
        <v>2278</v>
      </c>
      <c r="E2282" s="534">
        <v>0</v>
      </c>
      <c r="F2282" s="534">
        <v>0</v>
      </c>
      <c r="G2282" s="534">
        <v>2</v>
      </c>
      <c r="I2282" s="534">
        <v>0</v>
      </c>
      <c r="J2282" s="534">
        <v>0</v>
      </c>
      <c r="K2282" s="534">
        <v>0</v>
      </c>
      <c r="M2282" s="617">
        <f t="shared" si="72"/>
        <v>0</v>
      </c>
      <c r="N2282" s="617">
        <f t="shared" si="73"/>
        <v>2</v>
      </c>
      <c r="O2282" s="617"/>
      <c r="P2282" s="123"/>
      <c r="R2282" s="123"/>
      <c r="S2282" s="123"/>
      <c r="U2282" s="123"/>
      <c r="V2282" s="123"/>
    </row>
    <row r="2283" spans="1:22" s="530" customFormat="1" ht="15" x14ac:dyDescent="0.25">
      <c r="A2283" s="123"/>
      <c r="B2283" s="529">
        <v>2278001</v>
      </c>
      <c r="C2283" s="529">
        <v>2279</v>
      </c>
      <c r="E2283" s="534">
        <v>0</v>
      </c>
      <c r="F2283" s="534">
        <v>0</v>
      </c>
      <c r="G2283" s="534">
        <v>2</v>
      </c>
      <c r="I2283" s="534">
        <v>0</v>
      </c>
      <c r="J2283" s="534">
        <v>0</v>
      </c>
      <c r="K2283" s="534">
        <v>0</v>
      </c>
      <c r="M2283" s="617">
        <f t="shared" si="72"/>
        <v>0</v>
      </c>
      <c r="N2283" s="617">
        <f t="shared" si="73"/>
        <v>2</v>
      </c>
      <c r="O2283" s="617"/>
      <c r="P2283" s="123"/>
      <c r="R2283" s="123"/>
      <c r="S2283" s="123"/>
      <c r="U2283" s="123"/>
      <c r="V2283" s="123"/>
    </row>
    <row r="2284" spans="1:22" s="530" customFormat="1" ht="15" x14ac:dyDescent="0.25">
      <c r="A2284" s="123"/>
      <c r="B2284" s="529">
        <v>2279001</v>
      </c>
      <c r="C2284" s="529">
        <v>2280</v>
      </c>
      <c r="E2284" s="534">
        <v>0</v>
      </c>
      <c r="F2284" s="534">
        <v>0</v>
      </c>
      <c r="G2284" s="534">
        <v>2</v>
      </c>
      <c r="I2284" s="534">
        <v>0</v>
      </c>
      <c r="J2284" s="534">
        <v>0</v>
      </c>
      <c r="K2284" s="534">
        <v>0</v>
      </c>
      <c r="M2284" s="617">
        <f t="shared" si="72"/>
        <v>0</v>
      </c>
      <c r="N2284" s="617">
        <f t="shared" si="73"/>
        <v>2</v>
      </c>
      <c r="O2284" s="617"/>
      <c r="P2284" s="123"/>
      <c r="R2284" s="123"/>
      <c r="S2284" s="123"/>
      <c r="U2284" s="123"/>
      <c r="V2284" s="123"/>
    </row>
    <row r="2285" spans="1:22" s="530" customFormat="1" ht="15" x14ac:dyDescent="0.25">
      <c r="A2285" s="123"/>
      <c r="B2285" s="529">
        <v>2280001</v>
      </c>
      <c r="C2285" s="529">
        <v>2281</v>
      </c>
      <c r="E2285" s="534">
        <v>0</v>
      </c>
      <c r="F2285" s="534">
        <v>0</v>
      </c>
      <c r="G2285" s="534">
        <v>2</v>
      </c>
      <c r="I2285" s="534">
        <v>0</v>
      </c>
      <c r="J2285" s="534">
        <v>0</v>
      </c>
      <c r="K2285" s="534">
        <v>0</v>
      </c>
      <c r="M2285" s="617">
        <f t="shared" si="72"/>
        <v>0</v>
      </c>
      <c r="N2285" s="617">
        <f t="shared" si="73"/>
        <v>2</v>
      </c>
      <c r="O2285" s="617"/>
      <c r="P2285" s="123"/>
      <c r="R2285" s="123"/>
      <c r="S2285" s="123"/>
      <c r="U2285" s="123"/>
      <c r="V2285" s="123"/>
    </row>
    <row r="2286" spans="1:22" s="530" customFormat="1" ht="15" x14ac:dyDescent="0.25">
      <c r="A2286" s="123"/>
      <c r="B2286" s="529">
        <v>2281001</v>
      </c>
      <c r="C2286" s="529">
        <v>2282</v>
      </c>
      <c r="E2286" s="534">
        <v>0</v>
      </c>
      <c r="F2286" s="534">
        <v>0</v>
      </c>
      <c r="G2286" s="534">
        <v>2</v>
      </c>
      <c r="I2286" s="534">
        <v>0</v>
      </c>
      <c r="J2286" s="534">
        <v>0</v>
      </c>
      <c r="K2286" s="534">
        <v>0</v>
      </c>
      <c r="M2286" s="617">
        <f t="shared" si="72"/>
        <v>0</v>
      </c>
      <c r="N2286" s="617">
        <f t="shared" si="73"/>
        <v>2</v>
      </c>
      <c r="O2286" s="617"/>
      <c r="P2286" s="123"/>
      <c r="R2286" s="123"/>
      <c r="S2286" s="123"/>
      <c r="U2286" s="123"/>
      <c r="V2286" s="123"/>
    </row>
    <row r="2287" spans="1:22" s="530" customFormat="1" ht="15" x14ac:dyDescent="0.25">
      <c r="A2287" s="123"/>
      <c r="B2287" s="529">
        <v>2282001</v>
      </c>
      <c r="C2287" s="529">
        <v>2283</v>
      </c>
      <c r="E2287" s="534">
        <v>0</v>
      </c>
      <c r="F2287" s="534">
        <v>0</v>
      </c>
      <c r="G2287" s="534">
        <v>2</v>
      </c>
      <c r="I2287" s="534">
        <v>0</v>
      </c>
      <c r="J2287" s="534">
        <v>0</v>
      </c>
      <c r="K2287" s="534">
        <v>0</v>
      </c>
      <c r="M2287" s="617">
        <f t="shared" si="72"/>
        <v>0</v>
      </c>
      <c r="N2287" s="617">
        <f t="shared" si="73"/>
        <v>2</v>
      </c>
      <c r="O2287" s="617"/>
      <c r="P2287" s="123"/>
      <c r="R2287" s="123"/>
      <c r="S2287" s="123"/>
      <c r="U2287" s="123"/>
      <c r="V2287" s="123"/>
    </row>
    <row r="2288" spans="1:22" s="530" customFormat="1" ht="15" x14ac:dyDescent="0.25">
      <c r="A2288" s="123"/>
      <c r="B2288" s="529">
        <v>2283001</v>
      </c>
      <c r="C2288" s="529">
        <v>2284</v>
      </c>
      <c r="E2288" s="534">
        <v>0</v>
      </c>
      <c r="F2288" s="534">
        <v>0</v>
      </c>
      <c r="G2288" s="534">
        <v>2</v>
      </c>
      <c r="I2288" s="534">
        <v>0</v>
      </c>
      <c r="J2288" s="534">
        <v>0</v>
      </c>
      <c r="K2288" s="534">
        <v>0</v>
      </c>
      <c r="M2288" s="617">
        <f t="shared" si="72"/>
        <v>0</v>
      </c>
      <c r="N2288" s="617">
        <f t="shared" si="73"/>
        <v>2</v>
      </c>
      <c r="O2288" s="617"/>
      <c r="P2288" s="123"/>
      <c r="R2288" s="123"/>
      <c r="S2288" s="123"/>
      <c r="U2288" s="123"/>
      <c r="V2288" s="123"/>
    </row>
    <row r="2289" spans="1:22" s="530" customFormat="1" ht="15" x14ac:dyDescent="0.25">
      <c r="A2289" s="123"/>
      <c r="B2289" s="529">
        <v>2284001</v>
      </c>
      <c r="C2289" s="529">
        <v>2285</v>
      </c>
      <c r="E2289" s="534">
        <v>0</v>
      </c>
      <c r="F2289" s="534">
        <v>0</v>
      </c>
      <c r="G2289" s="534">
        <v>2</v>
      </c>
      <c r="I2289" s="534">
        <v>0</v>
      </c>
      <c r="J2289" s="534">
        <v>0</v>
      </c>
      <c r="K2289" s="534">
        <v>0</v>
      </c>
      <c r="M2289" s="617">
        <f t="shared" si="72"/>
        <v>0</v>
      </c>
      <c r="N2289" s="617">
        <f t="shared" si="73"/>
        <v>2</v>
      </c>
      <c r="O2289" s="617"/>
      <c r="P2289" s="123"/>
      <c r="R2289" s="123"/>
      <c r="S2289" s="123"/>
      <c r="U2289" s="123"/>
      <c r="V2289" s="123"/>
    </row>
    <row r="2290" spans="1:22" s="530" customFormat="1" ht="15" x14ac:dyDescent="0.25">
      <c r="A2290" s="123"/>
      <c r="B2290" s="529">
        <v>2285001</v>
      </c>
      <c r="C2290" s="529">
        <v>2286</v>
      </c>
      <c r="E2290" s="534">
        <v>0</v>
      </c>
      <c r="F2290" s="534">
        <v>0</v>
      </c>
      <c r="G2290" s="534">
        <v>2</v>
      </c>
      <c r="I2290" s="534">
        <v>0</v>
      </c>
      <c r="J2290" s="534">
        <v>0</v>
      </c>
      <c r="K2290" s="534">
        <v>0</v>
      </c>
      <c r="M2290" s="617">
        <f t="shared" si="72"/>
        <v>0</v>
      </c>
      <c r="N2290" s="617">
        <f t="shared" si="73"/>
        <v>2</v>
      </c>
      <c r="O2290" s="617"/>
      <c r="P2290" s="123"/>
      <c r="R2290" s="123"/>
      <c r="S2290" s="123"/>
      <c r="U2290" s="123"/>
      <c r="V2290" s="123"/>
    </row>
    <row r="2291" spans="1:22" s="530" customFormat="1" ht="15" x14ac:dyDescent="0.25">
      <c r="A2291" s="123"/>
      <c r="B2291" s="529">
        <v>2286001</v>
      </c>
      <c r="C2291" s="529">
        <v>2287</v>
      </c>
      <c r="E2291" s="534">
        <v>0</v>
      </c>
      <c r="F2291" s="534">
        <v>0</v>
      </c>
      <c r="G2291" s="534">
        <v>2</v>
      </c>
      <c r="I2291" s="534">
        <v>0</v>
      </c>
      <c r="J2291" s="534">
        <v>0</v>
      </c>
      <c r="K2291" s="534">
        <v>0</v>
      </c>
      <c r="M2291" s="617">
        <f t="shared" si="72"/>
        <v>0</v>
      </c>
      <c r="N2291" s="617">
        <f t="shared" si="73"/>
        <v>2</v>
      </c>
      <c r="O2291" s="617"/>
      <c r="P2291" s="123"/>
      <c r="R2291" s="123"/>
      <c r="S2291" s="123"/>
      <c r="U2291" s="123"/>
      <c r="V2291" s="123"/>
    </row>
    <row r="2292" spans="1:22" s="530" customFormat="1" ht="15" x14ac:dyDescent="0.25">
      <c r="A2292" s="123"/>
      <c r="B2292" s="529">
        <v>2287001</v>
      </c>
      <c r="C2292" s="529">
        <v>2288</v>
      </c>
      <c r="E2292" s="534">
        <v>0</v>
      </c>
      <c r="F2292" s="534">
        <v>0</v>
      </c>
      <c r="G2292" s="534">
        <v>2</v>
      </c>
      <c r="I2292" s="534">
        <v>0</v>
      </c>
      <c r="J2292" s="534">
        <v>0</v>
      </c>
      <c r="K2292" s="534">
        <v>0</v>
      </c>
      <c r="M2292" s="617">
        <f t="shared" si="72"/>
        <v>0</v>
      </c>
      <c r="N2292" s="617">
        <f t="shared" si="73"/>
        <v>2</v>
      </c>
      <c r="O2292" s="617"/>
      <c r="P2292" s="123"/>
      <c r="R2292" s="123"/>
      <c r="S2292" s="123"/>
      <c r="U2292" s="123"/>
      <c r="V2292" s="123"/>
    </row>
    <row r="2293" spans="1:22" s="530" customFormat="1" ht="15" x14ac:dyDescent="0.25">
      <c r="A2293" s="123"/>
      <c r="B2293" s="529">
        <v>2288001</v>
      </c>
      <c r="C2293" s="529">
        <v>2289</v>
      </c>
      <c r="E2293" s="534">
        <v>0</v>
      </c>
      <c r="F2293" s="534">
        <v>0</v>
      </c>
      <c r="G2293" s="534">
        <v>2</v>
      </c>
      <c r="I2293" s="534">
        <v>0</v>
      </c>
      <c r="J2293" s="534">
        <v>0</v>
      </c>
      <c r="K2293" s="534">
        <v>0</v>
      </c>
      <c r="M2293" s="617">
        <f t="shared" si="72"/>
        <v>0</v>
      </c>
      <c r="N2293" s="617">
        <f t="shared" si="73"/>
        <v>2</v>
      </c>
      <c r="O2293" s="617"/>
      <c r="P2293" s="123"/>
      <c r="R2293" s="123"/>
      <c r="S2293" s="123"/>
      <c r="U2293" s="123"/>
      <c r="V2293" s="123"/>
    </row>
    <row r="2294" spans="1:22" s="530" customFormat="1" ht="15" x14ac:dyDescent="0.25">
      <c r="A2294" s="123"/>
      <c r="B2294" s="529">
        <v>2289001</v>
      </c>
      <c r="C2294" s="529">
        <v>2290</v>
      </c>
      <c r="E2294" s="534">
        <v>0</v>
      </c>
      <c r="F2294" s="534">
        <v>0</v>
      </c>
      <c r="G2294" s="534">
        <v>2</v>
      </c>
      <c r="I2294" s="534">
        <v>0</v>
      </c>
      <c r="J2294" s="534">
        <v>0</v>
      </c>
      <c r="K2294" s="534">
        <v>0</v>
      </c>
      <c r="M2294" s="617">
        <f t="shared" si="72"/>
        <v>0</v>
      </c>
      <c r="N2294" s="617">
        <f t="shared" si="73"/>
        <v>2</v>
      </c>
      <c r="O2294" s="617"/>
      <c r="P2294" s="123"/>
      <c r="R2294" s="123"/>
      <c r="S2294" s="123"/>
      <c r="U2294" s="123"/>
      <c r="V2294" s="123"/>
    </row>
    <row r="2295" spans="1:22" s="530" customFormat="1" ht="15" x14ac:dyDescent="0.25">
      <c r="A2295" s="123"/>
      <c r="B2295" s="529">
        <v>2290001</v>
      </c>
      <c r="C2295" s="529">
        <v>2291</v>
      </c>
      <c r="E2295" s="534">
        <v>0</v>
      </c>
      <c r="F2295" s="534">
        <v>0</v>
      </c>
      <c r="G2295" s="534">
        <v>2</v>
      </c>
      <c r="I2295" s="534">
        <v>0</v>
      </c>
      <c r="J2295" s="534">
        <v>0</v>
      </c>
      <c r="K2295" s="534">
        <v>0</v>
      </c>
      <c r="M2295" s="617">
        <f t="shared" si="72"/>
        <v>0</v>
      </c>
      <c r="N2295" s="617">
        <f t="shared" si="73"/>
        <v>2</v>
      </c>
      <c r="O2295" s="617"/>
      <c r="P2295" s="123"/>
      <c r="R2295" s="123"/>
      <c r="S2295" s="123"/>
      <c r="U2295" s="123"/>
      <c r="V2295" s="123"/>
    </row>
    <row r="2296" spans="1:22" s="530" customFormat="1" ht="15" x14ac:dyDescent="0.25">
      <c r="A2296" s="123"/>
      <c r="B2296" s="529">
        <v>2291001</v>
      </c>
      <c r="C2296" s="529">
        <v>2292</v>
      </c>
      <c r="E2296" s="534">
        <v>0</v>
      </c>
      <c r="F2296" s="534">
        <v>0</v>
      </c>
      <c r="G2296" s="534">
        <v>2</v>
      </c>
      <c r="I2296" s="534">
        <v>0</v>
      </c>
      <c r="J2296" s="534">
        <v>0</v>
      </c>
      <c r="K2296" s="534">
        <v>0</v>
      </c>
      <c r="M2296" s="617">
        <f t="shared" si="72"/>
        <v>0</v>
      </c>
      <c r="N2296" s="617">
        <f t="shared" si="73"/>
        <v>2</v>
      </c>
      <c r="O2296" s="617"/>
      <c r="P2296" s="123"/>
      <c r="R2296" s="123"/>
      <c r="S2296" s="123"/>
      <c r="U2296" s="123"/>
      <c r="V2296" s="123"/>
    </row>
    <row r="2297" spans="1:22" s="530" customFormat="1" ht="15" x14ac:dyDescent="0.25">
      <c r="A2297" s="123"/>
      <c r="B2297" s="529">
        <v>2292001</v>
      </c>
      <c r="C2297" s="529">
        <v>2293</v>
      </c>
      <c r="E2297" s="534">
        <v>0</v>
      </c>
      <c r="F2297" s="534">
        <v>0</v>
      </c>
      <c r="G2297" s="534">
        <v>2</v>
      </c>
      <c r="I2297" s="534">
        <v>0</v>
      </c>
      <c r="J2297" s="534">
        <v>0</v>
      </c>
      <c r="K2297" s="534">
        <v>0</v>
      </c>
      <c r="M2297" s="617">
        <f t="shared" si="72"/>
        <v>0</v>
      </c>
      <c r="N2297" s="617">
        <f t="shared" si="73"/>
        <v>2</v>
      </c>
      <c r="O2297" s="617"/>
      <c r="P2297" s="123"/>
      <c r="R2297" s="123"/>
      <c r="S2297" s="123"/>
      <c r="U2297" s="123"/>
      <c r="V2297" s="123"/>
    </row>
    <row r="2298" spans="1:22" s="530" customFormat="1" ht="15" x14ac:dyDescent="0.25">
      <c r="A2298" s="123"/>
      <c r="B2298" s="529">
        <v>2293001</v>
      </c>
      <c r="C2298" s="529">
        <v>2294</v>
      </c>
      <c r="E2298" s="534">
        <v>0</v>
      </c>
      <c r="F2298" s="534">
        <v>0</v>
      </c>
      <c r="G2298" s="534">
        <v>2</v>
      </c>
      <c r="I2298" s="534">
        <v>0</v>
      </c>
      <c r="J2298" s="534">
        <v>0</v>
      </c>
      <c r="K2298" s="534">
        <v>0</v>
      </c>
      <c r="M2298" s="617">
        <f t="shared" si="72"/>
        <v>0</v>
      </c>
      <c r="N2298" s="617">
        <f t="shared" si="73"/>
        <v>2</v>
      </c>
      <c r="O2298" s="617"/>
      <c r="P2298" s="123"/>
      <c r="R2298" s="123"/>
      <c r="S2298" s="123"/>
      <c r="U2298" s="123"/>
      <c r="V2298" s="123"/>
    </row>
    <row r="2299" spans="1:22" s="530" customFormat="1" ht="15" x14ac:dyDescent="0.25">
      <c r="A2299" s="123"/>
      <c r="B2299" s="529">
        <v>2294001</v>
      </c>
      <c r="C2299" s="529">
        <v>2295</v>
      </c>
      <c r="E2299" s="534">
        <v>0</v>
      </c>
      <c r="F2299" s="534">
        <v>0</v>
      </c>
      <c r="G2299" s="534">
        <v>2</v>
      </c>
      <c r="I2299" s="534">
        <v>0</v>
      </c>
      <c r="J2299" s="534">
        <v>0</v>
      </c>
      <c r="K2299" s="534">
        <v>0</v>
      </c>
      <c r="M2299" s="617">
        <f t="shared" si="72"/>
        <v>0</v>
      </c>
      <c r="N2299" s="617">
        <f t="shared" si="73"/>
        <v>2</v>
      </c>
      <c r="O2299" s="617"/>
      <c r="P2299" s="123"/>
      <c r="R2299" s="123"/>
      <c r="S2299" s="123"/>
      <c r="U2299" s="123"/>
      <c r="V2299" s="123"/>
    </row>
    <row r="2300" spans="1:22" s="530" customFormat="1" ht="15" x14ac:dyDescent="0.25">
      <c r="A2300" s="123"/>
      <c r="B2300" s="529">
        <v>2295001</v>
      </c>
      <c r="C2300" s="529">
        <v>2296</v>
      </c>
      <c r="E2300" s="534">
        <v>0</v>
      </c>
      <c r="F2300" s="534">
        <v>0</v>
      </c>
      <c r="G2300" s="534">
        <v>2</v>
      </c>
      <c r="I2300" s="534">
        <v>0</v>
      </c>
      <c r="J2300" s="534">
        <v>0</v>
      </c>
      <c r="K2300" s="534">
        <v>0</v>
      </c>
      <c r="M2300" s="617">
        <f t="shared" si="72"/>
        <v>0</v>
      </c>
      <c r="N2300" s="617">
        <f t="shared" si="73"/>
        <v>2</v>
      </c>
      <c r="O2300" s="617"/>
      <c r="P2300" s="123"/>
      <c r="R2300" s="123"/>
      <c r="S2300" s="123"/>
      <c r="U2300" s="123"/>
      <c r="V2300" s="123"/>
    </row>
    <row r="2301" spans="1:22" s="530" customFormat="1" ht="15" x14ac:dyDescent="0.25">
      <c r="A2301" s="123"/>
      <c r="B2301" s="529">
        <v>2296001</v>
      </c>
      <c r="C2301" s="529">
        <v>2297</v>
      </c>
      <c r="E2301" s="534">
        <v>0</v>
      </c>
      <c r="F2301" s="534">
        <v>0</v>
      </c>
      <c r="G2301" s="534">
        <v>2</v>
      </c>
      <c r="I2301" s="534">
        <v>0</v>
      </c>
      <c r="J2301" s="534">
        <v>0</v>
      </c>
      <c r="K2301" s="534">
        <v>0</v>
      </c>
      <c r="M2301" s="617">
        <f t="shared" si="72"/>
        <v>0</v>
      </c>
      <c r="N2301" s="617">
        <f t="shared" si="73"/>
        <v>2</v>
      </c>
      <c r="O2301" s="617"/>
      <c r="P2301" s="123"/>
      <c r="R2301" s="123"/>
      <c r="S2301" s="123"/>
      <c r="U2301" s="123"/>
      <c r="V2301" s="123"/>
    </row>
    <row r="2302" spans="1:22" s="530" customFormat="1" ht="15" x14ac:dyDescent="0.25">
      <c r="A2302" s="123"/>
      <c r="B2302" s="529">
        <v>2297001</v>
      </c>
      <c r="C2302" s="529">
        <v>2298</v>
      </c>
      <c r="E2302" s="534">
        <v>0</v>
      </c>
      <c r="F2302" s="534">
        <v>0</v>
      </c>
      <c r="G2302" s="534">
        <v>2</v>
      </c>
      <c r="I2302" s="534">
        <v>0</v>
      </c>
      <c r="J2302" s="534">
        <v>0</v>
      </c>
      <c r="K2302" s="534">
        <v>0</v>
      </c>
      <c r="M2302" s="617">
        <f t="shared" si="72"/>
        <v>0</v>
      </c>
      <c r="N2302" s="617">
        <f t="shared" si="73"/>
        <v>2</v>
      </c>
      <c r="O2302" s="617"/>
      <c r="P2302" s="123"/>
      <c r="R2302" s="123"/>
      <c r="S2302" s="123"/>
      <c r="U2302" s="123"/>
      <c r="V2302" s="123"/>
    </row>
    <row r="2303" spans="1:22" s="530" customFormat="1" ht="15" x14ac:dyDescent="0.25">
      <c r="A2303" s="123"/>
      <c r="B2303" s="529">
        <v>2298001</v>
      </c>
      <c r="C2303" s="529">
        <v>2299</v>
      </c>
      <c r="E2303" s="534">
        <v>0</v>
      </c>
      <c r="F2303" s="534">
        <v>0</v>
      </c>
      <c r="G2303" s="534">
        <v>2</v>
      </c>
      <c r="I2303" s="534">
        <v>0</v>
      </c>
      <c r="J2303" s="534">
        <v>0</v>
      </c>
      <c r="K2303" s="534">
        <v>0</v>
      </c>
      <c r="M2303" s="617">
        <f t="shared" si="72"/>
        <v>0</v>
      </c>
      <c r="N2303" s="617">
        <f t="shared" si="73"/>
        <v>2</v>
      </c>
      <c r="O2303" s="617"/>
      <c r="P2303" s="123"/>
      <c r="R2303" s="123"/>
      <c r="S2303" s="123"/>
      <c r="U2303" s="123"/>
      <c r="V2303" s="123"/>
    </row>
    <row r="2304" spans="1:22" s="530" customFormat="1" ht="15" x14ac:dyDescent="0.25">
      <c r="A2304" s="123"/>
      <c r="B2304" s="529">
        <v>2299001</v>
      </c>
      <c r="C2304" s="529">
        <v>2300</v>
      </c>
      <c r="E2304" s="534">
        <v>0</v>
      </c>
      <c r="F2304" s="534">
        <v>0</v>
      </c>
      <c r="G2304" s="534">
        <v>2</v>
      </c>
      <c r="I2304" s="534">
        <v>0</v>
      </c>
      <c r="J2304" s="534">
        <v>0</v>
      </c>
      <c r="K2304" s="534">
        <v>0</v>
      </c>
      <c r="M2304" s="617">
        <f t="shared" si="72"/>
        <v>0</v>
      </c>
      <c r="N2304" s="617">
        <f t="shared" si="73"/>
        <v>2</v>
      </c>
      <c r="O2304" s="617"/>
      <c r="P2304" s="123"/>
      <c r="R2304" s="123"/>
      <c r="S2304" s="123"/>
      <c r="U2304" s="123"/>
      <c r="V2304" s="123"/>
    </row>
    <row r="2305" spans="1:22" s="530" customFormat="1" ht="15" x14ac:dyDescent="0.25">
      <c r="A2305" s="123"/>
      <c r="B2305" s="529">
        <v>2300001</v>
      </c>
      <c r="C2305" s="529">
        <v>2301</v>
      </c>
      <c r="E2305" s="534">
        <v>0</v>
      </c>
      <c r="F2305" s="534">
        <v>0</v>
      </c>
      <c r="G2305" s="534">
        <v>2</v>
      </c>
      <c r="I2305" s="534">
        <v>0</v>
      </c>
      <c r="J2305" s="534">
        <v>0</v>
      </c>
      <c r="K2305" s="534">
        <v>0</v>
      </c>
      <c r="M2305" s="617">
        <f t="shared" si="72"/>
        <v>0</v>
      </c>
      <c r="N2305" s="617">
        <f t="shared" si="73"/>
        <v>2</v>
      </c>
      <c r="O2305" s="617"/>
      <c r="P2305" s="123"/>
      <c r="R2305" s="123"/>
      <c r="S2305" s="123"/>
      <c r="U2305" s="123"/>
      <c r="V2305" s="123"/>
    </row>
    <row r="2306" spans="1:22" s="530" customFormat="1" ht="15" x14ac:dyDescent="0.25">
      <c r="A2306" s="123"/>
      <c r="B2306" s="529">
        <v>2301001</v>
      </c>
      <c r="C2306" s="529">
        <v>2302</v>
      </c>
      <c r="E2306" s="534">
        <v>0</v>
      </c>
      <c r="F2306" s="534">
        <v>0</v>
      </c>
      <c r="G2306" s="534">
        <v>2</v>
      </c>
      <c r="I2306" s="534">
        <v>0</v>
      </c>
      <c r="J2306" s="534">
        <v>0</v>
      </c>
      <c r="K2306" s="534">
        <v>0</v>
      </c>
      <c r="M2306" s="617">
        <f t="shared" si="72"/>
        <v>0</v>
      </c>
      <c r="N2306" s="617">
        <f t="shared" si="73"/>
        <v>2</v>
      </c>
      <c r="O2306" s="617"/>
      <c r="P2306" s="123"/>
      <c r="R2306" s="123"/>
      <c r="S2306" s="123"/>
      <c r="U2306" s="123"/>
      <c r="V2306" s="123"/>
    </row>
    <row r="2307" spans="1:22" s="530" customFormat="1" ht="15" x14ac:dyDescent="0.25">
      <c r="A2307" s="123"/>
      <c r="B2307" s="529">
        <v>2302001</v>
      </c>
      <c r="C2307" s="529">
        <v>2303</v>
      </c>
      <c r="E2307" s="534">
        <v>0</v>
      </c>
      <c r="F2307" s="534">
        <v>0</v>
      </c>
      <c r="G2307" s="534">
        <v>2</v>
      </c>
      <c r="I2307" s="534">
        <v>0</v>
      </c>
      <c r="J2307" s="534">
        <v>0</v>
      </c>
      <c r="K2307" s="534">
        <v>0</v>
      </c>
      <c r="M2307" s="617">
        <f t="shared" si="72"/>
        <v>0</v>
      </c>
      <c r="N2307" s="617">
        <f t="shared" si="73"/>
        <v>2</v>
      </c>
      <c r="O2307" s="617"/>
      <c r="P2307" s="123"/>
      <c r="R2307" s="123"/>
      <c r="S2307" s="123"/>
      <c r="U2307" s="123"/>
      <c r="V2307" s="123"/>
    </row>
    <row r="2308" spans="1:22" s="530" customFormat="1" ht="15" x14ac:dyDescent="0.25">
      <c r="A2308" s="123"/>
      <c r="B2308" s="529">
        <v>2303001</v>
      </c>
      <c r="C2308" s="529">
        <v>2304</v>
      </c>
      <c r="E2308" s="534">
        <v>0</v>
      </c>
      <c r="F2308" s="534">
        <v>0</v>
      </c>
      <c r="G2308" s="534">
        <v>2</v>
      </c>
      <c r="I2308" s="534">
        <v>0</v>
      </c>
      <c r="J2308" s="534">
        <v>0</v>
      </c>
      <c r="K2308" s="534">
        <v>0</v>
      </c>
      <c r="M2308" s="617">
        <f t="shared" si="72"/>
        <v>0</v>
      </c>
      <c r="N2308" s="617">
        <f t="shared" si="73"/>
        <v>2</v>
      </c>
      <c r="O2308" s="617"/>
      <c r="P2308" s="123"/>
      <c r="R2308" s="123"/>
      <c r="S2308" s="123"/>
      <c r="U2308" s="123"/>
      <c r="V2308" s="123"/>
    </row>
    <row r="2309" spans="1:22" s="530" customFormat="1" ht="15" x14ac:dyDescent="0.25">
      <c r="A2309" s="123"/>
      <c r="B2309" s="529">
        <v>2304001</v>
      </c>
      <c r="C2309" s="529">
        <v>2305</v>
      </c>
      <c r="E2309" s="534">
        <v>0</v>
      </c>
      <c r="F2309" s="534">
        <v>0</v>
      </c>
      <c r="G2309" s="534">
        <v>2</v>
      </c>
      <c r="I2309" s="534">
        <v>0</v>
      </c>
      <c r="J2309" s="534">
        <v>0</v>
      </c>
      <c r="K2309" s="534">
        <v>0</v>
      </c>
      <c r="M2309" s="617">
        <f t="shared" ref="M2309:M2372" si="74">I2309+E2309</f>
        <v>0</v>
      </c>
      <c r="N2309" s="617">
        <f t="shared" ref="N2309:N2372" si="75">K2309+G2309</f>
        <v>2</v>
      </c>
      <c r="O2309" s="617"/>
      <c r="P2309" s="123"/>
      <c r="R2309" s="123"/>
      <c r="S2309" s="123"/>
      <c r="U2309" s="123"/>
      <c r="V2309" s="123"/>
    </row>
    <row r="2310" spans="1:22" s="530" customFormat="1" ht="15" x14ac:dyDescent="0.25">
      <c r="A2310" s="123"/>
      <c r="B2310" s="529">
        <v>2305001</v>
      </c>
      <c r="C2310" s="529">
        <v>2306</v>
      </c>
      <c r="E2310" s="534">
        <v>0</v>
      </c>
      <c r="F2310" s="534">
        <v>0</v>
      </c>
      <c r="G2310" s="534">
        <v>2</v>
      </c>
      <c r="I2310" s="534">
        <v>0</v>
      </c>
      <c r="J2310" s="534">
        <v>0</v>
      </c>
      <c r="K2310" s="534">
        <v>0</v>
      </c>
      <c r="M2310" s="617">
        <f t="shared" si="74"/>
        <v>0</v>
      </c>
      <c r="N2310" s="617">
        <f t="shared" si="75"/>
        <v>2</v>
      </c>
      <c r="O2310" s="617"/>
      <c r="P2310" s="123"/>
      <c r="R2310" s="123"/>
      <c r="S2310" s="123"/>
      <c r="U2310" s="123"/>
      <c r="V2310" s="123"/>
    </row>
    <row r="2311" spans="1:22" s="530" customFormat="1" ht="15" x14ac:dyDescent="0.25">
      <c r="A2311" s="123"/>
      <c r="B2311" s="529">
        <v>2306001</v>
      </c>
      <c r="C2311" s="529">
        <v>2307</v>
      </c>
      <c r="E2311" s="534">
        <v>0</v>
      </c>
      <c r="F2311" s="534">
        <v>0</v>
      </c>
      <c r="G2311" s="534">
        <v>2</v>
      </c>
      <c r="I2311" s="534">
        <v>0</v>
      </c>
      <c r="J2311" s="534">
        <v>0</v>
      </c>
      <c r="K2311" s="534">
        <v>0</v>
      </c>
      <c r="M2311" s="617">
        <f t="shared" si="74"/>
        <v>0</v>
      </c>
      <c r="N2311" s="617">
        <f t="shared" si="75"/>
        <v>2</v>
      </c>
      <c r="O2311" s="617"/>
      <c r="P2311" s="123"/>
      <c r="R2311" s="123"/>
      <c r="S2311" s="123"/>
      <c r="U2311" s="123"/>
      <c r="V2311" s="123"/>
    </row>
    <row r="2312" spans="1:22" s="530" customFormat="1" ht="15" x14ac:dyDescent="0.25">
      <c r="A2312" s="123"/>
      <c r="B2312" s="529">
        <v>2307001</v>
      </c>
      <c r="C2312" s="529">
        <v>2308</v>
      </c>
      <c r="E2312" s="534">
        <v>0</v>
      </c>
      <c r="F2312" s="534">
        <v>0</v>
      </c>
      <c r="G2312" s="534">
        <v>2</v>
      </c>
      <c r="I2312" s="534">
        <v>0</v>
      </c>
      <c r="J2312" s="534">
        <v>0</v>
      </c>
      <c r="K2312" s="534">
        <v>0</v>
      </c>
      <c r="M2312" s="617">
        <f t="shared" si="74"/>
        <v>0</v>
      </c>
      <c r="N2312" s="617">
        <f t="shared" si="75"/>
        <v>2</v>
      </c>
      <c r="O2312" s="617"/>
      <c r="P2312" s="123"/>
      <c r="R2312" s="123"/>
      <c r="S2312" s="123"/>
      <c r="U2312" s="123"/>
      <c r="V2312" s="123"/>
    </row>
    <row r="2313" spans="1:22" s="530" customFormat="1" ht="15" x14ac:dyDescent="0.25">
      <c r="A2313" s="123"/>
      <c r="B2313" s="529">
        <v>2308001</v>
      </c>
      <c r="C2313" s="529">
        <v>2309</v>
      </c>
      <c r="E2313" s="534">
        <v>0</v>
      </c>
      <c r="F2313" s="534">
        <v>0</v>
      </c>
      <c r="G2313" s="534">
        <v>2</v>
      </c>
      <c r="I2313" s="534">
        <v>0</v>
      </c>
      <c r="J2313" s="534">
        <v>0</v>
      </c>
      <c r="K2313" s="534">
        <v>0</v>
      </c>
      <c r="M2313" s="617">
        <f t="shared" si="74"/>
        <v>0</v>
      </c>
      <c r="N2313" s="617">
        <f t="shared" si="75"/>
        <v>2</v>
      </c>
      <c r="O2313" s="617"/>
      <c r="P2313" s="123"/>
      <c r="R2313" s="123"/>
      <c r="S2313" s="123"/>
      <c r="U2313" s="123"/>
      <c r="V2313" s="123"/>
    </row>
    <row r="2314" spans="1:22" s="530" customFormat="1" ht="15" x14ac:dyDescent="0.25">
      <c r="A2314" s="123"/>
      <c r="B2314" s="529">
        <v>2309001</v>
      </c>
      <c r="C2314" s="529">
        <v>2310</v>
      </c>
      <c r="E2314" s="534">
        <v>0</v>
      </c>
      <c r="F2314" s="534">
        <v>0</v>
      </c>
      <c r="G2314" s="534">
        <v>2</v>
      </c>
      <c r="I2314" s="534">
        <v>0</v>
      </c>
      <c r="J2314" s="534">
        <v>0</v>
      </c>
      <c r="K2314" s="534">
        <v>0</v>
      </c>
      <c r="M2314" s="617">
        <f t="shared" si="74"/>
        <v>0</v>
      </c>
      <c r="N2314" s="617">
        <f t="shared" si="75"/>
        <v>2</v>
      </c>
      <c r="O2314" s="617"/>
      <c r="P2314" s="123"/>
      <c r="R2314" s="123"/>
      <c r="S2314" s="123"/>
      <c r="U2314" s="123"/>
      <c r="V2314" s="123"/>
    </row>
    <row r="2315" spans="1:22" s="530" customFormat="1" ht="15" x14ac:dyDescent="0.25">
      <c r="A2315" s="123"/>
      <c r="B2315" s="529">
        <v>2310001</v>
      </c>
      <c r="C2315" s="529">
        <v>2311</v>
      </c>
      <c r="E2315" s="534">
        <v>0</v>
      </c>
      <c r="F2315" s="534">
        <v>0</v>
      </c>
      <c r="G2315" s="534">
        <v>2</v>
      </c>
      <c r="I2315" s="534">
        <v>0</v>
      </c>
      <c r="J2315" s="534">
        <v>0</v>
      </c>
      <c r="K2315" s="534">
        <v>0</v>
      </c>
      <c r="M2315" s="617">
        <f t="shared" si="74"/>
        <v>0</v>
      </c>
      <c r="N2315" s="617">
        <f t="shared" si="75"/>
        <v>2</v>
      </c>
      <c r="O2315" s="617"/>
      <c r="P2315" s="123"/>
      <c r="R2315" s="123"/>
      <c r="S2315" s="123"/>
      <c r="U2315" s="123"/>
      <c r="V2315" s="123"/>
    </row>
    <row r="2316" spans="1:22" s="530" customFormat="1" ht="15" x14ac:dyDescent="0.25">
      <c r="A2316" s="123"/>
      <c r="B2316" s="529">
        <v>2311001</v>
      </c>
      <c r="C2316" s="529">
        <v>2312</v>
      </c>
      <c r="E2316" s="534">
        <v>0</v>
      </c>
      <c r="F2316" s="534">
        <v>0</v>
      </c>
      <c r="G2316" s="534">
        <v>2</v>
      </c>
      <c r="I2316" s="534">
        <v>0</v>
      </c>
      <c r="J2316" s="534">
        <v>0</v>
      </c>
      <c r="K2316" s="534">
        <v>0</v>
      </c>
      <c r="M2316" s="617">
        <f t="shared" si="74"/>
        <v>0</v>
      </c>
      <c r="N2316" s="617">
        <f t="shared" si="75"/>
        <v>2</v>
      </c>
      <c r="O2316" s="617"/>
      <c r="P2316" s="123"/>
      <c r="R2316" s="123"/>
      <c r="S2316" s="123"/>
      <c r="U2316" s="123"/>
      <c r="V2316" s="123"/>
    </row>
    <row r="2317" spans="1:22" s="530" customFormat="1" ht="15" x14ac:dyDescent="0.25">
      <c r="A2317" s="123"/>
      <c r="B2317" s="529">
        <v>2312001</v>
      </c>
      <c r="C2317" s="529">
        <v>2313</v>
      </c>
      <c r="E2317" s="534">
        <v>0</v>
      </c>
      <c r="F2317" s="534">
        <v>0</v>
      </c>
      <c r="G2317" s="534">
        <v>2</v>
      </c>
      <c r="I2317" s="534">
        <v>0</v>
      </c>
      <c r="J2317" s="534">
        <v>0</v>
      </c>
      <c r="K2317" s="534">
        <v>0</v>
      </c>
      <c r="M2317" s="617">
        <f t="shared" si="74"/>
        <v>0</v>
      </c>
      <c r="N2317" s="617">
        <f t="shared" si="75"/>
        <v>2</v>
      </c>
      <c r="O2317" s="617"/>
      <c r="P2317" s="123"/>
      <c r="R2317" s="123"/>
      <c r="S2317" s="123"/>
      <c r="U2317" s="123"/>
      <c r="V2317" s="123"/>
    </row>
    <row r="2318" spans="1:22" s="530" customFormat="1" ht="15" x14ac:dyDescent="0.25">
      <c r="A2318" s="123"/>
      <c r="B2318" s="529">
        <v>2313001</v>
      </c>
      <c r="C2318" s="529">
        <v>2314</v>
      </c>
      <c r="E2318" s="534">
        <v>0</v>
      </c>
      <c r="F2318" s="534">
        <v>0</v>
      </c>
      <c r="G2318" s="534">
        <v>2</v>
      </c>
      <c r="I2318" s="534">
        <v>0</v>
      </c>
      <c r="J2318" s="534">
        <v>0</v>
      </c>
      <c r="K2318" s="534">
        <v>0</v>
      </c>
      <c r="M2318" s="617">
        <f t="shared" si="74"/>
        <v>0</v>
      </c>
      <c r="N2318" s="617">
        <f t="shared" si="75"/>
        <v>2</v>
      </c>
      <c r="O2318" s="617"/>
      <c r="P2318" s="123"/>
      <c r="R2318" s="123"/>
      <c r="S2318" s="123"/>
      <c r="U2318" s="123"/>
      <c r="V2318" s="123"/>
    </row>
    <row r="2319" spans="1:22" s="530" customFormat="1" ht="15" x14ac:dyDescent="0.25">
      <c r="A2319" s="123"/>
      <c r="B2319" s="529">
        <v>2314001</v>
      </c>
      <c r="C2319" s="529">
        <v>2315</v>
      </c>
      <c r="E2319" s="534">
        <v>0</v>
      </c>
      <c r="F2319" s="534">
        <v>0</v>
      </c>
      <c r="G2319" s="534">
        <v>2</v>
      </c>
      <c r="I2319" s="534">
        <v>0</v>
      </c>
      <c r="J2319" s="534">
        <v>0</v>
      </c>
      <c r="K2319" s="534">
        <v>0</v>
      </c>
      <c r="M2319" s="617">
        <f t="shared" si="74"/>
        <v>0</v>
      </c>
      <c r="N2319" s="617">
        <f t="shared" si="75"/>
        <v>2</v>
      </c>
      <c r="O2319" s="617"/>
      <c r="P2319" s="123"/>
      <c r="R2319" s="123"/>
      <c r="S2319" s="123"/>
      <c r="U2319" s="123"/>
      <c r="V2319" s="123"/>
    </row>
    <row r="2320" spans="1:22" s="530" customFormat="1" ht="15" x14ac:dyDescent="0.25">
      <c r="A2320" s="123"/>
      <c r="B2320" s="529">
        <v>2315001</v>
      </c>
      <c r="C2320" s="529">
        <v>2316</v>
      </c>
      <c r="E2320" s="534">
        <v>0</v>
      </c>
      <c r="F2320" s="534">
        <v>0</v>
      </c>
      <c r="G2320" s="534">
        <v>2</v>
      </c>
      <c r="I2320" s="534">
        <v>0</v>
      </c>
      <c r="J2320" s="534">
        <v>0</v>
      </c>
      <c r="K2320" s="534">
        <v>0</v>
      </c>
      <c r="M2320" s="617">
        <f t="shared" si="74"/>
        <v>0</v>
      </c>
      <c r="N2320" s="617">
        <f t="shared" si="75"/>
        <v>2</v>
      </c>
      <c r="O2320" s="617"/>
      <c r="P2320" s="123"/>
      <c r="R2320" s="123"/>
      <c r="S2320" s="123"/>
      <c r="U2320" s="123"/>
      <c r="V2320" s="123"/>
    </row>
    <row r="2321" spans="1:22" s="530" customFormat="1" ht="15" x14ac:dyDescent="0.25">
      <c r="A2321" s="123"/>
      <c r="B2321" s="529">
        <v>2316001</v>
      </c>
      <c r="C2321" s="529">
        <v>2317</v>
      </c>
      <c r="E2321" s="534">
        <v>0</v>
      </c>
      <c r="F2321" s="534">
        <v>0</v>
      </c>
      <c r="G2321" s="534">
        <v>2</v>
      </c>
      <c r="I2321" s="534">
        <v>0</v>
      </c>
      <c r="J2321" s="534">
        <v>0</v>
      </c>
      <c r="K2321" s="534">
        <v>0</v>
      </c>
      <c r="M2321" s="617">
        <f t="shared" si="74"/>
        <v>0</v>
      </c>
      <c r="N2321" s="617">
        <f t="shared" si="75"/>
        <v>2</v>
      </c>
      <c r="O2321" s="617"/>
      <c r="P2321" s="123"/>
      <c r="R2321" s="123"/>
      <c r="S2321" s="123"/>
      <c r="U2321" s="123"/>
      <c r="V2321" s="123"/>
    </row>
    <row r="2322" spans="1:22" s="530" customFormat="1" ht="15" x14ac:dyDescent="0.25">
      <c r="A2322" s="123"/>
      <c r="B2322" s="529">
        <v>2317001</v>
      </c>
      <c r="C2322" s="529">
        <v>2318</v>
      </c>
      <c r="E2322" s="534">
        <v>0</v>
      </c>
      <c r="F2322" s="534">
        <v>0</v>
      </c>
      <c r="G2322" s="534">
        <v>2</v>
      </c>
      <c r="I2322" s="534">
        <v>0</v>
      </c>
      <c r="J2322" s="534">
        <v>0</v>
      </c>
      <c r="K2322" s="534">
        <v>0</v>
      </c>
      <c r="M2322" s="617">
        <f t="shared" si="74"/>
        <v>0</v>
      </c>
      <c r="N2322" s="617">
        <f t="shared" si="75"/>
        <v>2</v>
      </c>
      <c r="O2322" s="617"/>
      <c r="P2322" s="123"/>
      <c r="R2322" s="123"/>
      <c r="S2322" s="123"/>
      <c r="U2322" s="123"/>
      <c r="V2322" s="123"/>
    </row>
    <row r="2323" spans="1:22" s="530" customFormat="1" ht="15" x14ac:dyDescent="0.25">
      <c r="A2323" s="123"/>
      <c r="B2323" s="529">
        <v>2318001</v>
      </c>
      <c r="C2323" s="529">
        <v>2319</v>
      </c>
      <c r="E2323" s="534">
        <v>0</v>
      </c>
      <c r="F2323" s="534">
        <v>0</v>
      </c>
      <c r="G2323" s="534">
        <v>2</v>
      </c>
      <c r="I2323" s="534">
        <v>0</v>
      </c>
      <c r="J2323" s="534">
        <v>0</v>
      </c>
      <c r="K2323" s="534">
        <v>0</v>
      </c>
      <c r="M2323" s="617">
        <f t="shared" si="74"/>
        <v>0</v>
      </c>
      <c r="N2323" s="617">
        <f t="shared" si="75"/>
        <v>2</v>
      </c>
      <c r="O2323" s="617"/>
      <c r="P2323" s="123"/>
      <c r="R2323" s="123"/>
      <c r="S2323" s="123"/>
      <c r="U2323" s="123"/>
      <c r="V2323" s="123"/>
    </row>
    <row r="2324" spans="1:22" s="530" customFormat="1" ht="15" x14ac:dyDescent="0.25">
      <c r="A2324" s="123"/>
      <c r="B2324" s="529">
        <v>2319001</v>
      </c>
      <c r="C2324" s="529">
        <v>2320</v>
      </c>
      <c r="E2324" s="534">
        <v>0</v>
      </c>
      <c r="F2324" s="534">
        <v>0</v>
      </c>
      <c r="G2324" s="534">
        <v>2</v>
      </c>
      <c r="I2324" s="534">
        <v>0</v>
      </c>
      <c r="J2324" s="534">
        <v>0</v>
      </c>
      <c r="K2324" s="534">
        <v>0</v>
      </c>
      <c r="M2324" s="617">
        <f t="shared" si="74"/>
        <v>0</v>
      </c>
      <c r="N2324" s="617">
        <f t="shared" si="75"/>
        <v>2</v>
      </c>
      <c r="O2324" s="617"/>
      <c r="P2324" s="123"/>
      <c r="R2324" s="123"/>
      <c r="S2324" s="123"/>
      <c r="U2324" s="123"/>
      <c r="V2324" s="123"/>
    </row>
    <row r="2325" spans="1:22" s="530" customFormat="1" ht="15" x14ac:dyDescent="0.25">
      <c r="A2325" s="123"/>
      <c r="B2325" s="529">
        <v>2320001</v>
      </c>
      <c r="C2325" s="529">
        <v>2321</v>
      </c>
      <c r="E2325" s="534">
        <v>0</v>
      </c>
      <c r="F2325" s="534">
        <v>0</v>
      </c>
      <c r="G2325" s="534">
        <v>2</v>
      </c>
      <c r="I2325" s="534">
        <v>0</v>
      </c>
      <c r="J2325" s="534">
        <v>0</v>
      </c>
      <c r="K2325" s="534">
        <v>0</v>
      </c>
      <c r="M2325" s="617">
        <f t="shared" si="74"/>
        <v>0</v>
      </c>
      <c r="N2325" s="617">
        <f t="shared" si="75"/>
        <v>2</v>
      </c>
      <c r="O2325" s="617"/>
      <c r="P2325" s="123"/>
      <c r="R2325" s="123"/>
      <c r="S2325" s="123"/>
      <c r="U2325" s="123"/>
      <c r="V2325" s="123"/>
    </row>
    <row r="2326" spans="1:22" s="530" customFormat="1" ht="15" x14ac:dyDescent="0.25">
      <c r="A2326" s="123"/>
      <c r="B2326" s="529">
        <v>2321001</v>
      </c>
      <c r="C2326" s="529">
        <v>2322</v>
      </c>
      <c r="E2326" s="534">
        <v>0</v>
      </c>
      <c r="F2326" s="534">
        <v>0</v>
      </c>
      <c r="G2326" s="534">
        <v>2</v>
      </c>
      <c r="I2326" s="534">
        <v>0</v>
      </c>
      <c r="J2326" s="534">
        <v>0</v>
      </c>
      <c r="K2326" s="534">
        <v>0</v>
      </c>
      <c r="M2326" s="617">
        <f t="shared" si="74"/>
        <v>0</v>
      </c>
      <c r="N2326" s="617">
        <f t="shared" si="75"/>
        <v>2</v>
      </c>
      <c r="O2326" s="617"/>
      <c r="P2326" s="123"/>
      <c r="R2326" s="123"/>
      <c r="S2326" s="123"/>
      <c r="U2326" s="123"/>
      <c r="V2326" s="123"/>
    </row>
    <row r="2327" spans="1:22" s="530" customFormat="1" ht="15" x14ac:dyDescent="0.25">
      <c r="A2327" s="123"/>
      <c r="B2327" s="529">
        <v>2322001</v>
      </c>
      <c r="C2327" s="529">
        <v>2323</v>
      </c>
      <c r="E2327" s="534">
        <v>0</v>
      </c>
      <c r="F2327" s="534">
        <v>0</v>
      </c>
      <c r="G2327" s="534">
        <v>2</v>
      </c>
      <c r="I2327" s="534">
        <v>0</v>
      </c>
      <c r="J2327" s="534">
        <v>0</v>
      </c>
      <c r="K2327" s="534">
        <v>0</v>
      </c>
      <c r="M2327" s="617">
        <f t="shared" si="74"/>
        <v>0</v>
      </c>
      <c r="N2327" s="617">
        <f t="shared" si="75"/>
        <v>2</v>
      </c>
      <c r="O2327" s="617"/>
      <c r="P2327" s="123"/>
      <c r="R2327" s="123"/>
      <c r="S2327" s="123"/>
      <c r="U2327" s="123"/>
      <c r="V2327" s="123"/>
    </row>
    <row r="2328" spans="1:22" s="530" customFormat="1" ht="15" x14ac:dyDescent="0.25">
      <c r="A2328" s="123"/>
      <c r="B2328" s="529">
        <v>2323001</v>
      </c>
      <c r="C2328" s="529">
        <v>2324</v>
      </c>
      <c r="E2328" s="534">
        <v>0</v>
      </c>
      <c r="F2328" s="534">
        <v>0</v>
      </c>
      <c r="G2328" s="534">
        <v>2</v>
      </c>
      <c r="I2328" s="534">
        <v>0</v>
      </c>
      <c r="J2328" s="534">
        <v>0</v>
      </c>
      <c r="K2328" s="534">
        <v>0</v>
      </c>
      <c r="M2328" s="617">
        <f t="shared" si="74"/>
        <v>0</v>
      </c>
      <c r="N2328" s="617">
        <f t="shared" si="75"/>
        <v>2</v>
      </c>
      <c r="O2328" s="617"/>
      <c r="P2328" s="123"/>
      <c r="R2328" s="123"/>
      <c r="S2328" s="123"/>
      <c r="U2328" s="123"/>
      <c r="V2328" s="123"/>
    </row>
    <row r="2329" spans="1:22" s="530" customFormat="1" ht="15" x14ac:dyDescent="0.25">
      <c r="A2329" s="123"/>
      <c r="B2329" s="529">
        <v>2324001</v>
      </c>
      <c r="C2329" s="529">
        <v>2325</v>
      </c>
      <c r="E2329" s="534">
        <v>0</v>
      </c>
      <c r="F2329" s="534">
        <v>0</v>
      </c>
      <c r="G2329" s="534">
        <v>2</v>
      </c>
      <c r="I2329" s="534">
        <v>0</v>
      </c>
      <c r="J2329" s="534">
        <v>0</v>
      </c>
      <c r="K2329" s="534">
        <v>0</v>
      </c>
      <c r="M2329" s="617">
        <f t="shared" si="74"/>
        <v>0</v>
      </c>
      <c r="N2329" s="617">
        <f t="shared" si="75"/>
        <v>2</v>
      </c>
      <c r="O2329" s="617"/>
      <c r="P2329" s="123"/>
      <c r="R2329" s="123"/>
      <c r="S2329" s="123"/>
      <c r="U2329" s="123"/>
      <c r="V2329" s="123"/>
    </row>
    <row r="2330" spans="1:22" s="530" customFormat="1" ht="15" x14ac:dyDescent="0.25">
      <c r="A2330" s="123"/>
      <c r="B2330" s="529">
        <v>2325001</v>
      </c>
      <c r="C2330" s="529">
        <v>2326</v>
      </c>
      <c r="E2330" s="534">
        <v>0</v>
      </c>
      <c r="F2330" s="534">
        <v>0</v>
      </c>
      <c r="G2330" s="534">
        <v>2</v>
      </c>
      <c r="I2330" s="534">
        <v>0</v>
      </c>
      <c r="J2330" s="534">
        <v>0</v>
      </c>
      <c r="K2330" s="534">
        <v>0</v>
      </c>
      <c r="M2330" s="617">
        <f t="shared" si="74"/>
        <v>0</v>
      </c>
      <c r="N2330" s="617">
        <f t="shared" si="75"/>
        <v>2</v>
      </c>
      <c r="O2330" s="617"/>
      <c r="P2330" s="123"/>
      <c r="R2330" s="123"/>
      <c r="S2330" s="123"/>
      <c r="U2330" s="123"/>
      <c r="V2330" s="123"/>
    </row>
    <row r="2331" spans="1:22" s="530" customFormat="1" ht="15" x14ac:dyDescent="0.25">
      <c r="A2331" s="123"/>
      <c r="B2331" s="529">
        <v>2326001</v>
      </c>
      <c r="C2331" s="529">
        <v>2327</v>
      </c>
      <c r="E2331" s="534">
        <v>0</v>
      </c>
      <c r="F2331" s="534">
        <v>0</v>
      </c>
      <c r="G2331" s="534">
        <v>2</v>
      </c>
      <c r="I2331" s="534">
        <v>0</v>
      </c>
      <c r="J2331" s="534">
        <v>0</v>
      </c>
      <c r="K2331" s="534">
        <v>0</v>
      </c>
      <c r="M2331" s="617">
        <f t="shared" si="74"/>
        <v>0</v>
      </c>
      <c r="N2331" s="617">
        <f t="shared" si="75"/>
        <v>2</v>
      </c>
      <c r="O2331" s="617"/>
      <c r="P2331" s="123"/>
      <c r="R2331" s="123"/>
      <c r="S2331" s="123"/>
      <c r="U2331" s="123"/>
      <c r="V2331" s="123"/>
    </row>
    <row r="2332" spans="1:22" s="530" customFormat="1" ht="15" x14ac:dyDescent="0.25">
      <c r="A2332" s="123"/>
      <c r="B2332" s="529">
        <v>2327001</v>
      </c>
      <c r="C2332" s="529">
        <v>2328</v>
      </c>
      <c r="E2332" s="534">
        <v>0</v>
      </c>
      <c r="F2332" s="534">
        <v>0</v>
      </c>
      <c r="G2332" s="534">
        <v>2</v>
      </c>
      <c r="I2332" s="534">
        <v>0</v>
      </c>
      <c r="J2332" s="534">
        <v>0</v>
      </c>
      <c r="K2332" s="534">
        <v>0</v>
      </c>
      <c r="M2332" s="617">
        <f t="shared" si="74"/>
        <v>0</v>
      </c>
      <c r="N2332" s="617">
        <f t="shared" si="75"/>
        <v>2</v>
      </c>
      <c r="O2332" s="617"/>
      <c r="P2332" s="123"/>
      <c r="R2332" s="123"/>
      <c r="S2332" s="123"/>
      <c r="U2332" s="123"/>
      <c r="V2332" s="123"/>
    </row>
    <row r="2333" spans="1:22" s="530" customFormat="1" ht="15" x14ac:dyDescent="0.25">
      <c r="A2333" s="123"/>
      <c r="B2333" s="529">
        <v>2328001</v>
      </c>
      <c r="C2333" s="529">
        <v>2329</v>
      </c>
      <c r="E2333" s="534">
        <v>0</v>
      </c>
      <c r="F2333" s="534">
        <v>0</v>
      </c>
      <c r="G2333" s="534">
        <v>2</v>
      </c>
      <c r="I2333" s="534">
        <v>0</v>
      </c>
      <c r="J2333" s="534">
        <v>0</v>
      </c>
      <c r="K2333" s="534">
        <v>0</v>
      </c>
      <c r="M2333" s="617">
        <f t="shared" si="74"/>
        <v>0</v>
      </c>
      <c r="N2333" s="617">
        <f t="shared" si="75"/>
        <v>2</v>
      </c>
      <c r="O2333" s="617"/>
      <c r="P2333" s="123"/>
      <c r="R2333" s="123"/>
      <c r="S2333" s="123"/>
      <c r="U2333" s="123"/>
      <c r="V2333" s="123"/>
    </row>
    <row r="2334" spans="1:22" s="530" customFormat="1" ht="15" x14ac:dyDescent="0.25">
      <c r="A2334" s="123"/>
      <c r="B2334" s="529">
        <v>2329001</v>
      </c>
      <c r="C2334" s="529">
        <v>2330</v>
      </c>
      <c r="E2334" s="534">
        <v>0</v>
      </c>
      <c r="F2334" s="534">
        <v>0</v>
      </c>
      <c r="G2334" s="534">
        <v>2</v>
      </c>
      <c r="I2334" s="534">
        <v>0</v>
      </c>
      <c r="J2334" s="534">
        <v>0</v>
      </c>
      <c r="K2334" s="534">
        <v>0</v>
      </c>
      <c r="M2334" s="617">
        <f t="shared" si="74"/>
        <v>0</v>
      </c>
      <c r="N2334" s="617">
        <f t="shared" si="75"/>
        <v>2</v>
      </c>
      <c r="O2334" s="617"/>
      <c r="P2334" s="123"/>
      <c r="R2334" s="123"/>
      <c r="S2334" s="123"/>
      <c r="U2334" s="123"/>
      <c r="V2334" s="123"/>
    </row>
    <row r="2335" spans="1:22" s="530" customFormat="1" ht="15" x14ac:dyDescent="0.25">
      <c r="A2335" s="123"/>
      <c r="B2335" s="529">
        <v>2330001</v>
      </c>
      <c r="C2335" s="529">
        <v>2331</v>
      </c>
      <c r="E2335" s="534">
        <v>0</v>
      </c>
      <c r="F2335" s="534">
        <v>0</v>
      </c>
      <c r="G2335" s="534">
        <v>2</v>
      </c>
      <c r="I2335" s="534">
        <v>0</v>
      </c>
      <c r="J2335" s="534">
        <v>0</v>
      </c>
      <c r="K2335" s="534">
        <v>0</v>
      </c>
      <c r="M2335" s="617">
        <f t="shared" si="74"/>
        <v>0</v>
      </c>
      <c r="N2335" s="617">
        <f t="shared" si="75"/>
        <v>2</v>
      </c>
      <c r="O2335" s="617"/>
      <c r="P2335" s="123"/>
      <c r="R2335" s="123"/>
      <c r="S2335" s="123"/>
      <c r="U2335" s="123"/>
      <c r="V2335" s="123"/>
    </row>
    <row r="2336" spans="1:22" s="530" customFormat="1" ht="15" x14ac:dyDescent="0.25">
      <c r="A2336" s="123"/>
      <c r="B2336" s="529">
        <v>2331001</v>
      </c>
      <c r="C2336" s="529">
        <v>2332</v>
      </c>
      <c r="E2336" s="534">
        <v>0</v>
      </c>
      <c r="F2336" s="534">
        <v>0</v>
      </c>
      <c r="G2336" s="534">
        <v>2</v>
      </c>
      <c r="I2336" s="534">
        <v>0</v>
      </c>
      <c r="J2336" s="534">
        <v>0</v>
      </c>
      <c r="K2336" s="534">
        <v>0</v>
      </c>
      <c r="M2336" s="617">
        <f t="shared" si="74"/>
        <v>0</v>
      </c>
      <c r="N2336" s="617">
        <f t="shared" si="75"/>
        <v>2</v>
      </c>
      <c r="O2336" s="617"/>
      <c r="P2336" s="123"/>
      <c r="R2336" s="123"/>
      <c r="S2336" s="123"/>
      <c r="U2336" s="123"/>
      <c r="V2336" s="123"/>
    </row>
    <row r="2337" spans="1:22" s="530" customFormat="1" ht="15" x14ac:dyDescent="0.25">
      <c r="A2337" s="123"/>
      <c r="B2337" s="529">
        <v>2332001</v>
      </c>
      <c r="C2337" s="529">
        <v>2333</v>
      </c>
      <c r="E2337" s="534">
        <v>0</v>
      </c>
      <c r="F2337" s="534">
        <v>0</v>
      </c>
      <c r="G2337" s="534">
        <v>2</v>
      </c>
      <c r="I2337" s="534">
        <v>0</v>
      </c>
      <c r="J2337" s="534">
        <v>0</v>
      </c>
      <c r="K2337" s="534">
        <v>0</v>
      </c>
      <c r="M2337" s="617">
        <f t="shared" si="74"/>
        <v>0</v>
      </c>
      <c r="N2337" s="617">
        <f t="shared" si="75"/>
        <v>2</v>
      </c>
      <c r="O2337" s="617"/>
      <c r="P2337" s="123"/>
      <c r="R2337" s="123"/>
      <c r="S2337" s="123"/>
      <c r="U2337" s="123"/>
      <c r="V2337" s="123"/>
    </row>
    <row r="2338" spans="1:22" s="530" customFormat="1" ht="15" x14ac:dyDescent="0.25">
      <c r="A2338" s="123"/>
      <c r="B2338" s="529">
        <v>2333001</v>
      </c>
      <c r="C2338" s="529">
        <v>2334</v>
      </c>
      <c r="E2338" s="534">
        <v>0</v>
      </c>
      <c r="F2338" s="534">
        <v>0</v>
      </c>
      <c r="G2338" s="534">
        <v>2</v>
      </c>
      <c r="I2338" s="534">
        <v>0</v>
      </c>
      <c r="J2338" s="534">
        <v>0</v>
      </c>
      <c r="K2338" s="534">
        <v>0</v>
      </c>
      <c r="M2338" s="617">
        <f t="shared" si="74"/>
        <v>0</v>
      </c>
      <c r="N2338" s="617">
        <f t="shared" si="75"/>
        <v>2</v>
      </c>
      <c r="O2338" s="617"/>
      <c r="P2338" s="123"/>
      <c r="R2338" s="123"/>
      <c r="S2338" s="123"/>
      <c r="U2338" s="123"/>
      <c r="V2338" s="123"/>
    </row>
    <row r="2339" spans="1:22" s="530" customFormat="1" ht="15" x14ac:dyDescent="0.25">
      <c r="A2339" s="123"/>
      <c r="B2339" s="529">
        <v>2334001</v>
      </c>
      <c r="C2339" s="529">
        <v>2335</v>
      </c>
      <c r="E2339" s="534">
        <v>0</v>
      </c>
      <c r="F2339" s="534">
        <v>0</v>
      </c>
      <c r="G2339" s="534">
        <v>2</v>
      </c>
      <c r="I2339" s="534">
        <v>0</v>
      </c>
      <c r="J2339" s="534">
        <v>0</v>
      </c>
      <c r="K2339" s="534">
        <v>0</v>
      </c>
      <c r="M2339" s="617">
        <f t="shared" si="74"/>
        <v>0</v>
      </c>
      <c r="N2339" s="617">
        <f t="shared" si="75"/>
        <v>2</v>
      </c>
      <c r="O2339" s="617"/>
      <c r="P2339" s="123"/>
      <c r="R2339" s="123"/>
      <c r="S2339" s="123"/>
      <c r="U2339" s="123"/>
      <c r="V2339" s="123"/>
    </row>
    <row r="2340" spans="1:22" s="530" customFormat="1" ht="15" x14ac:dyDescent="0.25">
      <c r="A2340" s="123"/>
      <c r="B2340" s="529">
        <v>2335001</v>
      </c>
      <c r="C2340" s="529">
        <v>2336</v>
      </c>
      <c r="E2340" s="534">
        <v>0</v>
      </c>
      <c r="F2340" s="534">
        <v>0</v>
      </c>
      <c r="G2340" s="534">
        <v>2</v>
      </c>
      <c r="I2340" s="534">
        <v>0</v>
      </c>
      <c r="J2340" s="534">
        <v>0</v>
      </c>
      <c r="K2340" s="534">
        <v>0</v>
      </c>
      <c r="M2340" s="617">
        <f t="shared" si="74"/>
        <v>0</v>
      </c>
      <c r="N2340" s="617">
        <f t="shared" si="75"/>
        <v>2</v>
      </c>
      <c r="O2340" s="617"/>
      <c r="P2340" s="123"/>
      <c r="R2340" s="123"/>
      <c r="S2340" s="123"/>
      <c r="U2340" s="123"/>
      <c r="V2340" s="123"/>
    </row>
    <row r="2341" spans="1:22" s="530" customFormat="1" ht="15" x14ac:dyDescent="0.25">
      <c r="A2341" s="123"/>
      <c r="B2341" s="529">
        <v>2336001</v>
      </c>
      <c r="C2341" s="529">
        <v>2337</v>
      </c>
      <c r="E2341" s="534">
        <v>0</v>
      </c>
      <c r="F2341" s="534">
        <v>0</v>
      </c>
      <c r="G2341" s="534">
        <v>2</v>
      </c>
      <c r="I2341" s="534">
        <v>0</v>
      </c>
      <c r="J2341" s="534">
        <v>0</v>
      </c>
      <c r="K2341" s="534">
        <v>0</v>
      </c>
      <c r="M2341" s="617">
        <f t="shared" si="74"/>
        <v>0</v>
      </c>
      <c r="N2341" s="617">
        <f t="shared" si="75"/>
        <v>2</v>
      </c>
      <c r="O2341" s="617"/>
      <c r="P2341" s="123"/>
      <c r="R2341" s="123"/>
      <c r="S2341" s="123"/>
      <c r="U2341" s="123"/>
      <c r="V2341" s="123"/>
    </row>
    <row r="2342" spans="1:22" s="530" customFormat="1" ht="15" x14ac:dyDescent="0.25">
      <c r="A2342" s="123"/>
      <c r="B2342" s="529">
        <v>2337001</v>
      </c>
      <c r="C2342" s="529">
        <v>2338</v>
      </c>
      <c r="E2342" s="534">
        <v>0</v>
      </c>
      <c r="F2342" s="534">
        <v>0</v>
      </c>
      <c r="G2342" s="534">
        <v>2</v>
      </c>
      <c r="I2342" s="534">
        <v>0</v>
      </c>
      <c r="J2342" s="534">
        <v>0</v>
      </c>
      <c r="K2342" s="534">
        <v>0</v>
      </c>
      <c r="M2342" s="617">
        <f t="shared" si="74"/>
        <v>0</v>
      </c>
      <c r="N2342" s="617">
        <f t="shared" si="75"/>
        <v>2</v>
      </c>
      <c r="O2342" s="617"/>
      <c r="P2342" s="123"/>
      <c r="R2342" s="123"/>
      <c r="S2342" s="123"/>
      <c r="U2342" s="123"/>
      <c r="V2342" s="123"/>
    </row>
    <row r="2343" spans="1:22" s="530" customFormat="1" ht="15" x14ac:dyDescent="0.25">
      <c r="A2343" s="123"/>
      <c r="B2343" s="529">
        <v>2338001</v>
      </c>
      <c r="C2343" s="529">
        <v>2339</v>
      </c>
      <c r="E2343" s="534">
        <v>0</v>
      </c>
      <c r="F2343" s="534">
        <v>0</v>
      </c>
      <c r="G2343" s="534">
        <v>2</v>
      </c>
      <c r="I2343" s="534">
        <v>0</v>
      </c>
      <c r="J2343" s="534">
        <v>0</v>
      </c>
      <c r="K2343" s="534">
        <v>0</v>
      </c>
      <c r="M2343" s="617">
        <f t="shared" si="74"/>
        <v>0</v>
      </c>
      <c r="N2343" s="617">
        <f t="shared" si="75"/>
        <v>2</v>
      </c>
      <c r="O2343" s="617"/>
      <c r="P2343" s="123"/>
      <c r="R2343" s="123"/>
      <c r="S2343" s="123"/>
      <c r="U2343" s="123"/>
      <c r="V2343" s="123"/>
    </row>
    <row r="2344" spans="1:22" s="530" customFormat="1" ht="15" x14ac:dyDescent="0.25">
      <c r="A2344" s="123"/>
      <c r="B2344" s="529">
        <v>2339001</v>
      </c>
      <c r="C2344" s="529">
        <v>2340</v>
      </c>
      <c r="E2344" s="534">
        <v>0</v>
      </c>
      <c r="F2344" s="534">
        <v>0</v>
      </c>
      <c r="G2344" s="534">
        <v>2</v>
      </c>
      <c r="I2344" s="534">
        <v>0</v>
      </c>
      <c r="J2344" s="534">
        <v>0</v>
      </c>
      <c r="K2344" s="534">
        <v>0</v>
      </c>
      <c r="M2344" s="617">
        <f t="shared" si="74"/>
        <v>0</v>
      </c>
      <c r="N2344" s="617">
        <f t="shared" si="75"/>
        <v>2</v>
      </c>
      <c r="O2344" s="617"/>
      <c r="P2344" s="123"/>
      <c r="R2344" s="123"/>
      <c r="S2344" s="123"/>
      <c r="U2344" s="123"/>
      <c r="V2344" s="123"/>
    </row>
    <row r="2345" spans="1:22" s="530" customFormat="1" ht="15" x14ac:dyDescent="0.25">
      <c r="A2345" s="123"/>
      <c r="B2345" s="529">
        <v>2340001</v>
      </c>
      <c r="C2345" s="529">
        <v>2341</v>
      </c>
      <c r="E2345" s="534">
        <v>0</v>
      </c>
      <c r="F2345" s="534">
        <v>0</v>
      </c>
      <c r="G2345" s="534">
        <v>2</v>
      </c>
      <c r="I2345" s="534">
        <v>0</v>
      </c>
      <c r="J2345" s="534">
        <v>0</v>
      </c>
      <c r="K2345" s="534">
        <v>0</v>
      </c>
      <c r="M2345" s="617">
        <f t="shared" si="74"/>
        <v>0</v>
      </c>
      <c r="N2345" s="617">
        <f t="shared" si="75"/>
        <v>2</v>
      </c>
      <c r="O2345" s="617"/>
      <c r="P2345" s="123"/>
      <c r="R2345" s="123"/>
      <c r="S2345" s="123"/>
      <c r="U2345" s="123"/>
      <c r="V2345" s="123"/>
    </row>
    <row r="2346" spans="1:22" s="530" customFormat="1" ht="15" x14ac:dyDescent="0.25">
      <c r="A2346" s="123"/>
      <c r="B2346" s="529">
        <v>2341001</v>
      </c>
      <c r="C2346" s="529">
        <v>2342</v>
      </c>
      <c r="E2346" s="534">
        <v>0</v>
      </c>
      <c r="F2346" s="534">
        <v>0</v>
      </c>
      <c r="G2346" s="534">
        <v>2</v>
      </c>
      <c r="I2346" s="534">
        <v>0</v>
      </c>
      <c r="J2346" s="534">
        <v>0</v>
      </c>
      <c r="K2346" s="534">
        <v>0</v>
      </c>
      <c r="M2346" s="617">
        <f t="shared" si="74"/>
        <v>0</v>
      </c>
      <c r="N2346" s="617">
        <f t="shared" si="75"/>
        <v>2</v>
      </c>
      <c r="O2346" s="617"/>
      <c r="P2346" s="123"/>
      <c r="R2346" s="123"/>
      <c r="S2346" s="123"/>
      <c r="U2346" s="123"/>
      <c r="V2346" s="123"/>
    </row>
    <row r="2347" spans="1:22" s="530" customFormat="1" ht="15" x14ac:dyDescent="0.25">
      <c r="A2347" s="123"/>
      <c r="B2347" s="529">
        <v>2342001</v>
      </c>
      <c r="C2347" s="529">
        <v>2343</v>
      </c>
      <c r="E2347" s="534">
        <v>0</v>
      </c>
      <c r="F2347" s="534">
        <v>0</v>
      </c>
      <c r="G2347" s="534">
        <v>2</v>
      </c>
      <c r="I2347" s="534">
        <v>0</v>
      </c>
      <c r="J2347" s="534">
        <v>0</v>
      </c>
      <c r="K2347" s="534">
        <v>0</v>
      </c>
      <c r="M2347" s="617">
        <f t="shared" si="74"/>
        <v>0</v>
      </c>
      <c r="N2347" s="617">
        <f t="shared" si="75"/>
        <v>2</v>
      </c>
      <c r="O2347" s="617"/>
      <c r="P2347" s="123"/>
      <c r="R2347" s="123"/>
      <c r="S2347" s="123"/>
      <c r="U2347" s="123"/>
      <c r="V2347" s="123"/>
    </row>
    <row r="2348" spans="1:22" s="530" customFormat="1" ht="15" x14ac:dyDescent="0.25">
      <c r="A2348" s="123"/>
      <c r="B2348" s="529">
        <v>2343001</v>
      </c>
      <c r="C2348" s="529">
        <v>2344</v>
      </c>
      <c r="E2348" s="534">
        <v>0</v>
      </c>
      <c r="F2348" s="534">
        <v>0</v>
      </c>
      <c r="G2348" s="534">
        <v>2</v>
      </c>
      <c r="I2348" s="534">
        <v>0</v>
      </c>
      <c r="J2348" s="534">
        <v>0</v>
      </c>
      <c r="K2348" s="534">
        <v>0</v>
      </c>
      <c r="M2348" s="617">
        <f t="shared" si="74"/>
        <v>0</v>
      </c>
      <c r="N2348" s="617">
        <f t="shared" si="75"/>
        <v>2</v>
      </c>
      <c r="O2348" s="617"/>
      <c r="P2348" s="123"/>
      <c r="R2348" s="123"/>
      <c r="S2348" s="123"/>
      <c r="U2348" s="123"/>
      <c r="V2348" s="123"/>
    </row>
    <row r="2349" spans="1:22" s="530" customFormat="1" ht="15" x14ac:dyDescent="0.25">
      <c r="A2349" s="123"/>
      <c r="B2349" s="529">
        <v>2344001</v>
      </c>
      <c r="C2349" s="529">
        <v>2345</v>
      </c>
      <c r="E2349" s="534">
        <v>0</v>
      </c>
      <c r="F2349" s="534">
        <v>0</v>
      </c>
      <c r="G2349" s="534">
        <v>2</v>
      </c>
      <c r="I2349" s="534">
        <v>0</v>
      </c>
      <c r="J2349" s="534">
        <v>0</v>
      </c>
      <c r="K2349" s="534">
        <v>0</v>
      </c>
      <c r="M2349" s="617">
        <f t="shared" si="74"/>
        <v>0</v>
      </c>
      <c r="N2349" s="617">
        <f t="shared" si="75"/>
        <v>2</v>
      </c>
      <c r="O2349" s="617"/>
      <c r="P2349" s="123"/>
      <c r="R2349" s="123"/>
      <c r="S2349" s="123"/>
      <c r="U2349" s="123"/>
      <c r="V2349" s="123"/>
    </row>
    <row r="2350" spans="1:22" s="530" customFormat="1" ht="15" x14ac:dyDescent="0.25">
      <c r="A2350" s="123"/>
      <c r="B2350" s="529">
        <v>2345001</v>
      </c>
      <c r="C2350" s="529">
        <v>2346</v>
      </c>
      <c r="E2350" s="534">
        <v>0</v>
      </c>
      <c r="F2350" s="534">
        <v>0</v>
      </c>
      <c r="G2350" s="534">
        <v>2</v>
      </c>
      <c r="I2350" s="534">
        <v>0</v>
      </c>
      <c r="J2350" s="534">
        <v>0</v>
      </c>
      <c r="K2350" s="534">
        <v>0</v>
      </c>
      <c r="M2350" s="617">
        <f t="shared" si="74"/>
        <v>0</v>
      </c>
      <c r="N2350" s="617">
        <f t="shared" si="75"/>
        <v>2</v>
      </c>
      <c r="O2350" s="617"/>
      <c r="P2350" s="123"/>
      <c r="R2350" s="123"/>
      <c r="S2350" s="123"/>
      <c r="U2350" s="123"/>
      <c r="V2350" s="123"/>
    </row>
    <row r="2351" spans="1:22" s="530" customFormat="1" ht="15" x14ac:dyDescent="0.25">
      <c r="A2351" s="123"/>
      <c r="B2351" s="529">
        <v>2346001</v>
      </c>
      <c r="C2351" s="529">
        <v>2347</v>
      </c>
      <c r="E2351" s="534">
        <v>0</v>
      </c>
      <c r="F2351" s="534">
        <v>0</v>
      </c>
      <c r="G2351" s="534">
        <v>2</v>
      </c>
      <c r="I2351" s="534">
        <v>0</v>
      </c>
      <c r="J2351" s="534">
        <v>0</v>
      </c>
      <c r="K2351" s="534">
        <v>0</v>
      </c>
      <c r="M2351" s="617">
        <f t="shared" si="74"/>
        <v>0</v>
      </c>
      <c r="N2351" s="617">
        <f t="shared" si="75"/>
        <v>2</v>
      </c>
      <c r="O2351" s="617"/>
      <c r="P2351" s="123"/>
      <c r="R2351" s="123"/>
      <c r="S2351" s="123"/>
      <c r="U2351" s="123"/>
      <c r="V2351" s="123"/>
    </row>
    <row r="2352" spans="1:22" s="530" customFormat="1" ht="15" x14ac:dyDescent="0.25">
      <c r="A2352" s="123"/>
      <c r="B2352" s="529">
        <v>2347001</v>
      </c>
      <c r="C2352" s="529">
        <v>2348</v>
      </c>
      <c r="E2352" s="534">
        <v>0</v>
      </c>
      <c r="F2352" s="534">
        <v>0</v>
      </c>
      <c r="G2352" s="534">
        <v>2</v>
      </c>
      <c r="I2352" s="534">
        <v>0</v>
      </c>
      <c r="J2352" s="534">
        <v>0</v>
      </c>
      <c r="K2352" s="534">
        <v>0</v>
      </c>
      <c r="M2352" s="617">
        <f t="shared" si="74"/>
        <v>0</v>
      </c>
      <c r="N2352" s="617">
        <f t="shared" si="75"/>
        <v>2</v>
      </c>
      <c r="O2352" s="617"/>
      <c r="P2352" s="123"/>
      <c r="R2352" s="123"/>
      <c r="S2352" s="123"/>
      <c r="U2352" s="123"/>
      <c r="V2352" s="123"/>
    </row>
    <row r="2353" spans="1:22" s="530" customFormat="1" ht="15" x14ac:dyDescent="0.25">
      <c r="A2353" s="123"/>
      <c r="B2353" s="529">
        <v>2348001</v>
      </c>
      <c r="C2353" s="529">
        <v>2349</v>
      </c>
      <c r="E2353" s="534">
        <v>0</v>
      </c>
      <c r="F2353" s="534">
        <v>0</v>
      </c>
      <c r="G2353" s="534">
        <v>2</v>
      </c>
      <c r="I2353" s="534">
        <v>0</v>
      </c>
      <c r="J2353" s="534">
        <v>0</v>
      </c>
      <c r="K2353" s="534">
        <v>0</v>
      </c>
      <c r="M2353" s="617">
        <f t="shared" si="74"/>
        <v>0</v>
      </c>
      <c r="N2353" s="617">
        <f t="shared" si="75"/>
        <v>2</v>
      </c>
      <c r="O2353" s="617"/>
      <c r="P2353" s="123"/>
      <c r="R2353" s="123"/>
      <c r="S2353" s="123"/>
      <c r="U2353" s="123"/>
      <c r="V2353" s="123"/>
    </row>
    <row r="2354" spans="1:22" s="530" customFormat="1" ht="15" x14ac:dyDescent="0.25">
      <c r="A2354" s="123"/>
      <c r="B2354" s="529">
        <v>2349001</v>
      </c>
      <c r="C2354" s="529">
        <v>2350</v>
      </c>
      <c r="E2354" s="534">
        <v>0</v>
      </c>
      <c r="F2354" s="534">
        <v>0</v>
      </c>
      <c r="G2354" s="534">
        <v>2</v>
      </c>
      <c r="I2354" s="534">
        <v>0</v>
      </c>
      <c r="J2354" s="534">
        <v>0</v>
      </c>
      <c r="K2354" s="534">
        <v>0</v>
      </c>
      <c r="M2354" s="617">
        <f t="shared" si="74"/>
        <v>0</v>
      </c>
      <c r="N2354" s="617">
        <f t="shared" si="75"/>
        <v>2</v>
      </c>
      <c r="O2354" s="617"/>
      <c r="P2354" s="123"/>
      <c r="R2354" s="123"/>
      <c r="S2354" s="123"/>
      <c r="U2354" s="123"/>
      <c r="V2354" s="123"/>
    </row>
    <row r="2355" spans="1:22" s="530" customFormat="1" ht="15" x14ac:dyDescent="0.25">
      <c r="A2355" s="123"/>
      <c r="B2355" s="529">
        <v>2350001</v>
      </c>
      <c r="C2355" s="529">
        <v>2351</v>
      </c>
      <c r="E2355" s="534">
        <v>0</v>
      </c>
      <c r="F2355" s="534">
        <v>0</v>
      </c>
      <c r="G2355" s="534">
        <v>2</v>
      </c>
      <c r="I2355" s="534">
        <v>0</v>
      </c>
      <c r="J2355" s="534">
        <v>0</v>
      </c>
      <c r="K2355" s="534">
        <v>0</v>
      </c>
      <c r="M2355" s="617">
        <f t="shared" si="74"/>
        <v>0</v>
      </c>
      <c r="N2355" s="617">
        <f t="shared" si="75"/>
        <v>2</v>
      </c>
      <c r="O2355" s="617"/>
      <c r="P2355" s="123"/>
      <c r="R2355" s="123"/>
      <c r="S2355" s="123"/>
      <c r="U2355" s="123"/>
      <c r="V2355" s="123"/>
    </row>
    <row r="2356" spans="1:22" s="530" customFormat="1" ht="15" x14ac:dyDescent="0.25">
      <c r="A2356" s="123"/>
      <c r="B2356" s="529">
        <v>2351001</v>
      </c>
      <c r="C2356" s="529">
        <v>2352</v>
      </c>
      <c r="E2356" s="534">
        <v>0</v>
      </c>
      <c r="F2356" s="534">
        <v>0</v>
      </c>
      <c r="G2356" s="534">
        <v>2</v>
      </c>
      <c r="I2356" s="534">
        <v>0</v>
      </c>
      <c r="J2356" s="534">
        <v>0</v>
      </c>
      <c r="K2356" s="534">
        <v>0</v>
      </c>
      <c r="M2356" s="617">
        <f t="shared" si="74"/>
        <v>0</v>
      </c>
      <c r="N2356" s="617">
        <f t="shared" si="75"/>
        <v>2</v>
      </c>
      <c r="O2356" s="617"/>
      <c r="P2356" s="123"/>
      <c r="R2356" s="123"/>
      <c r="S2356" s="123"/>
      <c r="U2356" s="123"/>
      <c r="V2356" s="123"/>
    </row>
    <row r="2357" spans="1:22" s="530" customFormat="1" ht="15" x14ac:dyDescent="0.25">
      <c r="A2357" s="123"/>
      <c r="B2357" s="529">
        <v>2352001</v>
      </c>
      <c r="C2357" s="529">
        <v>2353</v>
      </c>
      <c r="E2357" s="534">
        <v>0</v>
      </c>
      <c r="F2357" s="534">
        <v>0</v>
      </c>
      <c r="G2357" s="534">
        <v>2</v>
      </c>
      <c r="I2357" s="534">
        <v>0</v>
      </c>
      <c r="J2357" s="534">
        <v>0</v>
      </c>
      <c r="K2357" s="534">
        <v>0</v>
      </c>
      <c r="M2357" s="617">
        <f t="shared" si="74"/>
        <v>0</v>
      </c>
      <c r="N2357" s="617">
        <f t="shared" si="75"/>
        <v>2</v>
      </c>
      <c r="O2357" s="617"/>
      <c r="P2357" s="123"/>
      <c r="R2357" s="123"/>
      <c r="S2357" s="123"/>
      <c r="U2357" s="123"/>
      <c r="V2357" s="123"/>
    </row>
    <row r="2358" spans="1:22" s="530" customFormat="1" ht="15" x14ac:dyDescent="0.25">
      <c r="A2358" s="123"/>
      <c r="B2358" s="529">
        <v>2353001</v>
      </c>
      <c r="C2358" s="529">
        <v>2354</v>
      </c>
      <c r="E2358" s="534">
        <v>0</v>
      </c>
      <c r="F2358" s="534">
        <v>0</v>
      </c>
      <c r="G2358" s="534">
        <v>2</v>
      </c>
      <c r="I2358" s="534">
        <v>0</v>
      </c>
      <c r="J2358" s="534">
        <v>0</v>
      </c>
      <c r="K2358" s="534">
        <v>0</v>
      </c>
      <c r="M2358" s="617">
        <f t="shared" si="74"/>
        <v>0</v>
      </c>
      <c r="N2358" s="617">
        <f t="shared" si="75"/>
        <v>2</v>
      </c>
      <c r="O2358" s="617"/>
      <c r="P2358" s="123"/>
      <c r="R2358" s="123"/>
      <c r="S2358" s="123"/>
      <c r="U2358" s="123"/>
      <c r="V2358" s="123"/>
    </row>
    <row r="2359" spans="1:22" s="530" customFormat="1" ht="15" x14ac:dyDescent="0.25">
      <c r="A2359" s="123"/>
      <c r="B2359" s="529">
        <v>2354001</v>
      </c>
      <c r="C2359" s="529">
        <v>2355</v>
      </c>
      <c r="E2359" s="534">
        <v>0</v>
      </c>
      <c r="F2359" s="534">
        <v>0</v>
      </c>
      <c r="G2359" s="534">
        <v>2</v>
      </c>
      <c r="I2359" s="534">
        <v>0</v>
      </c>
      <c r="J2359" s="534">
        <v>0</v>
      </c>
      <c r="K2359" s="534">
        <v>0</v>
      </c>
      <c r="M2359" s="617">
        <f t="shared" si="74"/>
        <v>0</v>
      </c>
      <c r="N2359" s="617">
        <f t="shared" si="75"/>
        <v>2</v>
      </c>
      <c r="O2359" s="617"/>
      <c r="P2359" s="123"/>
      <c r="R2359" s="123"/>
      <c r="S2359" s="123"/>
      <c r="U2359" s="123"/>
      <c r="V2359" s="123"/>
    </row>
    <row r="2360" spans="1:22" s="530" customFormat="1" ht="15" x14ac:dyDescent="0.25">
      <c r="A2360" s="123"/>
      <c r="B2360" s="529">
        <v>2355001</v>
      </c>
      <c r="C2360" s="529">
        <v>2356</v>
      </c>
      <c r="E2360" s="534">
        <v>0</v>
      </c>
      <c r="F2360" s="534">
        <v>0</v>
      </c>
      <c r="G2360" s="534">
        <v>2</v>
      </c>
      <c r="I2360" s="534">
        <v>0</v>
      </c>
      <c r="J2360" s="534">
        <v>0</v>
      </c>
      <c r="K2360" s="534">
        <v>0</v>
      </c>
      <c r="M2360" s="617">
        <f t="shared" si="74"/>
        <v>0</v>
      </c>
      <c r="N2360" s="617">
        <f t="shared" si="75"/>
        <v>2</v>
      </c>
      <c r="O2360" s="617"/>
      <c r="P2360" s="123"/>
      <c r="R2360" s="123"/>
      <c r="S2360" s="123"/>
      <c r="U2360" s="123"/>
      <c r="V2360" s="123"/>
    </row>
    <row r="2361" spans="1:22" s="530" customFormat="1" ht="15" x14ac:dyDescent="0.25">
      <c r="A2361" s="123"/>
      <c r="B2361" s="529">
        <v>2356001</v>
      </c>
      <c r="C2361" s="529">
        <v>2357</v>
      </c>
      <c r="E2361" s="534">
        <v>0</v>
      </c>
      <c r="F2361" s="534">
        <v>0</v>
      </c>
      <c r="G2361" s="534">
        <v>2</v>
      </c>
      <c r="I2361" s="534">
        <v>0</v>
      </c>
      <c r="J2361" s="534">
        <v>0</v>
      </c>
      <c r="K2361" s="534">
        <v>0</v>
      </c>
      <c r="M2361" s="617">
        <f t="shared" si="74"/>
        <v>0</v>
      </c>
      <c r="N2361" s="617">
        <f t="shared" si="75"/>
        <v>2</v>
      </c>
      <c r="O2361" s="617"/>
      <c r="P2361" s="123"/>
      <c r="R2361" s="123"/>
      <c r="S2361" s="123"/>
      <c r="U2361" s="123"/>
      <c r="V2361" s="123"/>
    </row>
    <row r="2362" spans="1:22" s="530" customFormat="1" ht="15" x14ac:dyDescent="0.25">
      <c r="A2362" s="123"/>
      <c r="B2362" s="529">
        <v>2357001</v>
      </c>
      <c r="C2362" s="529">
        <v>2358</v>
      </c>
      <c r="E2362" s="534">
        <v>0</v>
      </c>
      <c r="F2362" s="534">
        <v>0</v>
      </c>
      <c r="G2362" s="534">
        <v>2</v>
      </c>
      <c r="I2362" s="534">
        <v>0</v>
      </c>
      <c r="J2362" s="534">
        <v>0</v>
      </c>
      <c r="K2362" s="534">
        <v>0</v>
      </c>
      <c r="M2362" s="617">
        <f t="shared" si="74"/>
        <v>0</v>
      </c>
      <c r="N2362" s="617">
        <f t="shared" si="75"/>
        <v>2</v>
      </c>
      <c r="O2362" s="617"/>
      <c r="P2362" s="123"/>
      <c r="R2362" s="123"/>
      <c r="S2362" s="123"/>
      <c r="U2362" s="123"/>
      <c r="V2362" s="123"/>
    </row>
    <row r="2363" spans="1:22" s="530" customFormat="1" ht="15" x14ac:dyDescent="0.25">
      <c r="A2363" s="123"/>
      <c r="B2363" s="529">
        <v>2358001</v>
      </c>
      <c r="C2363" s="529">
        <v>2359</v>
      </c>
      <c r="E2363" s="534">
        <v>0</v>
      </c>
      <c r="F2363" s="534">
        <v>0</v>
      </c>
      <c r="G2363" s="534">
        <v>2</v>
      </c>
      <c r="I2363" s="534">
        <v>0</v>
      </c>
      <c r="J2363" s="534">
        <v>0</v>
      </c>
      <c r="K2363" s="534">
        <v>0</v>
      </c>
      <c r="M2363" s="617">
        <f t="shared" si="74"/>
        <v>0</v>
      </c>
      <c r="N2363" s="617">
        <f t="shared" si="75"/>
        <v>2</v>
      </c>
      <c r="O2363" s="617"/>
      <c r="P2363" s="123"/>
      <c r="R2363" s="123"/>
      <c r="S2363" s="123"/>
      <c r="U2363" s="123"/>
      <c r="V2363" s="123"/>
    </row>
    <row r="2364" spans="1:22" s="530" customFormat="1" ht="15" x14ac:dyDescent="0.25">
      <c r="A2364" s="123"/>
      <c r="B2364" s="529">
        <v>2359001</v>
      </c>
      <c r="C2364" s="529">
        <v>2360</v>
      </c>
      <c r="E2364" s="534">
        <v>0</v>
      </c>
      <c r="F2364" s="534">
        <v>0</v>
      </c>
      <c r="G2364" s="534">
        <v>2</v>
      </c>
      <c r="I2364" s="534">
        <v>0</v>
      </c>
      <c r="J2364" s="534">
        <v>0</v>
      </c>
      <c r="K2364" s="534">
        <v>0</v>
      </c>
      <c r="M2364" s="617">
        <f t="shared" si="74"/>
        <v>0</v>
      </c>
      <c r="N2364" s="617">
        <f t="shared" si="75"/>
        <v>2</v>
      </c>
      <c r="O2364" s="617"/>
      <c r="P2364" s="123"/>
      <c r="R2364" s="123"/>
      <c r="S2364" s="123"/>
      <c r="U2364" s="123"/>
      <c r="V2364" s="123"/>
    </row>
    <row r="2365" spans="1:22" s="530" customFormat="1" ht="15" x14ac:dyDescent="0.25">
      <c r="A2365" s="123"/>
      <c r="B2365" s="529">
        <v>2360001</v>
      </c>
      <c r="C2365" s="529">
        <v>2361</v>
      </c>
      <c r="E2365" s="534">
        <v>0</v>
      </c>
      <c r="F2365" s="534">
        <v>0</v>
      </c>
      <c r="G2365" s="534">
        <v>2</v>
      </c>
      <c r="I2365" s="534">
        <v>0</v>
      </c>
      <c r="J2365" s="534">
        <v>0</v>
      </c>
      <c r="K2365" s="534">
        <v>0</v>
      </c>
      <c r="M2365" s="617">
        <f t="shared" si="74"/>
        <v>0</v>
      </c>
      <c r="N2365" s="617">
        <f t="shared" si="75"/>
        <v>2</v>
      </c>
      <c r="O2365" s="617"/>
      <c r="P2365" s="123"/>
      <c r="R2365" s="123"/>
      <c r="S2365" s="123"/>
      <c r="U2365" s="123"/>
      <c r="V2365" s="123"/>
    </row>
    <row r="2366" spans="1:22" s="530" customFormat="1" ht="15" x14ac:dyDescent="0.25">
      <c r="A2366" s="123"/>
      <c r="B2366" s="529">
        <v>2361001</v>
      </c>
      <c r="C2366" s="529">
        <v>2362</v>
      </c>
      <c r="E2366" s="534">
        <v>0</v>
      </c>
      <c r="F2366" s="534">
        <v>0</v>
      </c>
      <c r="G2366" s="534">
        <v>2</v>
      </c>
      <c r="I2366" s="534">
        <v>0</v>
      </c>
      <c r="J2366" s="534">
        <v>0</v>
      </c>
      <c r="K2366" s="534">
        <v>0</v>
      </c>
      <c r="M2366" s="617">
        <f t="shared" si="74"/>
        <v>0</v>
      </c>
      <c r="N2366" s="617">
        <f t="shared" si="75"/>
        <v>2</v>
      </c>
      <c r="O2366" s="617"/>
      <c r="P2366" s="123"/>
      <c r="R2366" s="123"/>
      <c r="S2366" s="123"/>
      <c r="U2366" s="123"/>
      <c r="V2366" s="123"/>
    </row>
    <row r="2367" spans="1:22" s="530" customFormat="1" ht="15" x14ac:dyDescent="0.25">
      <c r="A2367" s="123"/>
      <c r="B2367" s="529">
        <v>2362001</v>
      </c>
      <c r="C2367" s="529">
        <v>2363</v>
      </c>
      <c r="E2367" s="534">
        <v>0</v>
      </c>
      <c r="F2367" s="534">
        <v>0</v>
      </c>
      <c r="G2367" s="534">
        <v>2</v>
      </c>
      <c r="I2367" s="534">
        <v>0</v>
      </c>
      <c r="J2367" s="534">
        <v>0</v>
      </c>
      <c r="K2367" s="534">
        <v>0</v>
      </c>
      <c r="M2367" s="617">
        <f t="shared" si="74"/>
        <v>0</v>
      </c>
      <c r="N2367" s="617">
        <f t="shared" si="75"/>
        <v>2</v>
      </c>
      <c r="O2367" s="617"/>
      <c r="P2367" s="123"/>
      <c r="R2367" s="123"/>
      <c r="S2367" s="123"/>
      <c r="U2367" s="123"/>
      <c r="V2367" s="123"/>
    </row>
    <row r="2368" spans="1:22" s="530" customFormat="1" ht="15" x14ac:dyDescent="0.25">
      <c r="A2368" s="123"/>
      <c r="B2368" s="529">
        <v>2363001</v>
      </c>
      <c r="C2368" s="529">
        <v>2364</v>
      </c>
      <c r="E2368" s="534">
        <v>0</v>
      </c>
      <c r="F2368" s="534">
        <v>0</v>
      </c>
      <c r="G2368" s="534">
        <v>2</v>
      </c>
      <c r="I2368" s="534">
        <v>0</v>
      </c>
      <c r="J2368" s="534">
        <v>0</v>
      </c>
      <c r="K2368" s="534">
        <v>0</v>
      </c>
      <c r="M2368" s="617">
        <f t="shared" si="74"/>
        <v>0</v>
      </c>
      <c r="N2368" s="617">
        <f t="shared" si="75"/>
        <v>2</v>
      </c>
      <c r="O2368" s="617"/>
      <c r="P2368" s="123"/>
      <c r="R2368" s="123"/>
      <c r="S2368" s="123"/>
      <c r="U2368" s="123"/>
      <c r="V2368" s="123"/>
    </row>
    <row r="2369" spans="1:22" s="530" customFormat="1" ht="15" x14ac:dyDescent="0.25">
      <c r="A2369" s="123"/>
      <c r="B2369" s="529">
        <v>2364001</v>
      </c>
      <c r="C2369" s="529">
        <v>2365</v>
      </c>
      <c r="E2369" s="534">
        <v>0</v>
      </c>
      <c r="F2369" s="534">
        <v>0</v>
      </c>
      <c r="G2369" s="534">
        <v>2</v>
      </c>
      <c r="I2369" s="534">
        <v>0</v>
      </c>
      <c r="J2369" s="534">
        <v>0</v>
      </c>
      <c r="K2369" s="534">
        <v>0</v>
      </c>
      <c r="M2369" s="617">
        <f t="shared" si="74"/>
        <v>0</v>
      </c>
      <c r="N2369" s="617">
        <f t="shared" si="75"/>
        <v>2</v>
      </c>
      <c r="O2369" s="617"/>
      <c r="P2369" s="123"/>
      <c r="R2369" s="123"/>
      <c r="S2369" s="123"/>
      <c r="U2369" s="123"/>
      <c r="V2369" s="123"/>
    </row>
    <row r="2370" spans="1:22" s="530" customFormat="1" ht="15" x14ac:dyDescent="0.25">
      <c r="A2370" s="123"/>
      <c r="B2370" s="529">
        <v>2365001</v>
      </c>
      <c r="C2370" s="529">
        <v>2366</v>
      </c>
      <c r="E2370" s="534">
        <v>0</v>
      </c>
      <c r="F2370" s="534">
        <v>0</v>
      </c>
      <c r="G2370" s="534">
        <v>2</v>
      </c>
      <c r="I2370" s="534">
        <v>0</v>
      </c>
      <c r="J2370" s="534">
        <v>0</v>
      </c>
      <c r="K2370" s="534">
        <v>0</v>
      </c>
      <c r="M2370" s="617">
        <f t="shared" si="74"/>
        <v>0</v>
      </c>
      <c r="N2370" s="617">
        <f t="shared" si="75"/>
        <v>2</v>
      </c>
      <c r="O2370" s="617"/>
      <c r="P2370" s="123"/>
      <c r="R2370" s="123"/>
      <c r="S2370" s="123"/>
      <c r="U2370" s="123"/>
      <c r="V2370" s="123"/>
    </row>
    <row r="2371" spans="1:22" s="530" customFormat="1" ht="15" x14ac:dyDescent="0.25">
      <c r="A2371" s="123"/>
      <c r="B2371" s="529">
        <v>2366001</v>
      </c>
      <c r="C2371" s="529">
        <v>2367</v>
      </c>
      <c r="E2371" s="534">
        <v>0</v>
      </c>
      <c r="F2371" s="534">
        <v>0</v>
      </c>
      <c r="G2371" s="534">
        <v>2</v>
      </c>
      <c r="I2371" s="534">
        <v>0</v>
      </c>
      <c r="J2371" s="534">
        <v>0</v>
      </c>
      <c r="K2371" s="534">
        <v>0</v>
      </c>
      <c r="M2371" s="617">
        <f t="shared" si="74"/>
        <v>0</v>
      </c>
      <c r="N2371" s="617">
        <f t="shared" si="75"/>
        <v>2</v>
      </c>
      <c r="O2371" s="617"/>
      <c r="P2371" s="123"/>
      <c r="R2371" s="123"/>
      <c r="S2371" s="123"/>
      <c r="U2371" s="123"/>
      <c r="V2371" s="123"/>
    </row>
    <row r="2372" spans="1:22" s="530" customFormat="1" ht="15" x14ac:dyDescent="0.25">
      <c r="A2372" s="123"/>
      <c r="B2372" s="529">
        <v>2367001</v>
      </c>
      <c r="C2372" s="529">
        <v>2368</v>
      </c>
      <c r="E2372" s="534">
        <v>0</v>
      </c>
      <c r="F2372" s="534">
        <v>0</v>
      </c>
      <c r="G2372" s="534">
        <v>2</v>
      </c>
      <c r="I2372" s="534">
        <v>0</v>
      </c>
      <c r="J2372" s="534">
        <v>0</v>
      </c>
      <c r="K2372" s="534">
        <v>0</v>
      </c>
      <c r="M2372" s="617">
        <f t="shared" si="74"/>
        <v>0</v>
      </c>
      <c r="N2372" s="617">
        <f t="shared" si="75"/>
        <v>2</v>
      </c>
      <c r="O2372" s="617"/>
      <c r="P2372" s="123"/>
      <c r="R2372" s="123"/>
      <c r="S2372" s="123"/>
      <c r="U2372" s="123"/>
      <c r="V2372" s="123"/>
    </row>
    <row r="2373" spans="1:22" s="530" customFormat="1" ht="15" x14ac:dyDescent="0.25">
      <c r="A2373" s="123"/>
      <c r="B2373" s="529">
        <v>2368001</v>
      </c>
      <c r="C2373" s="529">
        <v>2369</v>
      </c>
      <c r="E2373" s="534">
        <v>0</v>
      </c>
      <c r="F2373" s="534">
        <v>0</v>
      </c>
      <c r="G2373" s="534">
        <v>2</v>
      </c>
      <c r="I2373" s="534">
        <v>0</v>
      </c>
      <c r="J2373" s="534">
        <v>0</v>
      </c>
      <c r="K2373" s="534">
        <v>0</v>
      </c>
      <c r="M2373" s="617">
        <f t="shared" ref="M2373:M2436" si="76">I2373+E2373</f>
        <v>0</v>
      </c>
      <c r="N2373" s="617">
        <f t="shared" ref="N2373:N2436" si="77">K2373+G2373</f>
        <v>2</v>
      </c>
      <c r="O2373" s="617"/>
      <c r="P2373" s="123"/>
      <c r="R2373" s="123"/>
      <c r="S2373" s="123"/>
      <c r="U2373" s="123"/>
      <c r="V2373" s="123"/>
    </row>
    <row r="2374" spans="1:22" s="530" customFormat="1" ht="15" x14ac:dyDescent="0.25">
      <c r="A2374" s="123"/>
      <c r="B2374" s="529">
        <v>2369001</v>
      </c>
      <c r="C2374" s="529">
        <v>2370</v>
      </c>
      <c r="E2374" s="534">
        <v>0</v>
      </c>
      <c r="F2374" s="534">
        <v>0</v>
      </c>
      <c r="G2374" s="534">
        <v>2</v>
      </c>
      <c r="I2374" s="534">
        <v>0</v>
      </c>
      <c r="J2374" s="534">
        <v>0</v>
      </c>
      <c r="K2374" s="534">
        <v>0</v>
      </c>
      <c r="M2374" s="617">
        <f t="shared" si="76"/>
        <v>0</v>
      </c>
      <c r="N2374" s="617">
        <f t="shared" si="77"/>
        <v>2</v>
      </c>
      <c r="O2374" s="617"/>
      <c r="P2374" s="123"/>
      <c r="R2374" s="123"/>
      <c r="S2374" s="123"/>
      <c r="U2374" s="123"/>
      <c r="V2374" s="123"/>
    </row>
    <row r="2375" spans="1:22" s="530" customFormat="1" ht="15" x14ac:dyDescent="0.25">
      <c r="A2375" s="123"/>
      <c r="B2375" s="529">
        <v>2370001</v>
      </c>
      <c r="C2375" s="529">
        <v>2371</v>
      </c>
      <c r="E2375" s="534">
        <v>0</v>
      </c>
      <c r="F2375" s="534">
        <v>0</v>
      </c>
      <c r="G2375" s="534">
        <v>2</v>
      </c>
      <c r="I2375" s="534">
        <v>0</v>
      </c>
      <c r="J2375" s="534">
        <v>0</v>
      </c>
      <c r="K2375" s="534">
        <v>0</v>
      </c>
      <c r="M2375" s="617">
        <f t="shared" si="76"/>
        <v>0</v>
      </c>
      <c r="N2375" s="617">
        <f t="shared" si="77"/>
        <v>2</v>
      </c>
      <c r="O2375" s="617"/>
      <c r="P2375" s="123"/>
      <c r="R2375" s="123"/>
      <c r="S2375" s="123"/>
      <c r="U2375" s="123"/>
      <c r="V2375" s="123"/>
    </row>
    <row r="2376" spans="1:22" s="530" customFormat="1" ht="15" x14ac:dyDescent="0.25">
      <c r="A2376" s="123"/>
      <c r="B2376" s="529">
        <v>2371001</v>
      </c>
      <c r="C2376" s="529">
        <v>2372</v>
      </c>
      <c r="E2376" s="534">
        <v>0</v>
      </c>
      <c r="F2376" s="534">
        <v>0</v>
      </c>
      <c r="G2376" s="534">
        <v>2</v>
      </c>
      <c r="I2376" s="534">
        <v>0</v>
      </c>
      <c r="J2376" s="534">
        <v>0</v>
      </c>
      <c r="K2376" s="534">
        <v>0</v>
      </c>
      <c r="M2376" s="617">
        <f t="shared" si="76"/>
        <v>0</v>
      </c>
      <c r="N2376" s="617">
        <f t="shared" si="77"/>
        <v>2</v>
      </c>
      <c r="O2376" s="617"/>
      <c r="P2376" s="123"/>
      <c r="R2376" s="123"/>
      <c r="S2376" s="123"/>
      <c r="U2376" s="123"/>
      <c r="V2376" s="123"/>
    </row>
    <row r="2377" spans="1:22" s="530" customFormat="1" ht="15" x14ac:dyDescent="0.25">
      <c r="A2377" s="123"/>
      <c r="B2377" s="529">
        <v>2372001</v>
      </c>
      <c r="C2377" s="529">
        <v>2373</v>
      </c>
      <c r="E2377" s="534">
        <v>0</v>
      </c>
      <c r="F2377" s="534">
        <v>0</v>
      </c>
      <c r="G2377" s="534">
        <v>2</v>
      </c>
      <c r="I2377" s="534">
        <v>0</v>
      </c>
      <c r="J2377" s="534">
        <v>0</v>
      </c>
      <c r="K2377" s="534">
        <v>0</v>
      </c>
      <c r="M2377" s="617">
        <f t="shared" si="76"/>
        <v>0</v>
      </c>
      <c r="N2377" s="617">
        <f t="shared" si="77"/>
        <v>2</v>
      </c>
      <c r="O2377" s="617"/>
      <c r="P2377" s="123"/>
      <c r="R2377" s="123"/>
      <c r="S2377" s="123"/>
      <c r="U2377" s="123"/>
      <c r="V2377" s="123"/>
    </row>
    <row r="2378" spans="1:22" s="530" customFormat="1" ht="15" x14ac:dyDescent="0.25">
      <c r="A2378" s="123"/>
      <c r="B2378" s="529">
        <v>2373001</v>
      </c>
      <c r="C2378" s="529">
        <v>2374</v>
      </c>
      <c r="E2378" s="534">
        <v>0</v>
      </c>
      <c r="F2378" s="534">
        <v>0</v>
      </c>
      <c r="G2378" s="534">
        <v>2</v>
      </c>
      <c r="I2378" s="534">
        <v>0</v>
      </c>
      <c r="J2378" s="534">
        <v>0</v>
      </c>
      <c r="K2378" s="534">
        <v>0</v>
      </c>
      <c r="M2378" s="617">
        <f t="shared" si="76"/>
        <v>0</v>
      </c>
      <c r="N2378" s="617">
        <f t="shared" si="77"/>
        <v>2</v>
      </c>
      <c r="O2378" s="617"/>
      <c r="P2378" s="123"/>
      <c r="R2378" s="123"/>
      <c r="S2378" s="123"/>
      <c r="U2378" s="123"/>
      <c r="V2378" s="123"/>
    </row>
    <row r="2379" spans="1:22" s="530" customFormat="1" ht="15" x14ac:dyDescent="0.25">
      <c r="A2379" s="123"/>
      <c r="B2379" s="529">
        <v>2374001</v>
      </c>
      <c r="C2379" s="529">
        <v>2375</v>
      </c>
      <c r="E2379" s="534">
        <v>0</v>
      </c>
      <c r="F2379" s="534">
        <v>0</v>
      </c>
      <c r="G2379" s="534">
        <v>2</v>
      </c>
      <c r="I2379" s="534">
        <v>0</v>
      </c>
      <c r="J2379" s="534">
        <v>0</v>
      </c>
      <c r="K2379" s="534">
        <v>0</v>
      </c>
      <c r="M2379" s="617">
        <f t="shared" si="76"/>
        <v>0</v>
      </c>
      <c r="N2379" s="617">
        <f t="shared" si="77"/>
        <v>2</v>
      </c>
      <c r="O2379" s="617"/>
      <c r="P2379" s="123"/>
      <c r="R2379" s="123"/>
      <c r="S2379" s="123"/>
      <c r="U2379" s="123"/>
      <c r="V2379" s="123"/>
    </row>
    <row r="2380" spans="1:22" s="530" customFormat="1" ht="15" x14ac:dyDescent="0.25">
      <c r="A2380" s="123"/>
      <c r="B2380" s="529">
        <v>2375001</v>
      </c>
      <c r="C2380" s="529">
        <v>2376</v>
      </c>
      <c r="E2380" s="534">
        <v>0</v>
      </c>
      <c r="F2380" s="534">
        <v>0</v>
      </c>
      <c r="G2380" s="534">
        <v>2</v>
      </c>
      <c r="I2380" s="534">
        <v>0</v>
      </c>
      <c r="J2380" s="534">
        <v>0</v>
      </c>
      <c r="K2380" s="534">
        <v>0</v>
      </c>
      <c r="M2380" s="617">
        <f t="shared" si="76"/>
        <v>0</v>
      </c>
      <c r="N2380" s="617">
        <f t="shared" si="77"/>
        <v>2</v>
      </c>
      <c r="O2380" s="617"/>
      <c r="P2380" s="123"/>
      <c r="R2380" s="123"/>
      <c r="S2380" s="123"/>
      <c r="U2380" s="123"/>
      <c r="V2380" s="123"/>
    </row>
    <row r="2381" spans="1:22" s="530" customFormat="1" ht="15" x14ac:dyDescent="0.25">
      <c r="A2381" s="123"/>
      <c r="B2381" s="529">
        <v>2376001</v>
      </c>
      <c r="C2381" s="529">
        <v>2377</v>
      </c>
      <c r="E2381" s="534">
        <v>0</v>
      </c>
      <c r="F2381" s="534">
        <v>0</v>
      </c>
      <c r="G2381" s="534">
        <v>2</v>
      </c>
      <c r="I2381" s="534">
        <v>0</v>
      </c>
      <c r="J2381" s="534">
        <v>0</v>
      </c>
      <c r="K2381" s="534">
        <v>0</v>
      </c>
      <c r="M2381" s="617">
        <f t="shared" si="76"/>
        <v>0</v>
      </c>
      <c r="N2381" s="617">
        <f t="shared" si="77"/>
        <v>2</v>
      </c>
      <c r="O2381" s="617"/>
      <c r="P2381" s="123"/>
      <c r="R2381" s="123"/>
      <c r="S2381" s="123"/>
      <c r="U2381" s="123"/>
      <c r="V2381" s="123"/>
    </row>
    <row r="2382" spans="1:22" s="530" customFormat="1" ht="15" x14ac:dyDescent="0.25">
      <c r="A2382" s="123"/>
      <c r="B2382" s="529">
        <v>2377001</v>
      </c>
      <c r="C2382" s="529">
        <v>2378</v>
      </c>
      <c r="E2382" s="534">
        <v>0</v>
      </c>
      <c r="F2382" s="534">
        <v>0</v>
      </c>
      <c r="G2382" s="534">
        <v>2</v>
      </c>
      <c r="I2382" s="534">
        <v>0</v>
      </c>
      <c r="J2382" s="534">
        <v>0</v>
      </c>
      <c r="K2382" s="534">
        <v>0</v>
      </c>
      <c r="M2382" s="617">
        <f t="shared" si="76"/>
        <v>0</v>
      </c>
      <c r="N2382" s="617">
        <f t="shared" si="77"/>
        <v>2</v>
      </c>
      <c r="O2382" s="617"/>
      <c r="P2382" s="123"/>
      <c r="R2382" s="123"/>
      <c r="S2382" s="123"/>
      <c r="U2382" s="123"/>
      <c r="V2382" s="123"/>
    </row>
    <row r="2383" spans="1:22" s="530" customFormat="1" ht="15" x14ac:dyDescent="0.25">
      <c r="A2383" s="123"/>
      <c r="B2383" s="529">
        <v>2378001</v>
      </c>
      <c r="C2383" s="529">
        <v>2379</v>
      </c>
      <c r="E2383" s="534">
        <v>0</v>
      </c>
      <c r="F2383" s="534">
        <v>0</v>
      </c>
      <c r="G2383" s="534">
        <v>2</v>
      </c>
      <c r="I2383" s="534">
        <v>0</v>
      </c>
      <c r="J2383" s="534">
        <v>0</v>
      </c>
      <c r="K2383" s="534">
        <v>0</v>
      </c>
      <c r="M2383" s="617">
        <f t="shared" si="76"/>
        <v>0</v>
      </c>
      <c r="N2383" s="617">
        <f t="shared" si="77"/>
        <v>2</v>
      </c>
      <c r="O2383" s="617"/>
      <c r="P2383" s="123"/>
      <c r="R2383" s="123"/>
      <c r="S2383" s="123"/>
      <c r="U2383" s="123"/>
      <c r="V2383" s="123"/>
    </row>
    <row r="2384" spans="1:22" s="530" customFormat="1" ht="15" x14ac:dyDescent="0.25">
      <c r="A2384" s="123"/>
      <c r="B2384" s="529">
        <v>2379001</v>
      </c>
      <c r="C2384" s="529">
        <v>2380</v>
      </c>
      <c r="E2384" s="534">
        <v>0</v>
      </c>
      <c r="F2384" s="534">
        <v>0</v>
      </c>
      <c r="G2384" s="534">
        <v>2</v>
      </c>
      <c r="I2384" s="534">
        <v>0</v>
      </c>
      <c r="J2384" s="534">
        <v>0</v>
      </c>
      <c r="K2384" s="534">
        <v>0</v>
      </c>
      <c r="M2384" s="617">
        <f t="shared" si="76"/>
        <v>0</v>
      </c>
      <c r="N2384" s="617">
        <f t="shared" si="77"/>
        <v>2</v>
      </c>
      <c r="O2384" s="617"/>
      <c r="P2384" s="123"/>
      <c r="R2384" s="123"/>
      <c r="S2384" s="123"/>
      <c r="U2384" s="123"/>
      <c r="V2384" s="123"/>
    </row>
    <row r="2385" spans="1:22" s="530" customFormat="1" ht="15" x14ac:dyDescent="0.25">
      <c r="A2385" s="123"/>
      <c r="B2385" s="529">
        <v>2380001</v>
      </c>
      <c r="C2385" s="529">
        <v>2381</v>
      </c>
      <c r="E2385" s="534">
        <v>0</v>
      </c>
      <c r="F2385" s="534">
        <v>0</v>
      </c>
      <c r="G2385" s="534">
        <v>2</v>
      </c>
      <c r="I2385" s="534">
        <v>0</v>
      </c>
      <c r="J2385" s="534">
        <v>0</v>
      </c>
      <c r="K2385" s="534">
        <v>0</v>
      </c>
      <c r="M2385" s="617">
        <f t="shared" si="76"/>
        <v>0</v>
      </c>
      <c r="N2385" s="617">
        <f t="shared" si="77"/>
        <v>2</v>
      </c>
      <c r="O2385" s="617"/>
      <c r="P2385" s="123"/>
      <c r="R2385" s="123"/>
      <c r="S2385" s="123"/>
      <c r="U2385" s="123"/>
      <c r="V2385" s="123"/>
    </row>
    <row r="2386" spans="1:22" s="530" customFormat="1" ht="15" x14ac:dyDescent="0.25">
      <c r="A2386" s="123"/>
      <c r="B2386" s="529">
        <v>2381001</v>
      </c>
      <c r="C2386" s="529">
        <v>2382</v>
      </c>
      <c r="E2386" s="534">
        <v>0</v>
      </c>
      <c r="F2386" s="534">
        <v>0</v>
      </c>
      <c r="G2386" s="534">
        <v>2</v>
      </c>
      <c r="I2386" s="534">
        <v>0</v>
      </c>
      <c r="J2386" s="534">
        <v>0</v>
      </c>
      <c r="K2386" s="534">
        <v>0</v>
      </c>
      <c r="M2386" s="617">
        <f t="shared" si="76"/>
        <v>0</v>
      </c>
      <c r="N2386" s="617">
        <f t="shared" si="77"/>
        <v>2</v>
      </c>
      <c r="O2386" s="617"/>
      <c r="P2386" s="123"/>
      <c r="R2386" s="123"/>
      <c r="S2386" s="123"/>
      <c r="U2386" s="123"/>
      <c r="V2386" s="123"/>
    </row>
    <row r="2387" spans="1:22" s="530" customFormat="1" ht="15" x14ac:dyDescent="0.25">
      <c r="A2387" s="123"/>
      <c r="B2387" s="529">
        <v>2382001</v>
      </c>
      <c r="C2387" s="529">
        <v>2383</v>
      </c>
      <c r="E2387" s="534">
        <v>0</v>
      </c>
      <c r="F2387" s="534">
        <v>0</v>
      </c>
      <c r="G2387" s="534">
        <v>2</v>
      </c>
      <c r="I2387" s="534">
        <v>0</v>
      </c>
      <c r="J2387" s="534">
        <v>0</v>
      </c>
      <c r="K2387" s="534">
        <v>0</v>
      </c>
      <c r="M2387" s="617">
        <f t="shared" si="76"/>
        <v>0</v>
      </c>
      <c r="N2387" s="617">
        <f t="shared" si="77"/>
        <v>2</v>
      </c>
      <c r="O2387" s="617"/>
      <c r="P2387" s="123"/>
      <c r="R2387" s="123"/>
      <c r="S2387" s="123"/>
      <c r="U2387" s="123"/>
      <c r="V2387" s="123"/>
    </row>
    <row r="2388" spans="1:22" s="530" customFormat="1" ht="15" x14ac:dyDescent="0.25">
      <c r="A2388" s="123"/>
      <c r="B2388" s="529">
        <v>2383001</v>
      </c>
      <c r="C2388" s="529">
        <v>2384</v>
      </c>
      <c r="E2388" s="534">
        <v>0</v>
      </c>
      <c r="F2388" s="534">
        <v>0</v>
      </c>
      <c r="G2388" s="534">
        <v>2</v>
      </c>
      <c r="I2388" s="534">
        <v>0</v>
      </c>
      <c r="J2388" s="534">
        <v>0</v>
      </c>
      <c r="K2388" s="534">
        <v>0</v>
      </c>
      <c r="M2388" s="617">
        <f t="shared" si="76"/>
        <v>0</v>
      </c>
      <c r="N2388" s="617">
        <f t="shared" si="77"/>
        <v>2</v>
      </c>
      <c r="O2388" s="617"/>
      <c r="P2388" s="123"/>
      <c r="R2388" s="123"/>
      <c r="S2388" s="123"/>
      <c r="U2388" s="123"/>
      <c r="V2388" s="123"/>
    </row>
    <row r="2389" spans="1:22" s="530" customFormat="1" ht="15" x14ac:dyDescent="0.25">
      <c r="A2389" s="123"/>
      <c r="B2389" s="529">
        <v>2384001</v>
      </c>
      <c r="C2389" s="529">
        <v>2385</v>
      </c>
      <c r="E2389" s="534">
        <v>0</v>
      </c>
      <c r="F2389" s="534">
        <v>0</v>
      </c>
      <c r="G2389" s="534">
        <v>2</v>
      </c>
      <c r="I2389" s="534">
        <v>0</v>
      </c>
      <c r="J2389" s="534">
        <v>0</v>
      </c>
      <c r="K2389" s="534">
        <v>0</v>
      </c>
      <c r="M2389" s="617">
        <f t="shared" si="76"/>
        <v>0</v>
      </c>
      <c r="N2389" s="617">
        <f t="shared" si="77"/>
        <v>2</v>
      </c>
      <c r="O2389" s="617"/>
      <c r="P2389" s="123"/>
      <c r="R2389" s="123"/>
      <c r="S2389" s="123"/>
      <c r="U2389" s="123"/>
      <c r="V2389" s="123"/>
    </row>
    <row r="2390" spans="1:22" s="530" customFormat="1" ht="15" x14ac:dyDescent="0.25">
      <c r="A2390" s="123"/>
      <c r="B2390" s="529">
        <v>2385001</v>
      </c>
      <c r="C2390" s="529">
        <v>2386</v>
      </c>
      <c r="E2390" s="534">
        <v>0</v>
      </c>
      <c r="F2390" s="534">
        <v>0</v>
      </c>
      <c r="G2390" s="534">
        <v>2</v>
      </c>
      <c r="I2390" s="534">
        <v>0</v>
      </c>
      <c r="J2390" s="534">
        <v>0</v>
      </c>
      <c r="K2390" s="534">
        <v>0</v>
      </c>
      <c r="M2390" s="617">
        <f t="shared" si="76"/>
        <v>0</v>
      </c>
      <c r="N2390" s="617">
        <f t="shared" si="77"/>
        <v>2</v>
      </c>
      <c r="O2390" s="617"/>
      <c r="P2390" s="123"/>
      <c r="R2390" s="123"/>
      <c r="S2390" s="123"/>
      <c r="U2390" s="123"/>
      <c r="V2390" s="123"/>
    </row>
    <row r="2391" spans="1:22" s="530" customFormat="1" ht="15" x14ac:dyDescent="0.25">
      <c r="A2391" s="123"/>
      <c r="B2391" s="529">
        <v>2386001</v>
      </c>
      <c r="C2391" s="529">
        <v>2387</v>
      </c>
      <c r="E2391" s="534">
        <v>0</v>
      </c>
      <c r="F2391" s="534">
        <v>0</v>
      </c>
      <c r="G2391" s="534">
        <v>2</v>
      </c>
      <c r="I2391" s="534">
        <v>0</v>
      </c>
      <c r="J2391" s="534">
        <v>0</v>
      </c>
      <c r="K2391" s="534">
        <v>0</v>
      </c>
      <c r="M2391" s="617">
        <f t="shared" si="76"/>
        <v>0</v>
      </c>
      <c r="N2391" s="617">
        <f t="shared" si="77"/>
        <v>2</v>
      </c>
      <c r="O2391" s="617"/>
      <c r="P2391" s="123"/>
      <c r="R2391" s="123"/>
      <c r="S2391" s="123"/>
      <c r="U2391" s="123"/>
      <c r="V2391" s="123"/>
    </row>
    <row r="2392" spans="1:22" s="530" customFormat="1" ht="15" x14ac:dyDescent="0.25">
      <c r="A2392" s="123"/>
      <c r="B2392" s="529">
        <v>2387001</v>
      </c>
      <c r="C2392" s="529">
        <v>2388</v>
      </c>
      <c r="E2392" s="534">
        <v>0</v>
      </c>
      <c r="F2392" s="534">
        <v>0</v>
      </c>
      <c r="G2392" s="534">
        <v>2</v>
      </c>
      <c r="I2392" s="534">
        <v>0</v>
      </c>
      <c r="J2392" s="534">
        <v>0</v>
      </c>
      <c r="K2392" s="534">
        <v>0</v>
      </c>
      <c r="M2392" s="617">
        <f t="shared" si="76"/>
        <v>0</v>
      </c>
      <c r="N2392" s="617">
        <f t="shared" si="77"/>
        <v>2</v>
      </c>
      <c r="O2392" s="617"/>
      <c r="P2392" s="123"/>
      <c r="R2392" s="123"/>
      <c r="S2392" s="123"/>
      <c r="U2392" s="123"/>
      <c r="V2392" s="123"/>
    </row>
    <row r="2393" spans="1:22" s="530" customFormat="1" ht="15" x14ac:dyDescent="0.25">
      <c r="A2393" s="123"/>
      <c r="B2393" s="529">
        <v>2388001</v>
      </c>
      <c r="C2393" s="529">
        <v>2389</v>
      </c>
      <c r="E2393" s="534">
        <v>0</v>
      </c>
      <c r="F2393" s="534">
        <v>0</v>
      </c>
      <c r="G2393" s="534">
        <v>2</v>
      </c>
      <c r="I2393" s="534">
        <v>0</v>
      </c>
      <c r="J2393" s="534">
        <v>0</v>
      </c>
      <c r="K2393" s="534">
        <v>0</v>
      </c>
      <c r="M2393" s="617">
        <f t="shared" si="76"/>
        <v>0</v>
      </c>
      <c r="N2393" s="617">
        <f t="shared" si="77"/>
        <v>2</v>
      </c>
      <c r="O2393" s="617"/>
      <c r="P2393" s="123"/>
      <c r="R2393" s="123"/>
      <c r="S2393" s="123"/>
      <c r="U2393" s="123"/>
      <c r="V2393" s="123"/>
    </row>
    <row r="2394" spans="1:22" s="530" customFormat="1" ht="15" x14ac:dyDescent="0.25">
      <c r="A2394" s="123"/>
      <c r="B2394" s="529">
        <v>2389001</v>
      </c>
      <c r="C2394" s="529">
        <v>2390</v>
      </c>
      <c r="E2394" s="534">
        <v>0</v>
      </c>
      <c r="F2394" s="534">
        <v>0</v>
      </c>
      <c r="G2394" s="534">
        <v>2</v>
      </c>
      <c r="I2394" s="534">
        <v>0</v>
      </c>
      <c r="J2394" s="534">
        <v>0</v>
      </c>
      <c r="K2394" s="534">
        <v>0</v>
      </c>
      <c r="M2394" s="617">
        <f t="shared" si="76"/>
        <v>0</v>
      </c>
      <c r="N2394" s="617">
        <f t="shared" si="77"/>
        <v>2</v>
      </c>
      <c r="O2394" s="617"/>
      <c r="P2394" s="123"/>
      <c r="R2394" s="123"/>
      <c r="S2394" s="123"/>
      <c r="U2394" s="123"/>
      <c r="V2394" s="123"/>
    </row>
    <row r="2395" spans="1:22" s="530" customFormat="1" ht="15" x14ac:dyDescent="0.25">
      <c r="A2395" s="123"/>
      <c r="B2395" s="529">
        <v>2390001</v>
      </c>
      <c r="C2395" s="529">
        <v>2391</v>
      </c>
      <c r="E2395" s="534">
        <v>0</v>
      </c>
      <c r="F2395" s="534">
        <v>0</v>
      </c>
      <c r="G2395" s="534">
        <v>2</v>
      </c>
      <c r="I2395" s="534">
        <v>0</v>
      </c>
      <c r="J2395" s="534">
        <v>0</v>
      </c>
      <c r="K2395" s="534">
        <v>0</v>
      </c>
      <c r="M2395" s="617">
        <f t="shared" si="76"/>
        <v>0</v>
      </c>
      <c r="N2395" s="617">
        <f t="shared" si="77"/>
        <v>2</v>
      </c>
      <c r="O2395" s="617"/>
      <c r="P2395" s="123"/>
      <c r="R2395" s="123"/>
      <c r="S2395" s="123"/>
      <c r="U2395" s="123"/>
      <c r="V2395" s="123"/>
    </row>
    <row r="2396" spans="1:22" s="530" customFormat="1" ht="15" x14ac:dyDescent="0.25">
      <c r="A2396" s="123"/>
      <c r="B2396" s="529">
        <v>2391001</v>
      </c>
      <c r="C2396" s="529">
        <v>2392</v>
      </c>
      <c r="E2396" s="534">
        <v>0</v>
      </c>
      <c r="F2396" s="534">
        <v>0</v>
      </c>
      <c r="G2396" s="534">
        <v>2</v>
      </c>
      <c r="I2396" s="534">
        <v>0</v>
      </c>
      <c r="J2396" s="534">
        <v>0</v>
      </c>
      <c r="K2396" s="534">
        <v>0</v>
      </c>
      <c r="M2396" s="617">
        <f t="shared" si="76"/>
        <v>0</v>
      </c>
      <c r="N2396" s="617">
        <f t="shared" si="77"/>
        <v>2</v>
      </c>
      <c r="O2396" s="617"/>
      <c r="P2396" s="123"/>
      <c r="R2396" s="123"/>
      <c r="S2396" s="123"/>
      <c r="U2396" s="123"/>
      <c r="V2396" s="123"/>
    </row>
    <row r="2397" spans="1:22" s="530" customFormat="1" ht="15" x14ac:dyDescent="0.25">
      <c r="A2397" s="123"/>
      <c r="B2397" s="529">
        <v>2392001</v>
      </c>
      <c r="C2397" s="529">
        <v>2393</v>
      </c>
      <c r="E2397" s="534">
        <v>0</v>
      </c>
      <c r="F2397" s="534">
        <v>0</v>
      </c>
      <c r="G2397" s="534">
        <v>2</v>
      </c>
      <c r="I2397" s="534">
        <v>0</v>
      </c>
      <c r="J2397" s="534">
        <v>0</v>
      </c>
      <c r="K2397" s="534">
        <v>0</v>
      </c>
      <c r="M2397" s="617">
        <f t="shared" si="76"/>
        <v>0</v>
      </c>
      <c r="N2397" s="617">
        <f t="shared" si="77"/>
        <v>2</v>
      </c>
      <c r="O2397" s="617"/>
      <c r="P2397" s="123"/>
      <c r="R2397" s="123"/>
      <c r="S2397" s="123"/>
      <c r="U2397" s="123"/>
      <c r="V2397" s="123"/>
    </row>
    <row r="2398" spans="1:22" s="530" customFormat="1" ht="15" x14ac:dyDescent="0.25">
      <c r="A2398" s="123"/>
      <c r="B2398" s="529">
        <v>2393001</v>
      </c>
      <c r="C2398" s="529">
        <v>2394</v>
      </c>
      <c r="E2398" s="534">
        <v>0</v>
      </c>
      <c r="F2398" s="534">
        <v>0</v>
      </c>
      <c r="G2398" s="534">
        <v>2</v>
      </c>
      <c r="I2398" s="534">
        <v>0</v>
      </c>
      <c r="J2398" s="534">
        <v>0</v>
      </c>
      <c r="K2398" s="534">
        <v>0</v>
      </c>
      <c r="M2398" s="617">
        <f t="shared" si="76"/>
        <v>0</v>
      </c>
      <c r="N2398" s="617">
        <f t="shared" si="77"/>
        <v>2</v>
      </c>
      <c r="O2398" s="617"/>
      <c r="P2398" s="123"/>
      <c r="R2398" s="123"/>
      <c r="S2398" s="123"/>
      <c r="U2398" s="123"/>
      <c r="V2398" s="123"/>
    </row>
    <row r="2399" spans="1:22" s="530" customFormat="1" ht="15" x14ac:dyDescent="0.25">
      <c r="A2399" s="123"/>
      <c r="B2399" s="529">
        <v>2394001</v>
      </c>
      <c r="C2399" s="529">
        <v>2395</v>
      </c>
      <c r="E2399" s="534">
        <v>0</v>
      </c>
      <c r="F2399" s="534">
        <v>0</v>
      </c>
      <c r="G2399" s="534">
        <v>2</v>
      </c>
      <c r="I2399" s="534">
        <v>0</v>
      </c>
      <c r="J2399" s="534">
        <v>0</v>
      </c>
      <c r="K2399" s="534">
        <v>0</v>
      </c>
      <c r="M2399" s="617">
        <f t="shared" si="76"/>
        <v>0</v>
      </c>
      <c r="N2399" s="617">
        <f t="shared" si="77"/>
        <v>2</v>
      </c>
      <c r="O2399" s="617"/>
      <c r="P2399" s="123"/>
      <c r="R2399" s="123"/>
      <c r="S2399" s="123"/>
      <c r="U2399" s="123"/>
      <c r="V2399" s="123"/>
    </row>
    <row r="2400" spans="1:22" s="530" customFormat="1" ht="15" x14ac:dyDescent="0.25">
      <c r="A2400" s="123"/>
      <c r="B2400" s="529">
        <v>2395001</v>
      </c>
      <c r="C2400" s="529">
        <v>2396</v>
      </c>
      <c r="E2400" s="534">
        <v>0</v>
      </c>
      <c r="F2400" s="534">
        <v>0</v>
      </c>
      <c r="G2400" s="534">
        <v>2</v>
      </c>
      <c r="I2400" s="534">
        <v>0</v>
      </c>
      <c r="J2400" s="534">
        <v>0</v>
      </c>
      <c r="K2400" s="534">
        <v>0</v>
      </c>
      <c r="M2400" s="617">
        <f t="shared" si="76"/>
        <v>0</v>
      </c>
      <c r="N2400" s="617">
        <f t="shared" si="77"/>
        <v>2</v>
      </c>
      <c r="O2400" s="617"/>
      <c r="P2400" s="123"/>
      <c r="R2400" s="123"/>
      <c r="S2400" s="123"/>
      <c r="U2400" s="123"/>
      <c r="V2400" s="123"/>
    </row>
    <row r="2401" spans="1:22" s="530" customFormat="1" ht="15" x14ac:dyDescent="0.25">
      <c r="A2401" s="123"/>
      <c r="B2401" s="529">
        <v>2396001</v>
      </c>
      <c r="C2401" s="529">
        <v>2397</v>
      </c>
      <c r="E2401" s="534">
        <v>0</v>
      </c>
      <c r="F2401" s="534">
        <v>0</v>
      </c>
      <c r="G2401" s="534">
        <v>2</v>
      </c>
      <c r="I2401" s="534">
        <v>0</v>
      </c>
      <c r="J2401" s="534">
        <v>0</v>
      </c>
      <c r="K2401" s="534">
        <v>0</v>
      </c>
      <c r="M2401" s="617">
        <f t="shared" si="76"/>
        <v>0</v>
      </c>
      <c r="N2401" s="617">
        <f t="shared" si="77"/>
        <v>2</v>
      </c>
      <c r="O2401" s="617"/>
      <c r="P2401" s="123"/>
      <c r="R2401" s="123"/>
      <c r="S2401" s="123"/>
      <c r="U2401" s="123"/>
      <c r="V2401" s="123"/>
    </row>
    <row r="2402" spans="1:22" s="530" customFormat="1" ht="15" x14ac:dyDescent="0.25">
      <c r="A2402" s="123"/>
      <c r="B2402" s="529">
        <v>2397001</v>
      </c>
      <c r="C2402" s="529">
        <v>2398</v>
      </c>
      <c r="E2402" s="534">
        <v>0</v>
      </c>
      <c r="F2402" s="534">
        <v>0</v>
      </c>
      <c r="G2402" s="534">
        <v>2</v>
      </c>
      <c r="I2402" s="534">
        <v>0</v>
      </c>
      <c r="J2402" s="534">
        <v>0</v>
      </c>
      <c r="K2402" s="534">
        <v>0</v>
      </c>
      <c r="M2402" s="617">
        <f t="shared" si="76"/>
        <v>0</v>
      </c>
      <c r="N2402" s="617">
        <f t="shared" si="77"/>
        <v>2</v>
      </c>
      <c r="O2402" s="617"/>
      <c r="P2402" s="123"/>
      <c r="R2402" s="123"/>
      <c r="S2402" s="123"/>
      <c r="U2402" s="123"/>
      <c r="V2402" s="123"/>
    </row>
    <row r="2403" spans="1:22" s="530" customFormat="1" ht="15" x14ac:dyDescent="0.25">
      <c r="A2403" s="123"/>
      <c r="B2403" s="529">
        <v>2398001</v>
      </c>
      <c r="C2403" s="529">
        <v>2399</v>
      </c>
      <c r="E2403" s="534">
        <v>0</v>
      </c>
      <c r="F2403" s="534">
        <v>0</v>
      </c>
      <c r="G2403" s="534">
        <v>2</v>
      </c>
      <c r="I2403" s="534">
        <v>0</v>
      </c>
      <c r="J2403" s="534">
        <v>0</v>
      </c>
      <c r="K2403" s="534">
        <v>0</v>
      </c>
      <c r="M2403" s="617">
        <f t="shared" si="76"/>
        <v>0</v>
      </c>
      <c r="N2403" s="617">
        <f t="shared" si="77"/>
        <v>2</v>
      </c>
      <c r="O2403" s="617"/>
      <c r="P2403" s="123"/>
      <c r="R2403" s="123"/>
      <c r="S2403" s="123"/>
      <c r="U2403" s="123"/>
      <c r="V2403" s="123"/>
    </row>
    <row r="2404" spans="1:22" s="530" customFormat="1" ht="15" x14ac:dyDescent="0.25">
      <c r="A2404" s="123"/>
      <c r="B2404" s="529">
        <v>2399001</v>
      </c>
      <c r="C2404" s="529">
        <v>2400</v>
      </c>
      <c r="E2404" s="534">
        <v>0</v>
      </c>
      <c r="F2404" s="534">
        <v>0</v>
      </c>
      <c r="G2404" s="534">
        <v>2</v>
      </c>
      <c r="I2404" s="534">
        <v>0</v>
      </c>
      <c r="J2404" s="534">
        <v>0</v>
      </c>
      <c r="K2404" s="534">
        <v>0</v>
      </c>
      <c r="M2404" s="617">
        <f t="shared" si="76"/>
        <v>0</v>
      </c>
      <c r="N2404" s="617">
        <f t="shared" si="77"/>
        <v>2</v>
      </c>
      <c r="O2404" s="617"/>
      <c r="P2404" s="123"/>
      <c r="R2404" s="123"/>
      <c r="S2404" s="123"/>
      <c r="U2404" s="123"/>
      <c r="V2404" s="123"/>
    </row>
    <row r="2405" spans="1:22" s="530" customFormat="1" ht="15" x14ac:dyDescent="0.25">
      <c r="A2405" s="123"/>
      <c r="B2405" s="529">
        <v>2400001</v>
      </c>
      <c r="C2405" s="529">
        <v>2401</v>
      </c>
      <c r="E2405" s="534">
        <v>0</v>
      </c>
      <c r="F2405" s="534">
        <v>0</v>
      </c>
      <c r="G2405" s="534">
        <v>2</v>
      </c>
      <c r="I2405" s="534">
        <v>0</v>
      </c>
      <c r="J2405" s="534">
        <v>0</v>
      </c>
      <c r="K2405" s="534">
        <v>0</v>
      </c>
      <c r="M2405" s="617">
        <f t="shared" si="76"/>
        <v>0</v>
      </c>
      <c r="N2405" s="617">
        <f t="shared" si="77"/>
        <v>2</v>
      </c>
      <c r="O2405" s="617"/>
      <c r="P2405" s="123"/>
      <c r="R2405" s="123"/>
      <c r="S2405" s="123"/>
      <c r="U2405" s="123"/>
      <c r="V2405" s="123"/>
    </row>
    <row r="2406" spans="1:22" s="530" customFormat="1" ht="15" x14ac:dyDescent="0.25">
      <c r="A2406" s="123"/>
      <c r="B2406" s="529">
        <v>2401001</v>
      </c>
      <c r="C2406" s="529">
        <v>2402</v>
      </c>
      <c r="E2406" s="534">
        <v>0</v>
      </c>
      <c r="F2406" s="534">
        <v>0</v>
      </c>
      <c r="G2406" s="534">
        <v>2</v>
      </c>
      <c r="I2406" s="534">
        <v>0</v>
      </c>
      <c r="J2406" s="534">
        <v>0</v>
      </c>
      <c r="K2406" s="534">
        <v>0</v>
      </c>
      <c r="M2406" s="617">
        <f t="shared" si="76"/>
        <v>0</v>
      </c>
      <c r="N2406" s="617">
        <f t="shared" si="77"/>
        <v>2</v>
      </c>
      <c r="O2406" s="617"/>
      <c r="P2406" s="123"/>
      <c r="R2406" s="123"/>
      <c r="S2406" s="123"/>
      <c r="U2406" s="123"/>
      <c r="V2406" s="123"/>
    </row>
    <row r="2407" spans="1:22" s="530" customFormat="1" ht="15" x14ac:dyDescent="0.25">
      <c r="A2407" s="123"/>
      <c r="B2407" s="529">
        <v>2402001</v>
      </c>
      <c r="C2407" s="529">
        <v>2403</v>
      </c>
      <c r="E2407" s="534">
        <v>0</v>
      </c>
      <c r="F2407" s="534">
        <v>0</v>
      </c>
      <c r="G2407" s="534">
        <v>2</v>
      </c>
      <c r="I2407" s="534">
        <v>0</v>
      </c>
      <c r="J2407" s="534">
        <v>0</v>
      </c>
      <c r="K2407" s="534">
        <v>0</v>
      </c>
      <c r="M2407" s="617">
        <f t="shared" si="76"/>
        <v>0</v>
      </c>
      <c r="N2407" s="617">
        <f t="shared" si="77"/>
        <v>2</v>
      </c>
      <c r="O2407" s="617"/>
      <c r="P2407" s="123"/>
      <c r="R2407" s="123"/>
      <c r="S2407" s="123"/>
      <c r="U2407" s="123"/>
      <c r="V2407" s="123"/>
    </row>
    <row r="2408" spans="1:22" s="530" customFormat="1" ht="15" x14ac:dyDescent="0.25">
      <c r="A2408" s="123"/>
      <c r="B2408" s="529">
        <v>2403001</v>
      </c>
      <c r="C2408" s="529">
        <v>2404</v>
      </c>
      <c r="E2408" s="534">
        <v>0</v>
      </c>
      <c r="F2408" s="534">
        <v>0</v>
      </c>
      <c r="G2408" s="534">
        <v>2</v>
      </c>
      <c r="I2408" s="534">
        <v>0</v>
      </c>
      <c r="J2408" s="534">
        <v>0</v>
      </c>
      <c r="K2408" s="534">
        <v>0</v>
      </c>
      <c r="M2408" s="617">
        <f t="shared" si="76"/>
        <v>0</v>
      </c>
      <c r="N2408" s="617">
        <f t="shared" si="77"/>
        <v>2</v>
      </c>
      <c r="O2408" s="617"/>
      <c r="P2408" s="123"/>
      <c r="R2408" s="123"/>
      <c r="S2408" s="123"/>
      <c r="U2408" s="123"/>
      <c r="V2408" s="123"/>
    </row>
    <row r="2409" spans="1:22" s="530" customFormat="1" ht="15" x14ac:dyDescent="0.25">
      <c r="A2409" s="123"/>
      <c r="B2409" s="529">
        <v>2404001</v>
      </c>
      <c r="C2409" s="529">
        <v>2405</v>
      </c>
      <c r="E2409" s="534">
        <v>0</v>
      </c>
      <c r="F2409" s="534">
        <v>0</v>
      </c>
      <c r="G2409" s="534">
        <v>2</v>
      </c>
      <c r="I2409" s="534">
        <v>0</v>
      </c>
      <c r="J2409" s="534">
        <v>0</v>
      </c>
      <c r="K2409" s="534">
        <v>0</v>
      </c>
      <c r="M2409" s="617">
        <f t="shared" si="76"/>
        <v>0</v>
      </c>
      <c r="N2409" s="617">
        <f t="shared" si="77"/>
        <v>2</v>
      </c>
      <c r="O2409" s="617"/>
      <c r="P2409" s="123"/>
      <c r="R2409" s="123"/>
      <c r="S2409" s="123"/>
      <c r="U2409" s="123"/>
      <c r="V2409" s="123"/>
    </row>
    <row r="2410" spans="1:22" s="530" customFormat="1" ht="15" x14ac:dyDescent="0.25">
      <c r="A2410" s="123"/>
      <c r="B2410" s="529">
        <v>2405001</v>
      </c>
      <c r="C2410" s="529">
        <v>2406</v>
      </c>
      <c r="E2410" s="534">
        <v>0</v>
      </c>
      <c r="F2410" s="534">
        <v>0</v>
      </c>
      <c r="G2410" s="534">
        <v>2</v>
      </c>
      <c r="I2410" s="534">
        <v>0</v>
      </c>
      <c r="J2410" s="534">
        <v>0</v>
      </c>
      <c r="K2410" s="534">
        <v>0</v>
      </c>
      <c r="M2410" s="617">
        <f t="shared" si="76"/>
        <v>0</v>
      </c>
      <c r="N2410" s="617">
        <f t="shared" si="77"/>
        <v>2</v>
      </c>
      <c r="O2410" s="617"/>
      <c r="P2410" s="123"/>
      <c r="R2410" s="123"/>
      <c r="S2410" s="123"/>
      <c r="U2410" s="123"/>
      <c r="V2410" s="123"/>
    </row>
    <row r="2411" spans="1:22" s="530" customFormat="1" ht="15" x14ac:dyDescent="0.25">
      <c r="A2411" s="123"/>
      <c r="B2411" s="529">
        <v>2406001</v>
      </c>
      <c r="C2411" s="529">
        <v>2407</v>
      </c>
      <c r="E2411" s="534">
        <v>0</v>
      </c>
      <c r="F2411" s="534">
        <v>0</v>
      </c>
      <c r="G2411" s="534">
        <v>2</v>
      </c>
      <c r="I2411" s="534">
        <v>0</v>
      </c>
      <c r="J2411" s="534">
        <v>0</v>
      </c>
      <c r="K2411" s="534">
        <v>0</v>
      </c>
      <c r="M2411" s="617">
        <f t="shared" si="76"/>
        <v>0</v>
      </c>
      <c r="N2411" s="617">
        <f t="shared" si="77"/>
        <v>2</v>
      </c>
      <c r="O2411" s="617"/>
      <c r="P2411" s="123"/>
      <c r="R2411" s="123"/>
      <c r="S2411" s="123"/>
      <c r="U2411" s="123"/>
      <c r="V2411" s="123"/>
    </row>
    <row r="2412" spans="1:22" s="530" customFormat="1" ht="15" x14ac:dyDescent="0.25">
      <c r="A2412" s="123"/>
      <c r="B2412" s="529">
        <v>2407001</v>
      </c>
      <c r="C2412" s="529">
        <v>2408</v>
      </c>
      <c r="E2412" s="534">
        <v>0</v>
      </c>
      <c r="F2412" s="534">
        <v>0</v>
      </c>
      <c r="G2412" s="534">
        <v>2</v>
      </c>
      <c r="I2412" s="534">
        <v>0</v>
      </c>
      <c r="J2412" s="534">
        <v>0</v>
      </c>
      <c r="K2412" s="534">
        <v>0</v>
      </c>
      <c r="M2412" s="617">
        <f t="shared" si="76"/>
        <v>0</v>
      </c>
      <c r="N2412" s="617">
        <f t="shared" si="77"/>
        <v>2</v>
      </c>
      <c r="O2412" s="617"/>
      <c r="P2412" s="123"/>
      <c r="R2412" s="123"/>
      <c r="S2412" s="123"/>
      <c r="U2412" s="123"/>
      <c r="V2412" s="123"/>
    </row>
    <row r="2413" spans="1:22" s="530" customFormat="1" ht="15" x14ac:dyDescent="0.25">
      <c r="A2413" s="123"/>
      <c r="B2413" s="529">
        <v>2408001</v>
      </c>
      <c r="C2413" s="529">
        <v>2409</v>
      </c>
      <c r="E2413" s="534">
        <v>0</v>
      </c>
      <c r="F2413" s="534">
        <v>0</v>
      </c>
      <c r="G2413" s="534">
        <v>2</v>
      </c>
      <c r="I2413" s="534">
        <v>0</v>
      </c>
      <c r="J2413" s="534">
        <v>0</v>
      </c>
      <c r="K2413" s="534">
        <v>0</v>
      </c>
      <c r="M2413" s="617">
        <f t="shared" si="76"/>
        <v>0</v>
      </c>
      <c r="N2413" s="617">
        <f t="shared" si="77"/>
        <v>2</v>
      </c>
      <c r="O2413" s="617"/>
      <c r="P2413" s="123"/>
      <c r="R2413" s="123"/>
      <c r="S2413" s="123"/>
      <c r="U2413" s="123"/>
      <c r="V2413" s="123"/>
    </row>
    <row r="2414" spans="1:22" s="530" customFormat="1" ht="15" x14ac:dyDescent="0.25">
      <c r="A2414" s="123"/>
      <c r="B2414" s="529">
        <v>2409001</v>
      </c>
      <c r="C2414" s="529">
        <v>2410</v>
      </c>
      <c r="E2414" s="534">
        <v>0</v>
      </c>
      <c r="F2414" s="534">
        <v>0</v>
      </c>
      <c r="G2414" s="534">
        <v>2</v>
      </c>
      <c r="I2414" s="534">
        <v>0</v>
      </c>
      <c r="J2414" s="534">
        <v>0</v>
      </c>
      <c r="K2414" s="534">
        <v>0</v>
      </c>
      <c r="M2414" s="617">
        <f t="shared" si="76"/>
        <v>0</v>
      </c>
      <c r="N2414" s="617">
        <f t="shared" si="77"/>
        <v>2</v>
      </c>
      <c r="O2414" s="617"/>
      <c r="P2414" s="123"/>
      <c r="R2414" s="123"/>
      <c r="S2414" s="123"/>
      <c r="U2414" s="123"/>
      <c r="V2414" s="123"/>
    </row>
    <row r="2415" spans="1:22" s="530" customFormat="1" ht="15" x14ac:dyDescent="0.25">
      <c r="A2415" s="123"/>
      <c r="B2415" s="529">
        <v>2410001</v>
      </c>
      <c r="C2415" s="529">
        <v>2411</v>
      </c>
      <c r="E2415" s="534">
        <v>0</v>
      </c>
      <c r="F2415" s="534">
        <v>0</v>
      </c>
      <c r="G2415" s="534">
        <v>2</v>
      </c>
      <c r="I2415" s="534">
        <v>0</v>
      </c>
      <c r="J2415" s="534">
        <v>0</v>
      </c>
      <c r="K2415" s="534">
        <v>0</v>
      </c>
      <c r="M2415" s="617">
        <f t="shared" si="76"/>
        <v>0</v>
      </c>
      <c r="N2415" s="617">
        <f t="shared" si="77"/>
        <v>2</v>
      </c>
      <c r="O2415" s="617"/>
      <c r="P2415" s="123"/>
      <c r="R2415" s="123"/>
      <c r="S2415" s="123"/>
      <c r="U2415" s="123"/>
      <c r="V2415" s="123"/>
    </row>
    <row r="2416" spans="1:22" s="530" customFormat="1" ht="15" x14ac:dyDescent="0.25">
      <c r="A2416" s="123"/>
      <c r="B2416" s="529">
        <v>2411001</v>
      </c>
      <c r="C2416" s="529">
        <v>2412</v>
      </c>
      <c r="E2416" s="534">
        <v>0</v>
      </c>
      <c r="F2416" s="534">
        <v>0</v>
      </c>
      <c r="G2416" s="534">
        <v>2</v>
      </c>
      <c r="I2416" s="534">
        <v>0</v>
      </c>
      <c r="J2416" s="534">
        <v>0</v>
      </c>
      <c r="K2416" s="534">
        <v>0</v>
      </c>
      <c r="M2416" s="617">
        <f t="shared" si="76"/>
        <v>0</v>
      </c>
      <c r="N2416" s="617">
        <f t="shared" si="77"/>
        <v>2</v>
      </c>
      <c r="O2416" s="617"/>
      <c r="P2416" s="123"/>
      <c r="R2416" s="123"/>
      <c r="S2416" s="123"/>
      <c r="U2416" s="123"/>
      <c r="V2416" s="123"/>
    </row>
    <row r="2417" spans="1:22" s="530" customFormat="1" ht="15" x14ac:dyDescent="0.25">
      <c r="A2417" s="123"/>
      <c r="B2417" s="529">
        <v>2412001</v>
      </c>
      <c r="C2417" s="529">
        <v>2413</v>
      </c>
      <c r="E2417" s="534">
        <v>0</v>
      </c>
      <c r="F2417" s="534">
        <v>0</v>
      </c>
      <c r="G2417" s="534">
        <v>2</v>
      </c>
      <c r="I2417" s="534">
        <v>0</v>
      </c>
      <c r="J2417" s="534">
        <v>0</v>
      </c>
      <c r="K2417" s="534">
        <v>0</v>
      </c>
      <c r="M2417" s="617">
        <f t="shared" si="76"/>
        <v>0</v>
      </c>
      <c r="N2417" s="617">
        <f t="shared" si="77"/>
        <v>2</v>
      </c>
      <c r="O2417" s="617"/>
      <c r="P2417" s="123"/>
      <c r="R2417" s="123"/>
      <c r="S2417" s="123"/>
      <c r="U2417" s="123"/>
      <c r="V2417" s="123"/>
    </row>
    <row r="2418" spans="1:22" s="530" customFormat="1" ht="15" x14ac:dyDescent="0.25">
      <c r="A2418" s="123"/>
      <c r="B2418" s="529">
        <v>2413001</v>
      </c>
      <c r="C2418" s="529">
        <v>2414</v>
      </c>
      <c r="E2418" s="534">
        <v>0</v>
      </c>
      <c r="F2418" s="534">
        <v>0</v>
      </c>
      <c r="G2418" s="534">
        <v>2</v>
      </c>
      <c r="I2418" s="534">
        <v>0</v>
      </c>
      <c r="J2418" s="534">
        <v>0</v>
      </c>
      <c r="K2418" s="534">
        <v>0</v>
      </c>
      <c r="M2418" s="617">
        <f t="shared" si="76"/>
        <v>0</v>
      </c>
      <c r="N2418" s="617">
        <f t="shared" si="77"/>
        <v>2</v>
      </c>
      <c r="O2418" s="617"/>
      <c r="P2418" s="123"/>
      <c r="R2418" s="123"/>
      <c r="S2418" s="123"/>
      <c r="U2418" s="123"/>
      <c r="V2418" s="123"/>
    </row>
    <row r="2419" spans="1:22" s="530" customFormat="1" ht="15" x14ac:dyDescent="0.25">
      <c r="A2419" s="123"/>
      <c r="B2419" s="529">
        <v>2414001</v>
      </c>
      <c r="C2419" s="529">
        <v>2415</v>
      </c>
      <c r="E2419" s="534">
        <v>0</v>
      </c>
      <c r="F2419" s="534">
        <v>0</v>
      </c>
      <c r="G2419" s="534">
        <v>2</v>
      </c>
      <c r="I2419" s="534">
        <v>0</v>
      </c>
      <c r="J2419" s="534">
        <v>0</v>
      </c>
      <c r="K2419" s="534">
        <v>0</v>
      </c>
      <c r="M2419" s="617">
        <f t="shared" si="76"/>
        <v>0</v>
      </c>
      <c r="N2419" s="617">
        <f t="shared" si="77"/>
        <v>2</v>
      </c>
      <c r="O2419" s="617"/>
      <c r="P2419" s="123"/>
      <c r="R2419" s="123"/>
      <c r="S2419" s="123"/>
      <c r="U2419" s="123"/>
      <c r="V2419" s="123"/>
    </row>
    <row r="2420" spans="1:22" s="530" customFormat="1" ht="15" x14ac:dyDescent="0.25">
      <c r="A2420" s="123"/>
      <c r="B2420" s="529">
        <v>2415001</v>
      </c>
      <c r="C2420" s="529">
        <v>2416</v>
      </c>
      <c r="E2420" s="534">
        <v>0</v>
      </c>
      <c r="F2420" s="534">
        <v>0</v>
      </c>
      <c r="G2420" s="534">
        <v>2</v>
      </c>
      <c r="I2420" s="534">
        <v>0</v>
      </c>
      <c r="J2420" s="534">
        <v>0</v>
      </c>
      <c r="K2420" s="534">
        <v>0</v>
      </c>
      <c r="M2420" s="617">
        <f t="shared" si="76"/>
        <v>0</v>
      </c>
      <c r="N2420" s="617">
        <f t="shared" si="77"/>
        <v>2</v>
      </c>
      <c r="O2420" s="617"/>
      <c r="P2420" s="123"/>
      <c r="R2420" s="123"/>
      <c r="S2420" s="123"/>
      <c r="U2420" s="123"/>
      <c r="V2420" s="123"/>
    </row>
    <row r="2421" spans="1:22" s="530" customFormat="1" ht="15" x14ac:dyDescent="0.25">
      <c r="A2421" s="123"/>
      <c r="B2421" s="529">
        <v>2416001</v>
      </c>
      <c r="C2421" s="529">
        <v>2417</v>
      </c>
      <c r="E2421" s="534">
        <v>0</v>
      </c>
      <c r="F2421" s="534">
        <v>0</v>
      </c>
      <c r="G2421" s="534">
        <v>2</v>
      </c>
      <c r="I2421" s="534">
        <v>0</v>
      </c>
      <c r="J2421" s="534">
        <v>0</v>
      </c>
      <c r="K2421" s="534">
        <v>0</v>
      </c>
      <c r="M2421" s="617">
        <f t="shared" si="76"/>
        <v>0</v>
      </c>
      <c r="N2421" s="617">
        <f t="shared" si="77"/>
        <v>2</v>
      </c>
      <c r="O2421" s="617"/>
      <c r="P2421" s="123"/>
      <c r="R2421" s="123"/>
      <c r="S2421" s="123"/>
      <c r="U2421" s="123"/>
      <c r="V2421" s="123"/>
    </row>
    <row r="2422" spans="1:22" s="530" customFormat="1" ht="15" x14ac:dyDescent="0.25">
      <c r="A2422" s="123"/>
      <c r="B2422" s="529">
        <v>2417001</v>
      </c>
      <c r="C2422" s="529">
        <v>2418</v>
      </c>
      <c r="E2422" s="534">
        <v>0</v>
      </c>
      <c r="F2422" s="534">
        <v>0</v>
      </c>
      <c r="G2422" s="534">
        <v>2</v>
      </c>
      <c r="I2422" s="534">
        <v>0</v>
      </c>
      <c r="J2422" s="534">
        <v>0</v>
      </c>
      <c r="K2422" s="534">
        <v>0</v>
      </c>
      <c r="M2422" s="617">
        <f t="shared" si="76"/>
        <v>0</v>
      </c>
      <c r="N2422" s="617">
        <f t="shared" si="77"/>
        <v>2</v>
      </c>
      <c r="O2422" s="617"/>
      <c r="P2422" s="123"/>
      <c r="R2422" s="123"/>
      <c r="S2422" s="123"/>
      <c r="U2422" s="123"/>
      <c r="V2422" s="123"/>
    </row>
    <row r="2423" spans="1:22" s="530" customFormat="1" ht="15" x14ac:dyDescent="0.25">
      <c r="A2423" s="123"/>
      <c r="B2423" s="529">
        <v>2418001</v>
      </c>
      <c r="C2423" s="529">
        <v>2419</v>
      </c>
      <c r="E2423" s="534">
        <v>0</v>
      </c>
      <c r="F2423" s="534">
        <v>0</v>
      </c>
      <c r="G2423" s="534">
        <v>2</v>
      </c>
      <c r="I2423" s="534">
        <v>0</v>
      </c>
      <c r="J2423" s="534">
        <v>0</v>
      </c>
      <c r="K2423" s="534">
        <v>0</v>
      </c>
      <c r="M2423" s="617">
        <f t="shared" si="76"/>
        <v>0</v>
      </c>
      <c r="N2423" s="617">
        <f t="shared" si="77"/>
        <v>2</v>
      </c>
      <c r="O2423" s="617"/>
      <c r="P2423" s="123"/>
      <c r="R2423" s="123"/>
      <c r="S2423" s="123"/>
      <c r="U2423" s="123"/>
      <c r="V2423" s="123"/>
    </row>
    <row r="2424" spans="1:22" s="530" customFormat="1" ht="15" x14ac:dyDescent="0.25">
      <c r="A2424" s="123"/>
      <c r="B2424" s="529">
        <v>2419001</v>
      </c>
      <c r="C2424" s="529">
        <v>2420</v>
      </c>
      <c r="E2424" s="534">
        <v>0</v>
      </c>
      <c r="F2424" s="534">
        <v>0</v>
      </c>
      <c r="G2424" s="534">
        <v>2</v>
      </c>
      <c r="I2424" s="534">
        <v>0</v>
      </c>
      <c r="J2424" s="534">
        <v>0</v>
      </c>
      <c r="K2424" s="534">
        <v>0</v>
      </c>
      <c r="M2424" s="617">
        <f t="shared" si="76"/>
        <v>0</v>
      </c>
      <c r="N2424" s="617">
        <f t="shared" si="77"/>
        <v>2</v>
      </c>
      <c r="O2424" s="617"/>
      <c r="P2424" s="123"/>
      <c r="R2424" s="123"/>
      <c r="S2424" s="123"/>
      <c r="U2424" s="123"/>
      <c r="V2424" s="123"/>
    </row>
    <row r="2425" spans="1:22" s="530" customFormat="1" ht="15" x14ac:dyDescent="0.25">
      <c r="A2425" s="123"/>
      <c r="B2425" s="529">
        <v>2420001</v>
      </c>
      <c r="C2425" s="529">
        <v>2421</v>
      </c>
      <c r="E2425" s="534">
        <v>0</v>
      </c>
      <c r="F2425" s="534">
        <v>0</v>
      </c>
      <c r="G2425" s="534">
        <v>2</v>
      </c>
      <c r="I2425" s="534">
        <v>0</v>
      </c>
      <c r="J2425" s="534">
        <v>0</v>
      </c>
      <c r="K2425" s="534">
        <v>0</v>
      </c>
      <c r="M2425" s="617">
        <f t="shared" si="76"/>
        <v>0</v>
      </c>
      <c r="N2425" s="617">
        <f t="shared" si="77"/>
        <v>2</v>
      </c>
      <c r="O2425" s="617"/>
      <c r="P2425" s="123"/>
      <c r="R2425" s="123"/>
      <c r="S2425" s="123"/>
      <c r="U2425" s="123"/>
      <c r="V2425" s="123"/>
    </row>
    <row r="2426" spans="1:22" s="530" customFormat="1" ht="15" x14ac:dyDescent="0.25">
      <c r="A2426" s="123"/>
      <c r="B2426" s="529">
        <v>2421001</v>
      </c>
      <c r="C2426" s="529">
        <v>2422</v>
      </c>
      <c r="E2426" s="534">
        <v>0</v>
      </c>
      <c r="F2426" s="534">
        <v>0</v>
      </c>
      <c r="G2426" s="534">
        <v>2</v>
      </c>
      <c r="I2426" s="534">
        <v>0</v>
      </c>
      <c r="J2426" s="534">
        <v>0</v>
      </c>
      <c r="K2426" s="534">
        <v>0</v>
      </c>
      <c r="M2426" s="617">
        <f t="shared" si="76"/>
        <v>0</v>
      </c>
      <c r="N2426" s="617">
        <f t="shared" si="77"/>
        <v>2</v>
      </c>
      <c r="O2426" s="617"/>
      <c r="P2426" s="123"/>
      <c r="R2426" s="123"/>
      <c r="S2426" s="123"/>
      <c r="U2426" s="123"/>
      <c r="V2426" s="123"/>
    </row>
    <row r="2427" spans="1:22" s="530" customFormat="1" ht="15" x14ac:dyDescent="0.25">
      <c r="A2427" s="123"/>
      <c r="B2427" s="529">
        <v>2422001</v>
      </c>
      <c r="C2427" s="529">
        <v>2423</v>
      </c>
      <c r="E2427" s="534">
        <v>0</v>
      </c>
      <c r="F2427" s="534">
        <v>0</v>
      </c>
      <c r="G2427" s="534">
        <v>2</v>
      </c>
      <c r="I2427" s="534">
        <v>0</v>
      </c>
      <c r="J2427" s="534">
        <v>0</v>
      </c>
      <c r="K2427" s="534">
        <v>0</v>
      </c>
      <c r="M2427" s="617">
        <f t="shared" si="76"/>
        <v>0</v>
      </c>
      <c r="N2427" s="617">
        <f t="shared" si="77"/>
        <v>2</v>
      </c>
      <c r="O2427" s="617"/>
      <c r="P2427" s="123"/>
      <c r="R2427" s="123"/>
      <c r="S2427" s="123"/>
      <c r="U2427" s="123"/>
      <c r="V2427" s="123"/>
    </row>
    <row r="2428" spans="1:22" s="530" customFormat="1" ht="15" x14ac:dyDescent="0.25">
      <c r="A2428" s="123"/>
      <c r="B2428" s="529">
        <v>2423001</v>
      </c>
      <c r="C2428" s="529">
        <v>2424</v>
      </c>
      <c r="E2428" s="534">
        <v>0</v>
      </c>
      <c r="F2428" s="534">
        <v>0</v>
      </c>
      <c r="G2428" s="534">
        <v>2</v>
      </c>
      <c r="I2428" s="534">
        <v>0</v>
      </c>
      <c r="J2428" s="534">
        <v>0</v>
      </c>
      <c r="K2428" s="534">
        <v>0</v>
      </c>
      <c r="M2428" s="617">
        <f t="shared" si="76"/>
        <v>0</v>
      </c>
      <c r="N2428" s="617">
        <f t="shared" si="77"/>
        <v>2</v>
      </c>
      <c r="O2428" s="617"/>
      <c r="P2428" s="123"/>
      <c r="R2428" s="123"/>
      <c r="S2428" s="123"/>
      <c r="U2428" s="123"/>
      <c r="V2428" s="123"/>
    </row>
    <row r="2429" spans="1:22" s="530" customFormat="1" ht="15" x14ac:dyDescent="0.25">
      <c r="A2429" s="123"/>
      <c r="B2429" s="529">
        <v>2424001</v>
      </c>
      <c r="C2429" s="529">
        <v>2425</v>
      </c>
      <c r="E2429" s="534">
        <v>0</v>
      </c>
      <c r="F2429" s="534">
        <v>0</v>
      </c>
      <c r="G2429" s="534">
        <v>2</v>
      </c>
      <c r="I2429" s="534">
        <v>0</v>
      </c>
      <c r="J2429" s="534">
        <v>0</v>
      </c>
      <c r="K2429" s="534">
        <v>0</v>
      </c>
      <c r="M2429" s="617">
        <f t="shared" si="76"/>
        <v>0</v>
      </c>
      <c r="N2429" s="617">
        <f t="shared" si="77"/>
        <v>2</v>
      </c>
      <c r="O2429" s="617"/>
      <c r="P2429" s="123"/>
      <c r="R2429" s="123"/>
      <c r="S2429" s="123"/>
      <c r="U2429" s="123"/>
      <c r="V2429" s="123"/>
    </row>
    <row r="2430" spans="1:22" s="530" customFormat="1" ht="15" x14ac:dyDescent="0.25">
      <c r="A2430" s="123"/>
      <c r="B2430" s="529">
        <v>2425001</v>
      </c>
      <c r="C2430" s="529">
        <v>2426</v>
      </c>
      <c r="E2430" s="534">
        <v>0</v>
      </c>
      <c r="F2430" s="534">
        <v>0</v>
      </c>
      <c r="G2430" s="534">
        <v>2</v>
      </c>
      <c r="I2430" s="534">
        <v>0</v>
      </c>
      <c r="J2430" s="534">
        <v>0</v>
      </c>
      <c r="K2430" s="534">
        <v>0</v>
      </c>
      <c r="M2430" s="617">
        <f t="shared" si="76"/>
        <v>0</v>
      </c>
      <c r="N2430" s="617">
        <f t="shared" si="77"/>
        <v>2</v>
      </c>
      <c r="O2430" s="617"/>
      <c r="P2430" s="123"/>
      <c r="R2430" s="123"/>
      <c r="S2430" s="123"/>
      <c r="U2430" s="123"/>
      <c r="V2430" s="123"/>
    </row>
    <row r="2431" spans="1:22" s="530" customFormat="1" ht="15" x14ac:dyDescent="0.25">
      <c r="A2431" s="123"/>
      <c r="B2431" s="529">
        <v>2426001</v>
      </c>
      <c r="C2431" s="529">
        <v>2427</v>
      </c>
      <c r="E2431" s="534">
        <v>0</v>
      </c>
      <c r="F2431" s="534">
        <v>0</v>
      </c>
      <c r="G2431" s="534">
        <v>2</v>
      </c>
      <c r="I2431" s="534">
        <v>0</v>
      </c>
      <c r="J2431" s="534">
        <v>0</v>
      </c>
      <c r="K2431" s="534">
        <v>0</v>
      </c>
      <c r="M2431" s="617">
        <f t="shared" si="76"/>
        <v>0</v>
      </c>
      <c r="N2431" s="617">
        <f t="shared" si="77"/>
        <v>2</v>
      </c>
      <c r="O2431" s="617"/>
      <c r="P2431" s="123"/>
      <c r="R2431" s="123"/>
      <c r="S2431" s="123"/>
      <c r="U2431" s="123"/>
      <c r="V2431" s="123"/>
    </row>
    <row r="2432" spans="1:22" s="530" customFormat="1" ht="15" x14ac:dyDescent="0.25">
      <c r="A2432" s="123"/>
      <c r="B2432" s="529">
        <v>2427001</v>
      </c>
      <c r="C2432" s="529">
        <v>2428</v>
      </c>
      <c r="E2432" s="534">
        <v>0</v>
      </c>
      <c r="F2432" s="534">
        <v>0</v>
      </c>
      <c r="G2432" s="534">
        <v>2</v>
      </c>
      <c r="I2432" s="534">
        <v>0</v>
      </c>
      <c r="J2432" s="534">
        <v>0</v>
      </c>
      <c r="K2432" s="534">
        <v>0</v>
      </c>
      <c r="M2432" s="617">
        <f t="shared" si="76"/>
        <v>0</v>
      </c>
      <c r="N2432" s="617">
        <f t="shared" si="77"/>
        <v>2</v>
      </c>
      <c r="O2432" s="617"/>
      <c r="P2432" s="123"/>
      <c r="R2432" s="123"/>
      <c r="S2432" s="123"/>
      <c r="U2432" s="123"/>
      <c r="V2432" s="123"/>
    </row>
    <row r="2433" spans="1:22" s="530" customFormat="1" ht="15" x14ac:dyDescent="0.25">
      <c r="A2433" s="123"/>
      <c r="B2433" s="529">
        <v>2428001</v>
      </c>
      <c r="C2433" s="529">
        <v>2429</v>
      </c>
      <c r="E2433" s="534">
        <v>0</v>
      </c>
      <c r="F2433" s="534">
        <v>0</v>
      </c>
      <c r="G2433" s="534">
        <v>2</v>
      </c>
      <c r="I2433" s="534">
        <v>0</v>
      </c>
      <c r="J2433" s="534">
        <v>0</v>
      </c>
      <c r="K2433" s="534">
        <v>0</v>
      </c>
      <c r="M2433" s="617">
        <f t="shared" si="76"/>
        <v>0</v>
      </c>
      <c r="N2433" s="617">
        <f t="shared" si="77"/>
        <v>2</v>
      </c>
      <c r="O2433" s="617"/>
      <c r="P2433" s="123"/>
      <c r="R2433" s="123"/>
      <c r="S2433" s="123"/>
      <c r="U2433" s="123"/>
      <c r="V2433" s="123"/>
    </row>
    <row r="2434" spans="1:22" s="530" customFormat="1" ht="15" x14ac:dyDescent="0.25">
      <c r="A2434" s="123"/>
      <c r="B2434" s="529">
        <v>2429001</v>
      </c>
      <c r="C2434" s="529">
        <v>2430</v>
      </c>
      <c r="E2434" s="534">
        <v>0</v>
      </c>
      <c r="F2434" s="534">
        <v>0</v>
      </c>
      <c r="G2434" s="534">
        <v>2</v>
      </c>
      <c r="I2434" s="534">
        <v>0</v>
      </c>
      <c r="J2434" s="534">
        <v>0</v>
      </c>
      <c r="K2434" s="534">
        <v>0</v>
      </c>
      <c r="M2434" s="617">
        <f t="shared" si="76"/>
        <v>0</v>
      </c>
      <c r="N2434" s="617">
        <f t="shared" si="77"/>
        <v>2</v>
      </c>
      <c r="O2434" s="617"/>
      <c r="P2434" s="123"/>
      <c r="R2434" s="123"/>
      <c r="S2434" s="123"/>
      <c r="U2434" s="123"/>
      <c r="V2434" s="123"/>
    </row>
    <row r="2435" spans="1:22" s="530" customFormat="1" ht="15" x14ac:dyDescent="0.25">
      <c r="A2435" s="123"/>
      <c r="B2435" s="529">
        <v>2430001</v>
      </c>
      <c r="C2435" s="529">
        <v>2431</v>
      </c>
      <c r="E2435" s="534">
        <v>0</v>
      </c>
      <c r="F2435" s="534">
        <v>0</v>
      </c>
      <c r="G2435" s="534">
        <v>2</v>
      </c>
      <c r="I2435" s="534">
        <v>0</v>
      </c>
      <c r="J2435" s="534">
        <v>0</v>
      </c>
      <c r="K2435" s="534">
        <v>0</v>
      </c>
      <c r="M2435" s="617">
        <f t="shared" si="76"/>
        <v>0</v>
      </c>
      <c r="N2435" s="617">
        <f t="shared" si="77"/>
        <v>2</v>
      </c>
      <c r="O2435" s="617"/>
      <c r="P2435" s="123"/>
      <c r="R2435" s="123"/>
      <c r="S2435" s="123"/>
      <c r="U2435" s="123"/>
      <c r="V2435" s="123"/>
    </row>
    <row r="2436" spans="1:22" s="530" customFormat="1" ht="15" x14ac:dyDescent="0.25">
      <c r="A2436" s="123"/>
      <c r="B2436" s="529">
        <v>2431001</v>
      </c>
      <c r="C2436" s="529">
        <v>2432</v>
      </c>
      <c r="E2436" s="534">
        <v>0</v>
      </c>
      <c r="F2436" s="534">
        <v>0</v>
      </c>
      <c r="G2436" s="534">
        <v>2</v>
      </c>
      <c r="I2436" s="534">
        <v>0</v>
      </c>
      <c r="J2436" s="534">
        <v>0</v>
      </c>
      <c r="K2436" s="534">
        <v>0</v>
      </c>
      <c r="M2436" s="617">
        <f t="shared" si="76"/>
        <v>0</v>
      </c>
      <c r="N2436" s="617">
        <f t="shared" si="77"/>
        <v>2</v>
      </c>
      <c r="O2436" s="617"/>
      <c r="P2436" s="123"/>
      <c r="R2436" s="123"/>
      <c r="S2436" s="123"/>
      <c r="U2436" s="123"/>
      <c r="V2436" s="123"/>
    </row>
    <row r="2437" spans="1:22" s="530" customFormat="1" ht="15" x14ac:dyDescent="0.25">
      <c r="A2437" s="123"/>
      <c r="B2437" s="529">
        <v>2432001</v>
      </c>
      <c r="C2437" s="529">
        <v>2433</v>
      </c>
      <c r="E2437" s="534">
        <v>0</v>
      </c>
      <c r="F2437" s="534">
        <v>0</v>
      </c>
      <c r="G2437" s="534">
        <v>2</v>
      </c>
      <c r="I2437" s="534">
        <v>0</v>
      </c>
      <c r="J2437" s="534">
        <v>0</v>
      </c>
      <c r="K2437" s="534">
        <v>0</v>
      </c>
      <c r="M2437" s="617">
        <f t="shared" ref="M2437:M2500" si="78">I2437+E2437</f>
        <v>0</v>
      </c>
      <c r="N2437" s="617">
        <f t="shared" ref="N2437:N2500" si="79">K2437+G2437</f>
        <v>2</v>
      </c>
      <c r="O2437" s="617"/>
      <c r="P2437" s="123"/>
      <c r="R2437" s="123"/>
      <c r="S2437" s="123"/>
      <c r="U2437" s="123"/>
      <c r="V2437" s="123"/>
    </row>
    <row r="2438" spans="1:22" s="530" customFormat="1" ht="15" x14ac:dyDescent="0.25">
      <c r="A2438" s="123"/>
      <c r="B2438" s="529">
        <v>2433001</v>
      </c>
      <c r="C2438" s="529">
        <v>2434</v>
      </c>
      <c r="E2438" s="534">
        <v>0</v>
      </c>
      <c r="F2438" s="534">
        <v>0</v>
      </c>
      <c r="G2438" s="534">
        <v>2</v>
      </c>
      <c r="I2438" s="534">
        <v>0</v>
      </c>
      <c r="J2438" s="534">
        <v>0</v>
      </c>
      <c r="K2438" s="534">
        <v>0</v>
      </c>
      <c r="M2438" s="617">
        <f t="shared" si="78"/>
        <v>0</v>
      </c>
      <c r="N2438" s="617">
        <f t="shared" si="79"/>
        <v>2</v>
      </c>
      <c r="O2438" s="617"/>
      <c r="P2438" s="123"/>
      <c r="R2438" s="123"/>
      <c r="S2438" s="123"/>
      <c r="U2438" s="123"/>
      <c r="V2438" s="123"/>
    </row>
    <row r="2439" spans="1:22" s="530" customFormat="1" ht="15" x14ac:dyDescent="0.25">
      <c r="A2439" s="123"/>
      <c r="B2439" s="529">
        <v>2434001</v>
      </c>
      <c r="C2439" s="529">
        <v>2435</v>
      </c>
      <c r="E2439" s="534">
        <v>0</v>
      </c>
      <c r="F2439" s="534">
        <v>0</v>
      </c>
      <c r="G2439" s="534">
        <v>2</v>
      </c>
      <c r="I2439" s="534">
        <v>0</v>
      </c>
      <c r="J2439" s="534">
        <v>0</v>
      </c>
      <c r="K2439" s="534">
        <v>0</v>
      </c>
      <c r="M2439" s="617">
        <f t="shared" si="78"/>
        <v>0</v>
      </c>
      <c r="N2439" s="617">
        <f t="shared" si="79"/>
        <v>2</v>
      </c>
      <c r="O2439" s="617"/>
      <c r="P2439" s="123"/>
      <c r="R2439" s="123"/>
      <c r="S2439" s="123"/>
      <c r="U2439" s="123"/>
      <c r="V2439" s="123"/>
    </row>
    <row r="2440" spans="1:22" s="530" customFormat="1" ht="15" x14ac:dyDescent="0.25">
      <c r="A2440" s="123"/>
      <c r="B2440" s="529">
        <v>2435001</v>
      </c>
      <c r="C2440" s="529">
        <v>2436</v>
      </c>
      <c r="E2440" s="534">
        <v>0</v>
      </c>
      <c r="F2440" s="534">
        <v>0</v>
      </c>
      <c r="G2440" s="534">
        <v>2</v>
      </c>
      <c r="I2440" s="534">
        <v>0</v>
      </c>
      <c r="J2440" s="534">
        <v>0</v>
      </c>
      <c r="K2440" s="534">
        <v>0</v>
      </c>
      <c r="M2440" s="617">
        <f t="shared" si="78"/>
        <v>0</v>
      </c>
      <c r="N2440" s="617">
        <f t="shared" si="79"/>
        <v>2</v>
      </c>
      <c r="O2440" s="617"/>
      <c r="P2440" s="123"/>
      <c r="R2440" s="123"/>
      <c r="S2440" s="123"/>
      <c r="U2440" s="123"/>
      <c r="V2440" s="123"/>
    </row>
    <row r="2441" spans="1:22" s="530" customFormat="1" ht="15" x14ac:dyDescent="0.25">
      <c r="A2441" s="123"/>
      <c r="B2441" s="529">
        <v>2436001</v>
      </c>
      <c r="C2441" s="529">
        <v>2437</v>
      </c>
      <c r="E2441" s="534">
        <v>0</v>
      </c>
      <c r="F2441" s="534">
        <v>0</v>
      </c>
      <c r="G2441" s="534">
        <v>2</v>
      </c>
      <c r="I2441" s="534">
        <v>0</v>
      </c>
      <c r="J2441" s="534">
        <v>0</v>
      </c>
      <c r="K2441" s="534">
        <v>0</v>
      </c>
      <c r="M2441" s="617">
        <f t="shared" si="78"/>
        <v>0</v>
      </c>
      <c r="N2441" s="617">
        <f t="shared" si="79"/>
        <v>2</v>
      </c>
      <c r="O2441" s="617"/>
      <c r="P2441" s="123"/>
      <c r="R2441" s="123"/>
      <c r="S2441" s="123"/>
      <c r="U2441" s="123"/>
      <c r="V2441" s="123"/>
    </row>
    <row r="2442" spans="1:22" s="530" customFormat="1" ht="15" x14ac:dyDescent="0.25">
      <c r="A2442" s="123"/>
      <c r="B2442" s="529">
        <v>2437001</v>
      </c>
      <c r="C2442" s="529">
        <v>2438</v>
      </c>
      <c r="E2442" s="534">
        <v>0</v>
      </c>
      <c r="F2442" s="534">
        <v>0</v>
      </c>
      <c r="G2442" s="534">
        <v>2</v>
      </c>
      <c r="I2442" s="534">
        <v>0</v>
      </c>
      <c r="J2442" s="534">
        <v>0</v>
      </c>
      <c r="K2442" s="534">
        <v>0</v>
      </c>
      <c r="M2442" s="617">
        <f t="shared" si="78"/>
        <v>0</v>
      </c>
      <c r="N2442" s="617">
        <f t="shared" si="79"/>
        <v>2</v>
      </c>
      <c r="O2442" s="617"/>
      <c r="P2442" s="123"/>
      <c r="R2442" s="123"/>
      <c r="S2442" s="123"/>
      <c r="U2442" s="123"/>
      <c r="V2442" s="123"/>
    </row>
    <row r="2443" spans="1:22" s="530" customFormat="1" ht="15" x14ac:dyDescent="0.25">
      <c r="A2443" s="123"/>
      <c r="B2443" s="529">
        <v>2438001</v>
      </c>
      <c r="C2443" s="529">
        <v>2439</v>
      </c>
      <c r="E2443" s="534">
        <v>0</v>
      </c>
      <c r="F2443" s="534">
        <v>0</v>
      </c>
      <c r="G2443" s="534">
        <v>2</v>
      </c>
      <c r="I2443" s="534">
        <v>0</v>
      </c>
      <c r="J2443" s="534">
        <v>0</v>
      </c>
      <c r="K2443" s="534">
        <v>0</v>
      </c>
      <c r="M2443" s="617">
        <f t="shared" si="78"/>
        <v>0</v>
      </c>
      <c r="N2443" s="617">
        <f t="shared" si="79"/>
        <v>2</v>
      </c>
      <c r="O2443" s="617"/>
      <c r="P2443" s="123"/>
      <c r="R2443" s="123"/>
      <c r="S2443" s="123"/>
      <c r="U2443" s="123"/>
      <c r="V2443" s="123"/>
    </row>
    <row r="2444" spans="1:22" s="530" customFormat="1" ht="15" x14ac:dyDescent="0.25">
      <c r="A2444" s="123"/>
      <c r="B2444" s="529">
        <v>2439001</v>
      </c>
      <c r="C2444" s="529">
        <v>2440</v>
      </c>
      <c r="E2444" s="534">
        <v>0</v>
      </c>
      <c r="F2444" s="534">
        <v>0</v>
      </c>
      <c r="G2444" s="534">
        <v>2</v>
      </c>
      <c r="I2444" s="534">
        <v>0</v>
      </c>
      <c r="J2444" s="534">
        <v>0</v>
      </c>
      <c r="K2444" s="534">
        <v>0</v>
      </c>
      <c r="M2444" s="617">
        <f t="shared" si="78"/>
        <v>0</v>
      </c>
      <c r="N2444" s="617">
        <f t="shared" si="79"/>
        <v>2</v>
      </c>
      <c r="O2444" s="617"/>
      <c r="P2444" s="123"/>
      <c r="R2444" s="123"/>
      <c r="S2444" s="123"/>
      <c r="U2444" s="123"/>
      <c r="V2444" s="123"/>
    </row>
    <row r="2445" spans="1:22" s="530" customFormat="1" ht="15" x14ac:dyDescent="0.25">
      <c r="A2445" s="123"/>
      <c r="B2445" s="529">
        <v>2440001</v>
      </c>
      <c r="C2445" s="529">
        <v>2441</v>
      </c>
      <c r="E2445" s="534">
        <v>0</v>
      </c>
      <c r="F2445" s="534">
        <v>0</v>
      </c>
      <c r="G2445" s="534">
        <v>2</v>
      </c>
      <c r="I2445" s="534">
        <v>0</v>
      </c>
      <c r="J2445" s="534">
        <v>0</v>
      </c>
      <c r="K2445" s="534">
        <v>0</v>
      </c>
      <c r="M2445" s="617">
        <f t="shared" si="78"/>
        <v>0</v>
      </c>
      <c r="N2445" s="617">
        <f t="shared" si="79"/>
        <v>2</v>
      </c>
      <c r="O2445" s="617"/>
      <c r="P2445" s="123"/>
      <c r="R2445" s="123"/>
      <c r="S2445" s="123"/>
      <c r="U2445" s="123"/>
      <c r="V2445" s="123"/>
    </row>
    <row r="2446" spans="1:22" s="530" customFormat="1" ht="15" x14ac:dyDescent="0.25">
      <c r="A2446" s="123"/>
      <c r="B2446" s="529">
        <v>2441001</v>
      </c>
      <c r="C2446" s="529">
        <v>2442</v>
      </c>
      <c r="E2446" s="534">
        <v>0</v>
      </c>
      <c r="F2446" s="534">
        <v>0</v>
      </c>
      <c r="G2446" s="534">
        <v>2</v>
      </c>
      <c r="I2446" s="534">
        <v>0</v>
      </c>
      <c r="J2446" s="534">
        <v>0</v>
      </c>
      <c r="K2446" s="534">
        <v>0</v>
      </c>
      <c r="M2446" s="617">
        <f t="shared" si="78"/>
        <v>0</v>
      </c>
      <c r="N2446" s="617">
        <f t="shared" si="79"/>
        <v>2</v>
      </c>
      <c r="O2446" s="617"/>
      <c r="P2446" s="123"/>
      <c r="R2446" s="123"/>
      <c r="S2446" s="123"/>
      <c r="U2446" s="123"/>
      <c r="V2446" s="123"/>
    </row>
    <row r="2447" spans="1:22" s="530" customFormat="1" ht="15" x14ac:dyDescent="0.25">
      <c r="A2447" s="123"/>
      <c r="B2447" s="529">
        <v>2442001</v>
      </c>
      <c r="C2447" s="529">
        <v>2443</v>
      </c>
      <c r="E2447" s="534">
        <v>0</v>
      </c>
      <c r="F2447" s="534">
        <v>0</v>
      </c>
      <c r="G2447" s="534">
        <v>2</v>
      </c>
      <c r="I2447" s="534">
        <v>0</v>
      </c>
      <c r="J2447" s="534">
        <v>0</v>
      </c>
      <c r="K2447" s="534">
        <v>0</v>
      </c>
      <c r="M2447" s="617">
        <f t="shared" si="78"/>
        <v>0</v>
      </c>
      <c r="N2447" s="617">
        <f t="shared" si="79"/>
        <v>2</v>
      </c>
      <c r="O2447" s="617"/>
      <c r="P2447" s="123"/>
      <c r="R2447" s="123"/>
      <c r="S2447" s="123"/>
      <c r="U2447" s="123"/>
      <c r="V2447" s="123"/>
    </row>
    <row r="2448" spans="1:22" s="530" customFormat="1" ht="15" x14ac:dyDescent="0.25">
      <c r="A2448" s="123"/>
      <c r="B2448" s="529">
        <v>2443001</v>
      </c>
      <c r="C2448" s="529">
        <v>2444</v>
      </c>
      <c r="E2448" s="534">
        <v>0</v>
      </c>
      <c r="F2448" s="534">
        <v>0</v>
      </c>
      <c r="G2448" s="534">
        <v>2</v>
      </c>
      <c r="I2448" s="534">
        <v>0</v>
      </c>
      <c r="J2448" s="534">
        <v>0</v>
      </c>
      <c r="K2448" s="534">
        <v>0</v>
      </c>
      <c r="M2448" s="617">
        <f t="shared" si="78"/>
        <v>0</v>
      </c>
      <c r="N2448" s="617">
        <f t="shared" si="79"/>
        <v>2</v>
      </c>
      <c r="O2448" s="617"/>
      <c r="P2448" s="123"/>
      <c r="R2448" s="123"/>
      <c r="S2448" s="123"/>
      <c r="U2448" s="123"/>
      <c r="V2448" s="123"/>
    </row>
    <row r="2449" spans="1:22" s="530" customFormat="1" ht="15" x14ac:dyDescent="0.25">
      <c r="A2449" s="123"/>
      <c r="B2449" s="529">
        <v>2444001</v>
      </c>
      <c r="C2449" s="529">
        <v>2445</v>
      </c>
      <c r="E2449" s="534">
        <v>0</v>
      </c>
      <c r="F2449" s="534">
        <v>0</v>
      </c>
      <c r="G2449" s="534">
        <v>2</v>
      </c>
      <c r="I2449" s="534">
        <v>0</v>
      </c>
      <c r="J2449" s="534">
        <v>0</v>
      </c>
      <c r="K2449" s="534">
        <v>0</v>
      </c>
      <c r="M2449" s="617">
        <f t="shared" si="78"/>
        <v>0</v>
      </c>
      <c r="N2449" s="617">
        <f t="shared" si="79"/>
        <v>2</v>
      </c>
      <c r="O2449" s="617"/>
      <c r="P2449" s="123"/>
      <c r="R2449" s="123"/>
      <c r="S2449" s="123"/>
      <c r="U2449" s="123"/>
      <c r="V2449" s="123"/>
    </row>
    <row r="2450" spans="1:22" s="530" customFormat="1" ht="15" x14ac:dyDescent="0.25">
      <c r="A2450" s="123"/>
      <c r="B2450" s="529">
        <v>2445001</v>
      </c>
      <c r="C2450" s="529">
        <v>2446</v>
      </c>
      <c r="E2450" s="534">
        <v>0</v>
      </c>
      <c r="F2450" s="534">
        <v>0</v>
      </c>
      <c r="G2450" s="534">
        <v>2</v>
      </c>
      <c r="I2450" s="534">
        <v>0</v>
      </c>
      <c r="J2450" s="534">
        <v>0</v>
      </c>
      <c r="K2450" s="534">
        <v>0</v>
      </c>
      <c r="M2450" s="617">
        <f t="shared" si="78"/>
        <v>0</v>
      </c>
      <c r="N2450" s="617">
        <f t="shared" si="79"/>
        <v>2</v>
      </c>
      <c r="O2450" s="617"/>
      <c r="P2450" s="123"/>
      <c r="R2450" s="123"/>
      <c r="S2450" s="123"/>
      <c r="U2450" s="123"/>
      <c r="V2450" s="123"/>
    </row>
    <row r="2451" spans="1:22" s="530" customFormat="1" ht="15" x14ac:dyDescent="0.25">
      <c r="A2451" s="123"/>
      <c r="B2451" s="529">
        <v>2446001</v>
      </c>
      <c r="C2451" s="529">
        <v>2447</v>
      </c>
      <c r="E2451" s="534">
        <v>0</v>
      </c>
      <c r="F2451" s="534">
        <v>0</v>
      </c>
      <c r="G2451" s="534">
        <v>2</v>
      </c>
      <c r="I2451" s="534">
        <v>0</v>
      </c>
      <c r="J2451" s="534">
        <v>0</v>
      </c>
      <c r="K2451" s="534">
        <v>0</v>
      </c>
      <c r="M2451" s="617">
        <f t="shared" si="78"/>
        <v>0</v>
      </c>
      <c r="N2451" s="617">
        <f t="shared" si="79"/>
        <v>2</v>
      </c>
      <c r="O2451" s="617"/>
      <c r="P2451" s="123"/>
      <c r="R2451" s="123"/>
      <c r="S2451" s="123"/>
      <c r="U2451" s="123"/>
      <c r="V2451" s="123"/>
    </row>
    <row r="2452" spans="1:22" s="530" customFormat="1" ht="15" x14ac:dyDescent="0.25">
      <c r="A2452" s="123"/>
      <c r="B2452" s="529">
        <v>2447001</v>
      </c>
      <c r="C2452" s="529">
        <v>2448</v>
      </c>
      <c r="E2452" s="534">
        <v>0</v>
      </c>
      <c r="F2452" s="534">
        <v>0</v>
      </c>
      <c r="G2452" s="534">
        <v>2</v>
      </c>
      <c r="I2452" s="534">
        <v>0</v>
      </c>
      <c r="J2452" s="534">
        <v>0</v>
      </c>
      <c r="K2452" s="534">
        <v>0</v>
      </c>
      <c r="M2452" s="617">
        <f t="shared" si="78"/>
        <v>0</v>
      </c>
      <c r="N2452" s="617">
        <f t="shared" si="79"/>
        <v>2</v>
      </c>
      <c r="O2452" s="617"/>
      <c r="P2452" s="123"/>
      <c r="R2452" s="123"/>
      <c r="S2452" s="123"/>
      <c r="U2452" s="123"/>
      <c r="V2452" s="123"/>
    </row>
    <row r="2453" spans="1:22" s="530" customFormat="1" ht="15" x14ac:dyDescent="0.25">
      <c r="A2453" s="123"/>
      <c r="B2453" s="529">
        <v>2448001</v>
      </c>
      <c r="C2453" s="529">
        <v>2449</v>
      </c>
      <c r="E2453" s="534">
        <v>0</v>
      </c>
      <c r="F2453" s="534">
        <v>0</v>
      </c>
      <c r="G2453" s="534">
        <v>2</v>
      </c>
      <c r="I2453" s="534">
        <v>0</v>
      </c>
      <c r="J2453" s="534">
        <v>0</v>
      </c>
      <c r="K2453" s="534">
        <v>0</v>
      </c>
      <c r="M2453" s="617">
        <f t="shared" si="78"/>
        <v>0</v>
      </c>
      <c r="N2453" s="617">
        <f t="shared" si="79"/>
        <v>2</v>
      </c>
      <c r="O2453" s="617"/>
      <c r="P2453" s="123"/>
      <c r="R2453" s="123"/>
      <c r="S2453" s="123"/>
      <c r="U2453" s="123"/>
      <c r="V2453" s="123"/>
    </row>
    <row r="2454" spans="1:22" s="530" customFormat="1" ht="15" x14ac:dyDescent="0.25">
      <c r="A2454" s="123"/>
      <c r="B2454" s="529">
        <v>2449001</v>
      </c>
      <c r="C2454" s="529">
        <v>2450</v>
      </c>
      <c r="E2454" s="534">
        <v>0</v>
      </c>
      <c r="F2454" s="534">
        <v>0</v>
      </c>
      <c r="G2454" s="534">
        <v>2</v>
      </c>
      <c r="I2454" s="534">
        <v>0</v>
      </c>
      <c r="J2454" s="534">
        <v>0</v>
      </c>
      <c r="K2454" s="534">
        <v>0</v>
      </c>
      <c r="M2454" s="617">
        <f t="shared" si="78"/>
        <v>0</v>
      </c>
      <c r="N2454" s="617">
        <f t="shared" si="79"/>
        <v>2</v>
      </c>
      <c r="O2454" s="617"/>
      <c r="P2454" s="123"/>
      <c r="R2454" s="123"/>
      <c r="S2454" s="123"/>
      <c r="U2454" s="123"/>
      <c r="V2454" s="123"/>
    </row>
    <row r="2455" spans="1:22" s="530" customFormat="1" ht="15" x14ac:dyDescent="0.25">
      <c r="A2455" s="123"/>
      <c r="B2455" s="529">
        <v>2450001</v>
      </c>
      <c r="C2455" s="529">
        <v>2451</v>
      </c>
      <c r="E2455" s="534">
        <v>0</v>
      </c>
      <c r="F2455" s="534">
        <v>0</v>
      </c>
      <c r="G2455" s="534">
        <v>2</v>
      </c>
      <c r="I2455" s="534">
        <v>0</v>
      </c>
      <c r="J2455" s="534">
        <v>0</v>
      </c>
      <c r="K2455" s="534">
        <v>0</v>
      </c>
      <c r="M2455" s="617">
        <f t="shared" si="78"/>
        <v>0</v>
      </c>
      <c r="N2455" s="617">
        <f t="shared" si="79"/>
        <v>2</v>
      </c>
      <c r="O2455" s="617"/>
      <c r="P2455" s="123"/>
      <c r="R2455" s="123"/>
      <c r="S2455" s="123"/>
      <c r="U2455" s="123"/>
      <c r="V2455" s="123"/>
    </row>
    <row r="2456" spans="1:22" s="530" customFormat="1" ht="15" x14ac:dyDescent="0.25">
      <c r="A2456" s="123"/>
      <c r="B2456" s="529">
        <v>2451001</v>
      </c>
      <c r="C2456" s="529">
        <v>2452</v>
      </c>
      <c r="E2456" s="534">
        <v>0</v>
      </c>
      <c r="F2456" s="534">
        <v>0</v>
      </c>
      <c r="G2456" s="534">
        <v>2</v>
      </c>
      <c r="I2456" s="534">
        <v>0</v>
      </c>
      <c r="J2456" s="534">
        <v>0</v>
      </c>
      <c r="K2456" s="534">
        <v>0</v>
      </c>
      <c r="M2456" s="617">
        <f t="shared" si="78"/>
        <v>0</v>
      </c>
      <c r="N2456" s="617">
        <f t="shared" si="79"/>
        <v>2</v>
      </c>
      <c r="O2456" s="617"/>
      <c r="P2456" s="123"/>
      <c r="R2456" s="123"/>
      <c r="S2456" s="123"/>
      <c r="U2456" s="123"/>
      <c r="V2456" s="123"/>
    </row>
    <row r="2457" spans="1:22" s="530" customFormat="1" ht="15" x14ac:dyDescent="0.25">
      <c r="A2457" s="123"/>
      <c r="B2457" s="529">
        <v>2452001</v>
      </c>
      <c r="C2457" s="529">
        <v>2453</v>
      </c>
      <c r="E2457" s="534">
        <v>0</v>
      </c>
      <c r="F2457" s="534">
        <v>0</v>
      </c>
      <c r="G2457" s="534">
        <v>2</v>
      </c>
      <c r="I2457" s="534">
        <v>0</v>
      </c>
      <c r="J2457" s="534">
        <v>0</v>
      </c>
      <c r="K2457" s="534">
        <v>0</v>
      </c>
      <c r="M2457" s="617">
        <f t="shared" si="78"/>
        <v>0</v>
      </c>
      <c r="N2457" s="617">
        <f t="shared" si="79"/>
        <v>2</v>
      </c>
      <c r="O2457" s="617"/>
      <c r="P2457" s="123"/>
      <c r="R2457" s="123"/>
      <c r="S2457" s="123"/>
      <c r="U2457" s="123"/>
      <c r="V2457" s="123"/>
    </row>
    <row r="2458" spans="1:22" s="530" customFormat="1" ht="15" x14ac:dyDescent="0.25">
      <c r="A2458" s="123"/>
      <c r="B2458" s="529">
        <v>2453001</v>
      </c>
      <c r="C2458" s="529">
        <v>2454</v>
      </c>
      <c r="E2458" s="534">
        <v>0</v>
      </c>
      <c r="F2458" s="534">
        <v>0</v>
      </c>
      <c r="G2458" s="534">
        <v>2</v>
      </c>
      <c r="I2458" s="534">
        <v>0</v>
      </c>
      <c r="J2458" s="534">
        <v>0</v>
      </c>
      <c r="K2458" s="534">
        <v>0</v>
      </c>
      <c r="M2458" s="617">
        <f t="shared" si="78"/>
        <v>0</v>
      </c>
      <c r="N2458" s="617">
        <f t="shared" si="79"/>
        <v>2</v>
      </c>
      <c r="O2458" s="617"/>
      <c r="P2458" s="123"/>
      <c r="R2458" s="123"/>
      <c r="S2458" s="123"/>
      <c r="U2458" s="123"/>
      <c r="V2458" s="123"/>
    </row>
    <row r="2459" spans="1:22" s="530" customFormat="1" ht="15" x14ac:dyDescent="0.25">
      <c r="A2459" s="123"/>
      <c r="B2459" s="529">
        <v>2454001</v>
      </c>
      <c r="C2459" s="529">
        <v>2455</v>
      </c>
      <c r="E2459" s="534">
        <v>0</v>
      </c>
      <c r="F2459" s="534">
        <v>0</v>
      </c>
      <c r="G2459" s="534">
        <v>2</v>
      </c>
      <c r="I2459" s="534">
        <v>0</v>
      </c>
      <c r="J2459" s="534">
        <v>0</v>
      </c>
      <c r="K2459" s="534">
        <v>0</v>
      </c>
      <c r="M2459" s="617">
        <f t="shared" si="78"/>
        <v>0</v>
      </c>
      <c r="N2459" s="617">
        <f t="shared" si="79"/>
        <v>2</v>
      </c>
      <c r="O2459" s="617"/>
      <c r="P2459" s="123"/>
      <c r="R2459" s="123"/>
      <c r="S2459" s="123"/>
      <c r="U2459" s="123"/>
      <c r="V2459" s="123"/>
    </row>
    <row r="2460" spans="1:22" s="530" customFormat="1" ht="15" x14ac:dyDescent="0.25">
      <c r="A2460" s="123"/>
      <c r="B2460" s="529">
        <v>2455001</v>
      </c>
      <c r="C2460" s="529">
        <v>2456</v>
      </c>
      <c r="E2460" s="534">
        <v>0</v>
      </c>
      <c r="F2460" s="534">
        <v>0</v>
      </c>
      <c r="G2460" s="534">
        <v>2</v>
      </c>
      <c r="I2460" s="534">
        <v>0</v>
      </c>
      <c r="J2460" s="534">
        <v>0</v>
      </c>
      <c r="K2460" s="534">
        <v>0</v>
      </c>
      <c r="M2460" s="617">
        <f t="shared" si="78"/>
        <v>0</v>
      </c>
      <c r="N2460" s="617">
        <f t="shared" si="79"/>
        <v>2</v>
      </c>
      <c r="O2460" s="617"/>
      <c r="P2460" s="123"/>
      <c r="R2460" s="123"/>
      <c r="S2460" s="123"/>
      <c r="U2460" s="123"/>
      <c r="V2460" s="123"/>
    </row>
    <row r="2461" spans="1:22" s="530" customFormat="1" ht="15" x14ac:dyDescent="0.25">
      <c r="A2461" s="123"/>
      <c r="B2461" s="529">
        <v>2456001</v>
      </c>
      <c r="C2461" s="529">
        <v>2457</v>
      </c>
      <c r="E2461" s="534">
        <v>0</v>
      </c>
      <c r="F2461" s="534">
        <v>0</v>
      </c>
      <c r="G2461" s="534">
        <v>2</v>
      </c>
      <c r="I2461" s="534">
        <v>0</v>
      </c>
      <c r="J2461" s="534">
        <v>0</v>
      </c>
      <c r="K2461" s="534">
        <v>0</v>
      </c>
      <c r="M2461" s="617">
        <f t="shared" si="78"/>
        <v>0</v>
      </c>
      <c r="N2461" s="617">
        <f t="shared" si="79"/>
        <v>2</v>
      </c>
      <c r="O2461" s="617"/>
      <c r="P2461" s="123"/>
      <c r="R2461" s="123"/>
      <c r="S2461" s="123"/>
      <c r="U2461" s="123"/>
      <c r="V2461" s="123"/>
    </row>
    <row r="2462" spans="1:22" s="530" customFormat="1" ht="15" x14ac:dyDescent="0.25">
      <c r="A2462" s="123"/>
      <c r="B2462" s="529">
        <v>2457001</v>
      </c>
      <c r="C2462" s="529">
        <v>2458</v>
      </c>
      <c r="E2462" s="534">
        <v>0</v>
      </c>
      <c r="F2462" s="534">
        <v>0</v>
      </c>
      <c r="G2462" s="534">
        <v>2</v>
      </c>
      <c r="I2462" s="534">
        <v>0</v>
      </c>
      <c r="J2462" s="534">
        <v>0</v>
      </c>
      <c r="K2462" s="534">
        <v>0</v>
      </c>
      <c r="M2462" s="617">
        <f t="shared" si="78"/>
        <v>0</v>
      </c>
      <c r="N2462" s="617">
        <f t="shared" si="79"/>
        <v>2</v>
      </c>
      <c r="O2462" s="617"/>
      <c r="P2462" s="123"/>
      <c r="R2462" s="123"/>
      <c r="S2462" s="123"/>
      <c r="U2462" s="123"/>
      <c r="V2462" s="123"/>
    </row>
    <row r="2463" spans="1:22" s="530" customFormat="1" ht="15" x14ac:dyDescent="0.25">
      <c r="A2463" s="123"/>
      <c r="B2463" s="529">
        <v>2458001</v>
      </c>
      <c r="C2463" s="529">
        <v>2459</v>
      </c>
      <c r="E2463" s="534">
        <v>0</v>
      </c>
      <c r="F2463" s="534">
        <v>0</v>
      </c>
      <c r="G2463" s="534">
        <v>2</v>
      </c>
      <c r="I2463" s="534">
        <v>0</v>
      </c>
      <c r="J2463" s="534">
        <v>0</v>
      </c>
      <c r="K2463" s="534">
        <v>0</v>
      </c>
      <c r="M2463" s="617">
        <f t="shared" si="78"/>
        <v>0</v>
      </c>
      <c r="N2463" s="617">
        <f t="shared" si="79"/>
        <v>2</v>
      </c>
      <c r="O2463" s="617"/>
      <c r="P2463" s="123"/>
      <c r="R2463" s="123"/>
      <c r="S2463" s="123"/>
      <c r="U2463" s="123"/>
      <c r="V2463" s="123"/>
    </row>
    <row r="2464" spans="1:22" s="530" customFormat="1" ht="15" x14ac:dyDescent="0.25">
      <c r="A2464" s="123"/>
      <c r="B2464" s="529">
        <v>2459001</v>
      </c>
      <c r="C2464" s="529">
        <v>2460</v>
      </c>
      <c r="E2464" s="534">
        <v>0</v>
      </c>
      <c r="F2464" s="534">
        <v>0</v>
      </c>
      <c r="G2464" s="534">
        <v>2</v>
      </c>
      <c r="I2464" s="534">
        <v>0</v>
      </c>
      <c r="J2464" s="534">
        <v>0</v>
      </c>
      <c r="K2464" s="534">
        <v>0</v>
      </c>
      <c r="M2464" s="617">
        <f t="shared" si="78"/>
        <v>0</v>
      </c>
      <c r="N2464" s="617">
        <f t="shared" si="79"/>
        <v>2</v>
      </c>
      <c r="O2464" s="617"/>
      <c r="P2464" s="123"/>
      <c r="R2464" s="123"/>
      <c r="S2464" s="123"/>
      <c r="U2464" s="123"/>
      <c r="V2464" s="123"/>
    </row>
    <row r="2465" spans="1:22" s="530" customFormat="1" ht="15" x14ac:dyDescent="0.25">
      <c r="A2465" s="123"/>
      <c r="B2465" s="529">
        <v>2460001</v>
      </c>
      <c r="C2465" s="529">
        <v>2461</v>
      </c>
      <c r="E2465" s="534">
        <v>0</v>
      </c>
      <c r="F2465" s="534">
        <v>0</v>
      </c>
      <c r="G2465" s="534">
        <v>2</v>
      </c>
      <c r="I2465" s="534">
        <v>0</v>
      </c>
      <c r="J2465" s="534">
        <v>0</v>
      </c>
      <c r="K2465" s="534">
        <v>0</v>
      </c>
      <c r="M2465" s="617">
        <f t="shared" si="78"/>
        <v>0</v>
      </c>
      <c r="N2465" s="617">
        <f t="shared" si="79"/>
        <v>2</v>
      </c>
      <c r="O2465" s="617"/>
      <c r="P2465" s="123"/>
      <c r="R2465" s="123"/>
      <c r="S2465" s="123"/>
      <c r="U2465" s="123"/>
      <c r="V2465" s="123"/>
    </row>
    <row r="2466" spans="1:22" s="530" customFormat="1" ht="15" x14ac:dyDescent="0.25">
      <c r="A2466" s="123"/>
      <c r="B2466" s="529">
        <v>2461001</v>
      </c>
      <c r="C2466" s="529">
        <v>2462</v>
      </c>
      <c r="E2466" s="534">
        <v>0</v>
      </c>
      <c r="F2466" s="534">
        <v>0</v>
      </c>
      <c r="G2466" s="534">
        <v>2</v>
      </c>
      <c r="I2466" s="534">
        <v>0</v>
      </c>
      <c r="J2466" s="534">
        <v>0</v>
      </c>
      <c r="K2466" s="534">
        <v>0</v>
      </c>
      <c r="M2466" s="617">
        <f t="shared" si="78"/>
        <v>0</v>
      </c>
      <c r="N2466" s="617">
        <f t="shared" si="79"/>
        <v>2</v>
      </c>
      <c r="O2466" s="617"/>
      <c r="P2466" s="123"/>
      <c r="R2466" s="123"/>
      <c r="S2466" s="123"/>
      <c r="U2466" s="123"/>
      <c r="V2466" s="123"/>
    </row>
    <row r="2467" spans="1:22" s="530" customFormat="1" ht="15" x14ac:dyDescent="0.25">
      <c r="A2467" s="123"/>
      <c r="B2467" s="529">
        <v>2462001</v>
      </c>
      <c r="C2467" s="529">
        <v>2463</v>
      </c>
      <c r="E2467" s="534">
        <v>0</v>
      </c>
      <c r="F2467" s="534">
        <v>0</v>
      </c>
      <c r="G2467" s="534">
        <v>2</v>
      </c>
      <c r="I2467" s="534">
        <v>0</v>
      </c>
      <c r="J2467" s="534">
        <v>0</v>
      </c>
      <c r="K2467" s="534">
        <v>0</v>
      </c>
      <c r="M2467" s="617">
        <f t="shared" si="78"/>
        <v>0</v>
      </c>
      <c r="N2467" s="617">
        <f t="shared" si="79"/>
        <v>2</v>
      </c>
      <c r="O2467" s="617"/>
      <c r="P2467" s="123"/>
      <c r="R2467" s="123"/>
      <c r="S2467" s="123"/>
      <c r="U2467" s="123"/>
      <c r="V2467" s="123"/>
    </row>
    <row r="2468" spans="1:22" s="530" customFormat="1" ht="15" x14ac:dyDescent="0.25">
      <c r="A2468" s="123"/>
      <c r="B2468" s="529">
        <v>2463001</v>
      </c>
      <c r="C2468" s="529">
        <v>2464</v>
      </c>
      <c r="E2468" s="534">
        <v>0</v>
      </c>
      <c r="F2468" s="534">
        <v>0</v>
      </c>
      <c r="G2468" s="534">
        <v>2</v>
      </c>
      <c r="I2468" s="534">
        <v>0</v>
      </c>
      <c r="J2468" s="534">
        <v>0</v>
      </c>
      <c r="K2468" s="534">
        <v>0</v>
      </c>
      <c r="M2468" s="617">
        <f t="shared" si="78"/>
        <v>0</v>
      </c>
      <c r="N2468" s="617">
        <f t="shared" si="79"/>
        <v>2</v>
      </c>
      <c r="O2468" s="617"/>
      <c r="P2468" s="123"/>
      <c r="R2468" s="123"/>
      <c r="S2468" s="123"/>
      <c r="U2468" s="123"/>
      <c r="V2468" s="123"/>
    </row>
    <row r="2469" spans="1:22" s="530" customFormat="1" ht="15" x14ac:dyDescent="0.25">
      <c r="A2469" s="123"/>
      <c r="B2469" s="529">
        <v>2464001</v>
      </c>
      <c r="C2469" s="529">
        <v>2465</v>
      </c>
      <c r="E2469" s="534">
        <v>0</v>
      </c>
      <c r="F2469" s="534">
        <v>0</v>
      </c>
      <c r="G2469" s="534">
        <v>2</v>
      </c>
      <c r="I2469" s="534">
        <v>0</v>
      </c>
      <c r="J2469" s="534">
        <v>0</v>
      </c>
      <c r="K2469" s="534">
        <v>0</v>
      </c>
      <c r="M2469" s="617">
        <f t="shared" si="78"/>
        <v>0</v>
      </c>
      <c r="N2469" s="617">
        <f t="shared" si="79"/>
        <v>2</v>
      </c>
      <c r="O2469" s="617"/>
      <c r="P2469" s="123"/>
      <c r="R2469" s="123"/>
      <c r="S2469" s="123"/>
      <c r="U2469" s="123"/>
      <c r="V2469" s="123"/>
    </row>
    <row r="2470" spans="1:22" s="530" customFormat="1" ht="15" x14ac:dyDescent="0.25">
      <c r="A2470" s="123"/>
      <c r="B2470" s="529">
        <v>2465001</v>
      </c>
      <c r="C2470" s="529">
        <v>2466</v>
      </c>
      <c r="E2470" s="534">
        <v>0</v>
      </c>
      <c r="F2470" s="534">
        <v>0</v>
      </c>
      <c r="G2470" s="534">
        <v>2</v>
      </c>
      <c r="I2470" s="534">
        <v>0</v>
      </c>
      <c r="J2470" s="534">
        <v>0</v>
      </c>
      <c r="K2470" s="534">
        <v>0</v>
      </c>
      <c r="M2470" s="617">
        <f t="shared" si="78"/>
        <v>0</v>
      </c>
      <c r="N2470" s="617">
        <f t="shared" si="79"/>
        <v>2</v>
      </c>
      <c r="O2470" s="617"/>
      <c r="P2470" s="123"/>
      <c r="R2470" s="123"/>
      <c r="S2470" s="123"/>
      <c r="U2470" s="123"/>
      <c r="V2470" s="123"/>
    </row>
    <row r="2471" spans="1:22" s="530" customFormat="1" ht="15" x14ac:dyDescent="0.25">
      <c r="A2471" s="123"/>
      <c r="B2471" s="529">
        <v>2466001</v>
      </c>
      <c r="C2471" s="529">
        <v>2467</v>
      </c>
      <c r="E2471" s="534">
        <v>0</v>
      </c>
      <c r="F2471" s="534">
        <v>0</v>
      </c>
      <c r="G2471" s="534">
        <v>2</v>
      </c>
      <c r="I2471" s="534">
        <v>0</v>
      </c>
      <c r="J2471" s="534">
        <v>0</v>
      </c>
      <c r="K2471" s="534">
        <v>0</v>
      </c>
      <c r="M2471" s="617">
        <f t="shared" si="78"/>
        <v>0</v>
      </c>
      <c r="N2471" s="617">
        <f t="shared" si="79"/>
        <v>2</v>
      </c>
      <c r="O2471" s="617"/>
      <c r="P2471" s="123"/>
      <c r="R2471" s="123"/>
      <c r="S2471" s="123"/>
      <c r="U2471" s="123"/>
      <c r="V2471" s="123"/>
    </row>
    <row r="2472" spans="1:22" s="530" customFormat="1" ht="15" x14ac:dyDescent="0.25">
      <c r="A2472" s="123"/>
      <c r="B2472" s="529">
        <v>2467001</v>
      </c>
      <c r="C2472" s="529">
        <v>2468</v>
      </c>
      <c r="E2472" s="534">
        <v>0</v>
      </c>
      <c r="F2472" s="534">
        <v>0</v>
      </c>
      <c r="G2472" s="534">
        <v>2</v>
      </c>
      <c r="I2472" s="534">
        <v>0</v>
      </c>
      <c r="J2472" s="534">
        <v>0</v>
      </c>
      <c r="K2472" s="534">
        <v>0</v>
      </c>
      <c r="M2472" s="617">
        <f t="shared" si="78"/>
        <v>0</v>
      </c>
      <c r="N2472" s="617">
        <f t="shared" si="79"/>
        <v>2</v>
      </c>
      <c r="O2472" s="617"/>
      <c r="P2472" s="123"/>
      <c r="R2472" s="123"/>
      <c r="S2472" s="123"/>
      <c r="U2472" s="123"/>
      <c r="V2472" s="123"/>
    </row>
    <row r="2473" spans="1:22" s="530" customFormat="1" ht="15" x14ac:dyDescent="0.25">
      <c r="A2473" s="123"/>
      <c r="B2473" s="529">
        <v>2468001</v>
      </c>
      <c r="C2473" s="529">
        <v>2469</v>
      </c>
      <c r="E2473" s="534">
        <v>0</v>
      </c>
      <c r="F2473" s="534">
        <v>0</v>
      </c>
      <c r="G2473" s="534">
        <v>2</v>
      </c>
      <c r="I2473" s="534">
        <v>0</v>
      </c>
      <c r="J2473" s="534">
        <v>0</v>
      </c>
      <c r="K2473" s="534">
        <v>0</v>
      </c>
      <c r="M2473" s="617">
        <f t="shared" si="78"/>
        <v>0</v>
      </c>
      <c r="N2473" s="617">
        <f t="shared" si="79"/>
        <v>2</v>
      </c>
      <c r="O2473" s="617"/>
      <c r="P2473" s="123"/>
      <c r="R2473" s="123"/>
      <c r="S2473" s="123"/>
      <c r="U2473" s="123"/>
      <c r="V2473" s="123"/>
    </row>
    <row r="2474" spans="1:22" s="530" customFormat="1" ht="15" x14ac:dyDescent="0.25">
      <c r="A2474" s="123"/>
      <c r="B2474" s="529">
        <v>2469001</v>
      </c>
      <c r="C2474" s="529">
        <v>2470</v>
      </c>
      <c r="E2474" s="534">
        <v>0</v>
      </c>
      <c r="F2474" s="534">
        <v>0</v>
      </c>
      <c r="G2474" s="534">
        <v>2</v>
      </c>
      <c r="I2474" s="534">
        <v>0</v>
      </c>
      <c r="J2474" s="534">
        <v>0</v>
      </c>
      <c r="K2474" s="534">
        <v>0</v>
      </c>
      <c r="M2474" s="617">
        <f t="shared" si="78"/>
        <v>0</v>
      </c>
      <c r="N2474" s="617">
        <f t="shared" si="79"/>
        <v>2</v>
      </c>
      <c r="O2474" s="617"/>
      <c r="P2474" s="123"/>
      <c r="R2474" s="123"/>
      <c r="S2474" s="123"/>
      <c r="U2474" s="123"/>
      <c r="V2474" s="123"/>
    </row>
    <row r="2475" spans="1:22" s="530" customFormat="1" ht="15" x14ac:dyDescent="0.25">
      <c r="A2475" s="123"/>
      <c r="B2475" s="529">
        <v>2470001</v>
      </c>
      <c r="C2475" s="529">
        <v>2471</v>
      </c>
      <c r="E2475" s="534">
        <v>0</v>
      </c>
      <c r="F2475" s="534">
        <v>0</v>
      </c>
      <c r="G2475" s="534">
        <v>2</v>
      </c>
      <c r="I2475" s="534">
        <v>0</v>
      </c>
      <c r="J2475" s="534">
        <v>0</v>
      </c>
      <c r="K2475" s="534">
        <v>0</v>
      </c>
      <c r="M2475" s="617">
        <f t="shared" si="78"/>
        <v>0</v>
      </c>
      <c r="N2475" s="617">
        <f t="shared" si="79"/>
        <v>2</v>
      </c>
      <c r="O2475" s="617"/>
      <c r="P2475" s="123"/>
      <c r="R2475" s="123"/>
      <c r="S2475" s="123"/>
      <c r="U2475" s="123"/>
      <c r="V2475" s="123"/>
    </row>
    <row r="2476" spans="1:22" s="530" customFormat="1" ht="15" x14ac:dyDescent="0.25">
      <c r="A2476" s="123"/>
      <c r="B2476" s="529">
        <v>2471001</v>
      </c>
      <c r="C2476" s="529">
        <v>2472</v>
      </c>
      <c r="E2476" s="534">
        <v>0</v>
      </c>
      <c r="F2476" s="534">
        <v>0</v>
      </c>
      <c r="G2476" s="534">
        <v>2</v>
      </c>
      <c r="I2476" s="534">
        <v>0</v>
      </c>
      <c r="J2476" s="534">
        <v>0</v>
      </c>
      <c r="K2476" s="534">
        <v>0</v>
      </c>
      <c r="M2476" s="617">
        <f t="shared" si="78"/>
        <v>0</v>
      </c>
      <c r="N2476" s="617">
        <f t="shared" si="79"/>
        <v>2</v>
      </c>
      <c r="O2476" s="617"/>
      <c r="P2476" s="123"/>
      <c r="R2476" s="123"/>
      <c r="S2476" s="123"/>
      <c r="U2476" s="123"/>
      <c r="V2476" s="123"/>
    </row>
    <row r="2477" spans="1:22" s="530" customFormat="1" ht="15" x14ac:dyDescent="0.25">
      <c r="A2477" s="123"/>
      <c r="B2477" s="529">
        <v>2472001</v>
      </c>
      <c r="C2477" s="529">
        <v>2473</v>
      </c>
      <c r="E2477" s="534">
        <v>0</v>
      </c>
      <c r="F2477" s="534">
        <v>0</v>
      </c>
      <c r="G2477" s="534">
        <v>2</v>
      </c>
      <c r="I2477" s="534">
        <v>0</v>
      </c>
      <c r="J2477" s="534">
        <v>0</v>
      </c>
      <c r="K2477" s="534">
        <v>0</v>
      </c>
      <c r="M2477" s="617">
        <f t="shared" si="78"/>
        <v>0</v>
      </c>
      <c r="N2477" s="617">
        <f t="shared" si="79"/>
        <v>2</v>
      </c>
      <c r="O2477" s="617"/>
      <c r="P2477" s="123"/>
      <c r="R2477" s="123"/>
      <c r="S2477" s="123"/>
      <c r="U2477" s="123"/>
      <c r="V2477" s="123"/>
    </row>
    <row r="2478" spans="1:22" s="530" customFormat="1" ht="15" x14ac:dyDescent="0.25">
      <c r="A2478" s="123"/>
      <c r="B2478" s="529">
        <v>2473001</v>
      </c>
      <c r="C2478" s="529">
        <v>2474</v>
      </c>
      <c r="E2478" s="534">
        <v>0</v>
      </c>
      <c r="F2478" s="534">
        <v>0</v>
      </c>
      <c r="G2478" s="534">
        <v>2</v>
      </c>
      <c r="I2478" s="534">
        <v>0</v>
      </c>
      <c r="J2478" s="534">
        <v>0</v>
      </c>
      <c r="K2478" s="534">
        <v>0</v>
      </c>
      <c r="M2478" s="617">
        <f t="shared" si="78"/>
        <v>0</v>
      </c>
      <c r="N2478" s="617">
        <f t="shared" si="79"/>
        <v>2</v>
      </c>
      <c r="O2478" s="617"/>
      <c r="P2478" s="123"/>
      <c r="R2478" s="123"/>
      <c r="S2478" s="123"/>
      <c r="U2478" s="123"/>
      <c r="V2478" s="123"/>
    </row>
    <row r="2479" spans="1:22" s="530" customFormat="1" ht="15" x14ac:dyDescent="0.25">
      <c r="A2479" s="123"/>
      <c r="B2479" s="529">
        <v>2474001</v>
      </c>
      <c r="C2479" s="529">
        <v>2475</v>
      </c>
      <c r="E2479" s="534">
        <v>0</v>
      </c>
      <c r="F2479" s="534">
        <v>0</v>
      </c>
      <c r="G2479" s="534">
        <v>2</v>
      </c>
      <c r="I2479" s="534">
        <v>0</v>
      </c>
      <c r="J2479" s="534">
        <v>0</v>
      </c>
      <c r="K2479" s="534">
        <v>0</v>
      </c>
      <c r="M2479" s="617">
        <f t="shared" si="78"/>
        <v>0</v>
      </c>
      <c r="N2479" s="617">
        <f t="shared" si="79"/>
        <v>2</v>
      </c>
      <c r="O2479" s="617"/>
      <c r="P2479" s="123"/>
      <c r="R2479" s="123"/>
      <c r="S2479" s="123"/>
      <c r="U2479" s="123"/>
      <c r="V2479" s="123"/>
    </row>
    <row r="2480" spans="1:22" s="530" customFormat="1" ht="15" x14ac:dyDescent="0.25">
      <c r="A2480" s="123"/>
      <c r="B2480" s="529">
        <v>2475001</v>
      </c>
      <c r="C2480" s="529">
        <v>2476</v>
      </c>
      <c r="E2480" s="534">
        <v>0</v>
      </c>
      <c r="F2480" s="534">
        <v>0</v>
      </c>
      <c r="G2480" s="534">
        <v>2</v>
      </c>
      <c r="I2480" s="534">
        <v>0</v>
      </c>
      <c r="J2480" s="534">
        <v>0</v>
      </c>
      <c r="K2480" s="534">
        <v>0</v>
      </c>
      <c r="M2480" s="617">
        <f t="shared" si="78"/>
        <v>0</v>
      </c>
      <c r="N2480" s="617">
        <f t="shared" si="79"/>
        <v>2</v>
      </c>
      <c r="O2480" s="617"/>
      <c r="P2480" s="123"/>
      <c r="R2480" s="123"/>
      <c r="S2480" s="123"/>
      <c r="U2480" s="123"/>
      <c r="V2480" s="123"/>
    </row>
    <row r="2481" spans="1:22" s="530" customFormat="1" ht="15" x14ac:dyDescent="0.25">
      <c r="A2481" s="123"/>
      <c r="B2481" s="529">
        <v>2476001</v>
      </c>
      <c r="C2481" s="529">
        <v>2477</v>
      </c>
      <c r="E2481" s="534">
        <v>0</v>
      </c>
      <c r="F2481" s="534">
        <v>0</v>
      </c>
      <c r="G2481" s="534">
        <v>2</v>
      </c>
      <c r="I2481" s="534">
        <v>0</v>
      </c>
      <c r="J2481" s="534">
        <v>0</v>
      </c>
      <c r="K2481" s="534">
        <v>0</v>
      </c>
      <c r="M2481" s="617">
        <f t="shared" si="78"/>
        <v>0</v>
      </c>
      <c r="N2481" s="617">
        <f t="shared" si="79"/>
        <v>2</v>
      </c>
      <c r="O2481" s="617"/>
      <c r="P2481" s="123"/>
      <c r="R2481" s="123"/>
      <c r="S2481" s="123"/>
      <c r="U2481" s="123"/>
      <c r="V2481" s="123"/>
    </row>
    <row r="2482" spans="1:22" s="530" customFormat="1" ht="15" x14ac:dyDescent="0.25">
      <c r="A2482" s="123"/>
      <c r="B2482" s="529">
        <v>2477001</v>
      </c>
      <c r="C2482" s="529">
        <v>2478</v>
      </c>
      <c r="E2482" s="534">
        <v>0</v>
      </c>
      <c r="F2482" s="534">
        <v>0</v>
      </c>
      <c r="G2482" s="534">
        <v>2</v>
      </c>
      <c r="I2482" s="534">
        <v>0</v>
      </c>
      <c r="J2482" s="534">
        <v>0</v>
      </c>
      <c r="K2482" s="534">
        <v>0</v>
      </c>
      <c r="M2482" s="617">
        <f t="shared" si="78"/>
        <v>0</v>
      </c>
      <c r="N2482" s="617">
        <f t="shared" si="79"/>
        <v>2</v>
      </c>
      <c r="O2482" s="617"/>
      <c r="P2482" s="123"/>
      <c r="R2482" s="123"/>
      <c r="S2482" s="123"/>
      <c r="U2482" s="123"/>
      <c r="V2482" s="123"/>
    </row>
    <row r="2483" spans="1:22" s="530" customFormat="1" ht="15" x14ac:dyDescent="0.25">
      <c r="A2483" s="123"/>
      <c r="B2483" s="529">
        <v>2478001</v>
      </c>
      <c r="C2483" s="529">
        <v>2479</v>
      </c>
      <c r="E2483" s="534">
        <v>0</v>
      </c>
      <c r="F2483" s="534">
        <v>0</v>
      </c>
      <c r="G2483" s="534">
        <v>2</v>
      </c>
      <c r="I2483" s="534">
        <v>0</v>
      </c>
      <c r="J2483" s="534">
        <v>0</v>
      </c>
      <c r="K2483" s="534">
        <v>0</v>
      </c>
      <c r="M2483" s="617">
        <f t="shared" si="78"/>
        <v>0</v>
      </c>
      <c r="N2483" s="617">
        <f t="shared" si="79"/>
        <v>2</v>
      </c>
      <c r="O2483" s="617"/>
      <c r="P2483" s="123"/>
      <c r="R2483" s="123"/>
      <c r="S2483" s="123"/>
      <c r="U2483" s="123"/>
      <c r="V2483" s="123"/>
    </row>
    <row r="2484" spans="1:22" s="530" customFormat="1" ht="15" x14ac:dyDescent="0.25">
      <c r="A2484" s="123"/>
      <c r="B2484" s="529">
        <v>2479001</v>
      </c>
      <c r="C2484" s="529">
        <v>2480</v>
      </c>
      <c r="E2484" s="534">
        <v>0</v>
      </c>
      <c r="F2484" s="534">
        <v>0</v>
      </c>
      <c r="G2484" s="534">
        <v>2</v>
      </c>
      <c r="I2484" s="534">
        <v>0</v>
      </c>
      <c r="J2484" s="534">
        <v>0</v>
      </c>
      <c r="K2484" s="534">
        <v>0</v>
      </c>
      <c r="M2484" s="617">
        <f t="shared" si="78"/>
        <v>0</v>
      </c>
      <c r="N2484" s="617">
        <f t="shared" si="79"/>
        <v>2</v>
      </c>
      <c r="O2484" s="617"/>
      <c r="P2484" s="123"/>
      <c r="R2484" s="123"/>
      <c r="S2484" s="123"/>
      <c r="U2484" s="123"/>
      <c r="V2484" s="123"/>
    </row>
    <row r="2485" spans="1:22" s="530" customFormat="1" ht="15" x14ac:dyDescent="0.25">
      <c r="A2485" s="123"/>
      <c r="B2485" s="529">
        <v>2480001</v>
      </c>
      <c r="C2485" s="529">
        <v>2481</v>
      </c>
      <c r="E2485" s="534">
        <v>0</v>
      </c>
      <c r="F2485" s="534">
        <v>0</v>
      </c>
      <c r="G2485" s="534">
        <v>2</v>
      </c>
      <c r="I2485" s="534">
        <v>0</v>
      </c>
      <c r="J2485" s="534">
        <v>0</v>
      </c>
      <c r="K2485" s="534">
        <v>0</v>
      </c>
      <c r="M2485" s="617">
        <f t="shared" si="78"/>
        <v>0</v>
      </c>
      <c r="N2485" s="617">
        <f t="shared" si="79"/>
        <v>2</v>
      </c>
      <c r="O2485" s="617"/>
      <c r="P2485" s="123"/>
      <c r="R2485" s="123"/>
      <c r="S2485" s="123"/>
      <c r="U2485" s="123"/>
      <c r="V2485" s="123"/>
    </row>
    <row r="2486" spans="1:22" s="530" customFormat="1" ht="15" x14ac:dyDescent="0.25">
      <c r="A2486" s="123"/>
      <c r="B2486" s="529">
        <v>2481001</v>
      </c>
      <c r="C2486" s="529">
        <v>2482</v>
      </c>
      <c r="E2486" s="534">
        <v>0</v>
      </c>
      <c r="F2486" s="534">
        <v>0</v>
      </c>
      <c r="G2486" s="534">
        <v>2</v>
      </c>
      <c r="I2486" s="534">
        <v>0</v>
      </c>
      <c r="J2486" s="534">
        <v>0</v>
      </c>
      <c r="K2486" s="534">
        <v>0</v>
      </c>
      <c r="M2486" s="617">
        <f t="shared" si="78"/>
        <v>0</v>
      </c>
      <c r="N2486" s="617">
        <f t="shared" si="79"/>
        <v>2</v>
      </c>
      <c r="O2486" s="617"/>
      <c r="P2486" s="123"/>
      <c r="R2486" s="123"/>
      <c r="S2486" s="123"/>
      <c r="U2486" s="123"/>
      <c r="V2486" s="123"/>
    </row>
    <row r="2487" spans="1:22" s="530" customFormat="1" ht="15" x14ac:dyDescent="0.25">
      <c r="A2487" s="123"/>
      <c r="B2487" s="529">
        <v>2482001</v>
      </c>
      <c r="C2487" s="529">
        <v>2483</v>
      </c>
      <c r="E2487" s="534">
        <v>0</v>
      </c>
      <c r="F2487" s="534">
        <v>0</v>
      </c>
      <c r="G2487" s="534">
        <v>2</v>
      </c>
      <c r="I2487" s="534">
        <v>0</v>
      </c>
      <c r="J2487" s="534">
        <v>0</v>
      </c>
      <c r="K2487" s="534">
        <v>0</v>
      </c>
      <c r="M2487" s="617">
        <f t="shared" si="78"/>
        <v>0</v>
      </c>
      <c r="N2487" s="617">
        <f t="shared" si="79"/>
        <v>2</v>
      </c>
      <c r="O2487" s="617"/>
      <c r="P2487" s="123"/>
      <c r="R2487" s="123"/>
      <c r="S2487" s="123"/>
      <c r="U2487" s="123"/>
      <c r="V2487" s="123"/>
    </row>
    <row r="2488" spans="1:22" s="530" customFormat="1" ht="15" x14ac:dyDescent="0.25">
      <c r="A2488" s="123"/>
      <c r="B2488" s="529">
        <v>2483001</v>
      </c>
      <c r="C2488" s="529">
        <v>2484</v>
      </c>
      <c r="E2488" s="534">
        <v>0</v>
      </c>
      <c r="F2488" s="534">
        <v>0</v>
      </c>
      <c r="G2488" s="534">
        <v>2</v>
      </c>
      <c r="I2488" s="534">
        <v>0</v>
      </c>
      <c r="J2488" s="534">
        <v>0</v>
      </c>
      <c r="K2488" s="534">
        <v>0</v>
      </c>
      <c r="M2488" s="617">
        <f t="shared" si="78"/>
        <v>0</v>
      </c>
      <c r="N2488" s="617">
        <f t="shared" si="79"/>
        <v>2</v>
      </c>
      <c r="O2488" s="617"/>
      <c r="P2488" s="123"/>
      <c r="R2488" s="123"/>
      <c r="S2488" s="123"/>
      <c r="U2488" s="123"/>
      <c r="V2488" s="123"/>
    </row>
    <row r="2489" spans="1:22" s="530" customFormat="1" ht="15" x14ac:dyDescent="0.25">
      <c r="A2489" s="123"/>
      <c r="B2489" s="529">
        <v>2484001</v>
      </c>
      <c r="C2489" s="529">
        <v>2485</v>
      </c>
      <c r="E2489" s="534">
        <v>0</v>
      </c>
      <c r="F2489" s="534">
        <v>0</v>
      </c>
      <c r="G2489" s="534">
        <v>2</v>
      </c>
      <c r="I2489" s="534">
        <v>0</v>
      </c>
      <c r="J2489" s="534">
        <v>0</v>
      </c>
      <c r="K2489" s="534">
        <v>0</v>
      </c>
      <c r="M2489" s="617">
        <f t="shared" si="78"/>
        <v>0</v>
      </c>
      <c r="N2489" s="617">
        <f t="shared" si="79"/>
        <v>2</v>
      </c>
      <c r="O2489" s="617"/>
      <c r="P2489" s="123"/>
      <c r="R2489" s="123"/>
      <c r="S2489" s="123"/>
      <c r="U2489" s="123"/>
      <c r="V2489" s="123"/>
    </row>
    <row r="2490" spans="1:22" s="530" customFormat="1" ht="15" x14ac:dyDescent="0.25">
      <c r="A2490" s="123"/>
      <c r="B2490" s="529">
        <v>2485001</v>
      </c>
      <c r="C2490" s="529">
        <v>2486</v>
      </c>
      <c r="E2490" s="534">
        <v>0</v>
      </c>
      <c r="F2490" s="534">
        <v>0</v>
      </c>
      <c r="G2490" s="534">
        <v>2</v>
      </c>
      <c r="I2490" s="534">
        <v>0</v>
      </c>
      <c r="J2490" s="534">
        <v>0</v>
      </c>
      <c r="K2490" s="534">
        <v>0</v>
      </c>
      <c r="M2490" s="617">
        <f t="shared" si="78"/>
        <v>0</v>
      </c>
      <c r="N2490" s="617">
        <f t="shared" si="79"/>
        <v>2</v>
      </c>
      <c r="O2490" s="617"/>
      <c r="P2490" s="123"/>
      <c r="R2490" s="123"/>
      <c r="S2490" s="123"/>
      <c r="U2490" s="123"/>
      <c r="V2490" s="123"/>
    </row>
    <row r="2491" spans="1:22" s="530" customFormat="1" ht="15" x14ac:dyDescent="0.25">
      <c r="A2491" s="123"/>
      <c r="B2491" s="529">
        <v>2486001</v>
      </c>
      <c r="C2491" s="529">
        <v>2487</v>
      </c>
      <c r="E2491" s="534">
        <v>0</v>
      </c>
      <c r="F2491" s="534">
        <v>0</v>
      </c>
      <c r="G2491" s="534">
        <v>2</v>
      </c>
      <c r="I2491" s="534">
        <v>0</v>
      </c>
      <c r="J2491" s="534">
        <v>0</v>
      </c>
      <c r="K2491" s="534">
        <v>0</v>
      </c>
      <c r="M2491" s="617">
        <f t="shared" si="78"/>
        <v>0</v>
      </c>
      <c r="N2491" s="617">
        <f t="shared" si="79"/>
        <v>2</v>
      </c>
      <c r="O2491" s="617"/>
      <c r="P2491" s="123"/>
      <c r="R2491" s="123"/>
      <c r="S2491" s="123"/>
      <c r="U2491" s="123"/>
      <c r="V2491" s="123"/>
    </row>
    <row r="2492" spans="1:22" s="530" customFormat="1" ht="15" x14ac:dyDescent="0.25">
      <c r="A2492" s="123"/>
      <c r="B2492" s="529">
        <v>2487001</v>
      </c>
      <c r="C2492" s="529">
        <v>2488</v>
      </c>
      <c r="E2492" s="534">
        <v>0</v>
      </c>
      <c r="F2492" s="534">
        <v>0</v>
      </c>
      <c r="G2492" s="534">
        <v>2</v>
      </c>
      <c r="I2492" s="534">
        <v>0</v>
      </c>
      <c r="J2492" s="534">
        <v>0</v>
      </c>
      <c r="K2492" s="534">
        <v>0</v>
      </c>
      <c r="M2492" s="617">
        <f t="shared" si="78"/>
        <v>0</v>
      </c>
      <c r="N2492" s="617">
        <f t="shared" si="79"/>
        <v>2</v>
      </c>
      <c r="O2492" s="617"/>
      <c r="P2492" s="123"/>
      <c r="R2492" s="123"/>
      <c r="S2492" s="123"/>
      <c r="U2492" s="123"/>
      <c r="V2492" s="123"/>
    </row>
    <row r="2493" spans="1:22" s="530" customFormat="1" ht="15" x14ac:dyDescent="0.25">
      <c r="A2493" s="123"/>
      <c r="B2493" s="529">
        <v>2488001</v>
      </c>
      <c r="C2493" s="529">
        <v>2489</v>
      </c>
      <c r="E2493" s="534">
        <v>0</v>
      </c>
      <c r="F2493" s="534">
        <v>0</v>
      </c>
      <c r="G2493" s="534">
        <v>2</v>
      </c>
      <c r="I2493" s="534">
        <v>0</v>
      </c>
      <c r="J2493" s="534">
        <v>0</v>
      </c>
      <c r="K2493" s="534">
        <v>0</v>
      </c>
      <c r="M2493" s="617">
        <f t="shared" si="78"/>
        <v>0</v>
      </c>
      <c r="N2493" s="617">
        <f t="shared" si="79"/>
        <v>2</v>
      </c>
      <c r="O2493" s="617"/>
      <c r="P2493" s="123"/>
      <c r="R2493" s="123"/>
      <c r="S2493" s="123"/>
      <c r="U2493" s="123"/>
      <c r="V2493" s="123"/>
    </row>
    <row r="2494" spans="1:22" s="530" customFormat="1" ht="15" x14ac:dyDescent="0.25">
      <c r="A2494" s="123"/>
      <c r="B2494" s="529">
        <v>2489001</v>
      </c>
      <c r="C2494" s="529">
        <v>2490</v>
      </c>
      <c r="E2494" s="534">
        <v>0</v>
      </c>
      <c r="F2494" s="534">
        <v>0</v>
      </c>
      <c r="G2494" s="534">
        <v>2</v>
      </c>
      <c r="I2494" s="534">
        <v>0</v>
      </c>
      <c r="J2494" s="534">
        <v>0</v>
      </c>
      <c r="K2494" s="534">
        <v>0</v>
      </c>
      <c r="M2494" s="617">
        <f t="shared" si="78"/>
        <v>0</v>
      </c>
      <c r="N2494" s="617">
        <f t="shared" si="79"/>
        <v>2</v>
      </c>
      <c r="O2494" s="617"/>
      <c r="P2494" s="123"/>
      <c r="R2494" s="123"/>
      <c r="S2494" s="123"/>
      <c r="U2494" s="123"/>
      <c r="V2494" s="123"/>
    </row>
    <row r="2495" spans="1:22" s="530" customFormat="1" ht="15" x14ac:dyDescent="0.25">
      <c r="A2495" s="123"/>
      <c r="B2495" s="529">
        <v>2490001</v>
      </c>
      <c r="C2495" s="529">
        <v>2491</v>
      </c>
      <c r="E2495" s="534">
        <v>0</v>
      </c>
      <c r="F2495" s="534">
        <v>0</v>
      </c>
      <c r="G2495" s="534">
        <v>2</v>
      </c>
      <c r="I2495" s="534">
        <v>0</v>
      </c>
      <c r="J2495" s="534">
        <v>0</v>
      </c>
      <c r="K2495" s="534">
        <v>0</v>
      </c>
      <c r="M2495" s="617">
        <f t="shared" si="78"/>
        <v>0</v>
      </c>
      <c r="N2495" s="617">
        <f t="shared" si="79"/>
        <v>2</v>
      </c>
      <c r="O2495" s="617"/>
      <c r="P2495" s="123"/>
      <c r="R2495" s="123"/>
      <c r="S2495" s="123"/>
      <c r="U2495" s="123"/>
      <c r="V2495" s="123"/>
    </row>
    <row r="2496" spans="1:22" s="530" customFormat="1" ht="15" x14ac:dyDescent="0.25">
      <c r="A2496" s="123"/>
      <c r="B2496" s="529">
        <v>2491001</v>
      </c>
      <c r="C2496" s="529">
        <v>2492</v>
      </c>
      <c r="E2496" s="534">
        <v>0</v>
      </c>
      <c r="F2496" s="534">
        <v>0</v>
      </c>
      <c r="G2496" s="534">
        <v>2</v>
      </c>
      <c r="I2496" s="534">
        <v>0</v>
      </c>
      <c r="J2496" s="534">
        <v>0</v>
      </c>
      <c r="K2496" s="534">
        <v>0</v>
      </c>
      <c r="M2496" s="617">
        <f t="shared" si="78"/>
        <v>0</v>
      </c>
      <c r="N2496" s="617">
        <f t="shared" si="79"/>
        <v>2</v>
      </c>
      <c r="O2496" s="617"/>
      <c r="P2496" s="123"/>
      <c r="R2496" s="123"/>
      <c r="S2496" s="123"/>
      <c r="U2496" s="123"/>
      <c r="V2496" s="123"/>
    </row>
    <row r="2497" spans="1:22" s="530" customFormat="1" ht="15" x14ac:dyDescent="0.25">
      <c r="A2497" s="123"/>
      <c r="B2497" s="529">
        <v>2492001</v>
      </c>
      <c r="C2497" s="529">
        <v>2493</v>
      </c>
      <c r="E2497" s="534">
        <v>0</v>
      </c>
      <c r="F2497" s="534">
        <v>0</v>
      </c>
      <c r="G2497" s="534">
        <v>2</v>
      </c>
      <c r="I2497" s="534">
        <v>0</v>
      </c>
      <c r="J2497" s="534">
        <v>0</v>
      </c>
      <c r="K2497" s="534">
        <v>0</v>
      </c>
      <c r="M2497" s="617">
        <f t="shared" si="78"/>
        <v>0</v>
      </c>
      <c r="N2497" s="617">
        <f t="shared" si="79"/>
        <v>2</v>
      </c>
      <c r="O2497" s="617"/>
      <c r="P2497" s="123"/>
      <c r="R2497" s="123"/>
      <c r="S2497" s="123"/>
      <c r="U2497" s="123"/>
      <c r="V2497" s="123"/>
    </row>
    <row r="2498" spans="1:22" s="530" customFormat="1" ht="15" x14ac:dyDescent="0.25">
      <c r="A2498" s="123"/>
      <c r="B2498" s="529">
        <v>2493001</v>
      </c>
      <c r="C2498" s="529">
        <v>2494</v>
      </c>
      <c r="E2498" s="534">
        <v>0</v>
      </c>
      <c r="F2498" s="534">
        <v>0</v>
      </c>
      <c r="G2498" s="534">
        <v>2</v>
      </c>
      <c r="I2498" s="534">
        <v>0</v>
      </c>
      <c r="J2498" s="534">
        <v>0</v>
      </c>
      <c r="K2498" s="534">
        <v>0</v>
      </c>
      <c r="M2498" s="617">
        <f t="shared" si="78"/>
        <v>0</v>
      </c>
      <c r="N2498" s="617">
        <f t="shared" si="79"/>
        <v>2</v>
      </c>
      <c r="O2498" s="617"/>
      <c r="P2498" s="123"/>
      <c r="R2498" s="123"/>
      <c r="S2498" s="123"/>
      <c r="U2498" s="123"/>
      <c r="V2498" s="123"/>
    </row>
    <row r="2499" spans="1:22" s="530" customFormat="1" ht="15" x14ac:dyDescent="0.25">
      <c r="A2499" s="123"/>
      <c r="B2499" s="529">
        <v>2494001</v>
      </c>
      <c r="C2499" s="529">
        <v>2495</v>
      </c>
      <c r="E2499" s="534">
        <v>0</v>
      </c>
      <c r="F2499" s="534">
        <v>0</v>
      </c>
      <c r="G2499" s="534">
        <v>2</v>
      </c>
      <c r="I2499" s="534">
        <v>0</v>
      </c>
      <c r="J2499" s="534">
        <v>0</v>
      </c>
      <c r="K2499" s="534">
        <v>0</v>
      </c>
      <c r="M2499" s="617">
        <f t="shared" si="78"/>
        <v>0</v>
      </c>
      <c r="N2499" s="617">
        <f t="shared" si="79"/>
        <v>2</v>
      </c>
      <c r="O2499" s="617"/>
      <c r="P2499" s="123"/>
      <c r="R2499" s="123"/>
      <c r="S2499" s="123"/>
      <c r="U2499" s="123"/>
      <c r="V2499" s="123"/>
    </row>
    <row r="2500" spans="1:22" s="530" customFormat="1" ht="15" x14ac:dyDescent="0.25">
      <c r="A2500" s="123"/>
      <c r="B2500" s="529">
        <v>2495001</v>
      </c>
      <c r="C2500" s="529">
        <v>2496</v>
      </c>
      <c r="E2500" s="534">
        <v>0</v>
      </c>
      <c r="F2500" s="534">
        <v>0</v>
      </c>
      <c r="G2500" s="534">
        <v>2</v>
      </c>
      <c r="I2500" s="534">
        <v>0</v>
      </c>
      <c r="J2500" s="534">
        <v>0</v>
      </c>
      <c r="K2500" s="534">
        <v>0</v>
      </c>
      <c r="M2500" s="617">
        <f t="shared" si="78"/>
        <v>0</v>
      </c>
      <c r="N2500" s="617">
        <f t="shared" si="79"/>
        <v>2</v>
      </c>
      <c r="O2500" s="617"/>
      <c r="P2500" s="123"/>
      <c r="R2500" s="123"/>
      <c r="S2500" s="123"/>
      <c r="U2500" s="123"/>
      <c r="V2500" s="123"/>
    </row>
    <row r="2501" spans="1:22" s="530" customFormat="1" ht="15" x14ac:dyDescent="0.25">
      <c r="A2501" s="123"/>
      <c r="B2501" s="529">
        <v>2496001</v>
      </c>
      <c r="C2501" s="529">
        <v>2497</v>
      </c>
      <c r="E2501" s="534">
        <v>0</v>
      </c>
      <c r="F2501" s="534">
        <v>0</v>
      </c>
      <c r="G2501" s="534">
        <v>2</v>
      </c>
      <c r="I2501" s="534">
        <v>0</v>
      </c>
      <c r="J2501" s="534">
        <v>0</v>
      </c>
      <c r="K2501" s="534">
        <v>0</v>
      </c>
      <c r="M2501" s="617">
        <f t="shared" ref="M2501:M2564" si="80">I2501+E2501</f>
        <v>0</v>
      </c>
      <c r="N2501" s="617">
        <f t="shared" ref="N2501:N2564" si="81">K2501+G2501</f>
        <v>2</v>
      </c>
      <c r="O2501" s="617"/>
      <c r="P2501" s="123"/>
      <c r="R2501" s="123"/>
      <c r="S2501" s="123"/>
      <c r="U2501" s="123"/>
      <c r="V2501" s="123"/>
    </row>
    <row r="2502" spans="1:22" s="530" customFormat="1" ht="15" x14ac:dyDescent="0.25">
      <c r="A2502" s="123"/>
      <c r="B2502" s="529">
        <v>2497001</v>
      </c>
      <c r="C2502" s="529">
        <v>2498</v>
      </c>
      <c r="E2502" s="534">
        <v>0</v>
      </c>
      <c r="F2502" s="534">
        <v>0</v>
      </c>
      <c r="G2502" s="534">
        <v>2</v>
      </c>
      <c r="I2502" s="534">
        <v>0</v>
      </c>
      <c r="J2502" s="534">
        <v>0</v>
      </c>
      <c r="K2502" s="534">
        <v>0</v>
      </c>
      <c r="M2502" s="617">
        <f t="shared" si="80"/>
        <v>0</v>
      </c>
      <c r="N2502" s="617">
        <f t="shared" si="81"/>
        <v>2</v>
      </c>
      <c r="O2502" s="617"/>
      <c r="P2502" s="123"/>
      <c r="R2502" s="123"/>
      <c r="S2502" s="123"/>
      <c r="U2502" s="123"/>
      <c r="V2502" s="123"/>
    </row>
    <row r="2503" spans="1:22" s="530" customFormat="1" ht="15" x14ac:dyDescent="0.25">
      <c r="A2503" s="123"/>
      <c r="B2503" s="529">
        <v>2498001</v>
      </c>
      <c r="C2503" s="529">
        <v>2499</v>
      </c>
      <c r="E2503" s="534">
        <v>0</v>
      </c>
      <c r="F2503" s="534">
        <v>0</v>
      </c>
      <c r="G2503" s="534">
        <v>2</v>
      </c>
      <c r="I2503" s="534">
        <v>0</v>
      </c>
      <c r="J2503" s="534">
        <v>0</v>
      </c>
      <c r="K2503" s="534">
        <v>0</v>
      </c>
      <c r="M2503" s="617">
        <f t="shared" si="80"/>
        <v>0</v>
      </c>
      <c r="N2503" s="617">
        <f t="shared" si="81"/>
        <v>2</v>
      </c>
      <c r="O2503" s="617"/>
      <c r="P2503" s="123"/>
      <c r="R2503" s="123"/>
      <c r="S2503" s="123"/>
      <c r="U2503" s="123"/>
      <c r="V2503" s="123"/>
    </row>
    <row r="2504" spans="1:22" s="530" customFormat="1" ht="15" x14ac:dyDescent="0.25">
      <c r="A2504" s="123"/>
      <c r="B2504" s="529">
        <v>2499001</v>
      </c>
      <c r="C2504" s="529">
        <v>2500</v>
      </c>
      <c r="E2504" s="534">
        <v>0</v>
      </c>
      <c r="F2504" s="534">
        <v>0</v>
      </c>
      <c r="G2504" s="534">
        <v>2</v>
      </c>
      <c r="I2504" s="534">
        <v>0</v>
      </c>
      <c r="J2504" s="534">
        <v>0</v>
      </c>
      <c r="K2504" s="534">
        <v>0</v>
      </c>
      <c r="M2504" s="617">
        <f t="shared" si="80"/>
        <v>0</v>
      </c>
      <c r="N2504" s="617">
        <f t="shared" si="81"/>
        <v>2</v>
      </c>
      <c r="O2504" s="617"/>
      <c r="P2504" s="123"/>
      <c r="R2504" s="123"/>
      <c r="S2504" s="123"/>
      <c r="U2504" s="123"/>
      <c r="V2504" s="123"/>
    </row>
    <row r="2505" spans="1:22" s="530" customFormat="1" ht="15" x14ac:dyDescent="0.25">
      <c r="A2505" s="123"/>
      <c r="B2505" s="529">
        <v>2500001</v>
      </c>
      <c r="C2505" s="529">
        <v>2501</v>
      </c>
      <c r="E2505" s="534">
        <v>0</v>
      </c>
      <c r="F2505" s="534">
        <v>0</v>
      </c>
      <c r="G2505" s="534">
        <v>2</v>
      </c>
      <c r="I2505" s="534">
        <v>0</v>
      </c>
      <c r="J2505" s="534">
        <v>0</v>
      </c>
      <c r="K2505" s="534">
        <v>0</v>
      </c>
      <c r="M2505" s="617">
        <f t="shared" si="80"/>
        <v>0</v>
      </c>
      <c r="N2505" s="617">
        <f t="shared" si="81"/>
        <v>2</v>
      </c>
      <c r="O2505" s="617"/>
      <c r="P2505" s="123"/>
      <c r="R2505" s="123"/>
      <c r="S2505" s="123"/>
      <c r="U2505" s="123"/>
      <c r="V2505" s="123"/>
    </row>
    <row r="2506" spans="1:22" s="530" customFormat="1" ht="15" x14ac:dyDescent="0.25">
      <c r="A2506" s="123"/>
      <c r="B2506" s="529">
        <v>2501001</v>
      </c>
      <c r="C2506" s="529">
        <v>2502</v>
      </c>
      <c r="E2506" s="534">
        <v>0</v>
      </c>
      <c r="F2506" s="534">
        <v>0</v>
      </c>
      <c r="G2506" s="534">
        <v>2</v>
      </c>
      <c r="I2506" s="534">
        <v>0</v>
      </c>
      <c r="J2506" s="534">
        <v>0</v>
      </c>
      <c r="K2506" s="534">
        <v>0</v>
      </c>
      <c r="M2506" s="617">
        <f t="shared" si="80"/>
        <v>0</v>
      </c>
      <c r="N2506" s="617">
        <f t="shared" si="81"/>
        <v>2</v>
      </c>
      <c r="O2506" s="617"/>
      <c r="P2506" s="123"/>
      <c r="R2506" s="123"/>
      <c r="S2506" s="123"/>
      <c r="U2506" s="123"/>
      <c r="V2506" s="123"/>
    </row>
    <row r="2507" spans="1:22" s="530" customFormat="1" ht="15" x14ac:dyDescent="0.25">
      <c r="A2507" s="123"/>
      <c r="B2507" s="529">
        <v>2502001</v>
      </c>
      <c r="C2507" s="529">
        <v>2503</v>
      </c>
      <c r="E2507" s="534">
        <v>0</v>
      </c>
      <c r="F2507" s="534">
        <v>0</v>
      </c>
      <c r="G2507" s="534">
        <v>2</v>
      </c>
      <c r="I2507" s="534">
        <v>0</v>
      </c>
      <c r="J2507" s="534">
        <v>0</v>
      </c>
      <c r="K2507" s="534">
        <v>0</v>
      </c>
      <c r="M2507" s="617">
        <f t="shared" si="80"/>
        <v>0</v>
      </c>
      <c r="N2507" s="617">
        <f t="shared" si="81"/>
        <v>2</v>
      </c>
      <c r="O2507" s="617"/>
      <c r="P2507" s="123"/>
      <c r="R2507" s="123"/>
      <c r="S2507" s="123"/>
      <c r="U2507" s="123"/>
      <c r="V2507" s="123"/>
    </row>
    <row r="2508" spans="1:22" s="530" customFormat="1" ht="15" x14ac:dyDescent="0.25">
      <c r="A2508" s="123"/>
      <c r="B2508" s="529">
        <v>2503001</v>
      </c>
      <c r="C2508" s="529">
        <v>2504</v>
      </c>
      <c r="E2508" s="534">
        <v>0</v>
      </c>
      <c r="F2508" s="534">
        <v>0</v>
      </c>
      <c r="G2508" s="534">
        <v>2</v>
      </c>
      <c r="I2508" s="534">
        <v>0</v>
      </c>
      <c r="J2508" s="534">
        <v>0</v>
      </c>
      <c r="K2508" s="534">
        <v>0</v>
      </c>
      <c r="M2508" s="617">
        <f t="shared" si="80"/>
        <v>0</v>
      </c>
      <c r="N2508" s="617">
        <f t="shared" si="81"/>
        <v>2</v>
      </c>
      <c r="O2508" s="617"/>
      <c r="P2508" s="123"/>
      <c r="R2508" s="123"/>
      <c r="S2508" s="123"/>
      <c r="U2508" s="123"/>
      <c r="V2508" s="123"/>
    </row>
    <row r="2509" spans="1:22" s="530" customFormat="1" ht="15" x14ac:dyDescent="0.25">
      <c r="A2509" s="123"/>
      <c r="B2509" s="529">
        <v>2504001</v>
      </c>
      <c r="C2509" s="529">
        <v>2505</v>
      </c>
      <c r="E2509" s="534">
        <v>0</v>
      </c>
      <c r="F2509" s="534">
        <v>0</v>
      </c>
      <c r="G2509" s="534">
        <v>2</v>
      </c>
      <c r="I2509" s="534">
        <v>0</v>
      </c>
      <c r="J2509" s="534">
        <v>0</v>
      </c>
      <c r="K2509" s="534">
        <v>0</v>
      </c>
      <c r="M2509" s="617">
        <f t="shared" si="80"/>
        <v>0</v>
      </c>
      <c r="N2509" s="617">
        <f t="shared" si="81"/>
        <v>2</v>
      </c>
      <c r="O2509" s="617"/>
      <c r="P2509" s="123"/>
      <c r="R2509" s="123"/>
      <c r="S2509" s="123"/>
      <c r="U2509" s="123"/>
      <c r="V2509" s="123"/>
    </row>
    <row r="2510" spans="1:22" s="530" customFormat="1" ht="15" x14ac:dyDescent="0.25">
      <c r="A2510" s="123"/>
      <c r="B2510" s="529">
        <v>2505001</v>
      </c>
      <c r="C2510" s="529">
        <v>2506</v>
      </c>
      <c r="E2510" s="534">
        <v>0</v>
      </c>
      <c r="F2510" s="534">
        <v>0</v>
      </c>
      <c r="G2510" s="534">
        <v>2</v>
      </c>
      <c r="I2510" s="534">
        <v>0</v>
      </c>
      <c r="J2510" s="534">
        <v>0</v>
      </c>
      <c r="K2510" s="534">
        <v>0</v>
      </c>
      <c r="M2510" s="617">
        <f t="shared" si="80"/>
        <v>0</v>
      </c>
      <c r="N2510" s="617">
        <f t="shared" si="81"/>
        <v>2</v>
      </c>
      <c r="O2510" s="617"/>
      <c r="P2510" s="123"/>
      <c r="R2510" s="123"/>
      <c r="S2510" s="123"/>
      <c r="U2510" s="123"/>
      <c r="V2510" s="123"/>
    </row>
    <row r="2511" spans="1:22" s="530" customFormat="1" ht="15" x14ac:dyDescent="0.25">
      <c r="A2511" s="123"/>
      <c r="B2511" s="529">
        <v>2506001</v>
      </c>
      <c r="C2511" s="529">
        <v>2507</v>
      </c>
      <c r="E2511" s="534">
        <v>0</v>
      </c>
      <c r="F2511" s="534">
        <v>0</v>
      </c>
      <c r="G2511" s="534">
        <v>2</v>
      </c>
      <c r="I2511" s="534">
        <v>0</v>
      </c>
      <c r="J2511" s="534">
        <v>0</v>
      </c>
      <c r="K2511" s="534">
        <v>0</v>
      </c>
      <c r="M2511" s="617">
        <f t="shared" si="80"/>
        <v>0</v>
      </c>
      <c r="N2511" s="617">
        <f t="shared" si="81"/>
        <v>2</v>
      </c>
      <c r="O2511" s="617"/>
      <c r="P2511" s="123"/>
      <c r="R2511" s="123"/>
      <c r="S2511" s="123"/>
      <c r="U2511" s="123"/>
      <c r="V2511" s="123"/>
    </row>
    <row r="2512" spans="1:22" s="530" customFormat="1" ht="15" x14ac:dyDescent="0.25">
      <c r="A2512" s="123"/>
      <c r="B2512" s="529">
        <v>2507001</v>
      </c>
      <c r="C2512" s="529">
        <v>2508</v>
      </c>
      <c r="E2512" s="534">
        <v>0</v>
      </c>
      <c r="F2512" s="534">
        <v>0</v>
      </c>
      <c r="G2512" s="534">
        <v>2</v>
      </c>
      <c r="I2512" s="534">
        <v>0</v>
      </c>
      <c r="J2512" s="534">
        <v>0</v>
      </c>
      <c r="K2512" s="534">
        <v>0</v>
      </c>
      <c r="M2512" s="617">
        <f t="shared" si="80"/>
        <v>0</v>
      </c>
      <c r="N2512" s="617">
        <f t="shared" si="81"/>
        <v>2</v>
      </c>
      <c r="O2512" s="617"/>
      <c r="P2512" s="123"/>
      <c r="R2512" s="123"/>
      <c r="S2512" s="123"/>
      <c r="U2512" s="123"/>
      <c r="V2512" s="123"/>
    </row>
    <row r="2513" spans="1:22" s="530" customFormat="1" ht="15" x14ac:dyDescent="0.25">
      <c r="A2513" s="123"/>
      <c r="B2513" s="529">
        <v>2508001</v>
      </c>
      <c r="C2513" s="529">
        <v>2509</v>
      </c>
      <c r="E2513" s="534">
        <v>0</v>
      </c>
      <c r="F2513" s="534">
        <v>0</v>
      </c>
      <c r="G2513" s="534">
        <v>2</v>
      </c>
      <c r="I2513" s="534">
        <v>0</v>
      </c>
      <c r="J2513" s="534">
        <v>0</v>
      </c>
      <c r="K2513" s="534">
        <v>0</v>
      </c>
      <c r="M2513" s="617">
        <f t="shared" si="80"/>
        <v>0</v>
      </c>
      <c r="N2513" s="617">
        <f t="shared" si="81"/>
        <v>2</v>
      </c>
      <c r="O2513" s="617"/>
      <c r="P2513" s="123"/>
      <c r="R2513" s="123"/>
      <c r="S2513" s="123"/>
      <c r="U2513" s="123"/>
      <c r="V2513" s="123"/>
    </row>
    <row r="2514" spans="1:22" s="530" customFormat="1" ht="15" x14ac:dyDescent="0.25">
      <c r="A2514" s="123"/>
      <c r="B2514" s="529">
        <v>2509001</v>
      </c>
      <c r="C2514" s="529">
        <v>2510</v>
      </c>
      <c r="E2514" s="534">
        <v>0</v>
      </c>
      <c r="F2514" s="534">
        <v>0</v>
      </c>
      <c r="G2514" s="534">
        <v>2</v>
      </c>
      <c r="I2514" s="534">
        <v>0</v>
      </c>
      <c r="J2514" s="534">
        <v>0</v>
      </c>
      <c r="K2514" s="534">
        <v>0</v>
      </c>
      <c r="M2514" s="617">
        <f t="shared" si="80"/>
        <v>0</v>
      </c>
      <c r="N2514" s="617">
        <f t="shared" si="81"/>
        <v>2</v>
      </c>
      <c r="O2514" s="617"/>
      <c r="P2514" s="123"/>
      <c r="R2514" s="123"/>
      <c r="S2514" s="123"/>
      <c r="U2514" s="123"/>
      <c r="V2514" s="123"/>
    </row>
    <row r="2515" spans="1:22" s="530" customFormat="1" ht="15" x14ac:dyDescent="0.25">
      <c r="A2515" s="123"/>
      <c r="B2515" s="529">
        <v>2510001</v>
      </c>
      <c r="C2515" s="529">
        <v>2511</v>
      </c>
      <c r="E2515" s="534">
        <v>0</v>
      </c>
      <c r="F2515" s="534">
        <v>0</v>
      </c>
      <c r="G2515" s="534">
        <v>2</v>
      </c>
      <c r="I2515" s="534">
        <v>0</v>
      </c>
      <c r="J2515" s="534">
        <v>0</v>
      </c>
      <c r="K2515" s="534">
        <v>0</v>
      </c>
      <c r="M2515" s="617">
        <f t="shared" si="80"/>
        <v>0</v>
      </c>
      <c r="N2515" s="617">
        <f t="shared" si="81"/>
        <v>2</v>
      </c>
      <c r="O2515" s="617"/>
      <c r="P2515" s="123"/>
      <c r="R2515" s="123"/>
      <c r="S2515" s="123"/>
      <c r="U2515" s="123"/>
      <c r="V2515" s="123"/>
    </row>
    <row r="2516" spans="1:22" s="530" customFormat="1" ht="15" x14ac:dyDescent="0.25">
      <c r="A2516" s="123"/>
      <c r="B2516" s="529">
        <v>2511001</v>
      </c>
      <c r="C2516" s="529">
        <v>2512</v>
      </c>
      <c r="E2516" s="534">
        <v>0</v>
      </c>
      <c r="F2516" s="534">
        <v>0</v>
      </c>
      <c r="G2516" s="534">
        <v>2</v>
      </c>
      <c r="I2516" s="534">
        <v>0</v>
      </c>
      <c r="J2516" s="534">
        <v>0</v>
      </c>
      <c r="K2516" s="534">
        <v>0</v>
      </c>
      <c r="M2516" s="617">
        <f t="shared" si="80"/>
        <v>0</v>
      </c>
      <c r="N2516" s="617">
        <f t="shared" si="81"/>
        <v>2</v>
      </c>
      <c r="O2516" s="617"/>
      <c r="P2516" s="123"/>
      <c r="R2516" s="123"/>
      <c r="S2516" s="123"/>
      <c r="U2516" s="123"/>
      <c r="V2516" s="123"/>
    </row>
    <row r="2517" spans="1:22" s="530" customFormat="1" ht="15" x14ac:dyDescent="0.25">
      <c r="A2517" s="123"/>
      <c r="B2517" s="529">
        <v>2512001</v>
      </c>
      <c r="C2517" s="529">
        <v>2513</v>
      </c>
      <c r="E2517" s="534">
        <v>0</v>
      </c>
      <c r="F2517" s="534">
        <v>0</v>
      </c>
      <c r="G2517" s="534">
        <v>2</v>
      </c>
      <c r="I2517" s="534">
        <v>0</v>
      </c>
      <c r="J2517" s="534">
        <v>0</v>
      </c>
      <c r="K2517" s="534">
        <v>0</v>
      </c>
      <c r="M2517" s="617">
        <f t="shared" si="80"/>
        <v>0</v>
      </c>
      <c r="N2517" s="617">
        <f t="shared" si="81"/>
        <v>2</v>
      </c>
      <c r="O2517" s="617"/>
      <c r="P2517" s="123"/>
      <c r="R2517" s="123"/>
      <c r="S2517" s="123"/>
      <c r="U2517" s="123"/>
      <c r="V2517" s="123"/>
    </row>
    <row r="2518" spans="1:22" s="530" customFormat="1" ht="15" x14ac:dyDescent="0.25">
      <c r="A2518" s="123"/>
      <c r="B2518" s="529">
        <v>2513001</v>
      </c>
      <c r="C2518" s="529">
        <v>2514</v>
      </c>
      <c r="E2518" s="534">
        <v>0</v>
      </c>
      <c r="F2518" s="534">
        <v>0</v>
      </c>
      <c r="G2518" s="534">
        <v>2</v>
      </c>
      <c r="I2518" s="534">
        <v>0</v>
      </c>
      <c r="J2518" s="534">
        <v>0</v>
      </c>
      <c r="K2518" s="534">
        <v>0</v>
      </c>
      <c r="M2518" s="617">
        <f t="shared" si="80"/>
        <v>0</v>
      </c>
      <c r="N2518" s="617">
        <f t="shared" si="81"/>
        <v>2</v>
      </c>
      <c r="O2518" s="617"/>
      <c r="P2518" s="123"/>
      <c r="R2518" s="123"/>
      <c r="S2518" s="123"/>
      <c r="U2518" s="123"/>
      <c r="V2518" s="123"/>
    </row>
    <row r="2519" spans="1:22" s="530" customFormat="1" ht="15" x14ac:dyDescent="0.25">
      <c r="A2519" s="123"/>
      <c r="B2519" s="529">
        <v>2514001</v>
      </c>
      <c r="C2519" s="529">
        <v>2515</v>
      </c>
      <c r="E2519" s="534">
        <v>0</v>
      </c>
      <c r="F2519" s="534">
        <v>0</v>
      </c>
      <c r="G2519" s="534">
        <v>2</v>
      </c>
      <c r="I2519" s="534">
        <v>0</v>
      </c>
      <c r="J2519" s="534">
        <v>0</v>
      </c>
      <c r="K2519" s="534">
        <v>0</v>
      </c>
      <c r="M2519" s="617">
        <f t="shared" si="80"/>
        <v>0</v>
      </c>
      <c r="N2519" s="617">
        <f t="shared" si="81"/>
        <v>2</v>
      </c>
      <c r="O2519" s="617"/>
      <c r="P2519" s="123"/>
      <c r="R2519" s="123"/>
      <c r="S2519" s="123"/>
      <c r="U2519" s="123"/>
      <c r="V2519" s="123"/>
    </row>
    <row r="2520" spans="1:22" s="530" customFormat="1" ht="15" x14ac:dyDescent="0.25">
      <c r="A2520" s="123"/>
      <c r="B2520" s="529">
        <v>2515001</v>
      </c>
      <c r="C2520" s="529">
        <v>2516</v>
      </c>
      <c r="E2520" s="534">
        <v>0</v>
      </c>
      <c r="F2520" s="534">
        <v>0</v>
      </c>
      <c r="G2520" s="534">
        <v>2</v>
      </c>
      <c r="I2520" s="534">
        <v>0</v>
      </c>
      <c r="J2520" s="534">
        <v>0</v>
      </c>
      <c r="K2520" s="534">
        <v>0</v>
      </c>
      <c r="M2520" s="617">
        <f t="shared" si="80"/>
        <v>0</v>
      </c>
      <c r="N2520" s="617">
        <f t="shared" si="81"/>
        <v>2</v>
      </c>
      <c r="O2520" s="617"/>
      <c r="P2520" s="123"/>
      <c r="R2520" s="123"/>
      <c r="S2520" s="123"/>
      <c r="U2520" s="123"/>
      <c r="V2520" s="123"/>
    </row>
    <row r="2521" spans="1:22" s="530" customFormat="1" ht="15" x14ac:dyDescent="0.25">
      <c r="A2521" s="123"/>
      <c r="B2521" s="529">
        <v>2516001</v>
      </c>
      <c r="C2521" s="529">
        <v>2517</v>
      </c>
      <c r="E2521" s="534">
        <v>0</v>
      </c>
      <c r="F2521" s="534">
        <v>0</v>
      </c>
      <c r="G2521" s="534">
        <v>2</v>
      </c>
      <c r="I2521" s="534">
        <v>0</v>
      </c>
      <c r="J2521" s="534">
        <v>0</v>
      </c>
      <c r="K2521" s="534">
        <v>0</v>
      </c>
      <c r="M2521" s="617">
        <f t="shared" si="80"/>
        <v>0</v>
      </c>
      <c r="N2521" s="617">
        <f t="shared" si="81"/>
        <v>2</v>
      </c>
      <c r="O2521" s="617"/>
      <c r="P2521" s="123"/>
      <c r="R2521" s="123"/>
      <c r="S2521" s="123"/>
      <c r="U2521" s="123"/>
      <c r="V2521" s="123"/>
    </row>
    <row r="2522" spans="1:22" s="530" customFormat="1" ht="15" x14ac:dyDescent="0.25">
      <c r="A2522" s="123"/>
      <c r="B2522" s="529">
        <v>2517001</v>
      </c>
      <c r="C2522" s="529">
        <v>2518</v>
      </c>
      <c r="E2522" s="534">
        <v>0</v>
      </c>
      <c r="F2522" s="534">
        <v>0</v>
      </c>
      <c r="G2522" s="534">
        <v>2</v>
      </c>
      <c r="I2522" s="534">
        <v>0</v>
      </c>
      <c r="J2522" s="534">
        <v>0</v>
      </c>
      <c r="K2522" s="534">
        <v>0</v>
      </c>
      <c r="M2522" s="617">
        <f t="shared" si="80"/>
        <v>0</v>
      </c>
      <c r="N2522" s="617">
        <f t="shared" si="81"/>
        <v>2</v>
      </c>
      <c r="O2522" s="617"/>
      <c r="P2522" s="123"/>
      <c r="R2522" s="123"/>
      <c r="S2522" s="123"/>
      <c r="U2522" s="123"/>
      <c r="V2522" s="123"/>
    </row>
    <row r="2523" spans="1:22" s="530" customFormat="1" ht="15" x14ac:dyDescent="0.25">
      <c r="A2523" s="123"/>
      <c r="B2523" s="529">
        <v>2518001</v>
      </c>
      <c r="C2523" s="529">
        <v>2519</v>
      </c>
      <c r="E2523" s="534">
        <v>0</v>
      </c>
      <c r="F2523" s="534">
        <v>0</v>
      </c>
      <c r="G2523" s="534">
        <v>2</v>
      </c>
      <c r="I2523" s="534">
        <v>0</v>
      </c>
      <c r="J2523" s="534">
        <v>0</v>
      </c>
      <c r="K2523" s="534">
        <v>0</v>
      </c>
      <c r="M2523" s="617">
        <f t="shared" si="80"/>
        <v>0</v>
      </c>
      <c r="N2523" s="617">
        <f t="shared" si="81"/>
        <v>2</v>
      </c>
      <c r="O2523" s="617"/>
      <c r="P2523" s="123"/>
      <c r="R2523" s="123"/>
      <c r="S2523" s="123"/>
      <c r="U2523" s="123"/>
      <c r="V2523" s="123"/>
    </row>
    <row r="2524" spans="1:22" s="530" customFormat="1" ht="15" x14ac:dyDescent="0.25">
      <c r="A2524" s="123"/>
      <c r="B2524" s="529">
        <v>2519001</v>
      </c>
      <c r="C2524" s="529">
        <v>2520</v>
      </c>
      <c r="E2524" s="534">
        <v>0</v>
      </c>
      <c r="F2524" s="534">
        <v>0</v>
      </c>
      <c r="G2524" s="534">
        <v>2</v>
      </c>
      <c r="I2524" s="534">
        <v>0</v>
      </c>
      <c r="J2524" s="534">
        <v>0</v>
      </c>
      <c r="K2524" s="534">
        <v>0</v>
      </c>
      <c r="M2524" s="617">
        <f t="shared" si="80"/>
        <v>0</v>
      </c>
      <c r="N2524" s="617">
        <f t="shared" si="81"/>
        <v>2</v>
      </c>
      <c r="O2524" s="617"/>
      <c r="P2524" s="123"/>
      <c r="R2524" s="123"/>
      <c r="S2524" s="123"/>
      <c r="U2524" s="123"/>
      <c r="V2524" s="123"/>
    </row>
    <row r="2525" spans="1:22" s="530" customFormat="1" ht="15" x14ac:dyDescent="0.25">
      <c r="A2525" s="123"/>
      <c r="B2525" s="529">
        <v>2520001</v>
      </c>
      <c r="C2525" s="529">
        <v>2521</v>
      </c>
      <c r="E2525" s="534">
        <v>0</v>
      </c>
      <c r="F2525" s="534">
        <v>0</v>
      </c>
      <c r="G2525" s="534">
        <v>2</v>
      </c>
      <c r="I2525" s="534">
        <v>0</v>
      </c>
      <c r="J2525" s="534">
        <v>0</v>
      </c>
      <c r="K2525" s="534">
        <v>0</v>
      </c>
      <c r="M2525" s="617">
        <f t="shared" si="80"/>
        <v>0</v>
      </c>
      <c r="N2525" s="617">
        <f t="shared" si="81"/>
        <v>2</v>
      </c>
      <c r="O2525" s="617"/>
      <c r="P2525" s="123"/>
      <c r="R2525" s="123"/>
      <c r="S2525" s="123"/>
      <c r="U2525" s="123"/>
      <c r="V2525" s="123"/>
    </row>
    <row r="2526" spans="1:22" s="530" customFormat="1" ht="15" x14ac:dyDescent="0.25">
      <c r="A2526" s="123"/>
      <c r="B2526" s="529">
        <v>2521001</v>
      </c>
      <c r="C2526" s="529">
        <v>2522</v>
      </c>
      <c r="E2526" s="534">
        <v>0</v>
      </c>
      <c r="F2526" s="534">
        <v>0</v>
      </c>
      <c r="G2526" s="534">
        <v>2</v>
      </c>
      <c r="I2526" s="534">
        <v>0</v>
      </c>
      <c r="J2526" s="534">
        <v>0</v>
      </c>
      <c r="K2526" s="534">
        <v>0</v>
      </c>
      <c r="M2526" s="617">
        <f t="shared" si="80"/>
        <v>0</v>
      </c>
      <c r="N2526" s="617">
        <f t="shared" si="81"/>
        <v>2</v>
      </c>
      <c r="O2526" s="617"/>
      <c r="P2526" s="123"/>
      <c r="R2526" s="123"/>
      <c r="S2526" s="123"/>
      <c r="U2526" s="123"/>
      <c r="V2526" s="123"/>
    </row>
    <row r="2527" spans="1:22" s="530" customFormat="1" ht="15" x14ac:dyDescent="0.25">
      <c r="A2527" s="123"/>
      <c r="B2527" s="529">
        <v>2522001</v>
      </c>
      <c r="C2527" s="529">
        <v>2523</v>
      </c>
      <c r="E2527" s="534">
        <v>0</v>
      </c>
      <c r="F2527" s="534">
        <v>0</v>
      </c>
      <c r="G2527" s="534">
        <v>2</v>
      </c>
      <c r="I2527" s="534">
        <v>0</v>
      </c>
      <c r="J2527" s="534">
        <v>0</v>
      </c>
      <c r="K2527" s="534">
        <v>0</v>
      </c>
      <c r="M2527" s="617">
        <f t="shared" si="80"/>
        <v>0</v>
      </c>
      <c r="N2527" s="617">
        <f t="shared" si="81"/>
        <v>2</v>
      </c>
      <c r="O2527" s="617"/>
      <c r="P2527" s="123"/>
      <c r="R2527" s="123"/>
      <c r="S2527" s="123"/>
      <c r="U2527" s="123"/>
      <c r="V2527" s="123"/>
    </row>
    <row r="2528" spans="1:22" s="530" customFormat="1" ht="15" x14ac:dyDescent="0.25">
      <c r="A2528" s="123"/>
      <c r="B2528" s="529">
        <v>2523001</v>
      </c>
      <c r="C2528" s="529">
        <v>2524</v>
      </c>
      <c r="E2528" s="534">
        <v>0</v>
      </c>
      <c r="F2528" s="534">
        <v>0</v>
      </c>
      <c r="G2528" s="534">
        <v>2</v>
      </c>
      <c r="I2528" s="534">
        <v>0</v>
      </c>
      <c r="J2528" s="534">
        <v>0</v>
      </c>
      <c r="K2528" s="534">
        <v>0</v>
      </c>
      <c r="M2528" s="617">
        <f t="shared" si="80"/>
        <v>0</v>
      </c>
      <c r="N2528" s="617">
        <f t="shared" si="81"/>
        <v>2</v>
      </c>
      <c r="O2528" s="617"/>
      <c r="P2528" s="123"/>
      <c r="R2528" s="123"/>
      <c r="S2528" s="123"/>
      <c r="U2528" s="123"/>
      <c r="V2528" s="123"/>
    </row>
    <row r="2529" spans="1:22" s="530" customFormat="1" ht="15" x14ac:dyDescent="0.25">
      <c r="A2529" s="123"/>
      <c r="B2529" s="529">
        <v>2524001</v>
      </c>
      <c r="C2529" s="529">
        <v>2525</v>
      </c>
      <c r="E2529" s="534">
        <v>0</v>
      </c>
      <c r="F2529" s="534">
        <v>0</v>
      </c>
      <c r="G2529" s="534">
        <v>2</v>
      </c>
      <c r="I2529" s="534">
        <v>0</v>
      </c>
      <c r="J2529" s="534">
        <v>0</v>
      </c>
      <c r="K2529" s="534">
        <v>0</v>
      </c>
      <c r="M2529" s="617">
        <f t="shared" si="80"/>
        <v>0</v>
      </c>
      <c r="N2529" s="617">
        <f t="shared" si="81"/>
        <v>2</v>
      </c>
      <c r="O2529" s="617"/>
      <c r="P2529" s="123"/>
      <c r="R2529" s="123"/>
      <c r="S2529" s="123"/>
      <c r="U2529" s="123"/>
      <c r="V2529" s="123"/>
    </row>
    <row r="2530" spans="1:22" s="530" customFormat="1" ht="15" x14ac:dyDescent="0.25">
      <c r="A2530" s="123"/>
      <c r="B2530" s="529">
        <v>2525001</v>
      </c>
      <c r="C2530" s="529">
        <v>2526</v>
      </c>
      <c r="E2530" s="534">
        <v>0</v>
      </c>
      <c r="F2530" s="534">
        <v>0</v>
      </c>
      <c r="G2530" s="534">
        <v>2</v>
      </c>
      <c r="I2530" s="534">
        <v>0</v>
      </c>
      <c r="J2530" s="534">
        <v>0</v>
      </c>
      <c r="K2530" s="534">
        <v>0</v>
      </c>
      <c r="M2530" s="617">
        <f t="shared" si="80"/>
        <v>0</v>
      </c>
      <c r="N2530" s="617">
        <f t="shared" si="81"/>
        <v>2</v>
      </c>
      <c r="O2530" s="617"/>
      <c r="P2530" s="123"/>
      <c r="R2530" s="123"/>
      <c r="S2530" s="123"/>
      <c r="U2530" s="123"/>
      <c r="V2530" s="123"/>
    </row>
    <row r="2531" spans="1:22" s="530" customFormat="1" ht="15" x14ac:dyDescent="0.25">
      <c r="A2531" s="123"/>
      <c r="B2531" s="529">
        <v>2526001</v>
      </c>
      <c r="C2531" s="529">
        <v>2527</v>
      </c>
      <c r="E2531" s="534">
        <v>0</v>
      </c>
      <c r="F2531" s="534">
        <v>0</v>
      </c>
      <c r="G2531" s="534">
        <v>2</v>
      </c>
      <c r="I2531" s="534">
        <v>0</v>
      </c>
      <c r="J2531" s="534">
        <v>0</v>
      </c>
      <c r="K2531" s="534">
        <v>0</v>
      </c>
      <c r="M2531" s="617">
        <f t="shared" si="80"/>
        <v>0</v>
      </c>
      <c r="N2531" s="617">
        <f t="shared" si="81"/>
        <v>2</v>
      </c>
      <c r="O2531" s="617"/>
      <c r="P2531" s="123"/>
      <c r="R2531" s="123"/>
      <c r="S2531" s="123"/>
      <c r="U2531" s="123"/>
      <c r="V2531" s="123"/>
    </row>
    <row r="2532" spans="1:22" s="530" customFormat="1" ht="15" x14ac:dyDescent="0.25">
      <c r="A2532" s="123"/>
      <c r="B2532" s="529">
        <v>2527001</v>
      </c>
      <c r="C2532" s="529">
        <v>2528</v>
      </c>
      <c r="E2532" s="534">
        <v>0</v>
      </c>
      <c r="F2532" s="534">
        <v>0</v>
      </c>
      <c r="G2532" s="534">
        <v>2</v>
      </c>
      <c r="I2532" s="534">
        <v>0</v>
      </c>
      <c r="J2532" s="534">
        <v>0</v>
      </c>
      <c r="K2532" s="534">
        <v>0</v>
      </c>
      <c r="M2532" s="617">
        <f t="shared" si="80"/>
        <v>0</v>
      </c>
      <c r="N2532" s="617">
        <f t="shared" si="81"/>
        <v>2</v>
      </c>
      <c r="O2532" s="617"/>
      <c r="P2532" s="123"/>
      <c r="R2532" s="123"/>
      <c r="S2532" s="123"/>
      <c r="U2532" s="123"/>
      <c r="V2532" s="123"/>
    </row>
    <row r="2533" spans="1:22" s="530" customFormat="1" ht="15" x14ac:dyDescent="0.25">
      <c r="A2533" s="123"/>
      <c r="B2533" s="529">
        <v>2528001</v>
      </c>
      <c r="C2533" s="529">
        <v>2529</v>
      </c>
      <c r="E2533" s="534">
        <v>0</v>
      </c>
      <c r="F2533" s="534">
        <v>0</v>
      </c>
      <c r="G2533" s="534">
        <v>2</v>
      </c>
      <c r="I2533" s="534">
        <v>0</v>
      </c>
      <c r="J2533" s="534">
        <v>0</v>
      </c>
      <c r="K2533" s="534">
        <v>0</v>
      </c>
      <c r="M2533" s="617">
        <f t="shared" si="80"/>
        <v>0</v>
      </c>
      <c r="N2533" s="617">
        <f t="shared" si="81"/>
        <v>2</v>
      </c>
      <c r="O2533" s="617"/>
      <c r="P2533" s="123"/>
      <c r="R2533" s="123"/>
      <c r="S2533" s="123"/>
      <c r="U2533" s="123"/>
      <c r="V2533" s="123"/>
    </row>
    <row r="2534" spans="1:22" s="530" customFormat="1" ht="15" x14ac:dyDescent="0.25">
      <c r="A2534" s="123"/>
      <c r="B2534" s="529">
        <v>2529001</v>
      </c>
      <c r="C2534" s="529">
        <v>2530</v>
      </c>
      <c r="E2534" s="534">
        <v>0</v>
      </c>
      <c r="F2534" s="534">
        <v>0</v>
      </c>
      <c r="G2534" s="534">
        <v>2</v>
      </c>
      <c r="I2534" s="534">
        <v>0</v>
      </c>
      <c r="J2534" s="534">
        <v>0</v>
      </c>
      <c r="K2534" s="534">
        <v>0</v>
      </c>
      <c r="M2534" s="617">
        <f t="shared" si="80"/>
        <v>0</v>
      </c>
      <c r="N2534" s="617">
        <f t="shared" si="81"/>
        <v>2</v>
      </c>
      <c r="O2534" s="617"/>
      <c r="P2534" s="123"/>
      <c r="R2534" s="123"/>
      <c r="S2534" s="123"/>
      <c r="U2534" s="123"/>
      <c r="V2534" s="123"/>
    </row>
    <row r="2535" spans="1:22" s="530" customFormat="1" ht="15" x14ac:dyDescent="0.25">
      <c r="A2535" s="123"/>
      <c r="B2535" s="529">
        <v>2530001</v>
      </c>
      <c r="C2535" s="529">
        <v>2531</v>
      </c>
      <c r="E2535" s="534">
        <v>0</v>
      </c>
      <c r="F2535" s="534">
        <v>0</v>
      </c>
      <c r="G2535" s="534">
        <v>2</v>
      </c>
      <c r="I2535" s="534">
        <v>0</v>
      </c>
      <c r="J2535" s="534">
        <v>0</v>
      </c>
      <c r="K2535" s="534">
        <v>0</v>
      </c>
      <c r="M2535" s="617">
        <f t="shared" si="80"/>
        <v>0</v>
      </c>
      <c r="N2535" s="617">
        <f t="shared" si="81"/>
        <v>2</v>
      </c>
      <c r="O2535" s="617"/>
      <c r="P2535" s="123"/>
      <c r="R2535" s="123"/>
      <c r="S2535" s="123"/>
      <c r="U2535" s="123"/>
      <c r="V2535" s="123"/>
    </row>
    <row r="2536" spans="1:22" s="530" customFormat="1" ht="15" x14ac:dyDescent="0.25">
      <c r="A2536" s="123"/>
      <c r="B2536" s="529">
        <v>2531001</v>
      </c>
      <c r="C2536" s="529">
        <v>2532</v>
      </c>
      <c r="E2536" s="534">
        <v>0</v>
      </c>
      <c r="F2536" s="534">
        <v>0</v>
      </c>
      <c r="G2536" s="534">
        <v>2</v>
      </c>
      <c r="I2536" s="534">
        <v>0</v>
      </c>
      <c r="J2536" s="534">
        <v>0</v>
      </c>
      <c r="K2536" s="534">
        <v>0</v>
      </c>
      <c r="M2536" s="617">
        <f t="shared" si="80"/>
        <v>0</v>
      </c>
      <c r="N2536" s="617">
        <f t="shared" si="81"/>
        <v>2</v>
      </c>
      <c r="O2536" s="617"/>
      <c r="P2536" s="123"/>
      <c r="R2536" s="123"/>
      <c r="S2536" s="123"/>
      <c r="U2536" s="123"/>
      <c r="V2536" s="123"/>
    </row>
    <row r="2537" spans="1:22" s="530" customFormat="1" ht="15" x14ac:dyDescent="0.25">
      <c r="A2537" s="123"/>
      <c r="B2537" s="529">
        <v>2532001</v>
      </c>
      <c r="C2537" s="529">
        <v>2533</v>
      </c>
      <c r="E2537" s="534">
        <v>0</v>
      </c>
      <c r="F2537" s="534">
        <v>0</v>
      </c>
      <c r="G2537" s="534">
        <v>2</v>
      </c>
      <c r="I2537" s="534">
        <v>0</v>
      </c>
      <c r="J2537" s="534">
        <v>0</v>
      </c>
      <c r="K2537" s="534">
        <v>0</v>
      </c>
      <c r="M2537" s="617">
        <f t="shared" si="80"/>
        <v>0</v>
      </c>
      <c r="N2537" s="617">
        <f t="shared" si="81"/>
        <v>2</v>
      </c>
      <c r="O2537" s="617"/>
      <c r="P2537" s="123"/>
      <c r="R2537" s="123"/>
      <c r="S2537" s="123"/>
      <c r="U2537" s="123"/>
      <c r="V2537" s="123"/>
    </row>
    <row r="2538" spans="1:22" s="530" customFormat="1" ht="15" x14ac:dyDescent="0.25">
      <c r="A2538" s="123"/>
      <c r="B2538" s="529">
        <v>2533001</v>
      </c>
      <c r="C2538" s="529">
        <v>2534</v>
      </c>
      <c r="E2538" s="534">
        <v>0</v>
      </c>
      <c r="F2538" s="534">
        <v>0</v>
      </c>
      <c r="G2538" s="534">
        <v>2</v>
      </c>
      <c r="I2538" s="534">
        <v>0</v>
      </c>
      <c r="J2538" s="534">
        <v>0</v>
      </c>
      <c r="K2538" s="534">
        <v>0</v>
      </c>
      <c r="M2538" s="617">
        <f t="shared" si="80"/>
        <v>0</v>
      </c>
      <c r="N2538" s="617">
        <f t="shared" si="81"/>
        <v>2</v>
      </c>
      <c r="O2538" s="617"/>
      <c r="P2538" s="123"/>
      <c r="R2538" s="123"/>
      <c r="S2538" s="123"/>
      <c r="U2538" s="123"/>
      <c r="V2538" s="123"/>
    </row>
    <row r="2539" spans="1:22" s="530" customFormat="1" ht="15" x14ac:dyDescent="0.25">
      <c r="A2539" s="123"/>
      <c r="B2539" s="529">
        <v>2534001</v>
      </c>
      <c r="C2539" s="529">
        <v>2535</v>
      </c>
      <c r="E2539" s="534">
        <v>0</v>
      </c>
      <c r="F2539" s="534">
        <v>0</v>
      </c>
      <c r="G2539" s="534">
        <v>2</v>
      </c>
      <c r="I2539" s="534">
        <v>0</v>
      </c>
      <c r="J2539" s="534">
        <v>0</v>
      </c>
      <c r="K2539" s="534">
        <v>0</v>
      </c>
      <c r="M2539" s="617">
        <f t="shared" si="80"/>
        <v>0</v>
      </c>
      <c r="N2539" s="617">
        <f t="shared" si="81"/>
        <v>2</v>
      </c>
      <c r="O2539" s="617"/>
      <c r="P2539" s="123"/>
      <c r="R2539" s="123"/>
      <c r="S2539" s="123"/>
      <c r="U2539" s="123"/>
      <c r="V2539" s="123"/>
    </row>
    <row r="2540" spans="1:22" s="530" customFormat="1" ht="15" x14ac:dyDescent="0.25">
      <c r="A2540" s="123"/>
      <c r="B2540" s="529">
        <v>2535001</v>
      </c>
      <c r="C2540" s="529">
        <v>2536</v>
      </c>
      <c r="E2540" s="534">
        <v>0</v>
      </c>
      <c r="F2540" s="534">
        <v>0</v>
      </c>
      <c r="G2540" s="534">
        <v>2</v>
      </c>
      <c r="I2540" s="534">
        <v>0</v>
      </c>
      <c r="J2540" s="534">
        <v>0</v>
      </c>
      <c r="K2540" s="534">
        <v>0</v>
      </c>
      <c r="M2540" s="617">
        <f t="shared" si="80"/>
        <v>0</v>
      </c>
      <c r="N2540" s="617">
        <f t="shared" si="81"/>
        <v>2</v>
      </c>
      <c r="O2540" s="617"/>
      <c r="P2540" s="123"/>
      <c r="R2540" s="123"/>
      <c r="S2540" s="123"/>
      <c r="U2540" s="123"/>
      <c r="V2540" s="123"/>
    </row>
    <row r="2541" spans="1:22" s="530" customFormat="1" ht="15" x14ac:dyDescent="0.25">
      <c r="A2541" s="123"/>
      <c r="B2541" s="529">
        <v>2536001</v>
      </c>
      <c r="C2541" s="529">
        <v>2537</v>
      </c>
      <c r="E2541" s="534">
        <v>0</v>
      </c>
      <c r="F2541" s="534">
        <v>0</v>
      </c>
      <c r="G2541" s="534">
        <v>2</v>
      </c>
      <c r="I2541" s="534">
        <v>0</v>
      </c>
      <c r="J2541" s="534">
        <v>0</v>
      </c>
      <c r="K2541" s="534">
        <v>0</v>
      </c>
      <c r="M2541" s="617">
        <f t="shared" si="80"/>
        <v>0</v>
      </c>
      <c r="N2541" s="617">
        <f t="shared" si="81"/>
        <v>2</v>
      </c>
      <c r="O2541" s="617"/>
      <c r="P2541" s="123"/>
      <c r="R2541" s="123"/>
      <c r="S2541" s="123"/>
      <c r="U2541" s="123"/>
      <c r="V2541" s="123"/>
    </row>
    <row r="2542" spans="1:22" s="530" customFormat="1" ht="15" x14ac:dyDescent="0.25">
      <c r="A2542" s="123"/>
      <c r="B2542" s="529">
        <v>2537001</v>
      </c>
      <c r="C2542" s="529">
        <v>2538</v>
      </c>
      <c r="E2542" s="534">
        <v>0</v>
      </c>
      <c r="F2542" s="534">
        <v>0</v>
      </c>
      <c r="G2542" s="534">
        <v>2</v>
      </c>
      <c r="I2542" s="534">
        <v>0</v>
      </c>
      <c r="J2542" s="534">
        <v>0</v>
      </c>
      <c r="K2542" s="534">
        <v>0</v>
      </c>
      <c r="M2542" s="617">
        <f t="shared" si="80"/>
        <v>0</v>
      </c>
      <c r="N2542" s="617">
        <f t="shared" si="81"/>
        <v>2</v>
      </c>
      <c r="O2542" s="617"/>
      <c r="P2542" s="123"/>
      <c r="R2542" s="123"/>
      <c r="S2542" s="123"/>
      <c r="U2542" s="123"/>
      <c r="V2542" s="123"/>
    </row>
    <row r="2543" spans="1:22" s="530" customFormat="1" ht="15" x14ac:dyDescent="0.25">
      <c r="A2543" s="123"/>
      <c r="B2543" s="529">
        <v>2538001</v>
      </c>
      <c r="C2543" s="529">
        <v>2539</v>
      </c>
      <c r="E2543" s="534">
        <v>0</v>
      </c>
      <c r="F2543" s="534">
        <v>0</v>
      </c>
      <c r="G2543" s="534">
        <v>2</v>
      </c>
      <c r="I2543" s="534">
        <v>0</v>
      </c>
      <c r="J2543" s="534">
        <v>0</v>
      </c>
      <c r="K2543" s="534">
        <v>0</v>
      </c>
      <c r="M2543" s="617">
        <f t="shared" si="80"/>
        <v>0</v>
      </c>
      <c r="N2543" s="617">
        <f t="shared" si="81"/>
        <v>2</v>
      </c>
      <c r="O2543" s="617"/>
      <c r="P2543" s="123"/>
      <c r="R2543" s="123"/>
      <c r="S2543" s="123"/>
      <c r="U2543" s="123"/>
      <c r="V2543" s="123"/>
    </row>
    <row r="2544" spans="1:22" s="530" customFormat="1" ht="15" x14ac:dyDescent="0.25">
      <c r="A2544" s="123"/>
      <c r="B2544" s="529">
        <v>2539001</v>
      </c>
      <c r="C2544" s="529">
        <v>2540</v>
      </c>
      <c r="E2544" s="534">
        <v>0</v>
      </c>
      <c r="F2544" s="534">
        <v>0</v>
      </c>
      <c r="G2544" s="534">
        <v>2</v>
      </c>
      <c r="I2544" s="534">
        <v>0</v>
      </c>
      <c r="J2544" s="534">
        <v>0</v>
      </c>
      <c r="K2544" s="534">
        <v>0</v>
      </c>
      <c r="M2544" s="617">
        <f t="shared" si="80"/>
        <v>0</v>
      </c>
      <c r="N2544" s="617">
        <f t="shared" si="81"/>
        <v>2</v>
      </c>
      <c r="O2544" s="617"/>
      <c r="P2544" s="123"/>
      <c r="R2544" s="123"/>
      <c r="S2544" s="123"/>
      <c r="U2544" s="123"/>
      <c r="V2544" s="123"/>
    </row>
    <row r="2545" spans="1:22" s="530" customFormat="1" ht="15" x14ac:dyDescent="0.25">
      <c r="A2545" s="123"/>
      <c r="B2545" s="529">
        <v>2540001</v>
      </c>
      <c r="C2545" s="529">
        <v>2541</v>
      </c>
      <c r="E2545" s="534">
        <v>0</v>
      </c>
      <c r="F2545" s="534">
        <v>0</v>
      </c>
      <c r="G2545" s="534">
        <v>2</v>
      </c>
      <c r="I2545" s="534">
        <v>0</v>
      </c>
      <c r="J2545" s="534">
        <v>0</v>
      </c>
      <c r="K2545" s="534">
        <v>0</v>
      </c>
      <c r="M2545" s="617">
        <f t="shared" si="80"/>
        <v>0</v>
      </c>
      <c r="N2545" s="617">
        <f t="shared" si="81"/>
        <v>2</v>
      </c>
      <c r="O2545" s="617"/>
      <c r="P2545" s="123"/>
      <c r="R2545" s="123"/>
      <c r="S2545" s="123"/>
      <c r="U2545" s="123"/>
      <c r="V2545" s="123"/>
    </row>
    <row r="2546" spans="1:22" s="530" customFormat="1" ht="15" x14ac:dyDescent="0.25">
      <c r="A2546" s="123"/>
      <c r="B2546" s="529">
        <v>2541001</v>
      </c>
      <c r="C2546" s="529">
        <v>2542</v>
      </c>
      <c r="E2546" s="534">
        <v>0</v>
      </c>
      <c r="F2546" s="534">
        <v>0</v>
      </c>
      <c r="G2546" s="534">
        <v>2</v>
      </c>
      <c r="I2546" s="534">
        <v>0</v>
      </c>
      <c r="J2546" s="534">
        <v>0</v>
      </c>
      <c r="K2546" s="534">
        <v>0</v>
      </c>
      <c r="M2546" s="617">
        <f t="shared" si="80"/>
        <v>0</v>
      </c>
      <c r="N2546" s="617">
        <f t="shared" si="81"/>
        <v>2</v>
      </c>
      <c r="O2546" s="617"/>
      <c r="P2546" s="123"/>
      <c r="R2546" s="123"/>
      <c r="S2546" s="123"/>
      <c r="U2546" s="123"/>
      <c r="V2546" s="123"/>
    </row>
    <row r="2547" spans="1:22" s="530" customFormat="1" ht="15" x14ac:dyDescent="0.25">
      <c r="A2547" s="123"/>
      <c r="B2547" s="529">
        <v>2542001</v>
      </c>
      <c r="C2547" s="529">
        <v>2543</v>
      </c>
      <c r="E2547" s="534">
        <v>0</v>
      </c>
      <c r="F2547" s="534">
        <v>0</v>
      </c>
      <c r="G2547" s="534">
        <v>2</v>
      </c>
      <c r="I2547" s="534">
        <v>0</v>
      </c>
      <c r="J2547" s="534">
        <v>0</v>
      </c>
      <c r="K2547" s="534">
        <v>0</v>
      </c>
      <c r="M2547" s="617">
        <f t="shared" si="80"/>
        <v>0</v>
      </c>
      <c r="N2547" s="617">
        <f t="shared" si="81"/>
        <v>2</v>
      </c>
      <c r="O2547" s="617"/>
      <c r="P2547" s="123"/>
      <c r="R2547" s="123"/>
      <c r="S2547" s="123"/>
      <c r="U2547" s="123"/>
      <c r="V2547" s="123"/>
    </row>
    <row r="2548" spans="1:22" s="530" customFormat="1" ht="15" x14ac:dyDescent="0.25">
      <c r="A2548" s="123"/>
      <c r="B2548" s="529">
        <v>2543001</v>
      </c>
      <c r="C2548" s="529">
        <v>2544</v>
      </c>
      <c r="E2548" s="534">
        <v>0</v>
      </c>
      <c r="F2548" s="534">
        <v>0</v>
      </c>
      <c r="G2548" s="534">
        <v>2</v>
      </c>
      <c r="I2548" s="534">
        <v>0</v>
      </c>
      <c r="J2548" s="534">
        <v>0</v>
      </c>
      <c r="K2548" s="534">
        <v>0</v>
      </c>
      <c r="M2548" s="617">
        <f t="shared" si="80"/>
        <v>0</v>
      </c>
      <c r="N2548" s="617">
        <f t="shared" si="81"/>
        <v>2</v>
      </c>
      <c r="O2548" s="617"/>
      <c r="P2548" s="123"/>
      <c r="R2548" s="123"/>
      <c r="S2548" s="123"/>
      <c r="U2548" s="123"/>
      <c r="V2548" s="123"/>
    </row>
    <row r="2549" spans="1:22" s="530" customFormat="1" ht="15" x14ac:dyDescent="0.25">
      <c r="A2549" s="123"/>
      <c r="B2549" s="529">
        <v>2544001</v>
      </c>
      <c r="C2549" s="529">
        <v>2545</v>
      </c>
      <c r="E2549" s="534">
        <v>0</v>
      </c>
      <c r="F2549" s="534">
        <v>0</v>
      </c>
      <c r="G2549" s="534">
        <v>2</v>
      </c>
      <c r="I2549" s="534">
        <v>0</v>
      </c>
      <c r="J2549" s="534">
        <v>0</v>
      </c>
      <c r="K2549" s="534">
        <v>0</v>
      </c>
      <c r="M2549" s="617">
        <f t="shared" si="80"/>
        <v>0</v>
      </c>
      <c r="N2549" s="617">
        <f t="shared" si="81"/>
        <v>2</v>
      </c>
      <c r="O2549" s="617"/>
      <c r="P2549" s="123"/>
      <c r="R2549" s="123"/>
      <c r="S2549" s="123"/>
      <c r="U2549" s="123"/>
      <c r="V2549" s="123"/>
    </row>
    <row r="2550" spans="1:22" s="530" customFormat="1" ht="15" x14ac:dyDescent="0.25">
      <c r="A2550" s="123"/>
      <c r="B2550" s="529">
        <v>2545001</v>
      </c>
      <c r="C2550" s="529">
        <v>2546</v>
      </c>
      <c r="E2550" s="534">
        <v>0</v>
      </c>
      <c r="F2550" s="534">
        <v>0</v>
      </c>
      <c r="G2550" s="534">
        <v>2</v>
      </c>
      <c r="I2550" s="534">
        <v>0</v>
      </c>
      <c r="J2550" s="534">
        <v>0</v>
      </c>
      <c r="K2550" s="534">
        <v>0</v>
      </c>
      <c r="M2550" s="617">
        <f t="shared" si="80"/>
        <v>0</v>
      </c>
      <c r="N2550" s="617">
        <f t="shared" si="81"/>
        <v>2</v>
      </c>
      <c r="O2550" s="617"/>
      <c r="P2550" s="123"/>
      <c r="R2550" s="123"/>
      <c r="S2550" s="123"/>
      <c r="U2550" s="123"/>
      <c r="V2550" s="123"/>
    </row>
    <row r="2551" spans="1:22" s="530" customFormat="1" ht="15" x14ac:dyDescent="0.25">
      <c r="A2551" s="123"/>
      <c r="B2551" s="529">
        <v>2546001</v>
      </c>
      <c r="C2551" s="529">
        <v>2547</v>
      </c>
      <c r="E2551" s="534">
        <v>0</v>
      </c>
      <c r="F2551" s="534">
        <v>0</v>
      </c>
      <c r="G2551" s="534">
        <v>2</v>
      </c>
      <c r="I2551" s="534">
        <v>0</v>
      </c>
      <c r="J2551" s="534">
        <v>0</v>
      </c>
      <c r="K2551" s="534">
        <v>0</v>
      </c>
      <c r="M2551" s="617">
        <f t="shared" si="80"/>
        <v>0</v>
      </c>
      <c r="N2551" s="617">
        <f t="shared" si="81"/>
        <v>2</v>
      </c>
      <c r="O2551" s="617"/>
      <c r="P2551" s="123"/>
      <c r="R2551" s="123"/>
      <c r="S2551" s="123"/>
      <c r="U2551" s="123"/>
      <c r="V2551" s="123"/>
    </row>
    <row r="2552" spans="1:22" s="530" customFormat="1" ht="15" x14ac:dyDescent="0.25">
      <c r="A2552" s="123"/>
      <c r="B2552" s="529">
        <v>2547001</v>
      </c>
      <c r="C2552" s="529">
        <v>2548</v>
      </c>
      <c r="E2552" s="534">
        <v>0</v>
      </c>
      <c r="F2552" s="534">
        <v>0</v>
      </c>
      <c r="G2552" s="534">
        <v>2</v>
      </c>
      <c r="I2552" s="534">
        <v>0</v>
      </c>
      <c r="J2552" s="534">
        <v>0</v>
      </c>
      <c r="K2552" s="534">
        <v>0</v>
      </c>
      <c r="M2552" s="617">
        <f t="shared" si="80"/>
        <v>0</v>
      </c>
      <c r="N2552" s="617">
        <f t="shared" si="81"/>
        <v>2</v>
      </c>
      <c r="O2552" s="617"/>
      <c r="P2552" s="123"/>
      <c r="R2552" s="123"/>
      <c r="S2552" s="123"/>
      <c r="U2552" s="123"/>
      <c r="V2552" s="123"/>
    </row>
    <row r="2553" spans="1:22" s="530" customFormat="1" ht="15" x14ac:dyDescent="0.25">
      <c r="A2553" s="123"/>
      <c r="B2553" s="529">
        <v>2548001</v>
      </c>
      <c r="C2553" s="529">
        <v>2549</v>
      </c>
      <c r="E2553" s="534">
        <v>0</v>
      </c>
      <c r="F2553" s="534">
        <v>0</v>
      </c>
      <c r="G2553" s="534">
        <v>2</v>
      </c>
      <c r="I2553" s="534">
        <v>0</v>
      </c>
      <c r="J2553" s="534">
        <v>0</v>
      </c>
      <c r="K2553" s="534">
        <v>0</v>
      </c>
      <c r="M2553" s="617">
        <f t="shared" si="80"/>
        <v>0</v>
      </c>
      <c r="N2553" s="617">
        <f t="shared" si="81"/>
        <v>2</v>
      </c>
      <c r="O2553" s="617"/>
      <c r="P2553" s="123"/>
      <c r="R2553" s="123"/>
      <c r="S2553" s="123"/>
      <c r="U2553" s="123"/>
      <c r="V2553" s="123"/>
    </row>
    <row r="2554" spans="1:22" s="530" customFormat="1" ht="15" x14ac:dyDescent="0.25">
      <c r="A2554" s="123"/>
      <c r="B2554" s="529">
        <v>2549001</v>
      </c>
      <c r="C2554" s="529">
        <v>2550</v>
      </c>
      <c r="E2554" s="534">
        <v>0</v>
      </c>
      <c r="F2554" s="534">
        <v>0</v>
      </c>
      <c r="G2554" s="534">
        <v>2</v>
      </c>
      <c r="I2554" s="534">
        <v>0</v>
      </c>
      <c r="J2554" s="534">
        <v>0</v>
      </c>
      <c r="K2554" s="534">
        <v>0</v>
      </c>
      <c r="M2554" s="617">
        <f t="shared" si="80"/>
        <v>0</v>
      </c>
      <c r="N2554" s="617">
        <f t="shared" si="81"/>
        <v>2</v>
      </c>
      <c r="O2554" s="617"/>
      <c r="P2554" s="123"/>
      <c r="R2554" s="123"/>
      <c r="S2554" s="123"/>
      <c r="U2554" s="123"/>
      <c r="V2554" s="123"/>
    </row>
    <row r="2555" spans="1:22" s="530" customFormat="1" ht="15" x14ac:dyDescent="0.25">
      <c r="A2555" s="123"/>
      <c r="B2555" s="529">
        <v>2550001</v>
      </c>
      <c r="C2555" s="529">
        <v>2551</v>
      </c>
      <c r="E2555" s="534">
        <v>0</v>
      </c>
      <c r="F2555" s="534">
        <v>0</v>
      </c>
      <c r="G2555" s="534">
        <v>2</v>
      </c>
      <c r="I2555" s="534">
        <v>0</v>
      </c>
      <c r="J2555" s="534">
        <v>0</v>
      </c>
      <c r="K2555" s="534">
        <v>0</v>
      </c>
      <c r="M2555" s="617">
        <f t="shared" si="80"/>
        <v>0</v>
      </c>
      <c r="N2555" s="617">
        <f t="shared" si="81"/>
        <v>2</v>
      </c>
      <c r="O2555" s="617"/>
      <c r="P2555" s="123"/>
      <c r="R2555" s="123"/>
      <c r="S2555" s="123"/>
      <c r="U2555" s="123"/>
      <c r="V2555" s="123"/>
    </row>
    <row r="2556" spans="1:22" s="530" customFormat="1" ht="15" x14ac:dyDescent="0.25">
      <c r="A2556" s="123"/>
      <c r="B2556" s="529">
        <v>2551001</v>
      </c>
      <c r="C2556" s="529">
        <v>2552</v>
      </c>
      <c r="E2556" s="534">
        <v>0</v>
      </c>
      <c r="F2556" s="534">
        <v>0</v>
      </c>
      <c r="G2556" s="534">
        <v>2</v>
      </c>
      <c r="I2556" s="534">
        <v>0</v>
      </c>
      <c r="J2556" s="534">
        <v>0</v>
      </c>
      <c r="K2556" s="534">
        <v>0</v>
      </c>
      <c r="M2556" s="617">
        <f t="shared" si="80"/>
        <v>0</v>
      </c>
      <c r="N2556" s="617">
        <f t="shared" si="81"/>
        <v>2</v>
      </c>
      <c r="O2556" s="617"/>
      <c r="P2556" s="123"/>
      <c r="R2556" s="123"/>
      <c r="S2556" s="123"/>
      <c r="U2556" s="123"/>
      <c r="V2556" s="123"/>
    </row>
    <row r="2557" spans="1:22" s="530" customFormat="1" ht="15" x14ac:dyDescent="0.25">
      <c r="A2557" s="123"/>
      <c r="B2557" s="529">
        <v>2552001</v>
      </c>
      <c r="C2557" s="529">
        <v>2553</v>
      </c>
      <c r="E2557" s="534">
        <v>0</v>
      </c>
      <c r="F2557" s="534">
        <v>0</v>
      </c>
      <c r="G2557" s="534">
        <v>2</v>
      </c>
      <c r="I2557" s="534">
        <v>0</v>
      </c>
      <c r="J2557" s="534">
        <v>0</v>
      </c>
      <c r="K2557" s="534">
        <v>0</v>
      </c>
      <c r="M2557" s="617">
        <f t="shared" si="80"/>
        <v>0</v>
      </c>
      <c r="N2557" s="617">
        <f t="shared" si="81"/>
        <v>2</v>
      </c>
      <c r="O2557" s="617"/>
      <c r="P2557" s="123"/>
      <c r="R2557" s="123"/>
      <c r="S2557" s="123"/>
      <c r="U2557" s="123"/>
      <c r="V2557" s="123"/>
    </row>
    <row r="2558" spans="1:22" s="530" customFormat="1" ht="15" x14ac:dyDescent="0.25">
      <c r="A2558" s="123"/>
      <c r="B2558" s="529">
        <v>2553001</v>
      </c>
      <c r="C2558" s="529">
        <v>2554</v>
      </c>
      <c r="E2558" s="534">
        <v>0</v>
      </c>
      <c r="F2558" s="534">
        <v>0</v>
      </c>
      <c r="G2558" s="534">
        <v>2</v>
      </c>
      <c r="I2558" s="534">
        <v>0</v>
      </c>
      <c r="J2558" s="534">
        <v>0</v>
      </c>
      <c r="K2558" s="534">
        <v>0</v>
      </c>
      <c r="M2558" s="617">
        <f t="shared" si="80"/>
        <v>0</v>
      </c>
      <c r="N2558" s="617">
        <f t="shared" si="81"/>
        <v>2</v>
      </c>
      <c r="O2558" s="617"/>
      <c r="P2558" s="123"/>
      <c r="R2558" s="123"/>
      <c r="S2558" s="123"/>
      <c r="U2558" s="123"/>
      <c r="V2558" s="123"/>
    </row>
    <row r="2559" spans="1:22" s="530" customFormat="1" ht="15" x14ac:dyDescent="0.25">
      <c r="A2559" s="123"/>
      <c r="B2559" s="529">
        <v>2554001</v>
      </c>
      <c r="C2559" s="529">
        <v>2555</v>
      </c>
      <c r="E2559" s="534">
        <v>0</v>
      </c>
      <c r="F2559" s="534">
        <v>0</v>
      </c>
      <c r="G2559" s="534">
        <v>2</v>
      </c>
      <c r="I2559" s="534">
        <v>0</v>
      </c>
      <c r="J2559" s="534">
        <v>0</v>
      </c>
      <c r="K2559" s="534">
        <v>0</v>
      </c>
      <c r="M2559" s="617">
        <f t="shared" si="80"/>
        <v>0</v>
      </c>
      <c r="N2559" s="617">
        <f t="shared" si="81"/>
        <v>2</v>
      </c>
      <c r="O2559" s="617"/>
      <c r="P2559" s="123"/>
      <c r="R2559" s="123"/>
      <c r="S2559" s="123"/>
      <c r="U2559" s="123"/>
      <c r="V2559" s="123"/>
    </row>
    <row r="2560" spans="1:22" s="530" customFormat="1" ht="15" x14ac:dyDescent="0.25">
      <c r="A2560" s="123"/>
      <c r="B2560" s="529">
        <v>2555001</v>
      </c>
      <c r="C2560" s="529">
        <v>2556</v>
      </c>
      <c r="E2560" s="534">
        <v>0</v>
      </c>
      <c r="F2560" s="534">
        <v>0</v>
      </c>
      <c r="G2560" s="534">
        <v>2</v>
      </c>
      <c r="I2560" s="534">
        <v>0</v>
      </c>
      <c r="J2560" s="534">
        <v>0</v>
      </c>
      <c r="K2560" s="534">
        <v>0</v>
      </c>
      <c r="M2560" s="617">
        <f t="shared" si="80"/>
        <v>0</v>
      </c>
      <c r="N2560" s="617">
        <f t="shared" si="81"/>
        <v>2</v>
      </c>
      <c r="O2560" s="617"/>
      <c r="P2560" s="123"/>
      <c r="R2560" s="123"/>
      <c r="S2560" s="123"/>
      <c r="U2560" s="123"/>
      <c r="V2560" s="123"/>
    </row>
    <row r="2561" spans="1:22" s="530" customFormat="1" ht="15" x14ac:dyDescent="0.25">
      <c r="A2561" s="123"/>
      <c r="B2561" s="529">
        <v>2556001</v>
      </c>
      <c r="C2561" s="529">
        <v>2557</v>
      </c>
      <c r="E2561" s="534">
        <v>0</v>
      </c>
      <c r="F2561" s="534">
        <v>0</v>
      </c>
      <c r="G2561" s="534">
        <v>2</v>
      </c>
      <c r="I2561" s="534">
        <v>0</v>
      </c>
      <c r="J2561" s="534">
        <v>0</v>
      </c>
      <c r="K2561" s="534">
        <v>0</v>
      </c>
      <c r="M2561" s="617">
        <f t="shared" si="80"/>
        <v>0</v>
      </c>
      <c r="N2561" s="617">
        <f t="shared" si="81"/>
        <v>2</v>
      </c>
      <c r="O2561" s="617"/>
      <c r="P2561" s="123"/>
      <c r="R2561" s="123"/>
      <c r="S2561" s="123"/>
      <c r="U2561" s="123"/>
      <c r="V2561" s="123"/>
    </row>
    <row r="2562" spans="1:22" s="530" customFormat="1" ht="15" x14ac:dyDescent="0.25">
      <c r="A2562" s="123"/>
      <c r="B2562" s="529">
        <v>2557001</v>
      </c>
      <c r="C2562" s="529">
        <v>2558</v>
      </c>
      <c r="E2562" s="534">
        <v>0</v>
      </c>
      <c r="F2562" s="534">
        <v>0</v>
      </c>
      <c r="G2562" s="534">
        <v>2</v>
      </c>
      <c r="I2562" s="534">
        <v>0</v>
      </c>
      <c r="J2562" s="534">
        <v>0</v>
      </c>
      <c r="K2562" s="534">
        <v>0</v>
      </c>
      <c r="M2562" s="617">
        <f t="shared" si="80"/>
        <v>0</v>
      </c>
      <c r="N2562" s="617">
        <f t="shared" si="81"/>
        <v>2</v>
      </c>
      <c r="O2562" s="617"/>
      <c r="P2562" s="123"/>
      <c r="R2562" s="123"/>
      <c r="S2562" s="123"/>
      <c r="U2562" s="123"/>
      <c r="V2562" s="123"/>
    </row>
    <row r="2563" spans="1:22" s="530" customFormat="1" ht="15" x14ac:dyDescent="0.25">
      <c r="A2563" s="123"/>
      <c r="B2563" s="529">
        <v>2558001</v>
      </c>
      <c r="C2563" s="529">
        <v>2559</v>
      </c>
      <c r="E2563" s="534">
        <v>0</v>
      </c>
      <c r="F2563" s="534">
        <v>0</v>
      </c>
      <c r="G2563" s="534">
        <v>2</v>
      </c>
      <c r="I2563" s="534">
        <v>0</v>
      </c>
      <c r="J2563" s="534">
        <v>0</v>
      </c>
      <c r="K2563" s="534">
        <v>0</v>
      </c>
      <c r="M2563" s="617">
        <f t="shared" si="80"/>
        <v>0</v>
      </c>
      <c r="N2563" s="617">
        <f t="shared" si="81"/>
        <v>2</v>
      </c>
      <c r="O2563" s="617"/>
      <c r="P2563" s="123"/>
      <c r="R2563" s="123"/>
      <c r="S2563" s="123"/>
      <c r="U2563" s="123"/>
      <c r="V2563" s="123"/>
    </row>
    <row r="2564" spans="1:22" s="530" customFormat="1" ht="15" x14ac:dyDescent="0.25">
      <c r="A2564" s="123"/>
      <c r="B2564" s="529">
        <v>2559001</v>
      </c>
      <c r="C2564" s="529">
        <v>2560</v>
      </c>
      <c r="E2564" s="534">
        <v>0</v>
      </c>
      <c r="F2564" s="534">
        <v>0</v>
      </c>
      <c r="G2564" s="534">
        <v>2</v>
      </c>
      <c r="I2564" s="534">
        <v>0</v>
      </c>
      <c r="J2564" s="534">
        <v>0</v>
      </c>
      <c r="K2564" s="534">
        <v>0</v>
      </c>
      <c r="M2564" s="617">
        <f t="shared" si="80"/>
        <v>0</v>
      </c>
      <c r="N2564" s="617">
        <f t="shared" si="81"/>
        <v>2</v>
      </c>
      <c r="O2564" s="617"/>
      <c r="P2564" s="123"/>
      <c r="R2564" s="123"/>
      <c r="S2564" s="123"/>
      <c r="U2564" s="123"/>
      <c r="V2564" s="123"/>
    </row>
    <row r="2565" spans="1:22" s="530" customFormat="1" ht="15" x14ac:dyDescent="0.25">
      <c r="A2565" s="123"/>
      <c r="B2565" s="529">
        <v>2560001</v>
      </c>
      <c r="C2565" s="529">
        <v>2561</v>
      </c>
      <c r="E2565" s="534">
        <v>0</v>
      </c>
      <c r="F2565" s="534">
        <v>0</v>
      </c>
      <c r="G2565" s="534">
        <v>2</v>
      </c>
      <c r="I2565" s="534">
        <v>0</v>
      </c>
      <c r="J2565" s="534">
        <v>0</v>
      </c>
      <c r="K2565" s="534">
        <v>0</v>
      </c>
      <c r="M2565" s="617">
        <f t="shared" ref="M2565:M2628" si="82">I2565+E2565</f>
        <v>0</v>
      </c>
      <c r="N2565" s="617">
        <f t="shared" ref="N2565:N2628" si="83">K2565+G2565</f>
        <v>2</v>
      </c>
      <c r="O2565" s="617"/>
      <c r="P2565" s="123"/>
      <c r="R2565" s="123"/>
      <c r="S2565" s="123"/>
      <c r="U2565" s="123"/>
      <c r="V2565" s="123"/>
    </row>
    <row r="2566" spans="1:22" s="530" customFormat="1" ht="15" x14ac:dyDescent="0.25">
      <c r="A2566" s="123"/>
      <c r="B2566" s="529">
        <v>2561001</v>
      </c>
      <c r="C2566" s="529">
        <v>2562</v>
      </c>
      <c r="E2566" s="534">
        <v>0</v>
      </c>
      <c r="F2566" s="534">
        <v>0</v>
      </c>
      <c r="G2566" s="534">
        <v>2</v>
      </c>
      <c r="I2566" s="534">
        <v>0</v>
      </c>
      <c r="J2566" s="534">
        <v>0</v>
      </c>
      <c r="K2566" s="534">
        <v>0</v>
      </c>
      <c r="M2566" s="617">
        <f t="shared" si="82"/>
        <v>0</v>
      </c>
      <c r="N2566" s="617">
        <f t="shared" si="83"/>
        <v>2</v>
      </c>
      <c r="O2566" s="617"/>
      <c r="P2566" s="123"/>
      <c r="R2566" s="123"/>
      <c r="S2566" s="123"/>
      <c r="U2566" s="123"/>
      <c r="V2566" s="123"/>
    </row>
    <row r="2567" spans="1:22" s="530" customFormat="1" ht="15" x14ac:dyDescent="0.25">
      <c r="A2567" s="123"/>
      <c r="B2567" s="529">
        <v>2562001</v>
      </c>
      <c r="C2567" s="529">
        <v>2563</v>
      </c>
      <c r="E2567" s="534">
        <v>0</v>
      </c>
      <c r="F2567" s="534">
        <v>0</v>
      </c>
      <c r="G2567" s="534">
        <v>2</v>
      </c>
      <c r="I2567" s="534">
        <v>0</v>
      </c>
      <c r="J2567" s="534">
        <v>0</v>
      </c>
      <c r="K2567" s="534">
        <v>0</v>
      </c>
      <c r="M2567" s="617">
        <f t="shared" si="82"/>
        <v>0</v>
      </c>
      <c r="N2567" s="617">
        <f t="shared" si="83"/>
        <v>2</v>
      </c>
      <c r="O2567" s="617"/>
      <c r="P2567" s="123"/>
      <c r="R2567" s="123"/>
      <c r="S2567" s="123"/>
      <c r="U2567" s="123"/>
      <c r="V2567" s="123"/>
    </row>
    <row r="2568" spans="1:22" s="530" customFormat="1" ht="15" x14ac:dyDescent="0.25">
      <c r="A2568" s="123"/>
      <c r="B2568" s="529">
        <v>2563001</v>
      </c>
      <c r="C2568" s="529">
        <v>2564</v>
      </c>
      <c r="E2568" s="534">
        <v>0</v>
      </c>
      <c r="F2568" s="534">
        <v>0</v>
      </c>
      <c r="G2568" s="534">
        <v>2</v>
      </c>
      <c r="I2568" s="534">
        <v>0</v>
      </c>
      <c r="J2568" s="534">
        <v>0</v>
      </c>
      <c r="K2568" s="534">
        <v>0</v>
      </c>
      <c r="M2568" s="617">
        <f t="shared" si="82"/>
        <v>0</v>
      </c>
      <c r="N2568" s="617">
        <f t="shared" si="83"/>
        <v>2</v>
      </c>
      <c r="O2568" s="617"/>
      <c r="P2568" s="123"/>
      <c r="R2568" s="123"/>
      <c r="S2568" s="123"/>
      <c r="U2568" s="123"/>
      <c r="V2568" s="123"/>
    </row>
    <row r="2569" spans="1:22" s="530" customFormat="1" ht="15" x14ac:dyDescent="0.25">
      <c r="A2569" s="123"/>
      <c r="B2569" s="529">
        <v>2564001</v>
      </c>
      <c r="C2569" s="529">
        <v>2565</v>
      </c>
      <c r="E2569" s="534">
        <v>0</v>
      </c>
      <c r="F2569" s="534">
        <v>0</v>
      </c>
      <c r="G2569" s="534">
        <v>2</v>
      </c>
      <c r="I2569" s="534">
        <v>0</v>
      </c>
      <c r="J2569" s="534">
        <v>0</v>
      </c>
      <c r="K2569" s="534">
        <v>0</v>
      </c>
      <c r="M2569" s="617">
        <f t="shared" si="82"/>
        <v>0</v>
      </c>
      <c r="N2569" s="617">
        <f t="shared" si="83"/>
        <v>2</v>
      </c>
      <c r="O2569" s="617"/>
      <c r="P2569" s="123"/>
      <c r="R2569" s="123"/>
      <c r="S2569" s="123"/>
      <c r="U2569" s="123"/>
      <c r="V2569" s="123"/>
    </row>
    <row r="2570" spans="1:22" s="530" customFormat="1" ht="15" x14ac:dyDescent="0.25">
      <c r="A2570" s="123"/>
      <c r="B2570" s="529">
        <v>2565001</v>
      </c>
      <c r="C2570" s="529">
        <v>2566</v>
      </c>
      <c r="E2570" s="534">
        <v>0</v>
      </c>
      <c r="F2570" s="534">
        <v>0</v>
      </c>
      <c r="G2570" s="534">
        <v>2</v>
      </c>
      <c r="I2570" s="534">
        <v>0</v>
      </c>
      <c r="J2570" s="534">
        <v>0</v>
      </c>
      <c r="K2570" s="534">
        <v>0</v>
      </c>
      <c r="M2570" s="617">
        <f t="shared" si="82"/>
        <v>0</v>
      </c>
      <c r="N2570" s="617">
        <f t="shared" si="83"/>
        <v>2</v>
      </c>
      <c r="O2570" s="617"/>
      <c r="P2570" s="123"/>
      <c r="R2570" s="123"/>
      <c r="S2570" s="123"/>
      <c r="U2570" s="123"/>
      <c r="V2570" s="123"/>
    </row>
    <row r="2571" spans="1:22" s="530" customFormat="1" ht="15" x14ac:dyDescent="0.25">
      <c r="A2571" s="123"/>
      <c r="B2571" s="529">
        <v>2566001</v>
      </c>
      <c r="C2571" s="529">
        <v>2567</v>
      </c>
      <c r="E2571" s="534">
        <v>0</v>
      </c>
      <c r="F2571" s="534">
        <v>0</v>
      </c>
      <c r="G2571" s="534">
        <v>2</v>
      </c>
      <c r="I2571" s="534">
        <v>0</v>
      </c>
      <c r="J2571" s="534">
        <v>0</v>
      </c>
      <c r="K2571" s="534">
        <v>0</v>
      </c>
      <c r="M2571" s="617">
        <f t="shared" si="82"/>
        <v>0</v>
      </c>
      <c r="N2571" s="617">
        <f t="shared" si="83"/>
        <v>2</v>
      </c>
      <c r="O2571" s="617"/>
      <c r="P2571" s="123"/>
      <c r="R2571" s="123"/>
      <c r="S2571" s="123"/>
      <c r="U2571" s="123"/>
      <c r="V2571" s="123"/>
    </row>
    <row r="2572" spans="1:22" s="530" customFormat="1" ht="15" x14ac:dyDescent="0.25">
      <c r="A2572" s="123"/>
      <c r="B2572" s="529">
        <v>2567001</v>
      </c>
      <c r="C2572" s="529">
        <v>2568</v>
      </c>
      <c r="E2572" s="534">
        <v>0</v>
      </c>
      <c r="F2572" s="534">
        <v>0</v>
      </c>
      <c r="G2572" s="534">
        <v>2</v>
      </c>
      <c r="I2572" s="534">
        <v>0</v>
      </c>
      <c r="J2572" s="534">
        <v>0</v>
      </c>
      <c r="K2572" s="534">
        <v>0</v>
      </c>
      <c r="M2572" s="617">
        <f t="shared" si="82"/>
        <v>0</v>
      </c>
      <c r="N2572" s="617">
        <f t="shared" si="83"/>
        <v>2</v>
      </c>
      <c r="O2572" s="617"/>
      <c r="P2572" s="123"/>
      <c r="R2572" s="123"/>
      <c r="S2572" s="123"/>
      <c r="U2572" s="123"/>
      <c r="V2572" s="123"/>
    </row>
    <row r="2573" spans="1:22" s="530" customFormat="1" ht="15" x14ac:dyDescent="0.25">
      <c r="A2573" s="123"/>
      <c r="B2573" s="529">
        <v>2568001</v>
      </c>
      <c r="C2573" s="529">
        <v>2569</v>
      </c>
      <c r="E2573" s="534">
        <v>0</v>
      </c>
      <c r="F2573" s="534">
        <v>0</v>
      </c>
      <c r="G2573" s="534">
        <v>2</v>
      </c>
      <c r="I2573" s="534">
        <v>0</v>
      </c>
      <c r="J2573" s="534">
        <v>0</v>
      </c>
      <c r="K2573" s="534">
        <v>0</v>
      </c>
      <c r="M2573" s="617">
        <f t="shared" si="82"/>
        <v>0</v>
      </c>
      <c r="N2573" s="617">
        <f t="shared" si="83"/>
        <v>2</v>
      </c>
      <c r="O2573" s="617"/>
      <c r="P2573" s="123"/>
      <c r="R2573" s="123"/>
      <c r="S2573" s="123"/>
      <c r="U2573" s="123"/>
      <c r="V2573" s="123"/>
    </row>
    <row r="2574" spans="1:22" s="530" customFormat="1" ht="15" x14ac:dyDescent="0.25">
      <c r="A2574" s="123"/>
      <c r="B2574" s="529">
        <v>2569001</v>
      </c>
      <c r="C2574" s="529">
        <v>2570</v>
      </c>
      <c r="E2574" s="534">
        <v>0</v>
      </c>
      <c r="F2574" s="534">
        <v>0</v>
      </c>
      <c r="G2574" s="534">
        <v>2</v>
      </c>
      <c r="I2574" s="534">
        <v>0</v>
      </c>
      <c r="J2574" s="534">
        <v>0</v>
      </c>
      <c r="K2574" s="534">
        <v>0</v>
      </c>
      <c r="M2574" s="617">
        <f t="shared" si="82"/>
        <v>0</v>
      </c>
      <c r="N2574" s="617">
        <f t="shared" si="83"/>
        <v>2</v>
      </c>
      <c r="O2574" s="617"/>
      <c r="P2574" s="123"/>
      <c r="R2574" s="123"/>
      <c r="S2574" s="123"/>
      <c r="U2574" s="123"/>
      <c r="V2574" s="123"/>
    </row>
    <row r="2575" spans="1:22" s="530" customFormat="1" ht="15" x14ac:dyDescent="0.25">
      <c r="A2575" s="123"/>
      <c r="B2575" s="529">
        <v>2570001</v>
      </c>
      <c r="C2575" s="529">
        <v>2571</v>
      </c>
      <c r="E2575" s="534">
        <v>0</v>
      </c>
      <c r="F2575" s="534">
        <v>0</v>
      </c>
      <c r="G2575" s="534">
        <v>2</v>
      </c>
      <c r="I2575" s="534">
        <v>0</v>
      </c>
      <c r="J2575" s="534">
        <v>0</v>
      </c>
      <c r="K2575" s="534">
        <v>0</v>
      </c>
      <c r="M2575" s="617">
        <f t="shared" si="82"/>
        <v>0</v>
      </c>
      <c r="N2575" s="617">
        <f t="shared" si="83"/>
        <v>2</v>
      </c>
      <c r="O2575" s="617"/>
      <c r="P2575" s="123"/>
      <c r="R2575" s="123"/>
      <c r="S2575" s="123"/>
      <c r="U2575" s="123"/>
      <c r="V2575" s="123"/>
    </row>
    <row r="2576" spans="1:22" s="530" customFormat="1" ht="15" x14ac:dyDescent="0.25">
      <c r="A2576" s="123"/>
      <c r="B2576" s="529">
        <v>2571001</v>
      </c>
      <c r="C2576" s="529">
        <v>2572</v>
      </c>
      <c r="E2576" s="534">
        <v>0</v>
      </c>
      <c r="F2576" s="534">
        <v>0</v>
      </c>
      <c r="G2576" s="534">
        <v>2</v>
      </c>
      <c r="I2576" s="534">
        <v>0</v>
      </c>
      <c r="J2576" s="534">
        <v>0</v>
      </c>
      <c r="K2576" s="534">
        <v>0</v>
      </c>
      <c r="M2576" s="617">
        <f t="shared" si="82"/>
        <v>0</v>
      </c>
      <c r="N2576" s="617">
        <f t="shared" si="83"/>
        <v>2</v>
      </c>
      <c r="O2576" s="617"/>
      <c r="P2576" s="123"/>
      <c r="R2576" s="123"/>
      <c r="S2576" s="123"/>
      <c r="U2576" s="123"/>
      <c r="V2576" s="123"/>
    </row>
    <row r="2577" spans="1:22" s="530" customFormat="1" ht="15" x14ac:dyDescent="0.25">
      <c r="A2577" s="123"/>
      <c r="B2577" s="529">
        <v>2572001</v>
      </c>
      <c r="C2577" s="529">
        <v>2573</v>
      </c>
      <c r="E2577" s="534">
        <v>0</v>
      </c>
      <c r="F2577" s="534">
        <v>0</v>
      </c>
      <c r="G2577" s="534">
        <v>2</v>
      </c>
      <c r="I2577" s="534">
        <v>0</v>
      </c>
      <c r="J2577" s="534">
        <v>0</v>
      </c>
      <c r="K2577" s="534">
        <v>0</v>
      </c>
      <c r="M2577" s="617">
        <f t="shared" si="82"/>
        <v>0</v>
      </c>
      <c r="N2577" s="617">
        <f t="shared" si="83"/>
        <v>2</v>
      </c>
      <c r="O2577" s="617"/>
      <c r="P2577" s="123"/>
      <c r="R2577" s="123"/>
      <c r="S2577" s="123"/>
      <c r="U2577" s="123"/>
      <c r="V2577" s="123"/>
    </row>
    <row r="2578" spans="1:22" s="530" customFormat="1" ht="15" x14ac:dyDescent="0.25">
      <c r="A2578" s="123"/>
      <c r="B2578" s="529">
        <v>2573001</v>
      </c>
      <c r="C2578" s="529">
        <v>2574</v>
      </c>
      <c r="E2578" s="534">
        <v>0</v>
      </c>
      <c r="F2578" s="534">
        <v>0</v>
      </c>
      <c r="G2578" s="534">
        <v>2</v>
      </c>
      <c r="I2578" s="534">
        <v>0</v>
      </c>
      <c r="J2578" s="534">
        <v>0</v>
      </c>
      <c r="K2578" s="534">
        <v>0</v>
      </c>
      <c r="M2578" s="617">
        <f t="shared" si="82"/>
        <v>0</v>
      </c>
      <c r="N2578" s="617">
        <f t="shared" si="83"/>
        <v>2</v>
      </c>
      <c r="O2578" s="617"/>
      <c r="P2578" s="123"/>
      <c r="R2578" s="123"/>
      <c r="S2578" s="123"/>
      <c r="U2578" s="123"/>
      <c r="V2578" s="123"/>
    </row>
    <row r="2579" spans="1:22" s="530" customFormat="1" ht="15" x14ac:dyDescent="0.25">
      <c r="A2579" s="123"/>
      <c r="B2579" s="529">
        <v>2574001</v>
      </c>
      <c r="C2579" s="529">
        <v>2575</v>
      </c>
      <c r="E2579" s="534">
        <v>0</v>
      </c>
      <c r="F2579" s="534">
        <v>0</v>
      </c>
      <c r="G2579" s="534">
        <v>2</v>
      </c>
      <c r="I2579" s="534">
        <v>0</v>
      </c>
      <c r="J2579" s="534">
        <v>0</v>
      </c>
      <c r="K2579" s="534">
        <v>0</v>
      </c>
      <c r="M2579" s="617">
        <f t="shared" si="82"/>
        <v>0</v>
      </c>
      <c r="N2579" s="617">
        <f t="shared" si="83"/>
        <v>2</v>
      </c>
      <c r="O2579" s="617"/>
      <c r="P2579" s="123"/>
      <c r="R2579" s="123"/>
      <c r="S2579" s="123"/>
      <c r="U2579" s="123"/>
      <c r="V2579" s="123"/>
    </row>
    <row r="2580" spans="1:22" s="530" customFormat="1" ht="15" x14ac:dyDescent="0.25">
      <c r="A2580" s="123"/>
      <c r="B2580" s="529">
        <v>2575001</v>
      </c>
      <c r="C2580" s="529">
        <v>2576</v>
      </c>
      <c r="E2580" s="534">
        <v>0</v>
      </c>
      <c r="F2580" s="534">
        <v>0</v>
      </c>
      <c r="G2580" s="534">
        <v>2</v>
      </c>
      <c r="I2580" s="534">
        <v>0</v>
      </c>
      <c r="J2580" s="534">
        <v>0</v>
      </c>
      <c r="K2580" s="534">
        <v>0</v>
      </c>
      <c r="M2580" s="617">
        <f t="shared" si="82"/>
        <v>0</v>
      </c>
      <c r="N2580" s="617">
        <f t="shared" si="83"/>
        <v>2</v>
      </c>
      <c r="O2580" s="617"/>
      <c r="P2580" s="123"/>
      <c r="R2580" s="123"/>
      <c r="S2580" s="123"/>
      <c r="U2580" s="123"/>
      <c r="V2580" s="123"/>
    </row>
    <row r="2581" spans="1:22" s="530" customFormat="1" ht="15" x14ac:dyDescent="0.25">
      <c r="A2581" s="123"/>
      <c r="B2581" s="529">
        <v>2576001</v>
      </c>
      <c r="C2581" s="529">
        <v>2577</v>
      </c>
      <c r="E2581" s="534">
        <v>0</v>
      </c>
      <c r="F2581" s="534">
        <v>0</v>
      </c>
      <c r="G2581" s="534">
        <v>2</v>
      </c>
      <c r="I2581" s="534">
        <v>0</v>
      </c>
      <c r="J2581" s="534">
        <v>0</v>
      </c>
      <c r="K2581" s="534">
        <v>0</v>
      </c>
      <c r="M2581" s="617">
        <f t="shared" si="82"/>
        <v>0</v>
      </c>
      <c r="N2581" s="617">
        <f t="shared" si="83"/>
        <v>2</v>
      </c>
      <c r="O2581" s="617"/>
      <c r="P2581" s="123"/>
      <c r="R2581" s="123"/>
      <c r="S2581" s="123"/>
      <c r="U2581" s="123"/>
      <c r="V2581" s="123"/>
    </row>
    <row r="2582" spans="1:22" s="530" customFormat="1" ht="15" x14ac:dyDescent="0.25">
      <c r="A2582" s="123"/>
      <c r="B2582" s="529">
        <v>2577001</v>
      </c>
      <c r="C2582" s="529">
        <v>2578</v>
      </c>
      <c r="E2582" s="534">
        <v>0</v>
      </c>
      <c r="F2582" s="534">
        <v>0</v>
      </c>
      <c r="G2582" s="534">
        <v>2</v>
      </c>
      <c r="I2582" s="534">
        <v>0</v>
      </c>
      <c r="J2582" s="534">
        <v>0</v>
      </c>
      <c r="K2582" s="534">
        <v>0</v>
      </c>
      <c r="M2582" s="617">
        <f t="shared" si="82"/>
        <v>0</v>
      </c>
      <c r="N2582" s="617">
        <f t="shared" si="83"/>
        <v>2</v>
      </c>
      <c r="O2582" s="617"/>
      <c r="P2582" s="123"/>
      <c r="R2582" s="123"/>
      <c r="S2582" s="123"/>
      <c r="U2582" s="123"/>
      <c r="V2582" s="123"/>
    </row>
    <row r="2583" spans="1:22" s="530" customFormat="1" ht="15" x14ac:dyDescent="0.25">
      <c r="A2583" s="123"/>
      <c r="B2583" s="529">
        <v>2578001</v>
      </c>
      <c r="C2583" s="529">
        <v>2579</v>
      </c>
      <c r="E2583" s="534">
        <v>0</v>
      </c>
      <c r="F2583" s="534">
        <v>0</v>
      </c>
      <c r="G2583" s="534">
        <v>2</v>
      </c>
      <c r="I2583" s="534">
        <v>0</v>
      </c>
      <c r="J2583" s="534">
        <v>0</v>
      </c>
      <c r="K2583" s="534">
        <v>0</v>
      </c>
      <c r="M2583" s="617">
        <f t="shared" si="82"/>
        <v>0</v>
      </c>
      <c r="N2583" s="617">
        <f t="shared" si="83"/>
        <v>2</v>
      </c>
      <c r="O2583" s="617"/>
      <c r="P2583" s="123"/>
      <c r="R2583" s="123"/>
      <c r="S2583" s="123"/>
      <c r="U2583" s="123"/>
      <c r="V2583" s="123"/>
    </row>
    <row r="2584" spans="1:22" s="530" customFormat="1" ht="15" x14ac:dyDescent="0.25">
      <c r="A2584" s="123"/>
      <c r="B2584" s="529">
        <v>2579001</v>
      </c>
      <c r="C2584" s="529">
        <v>2580</v>
      </c>
      <c r="E2584" s="534">
        <v>0</v>
      </c>
      <c r="F2584" s="534">
        <v>0</v>
      </c>
      <c r="G2584" s="534">
        <v>2</v>
      </c>
      <c r="I2584" s="534">
        <v>0</v>
      </c>
      <c r="J2584" s="534">
        <v>0</v>
      </c>
      <c r="K2584" s="534">
        <v>0</v>
      </c>
      <c r="M2584" s="617">
        <f t="shared" si="82"/>
        <v>0</v>
      </c>
      <c r="N2584" s="617">
        <f t="shared" si="83"/>
        <v>2</v>
      </c>
      <c r="O2584" s="617"/>
      <c r="P2584" s="123"/>
      <c r="R2584" s="123"/>
      <c r="S2584" s="123"/>
      <c r="U2584" s="123"/>
      <c r="V2584" s="123"/>
    </row>
    <row r="2585" spans="1:22" s="530" customFormat="1" ht="15" x14ac:dyDescent="0.25">
      <c r="A2585" s="123"/>
      <c r="B2585" s="529">
        <v>2580001</v>
      </c>
      <c r="C2585" s="529">
        <v>2581</v>
      </c>
      <c r="E2585" s="534">
        <v>0</v>
      </c>
      <c r="F2585" s="534">
        <v>0</v>
      </c>
      <c r="G2585" s="534">
        <v>2</v>
      </c>
      <c r="I2585" s="534">
        <v>0</v>
      </c>
      <c r="J2585" s="534">
        <v>0</v>
      </c>
      <c r="K2585" s="534">
        <v>0</v>
      </c>
      <c r="M2585" s="617">
        <f t="shared" si="82"/>
        <v>0</v>
      </c>
      <c r="N2585" s="617">
        <f t="shared" si="83"/>
        <v>2</v>
      </c>
      <c r="O2585" s="617"/>
      <c r="P2585" s="123"/>
      <c r="R2585" s="123"/>
      <c r="S2585" s="123"/>
      <c r="U2585" s="123"/>
      <c r="V2585" s="123"/>
    </row>
    <row r="2586" spans="1:22" s="530" customFormat="1" ht="15" x14ac:dyDescent="0.25">
      <c r="A2586" s="123"/>
      <c r="B2586" s="529">
        <v>2581001</v>
      </c>
      <c r="C2586" s="529">
        <v>2582</v>
      </c>
      <c r="E2586" s="534">
        <v>0</v>
      </c>
      <c r="F2586" s="534">
        <v>0</v>
      </c>
      <c r="G2586" s="534">
        <v>2</v>
      </c>
      <c r="I2586" s="534">
        <v>0</v>
      </c>
      <c r="J2586" s="534">
        <v>0</v>
      </c>
      <c r="K2586" s="534">
        <v>0</v>
      </c>
      <c r="M2586" s="617">
        <f t="shared" si="82"/>
        <v>0</v>
      </c>
      <c r="N2586" s="617">
        <f t="shared" si="83"/>
        <v>2</v>
      </c>
      <c r="O2586" s="617"/>
      <c r="P2586" s="123"/>
      <c r="R2586" s="123"/>
      <c r="S2586" s="123"/>
      <c r="U2586" s="123"/>
      <c r="V2586" s="123"/>
    </row>
    <row r="2587" spans="1:22" s="530" customFormat="1" ht="15" x14ac:dyDescent="0.25">
      <c r="A2587" s="123"/>
      <c r="B2587" s="529">
        <v>2582001</v>
      </c>
      <c r="C2587" s="529">
        <v>2583</v>
      </c>
      <c r="E2587" s="534">
        <v>0</v>
      </c>
      <c r="F2587" s="534">
        <v>0</v>
      </c>
      <c r="G2587" s="534">
        <v>2</v>
      </c>
      <c r="I2587" s="534">
        <v>0</v>
      </c>
      <c r="J2587" s="534">
        <v>0</v>
      </c>
      <c r="K2587" s="534">
        <v>0</v>
      </c>
      <c r="M2587" s="617">
        <f t="shared" si="82"/>
        <v>0</v>
      </c>
      <c r="N2587" s="617">
        <f t="shared" si="83"/>
        <v>2</v>
      </c>
      <c r="O2587" s="617"/>
      <c r="P2587" s="123"/>
      <c r="R2587" s="123"/>
      <c r="S2587" s="123"/>
      <c r="U2587" s="123"/>
      <c r="V2587" s="123"/>
    </row>
    <row r="2588" spans="1:22" s="530" customFormat="1" ht="15" x14ac:dyDescent="0.25">
      <c r="A2588" s="123"/>
      <c r="B2588" s="529">
        <v>2583001</v>
      </c>
      <c r="C2588" s="529">
        <v>2584</v>
      </c>
      <c r="E2588" s="534">
        <v>0</v>
      </c>
      <c r="F2588" s="534">
        <v>0</v>
      </c>
      <c r="G2588" s="534">
        <v>2</v>
      </c>
      <c r="I2588" s="534">
        <v>0</v>
      </c>
      <c r="J2588" s="534">
        <v>0</v>
      </c>
      <c r="K2588" s="534">
        <v>0</v>
      </c>
      <c r="M2588" s="617">
        <f t="shared" si="82"/>
        <v>0</v>
      </c>
      <c r="N2588" s="617">
        <f t="shared" si="83"/>
        <v>2</v>
      </c>
      <c r="O2588" s="617"/>
      <c r="P2588" s="123"/>
      <c r="R2588" s="123"/>
      <c r="S2588" s="123"/>
      <c r="U2588" s="123"/>
      <c r="V2588" s="123"/>
    </row>
    <row r="2589" spans="1:22" s="530" customFormat="1" ht="15" x14ac:dyDescent="0.25">
      <c r="A2589" s="123"/>
      <c r="B2589" s="529">
        <v>2584001</v>
      </c>
      <c r="C2589" s="529">
        <v>2585</v>
      </c>
      <c r="E2589" s="534">
        <v>0</v>
      </c>
      <c r="F2589" s="534">
        <v>0</v>
      </c>
      <c r="G2589" s="534">
        <v>2</v>
      </c>
      <c r="I2589" s="534">
        <v>0</v>
      </c>
      <c r="J2589" s="534">
        <v>0</v>
      </c>
      <c r="K2589" s="534">
        <v>0</v>
      </c>
      <c r="M2589" s="617">
        <f t="shared" si="82"/>
        <v>0</v>
      </c>
      <c r="N2589" s="617">
        <f t="shared" si="83"/>
        <v>2</v>
      </c>
      <c r="O2589" s="617"/>
      <c r="P2589" s="123"/>
      <c r="R2589" s="123"/>
      <c r="S2589" s="123"/>
      <c r="U2589" s="123"/>
      <c r="V2589" s="123"/>
    </row>
    <row r="2590" spans="1:22" s="530" customFormat="1" ht="15" x14ac:dyDescent="0.25">
      <c r="A2590" s="123"/>
      <c r="B2590" s="529">
        <v>2585001</v>
      </c>
      <c r="C2590" s="529">
        <v>2586</v>
      </c>
      <c r="E2590" s="534">
        <v>0</v>
      </c>
      <c r="F2590" s="534">
        <v>0</v>
      </c>
      <c r="G2590" s="534">
        <v>2</v>
      </c>
      <c r="I2590" s="534">
        <v>0</v>
      </c>
      <c r="J2590" s="534">
        <v>0</v>
      </c>
      <c r="K2590" s="534">
        <v>0</v>
      </c>
      <c r="M2590" s="617">
        <f t="shared" si="82"/>
        <v>0</v>
      </c>
      <c r="N2590" s="617">
        <f t="shared" si="83"/>
        <v>2</v>
      </c>
      <c r="O2590" s="617"/>
      <c r="P2590" s="123"/>
      <c r="R2590" s="123"/>
      <c r="S2590" s="123"/>
      <c r="U2590" s="123"/>
      <c r="V2590" s="123"/>
    </row>
    <row r="2591" spans="1:22" s="530" customFormat="1" ht="15" x14ac:dyDescent="0.25">
      <c r="A2591" s="123"/>
      <c r="B2591" s="529">
        <v>2586001</v>
      </c>
      <c r="C2591" s="529">
        <v>2587</v>
      </c>
      <c r="E2591" s="534">
        <v>0</v>
      </c>
      <c r="F2591" s="534">
        <v>0</v>
      </c>
      <c r="G2591" s="534">
        <v>2</v>
      </c>
      <c r="I2591" s="534">
        <v>0</v>
      </c>
      <c r="J2591" s="534">
        <v>0</v>
      </c>
      <c r="K2591" s="534">
        <v>0</v>
      </c>
      <c r="M2591" s="617">
        <f t="shared" si="82"/>
        <v>0</v>
      </c>
      <c r="N2591" s="617">
        <f t="shared" si="83"/>
        <v>2</v>
      </c>
      <c r="O2591" s="617"/>
      <c r="P2591" s="123"/>
      <c r="R2591" s="123"/>
      <c r="S2591" s="123"/>
      <c r="U2591" s="123"/>
      <c r="V2591" s="123"/>
    </row>
    <row r="2592" spans="1:22" s="530" customFormat="1" ht="15" x14ac:dyDescent="0.25">
      <c r="A2592" s="123"/>
      <c r="B2592" s="529">
        <v>2587001</v>
      </c>
      <c r="C2592" s="529">
        <v>2588</v>
      </c>
      <c r="E2592" s="534">
        <v>0</v>
      </c>
      <c r="F2592" s="534">
        <v>0</v>
      </c>
      <c r="G2592" s="534">
        <v>2</v>
      </c>
      <c r="I2592" s="534">
        <v>0</v>
      </c>
      <c r="J2592" s="534">
        <v>0</v>
      </c>
      <c r="K2592" s="534">
        <v>0</v>
      </c>
      <c r="M2592" s="617">
        <f t="shared" si="82"/>
        <v>0</v>
      </c>
      <c r="N2592" s="617">
        <f t="shared" si="83"/>
        <v>2</v>
      </c>
      <c r="O2592" s="617"/>
      <c r="P2592" s="123"/>
      <c r="R2592" s="123"/>
      <c r="S2592" s="123"/>
      <c r="U2592" s="123"/>
      <c r="V2592" s="123"/>
    </row>
    <row r="2593" spans="1:22" s="530" customFormat="1" ht="15" x14ac:dyDescent="0.25">
      <c r="A2593" s="123"/>
      <c r="B2593" s="529">
        <v>2588001</v>
      </c>
      <c r="C2593" s="529">
        <v>2589</v>
      </c>
      <c r="E2593" s="534">
        <v>0</v>
      </c>
      <c r="F2593" s="534">
        <v>0</v>
      </c>
      <c r="G2593" s="534">
        <v>2</v>
      </c>
      <c r="I2593" s="534">
        <v>0</v>
      </c>
      <c r="J2593" s="534">
        <v>0</v>
      </c>
      <c r="K2593" s="534">
        <v>0</v>
      </c>
      <c r="M2593" s="617">
        <f t="shared" si="82"/>
        <v>0</v>
      </c>
      <c r="N2593" s="617">
        <f t="shared" si="83"/>
        <v>2</v>
      </c>
      <c r="O2593" s="617"/>
      <c r="P2593" s="123"/>
      <c r="R2593" s="123"/>
      <c r="S2593" s="123"/>
      <c r="U2593" s="123"/>
      <c r="V2593" s="123"/>
    </row>
    <row r="2594" spans="1:22" s="530" customFormat="1" ht="15" x14ac:dyDescent="0.25">
      <c r="A2594" s="123"/>
      <c r="B2594" s="529">
        <v>2589001</v>
      </c>
      <c r="C2594" s="529">
        <v>2590</v>
      </c>
      <c r="E2594" s="534">
        <v>0</v>
      </c>
      <c r="F2594" s="534">
        <v>0</v>
      </c>
      <c r="G2594" s="534">
        <v>2</v>
      </c>
      <c r="I2594" s="534">
        <v>0</v>
      </c>
      <c r="J2594" s="534">
        <v>0</v>
      </c>
      <c r="K2594" s="534">
        <v>0</v>
      </c>
      <c r="M2594" s="617">
        <f t="shared" si="82"/>
        <v>0</v>
      </c>
      <c r="N2594" s="617">
        <f t="shared" si="83"/>
        <v>2</v>
      </c>
      <c r="O2594" s="617"/>
      <c r="P2594" s="123"/>
      <c r="R2594" s="123"/>
      <c r="S2594" s="123"/>
      <c r="U2594" s="123"/>
      <c r="V2594" s="123"/>
    </row>
    <row r="2595" spans="1:22" s="530" customFormat="1" ht="15" x14ac:dyDescent="0.25">
      <c r="A2595" s="123"/>
      <c r="B2595" s="529">
        <v>2590001</v>
      </c>
      <c r="C2595" s="529">
        <v>2591</v>
      </c>
      <c r="E2595" s="534">
        <v>0</v>
      </c>
      <c r="F2595" s="534">
        <v>0</v>
      </c>
      <c r="G2595" s="534">
        <v>2</v>
      </c>
      <c r="I2595" s="534">
        <v>0</v>
      </c>
      <c r="J2595" s="534">
        <v>0</v>
      </c>
      <c r="K2595" s="534">
        <v>0</v>
      </c>
      <c r="M2595" s="617">
        <f t="shared" si="82"/>
        <v>0</v>
      </c>
      <c r="N2595" s="617">
        <f t="shared" si="83"/>
        <v>2</v>
      </c>
      <c r="O2595" s="617"/>
      <c r="P2595" s="123"/>
      <c r="R2595" s="123"/>
      <c r="S2595" s="123"/>
      <c r="U2595" s="123"/>
      <c r="V2595" s="123"/>
    </row>
    <row r="2596" spans="1:22" s="530" customFormat="1" ht="15" x14ac:dyDescent="0.25">
      <c r="A2596" s="123"/>
      <c r="B2596" s="529">
        <v>2591001</v>
      </c>
      <c r="C2596" s="529">
        <v>2592</v>
      </c>
      <c r="E2596" s="534">
        <v>0</v>
      </c>
      <c r="F2596" s="534">
        <v>0</v>
      </c>
      <c r="G2596" s="534">
        <v>2</v>
      </c>
      <c r="I2596" s="534">
        <v>0</v>
      </c>
      <c r="J2596" s="534">
        <v>0</v>
      </c>
      <c r="K2596" s="534">
        <v>0</v>
      </c>
      <c r="M2596" s="617">
        <f t="shared" si="82"/>
        <v>0</v>
      </c>
      <c r="N2596" s="617">
        <f t="shared" si="83"/>
        <v>2</v>
      </c>
      <c r="O2596" s="617"/>
      <c r="P2596" s="123"/>
      <c r="R2596" s="123"/>
      <c r="S2596" s="123"/>
      <c r="U2596" s="123"/>
      <c r="V2596" s="123"/>
    </row>
    <row r="2597" spans="1:22" s="530" customFormat="1" ht="15" x14ac:dyDescent="0.25">
      <c r="A2597" s="123"/>
      <c r="B2597" s="529">
        <v>2592001</v>
      </c>
      <c r="C2597" s="529">
        <v>2593</v>
      </c>
      <c r="E2597" s="534">
        <v>0</v>
      </c>
      <c r="F2597" s="534">
        <v>0</v>
      </c>
      <c r="G2597" s="534">
        <v>2</v>
      </c>
      <c r="I2597" s="534">
        <v>0</v>
      </c>
      <c r="J2597" s="534">
        <v>0</v>
      </c>
      <c r="K2597" s="534">
        <v>0</v>
      </c>
      <c r="M2597" s="617">
        <f t="shared" si="82"/>
        <v>0</v>
      </c>
      <c r="N2597" s="617">
        <f t="shared" si="83"/>
        <v>2</v>
      </c>
      <c r="O2597" s="617"/>
      <c r="P2597" s="123"/>
      <c r="R2597" s="123"/>
      <c r="S2597" s="123"/>
      <c r="U2597" s="123"/>
      <c r="V2597" s="123"/>
    </row>
    <row r="2598" spans="1:22" s="530" customFormat="1" ht="15" x14ac:dyDescent="0.25">
      <c r="A2598" s="123"/>
      <c r="B2598" s="529">
        <v>2593001</v>
      </c>
      <c r="C2598" s="529">
        <v>2594</v>
      </c>
      <c r="E2598" s="534">
        <v>0</v>
      </c>
      <c r="F2598" s="534">
        <v>0</v>
      </c>
      <c r="G2598" s="534">
        <v>2</v>
      </c>
      <c r="I2598" s="534">
        <v>0</v>
      </c>
      <c r="J2598" s="534">
        <v>0</v>
      </c>
      <c r="K2598" s="534">
        <v>0</v>
      </c>
      <c r="M2598" s="617">
        <f t="shared" si="82"/>
        <v>0</v>
      </c>
      <c r="N2598" s="617">
        <f t="shared" si="83"/>
        <v>2</v>
      </c>
      <c r="O2598" s="617"/>
      <c r="P2598" s="123"/>
      <c r="R2598" s="123"/>
      <c r="S2598" s="123"/>
      <c r="U2598" s="123"/>
      <c r="V2598" s="123"/>
    </row>
    <row r="2599" spans="1:22" s="530" customFormat="1" ht="15" x14ac:dyDescent="0.25">
      <c r="A2599" s="123"/>
      <c r="B2599" s="529">
        <v>2594001</v>
      </c>
      <c r="C2599" s="529">
        <v>2595</v>
      </c>
      <c r="E2599" s="534">
        <v>0</v>
      </c>
      <c r="F2599" s="534">
        <v>0</v>
      </c>
      <c r="G2599" s="534">
        <v>2</v>
      </c>
      <c r="I2599" s="534">
        <v>0</v>
      </c>
      <c r="J2599" s="534">
        <v>0</v>
      </c>
      <c r="K2599" s="534">
        <v>0</v>
      </c>
      <c r="M2599" s="617">
        <f t="shared" si="82"/>
        <v>0</v>
      </c>
      <c r="N2599" s="617">
        <f t="shared" si="83"/>
        <v>2</v>
      </c>
      <c r="O2599" s="617"/>
      <c r="P2599" s="123"/>
      <c r="R2599" s="123"/>
      <c r="S2599" s="123"/>
      <c r="U2599" s="123"/>
      <c r="V2599" s="123"/>
    </row>
    <row r="2600" spans="1:22" s="530" customFormat="1" ht="15" x14ac:dyDescent="0.25">
      <c r="A2600" s="123"/>
      <c r="B2600" s="529">
        <v>2595001</v>
      </c>
      <c r="C2600" s="529">
        <v>2596</v>
      </c>
      <c r="E2600" s="534">
        <v>0</v>
      </c>
      <c r="F2600" s="534">
        <v>0</v>
      </c>
      <c r="G2600" s="534">
        <v>2</v>
      </c>
      <c r="I2600" s="534">
        <v>0</v>
      </c>
      <c r="J2600" s="534">
        <v>0</v>
      </c>
      <c r="K2600" s="534">
        <v>0</v>
      </c>
      <c r="M2600" s="617">
        <f t="shared" si="82"/>
        <v>0</v>
      </c>
      <c r="N2600" s="617">
        <f t="shared" si="83"/>
        <v>2</v>
      </c>
      <c r="O2600" s="617"/>
      <c r="P2600" s="123"/>
      <c r="R2600" s="123"/>
      <c r="S2600" s="123"/>
      <c r="U2600" s="123"/>
      <c r="V2600" s="123"/>
    </row>
    <row r="2601" spans="1:22" s="530" customFormat="1" ht="15" x14ac:dyDescent="0.25">
      <c r="A2601" s="123"/>
      <c r="B2601" s="529">
        <v>2596001</v>
      </c>
      <c r="C2601" s="529">
        <v>2597</v>
      </c>
      <c r="E2601" s="534">
        <v>0</v>
      </c>
      <c r="F2601" s="534">
        <v>0</v>
      </c>
      <c r="G2601" s="534">
        <v>2</v>
      </c>
      <c r="I2601" s="534">
        <v>0</v>
      </c>
      <c r="J2601" s="534">
        <v>0</v>
      </c>
      <c r="K2601" s="534">
        <v>0</v>
      </c>
      <c r="M2601" s="617">
        <f t="shared" si="82"/>
        <v>0</v>
      </c>
      <c r="N2601" s="617">
        <f t="shared" si="83"/>
        <v>2</v>
      </c>
      <c r="O2601" s="617"/>
      <c r="P2601" s="123"/>
      <c r="R2601" s="123"/>
      <c r="S2601" s="123"/>
      <c r="U2601" s="123"/>
      <c r="V2601" s="123"/>
    </row>
    <row r="2602" spans="1:22" s="530" customFormat="1" ht="15" x14ac:dyDescent="0.25">
      <c r="A2602" s="123"/>
      <c r="B2602" s="529">
        <v>2597001</v>
      </c>
      <c r="C2602" s="529">
        <v>2598</v>
      </c>
      <c r="E2602" s="534">
        <v>0</v>
      </c>
      <c r="F2602" s="534">
        <v>0</v>
      </c>
      <c r="G2602" s="534">
        <v>2</v>
      </c>
      <c r="I2602" s="534">
        <v>0</v>
      </c>
      <c r="J2602" s="534">
        <v>0</v>
      </c>
      <c r="K2602" s="534">
        <v>0</v>
      </c>
      <c r="M2602" s="617">
        <f t="shared" si="82"/>
        <v>0</v>
      </c>
      <c r="N2602" s="617">
        <f t="shared" si="83"/>
        <v>2</v>
      </c>
      <c r="O2602" s="617"/>
      <c r="P2602" s="123"/>
      <c r="R2602" s="123"/>
      <c r="S2602" s="123"/>
      <c r="U2602" s="123"/>
      <c r="V2602" s="123"/>
    </row>
    <row r="2603" spans="1:22" s="530" customFormat="1" ht="15" x14ac:dyDescent="0.25">
      <c r="A2603" s="123"/>
      <c r="B2603" s="529">
        <v>2598001</v>
      </c>
      <c r="C2603" s="529">
        <v>2599</v>
      </c>
      <c r="E2603" s="534">
        <v>0</v>
      </c>
      <c r="F2603" s="534">
        <v>0</v>
      </c>
      <c r="G2603" s="534">
        <v>2</v>
      </c>
      <c r="I2603" s="534">
        <v>0</v>
      </c>
      <c r="J2603" s="534">
        <v>0</v>
      </c>
      <c r="K2603" s="534">
        <v>0</v>
      </c>
      <c r="M2603" s="617">
        <f t="shared" si="82"/>
        <v>0</v>
      </c>
      <c r="N2603" s="617">
        <f t="shared" si="83"/>
        <v>2</v>
      </c>
      <c r="O2603" s="617"/>
      <c r="P2603" s="123"/>
      <c r="R2603" s="123"/>
      <c r="S2603" s="123"/>
      <c r="U2603" s="123"/>
      <c r="V2603" s="123"/>
    </row>
    <row r="2604" spans="1:22" s="530" customFormat="1" ht="15" x14ac:dyDescent="0.25">
      <c r="A2604" s="123"/>
      <c r="B2604" s="529">
        <v>2599001</v>
      </c>
      <c r="C2604" s="529">
        <v>2600</v>
      </c>
      <c r="E2604" s="534">
        <v>0</v>
      </c>
      <c r="F2604" s="534">
        <v>0</v>
      </c>
      <c r="G2604" s="534">
        <v>2</v>
      </c>
      <c r="I2604" s="534">
        <v>0</v>
      </c>
      <c r="J2604" s="534">
        <v>0</v>
      </c>
      <c r="K2604" s="534">
        <v>0</v>
      </c>
      <c r="M2604" s="617">
        <f t="shared" si="82"/>
        <v>0</v>
      </c>
      <c r="N2604" s="617">
        <f t="shared" si="83"/>
        <v>2</v>
      </c>
      <c r="O2604" s="617"/>
      <c r="P2604" s="123"/>
      <c r="R2604" s="123"/>
      <c r="S2604" s="123"/>
      <c r="U2604" s="123"/>
      <c r="V2604" s="123"/>
    </row>
    <row r="2605" spans="1:22" s="530" customFormat="1" ht="15" x14ac:dyDescent="0.25">
      <c r="A2605" s="123"/>
      <c r="B2605" s="529">
        <v>2600001</v>
      </c>
      <c r="C2605" s="529">
        <v>2601</v>
      </c>
      <c r="E2605" s="534">
        <v>0</v>
      </c>
      <c r="F2605" s="534">
        <v>0</v>
      </c>
      <c r="G2605" s="534">
        <v>2</v>
      </c>
      <c r="I2605" s="534">
        <v>0</v>
      </c>
      <c r="J2605" s="534">
        <v>0</v>
      </c>
      <c r="K2605" s="534">
        <v>0</v>
      </c>
      <c r="M2605" s="617">
        <f t="shared" si="82"/>
        <v>0</v>
      </c>
      <c r="N2605" s="617">
        <f t="shared" si="83"/>
        <v>2</v>
      </c>
      <c r="O2605" s="617"/>
      <c r="P2605" s="123"/>
      <c r="R2605" s="123"/>
      <c r="S2605" s="123"/>
      <c r="U2605" s="123"/>
      <c r="V2605" s="123"/>
    </row>
    <row r="2606" spans="1:22" s="530" customFormat="1" ht="15" x14ac:dyDescent="0.25">
      <c r="A2606" s="123"/>
      <c r="B2606" s="529">
        <v>2601001</v>
      </c>
      <c r="C2606" s="529">
        <v>2602</v>
      </c>
      <c r="E2606" s="534">
        <v>0</v>
      </c>
      <c r="F2606" s="534">
        <v>0</v>
      </c>
      <c r="G2606" s="534">
        <v>2</v>
      </c>
      <c r="I2606" s="534">
        <v>0</v>
      </c>
      <c r="J2606" s="534">
        <v>0</v>
      </c>
      <c r="K2606" s="534">
        <v>0</v>
      </c>
      <c r="M2606" s="617">
        <f t="shared" si="82"/>
        <v>0</v>
      </c>
      <c r="N2606" s="617">
        <f t="shared" si="83"/>
        <v>2</v>
      </c>
      <c r="O2606" s="617"/>
      <c r="P2606" s="123"/>
      <c r="R2606" s="123"/>
      <c r="S2606" s="123"/>
      <c r="U2606" s="123"/>
      <c r="V2606" s="123"/>
    </row>
    <row r="2607" spans="1:22" s="530" customFormat="1" ht="15" x14ac:dyDescent="0.25">
      <c r="A2607" s="123"/>
      <c r="B2607" s="529">
        <v>2602001</v>
      </c>
      <c r="C2607" s="529">
        <v>2603</v>
      </c>
      <c r="E2607" s="534">
        <v>0</v>
      </c>
      <c r="F2607" s="534">
        <v>0</v>
      </c>
      <c r="G2607" s="534">
        <v>2</v>
      </c>
      <c r="I2607" s="534">
        <v>0</v>
      </c>
      <c r="J2607" s="534">
        <v>0</v>
      </c>
      <c r="K2607" s="534">
        <v>0</v>
      </c>
      <c r="M2607" s="617">
        <f t="shared" si="82"/>
        <v>0</v>
      </c>
      <c r="N2607" s="617">
        <f t="shared" si="83"/>
        <v>2</v>
      </c>
      <c r="O2607" s="617"/>
      <c r="P2607" s="123"/>
      <c r="R2607" s="123"/>
      <c r="S2607" s="123"/>
      <c r="U2607" s="123"/>
      <c r="V2607" s="123"/>
    </row>
    <row r="2608" spans="1:22" s="530" customFormat="1" ht="15" x14ac:dyDescent="0.25">
      <c r="A2608" s="123"/>
      <c r="B2608" s="529">
        <v>2603001</v>
      </c>
      <c r="C2608" s="529">
        <v>2604</v>
      </c>
      <c r="E2608" s="534">
        <v>0</v>
      </c>
      <c r="F2608" s="534">
        <v>0</v>
      </c>
      <c r="G2608" s="534">
        <v>2</v>
      </c>
      <c r="I2608" s="534">
        <v>0</v>
      </c>
      <c r="J2608" s="534">
        <v>0</v>
      </c>
      <c r="K2608" s="534">
        <v>0</v>
      </c>
      <c r="M2608" s="617">
        <f t="shared" si="82"/>
        <v>0</v>
      </c>
      <c r="N2608" s="617">
        <f t="shared" si="83"/>
        <v>2</v>
      </c>
      <c r="O2608" s="617"/>
      <c r="P2608" s="123"/>
      <c r="R2608" s="123"/>
      <c r="S2608" s="123"/>
      <c r="U2608" s="123"/>
      <c r="V2608" s="123"/>
    </row>
    <row r="2609" spans="1:22" s="530" customFormat="1" ht="15" x14ac:dyDescent="0.25">
      <c r="A2609" s="123"/>
      <c r="B2609" s="529">
        <v>2604001</v>
      </c>
      <c r="C2609" s="529">
        <v>2605</v>
      </c>
      <c r="E2609" s="534">
        <v>0</v>
      </c>
      <c r="F2609" s="534">
        <v>0</v>
      </c>
      <c r="G2609" s="534">
        <v>2</v>
      </c>
      <c r="I2609" s="534">
        <v>0</v>
      </c>
      <c r="J2609" s="534">
        <v>0</v>
      </c>
      <c r="K2609" s="534">
        <v>0</v>
      </c>
      <c r="M2609" s="617">
        <f t="shared" si="82"/>
        <v>0</v>
      </c>
      <c r="N2609" s="617">
        <f t="shared" si="83"/>
        <v>2</v>
      </c>
      <c r="O2609" s="617"/>
      <c r="P2609" s="123"/>
      <c r="R2609" s="123"/>
      <c r="S2609" s="123"/>
      <c r="U2609" s="123"/>
      <c r="V2609" s="123"/>
    </row>
    <row r="2610" spans="1:22" s="530" customFormat="1" ht="15" x14ac:dyDescent="0.25">
      <c r="A2610" s="123"/>
      <c r="B2610" s="529">
        <v>2605001</v>
      </c>
      <c r="C2610" s="529">
        <v>2606</v>
      </c>
      <c r="E2610" s="534">
        <v>0</v>
      </c>
      <c r="F2610" s="534">
        <v>0</v>
      </c>
      <c r="G2610" s="534">
        <v>2</v>
      </c>
      <c r="I2610" s="534">
        <v>0</v>
      </c>
      <c r="J2610" s="534">
        <v>0</v>
      </c>
      <c r="K2610" s="534">
        <v>0</v>
      </c>
      <c r="M2610" s="617">
        <f t="shared" si="82"/>
        <v>0</v>
      </c>
      <c r="N2610" s="617">
        <f t="shared" si="83"/>
        <v>2</v>
      </c>
      <c r="O2610" s="617"/>
      <c r="P2610" s="123"/>
      <c r="R2610" s="123"/>
      <c r="S2610" s="123"/>
      <c r="U2610" s="123"/>
      <c r="V2610" s="123"/>
    </row>
    <row r="2611" spans="1:22" s="530" customFormat="1" ht="15" x14ac:dyDescent="0.25">
      <c r="A2611" s="123"/>
      <c r="B2611" s="529">
        <v>2606001</v>
      </c>
      <c r="C2611" s="529">
        <v>2607</v>
      </c>
      <c r="E2611" s="534">
        <v>0</v>
      </c>
      <c r="F2611" s="534">
        <v>0</v>
      </c>
      <c r="G2611" s="534">
        <v>2</v>
      </c>
      <c r="I2611" s="534">
        <v>0</v>
      </c>
      <c r="J2611" s="534">
        <v>0</v>
      </c>
      <c r="K2611" s="534">
        <v>0</v>
      </c>
      <c r="M2611" s="617">
        <f t="shared" si="82"/>
        <v>0</v>
      </c>
      <c r="N2611" s="617">
        <f t="shared" si="83"/>
        <v>2</v>
      </c>
      <c r="O2611" s="617"/>
      <c r="P2611" s="123"/>
      <c r="R2611" s="123"/>
      <c r="S2611" s="123"/>
      <c r="U2611" s="123"/>
      <c r="V2611" s="123"/>
    </row>
    <row r="2612" spans="1:22" s="530" customFormat="1" ht="15" x14ac:dyDescent="0.25">
      <c r="A2612" s="123"/>
      <c r="B2612" s="529">
        <v>2607001</v>
      </c>
      <c r="C2612" s="529">
        <v>2608</v>
      </c>
      <c r="E2612" s="534">
        <v>0</v>
      </c>
      <c r="F2612" s="534">
        <v>0</v>
      </c>
      <c r="G2612" s="534">
        <v>2</v>
      </c>
      <c r="I2612" s="534">
        <v>0</v>
      </c>
      <c r="J2612" s="534">
        <v>0</v>
      </c>
      <c r="K2612" s="534">
        <v>0</v>
      </c>
      <c r="M2612" s="617">
        <f t="shared" si="82"/>
        <v>0</v>
      </c>
      <c r="N2612" s="617">
        <f t="shared" si="83"/>
        <v>2</v>
      </c>
      <c r="O2612" s="617"/>
      <c r="P2612" s="123"/>
      <c r="R2612" s="123"/>
      <c r="S2612" s="123"/>
      <c r="U2612" s="123"/>
      <c r="V2612" s="123"/>
    </row>
    <row r="2613" spans="1:22" s="530" customFormat="1" ht="15" x14ac:dyDescent="0.25">
      <c r="A2613" s="123"/>
      <c r="B2613" s="529">
        <v>2608001</v>
      </c>
      <c r="C2613" s="529">
        <v>2609</v>
      </c>
      <c r="E2613" s="534">
        <v>0</v>
      </c>
      <c r="F2613" s="534">
        <v>0</v>
      </c>
      <c r="G2613" s="534">
        <v>2</v>
      </c>
      <c r="I2613" s="534">
        <v>0</v>
      </c>
      <c r="J2613" s="534">
        <v>0</v>
      </c>
      <c r="K2613" s="534">
        <v>0</v>
      </c>
      <c r="M2613" s="617">
        <f t="shared" si="82"/>
        <v>0</v>
      </c>
      <c r="N2613" s="617">
        <f t="shared" si="83"/>
        <v>2</v>
      </c>
      <c r="O2613" s="617"/>
      <c r="P2613" s="123"/>
      <c r="R2613" s="123"/>
      <c r="S2613" s="123"/>
      <c r="U2613" s="123"/>
      <c r="V2613" s="123"/>
    </row>
    <row r="2614" spans="1:22" s="530" customFormat="1" ht="15" x14ac:dyDescent="0.25">
      <c r="A2614" s="123"/>
      <c r="B2614" s="529">
        <v>2609001</v>
      </c>
      <c r="C2614" s="529">
        <v>2610</v>
      </c>
      <c r="E2614" s="534">
        <v>0</v>
      </c>
      <c r="F2614" s="534">
        <v>0</v>
      </c>
      <c r="G2614" s="534">
        <v>2</v>
      </c>
      <c r="I2614" s="534">
        <v>0</v>
      </c>
      <c r="J2614" s="534">
        <v>0</v>
      </c>
      <c r="K2614" s="534">
        <v>0</v>
      </c>
      <c r="M2614" s="617">
        <f t="shared" si="82"/>
        <v>0</v>
      </c>
      <c r="N2614" s="617">
        <f t="shared" si="83"/>
        <v>2</v>
      </c>
      <c r="O2614" s="617"/>
      <c r="P2614" s="123"/>
      <c r="R2614" s="123"/>
      <c r="S2614" s="123"/>
      <c r="U2614" s="123"/>
      <c r="V2614" s="123"/>
    </row>
    <row r="2615" spans="1:22" s="530" customFormat="1" ht="15" x14ac:dyDescent="0.25">
      <c r="A2615" s="123"/>
      <c r="B2615" s="529">
        <v>2610001</v>
      </c>
      <c r="C2615" s="529">
        <v>2611</v>
      </c>
      <c r="E2615" s="534">
        <v>0</v>
      </c>
      <c r="F2615" s="534">
        <v>0</v>
      </c>
      <c r="G2615" s="534">
        <v>2</v>
      </c>
      <c r="I2615" s="534">
        <v>0</v>
      </c>
      <c r="J2615" s="534">
        <v>0</v>
      </c>
      <c r="K2615" s="534">
        <v>0</v>
      </c>
      <c r="M2615" s="617">
        <f t="shared" si="82"/>
        <v>0</v>
      </c>
      <c r="N2615" s="617">
        <f t="shared" si="83"/>
        <v>2</v>
      </c>
      <c r="O2615" s="617"/>
      <c r="P2615" s="123"/>
      <c r="R2615" s="123"/>
      <c r="S2615" s="123"/>
      <c r="U2615" s="123"/>
      <c r="V2615" s="123"/>
    </row>
    <row r="2616" spans="1:22" s="530" customFormat="1" ht="15" x14ac:dyDescent="0.25">
      <c r="A2616" s="123"/>
      <c r="B2616" s="529">
        <v>2611001</v>
      </c>
      <c r="C2616" s="529">
        <v>2612</v>
      </c>
      <c r="E2616" s="534">
        <v>0</v>
      </c>
      <c r="F2616" s="534">
        <v>0</v>
      </c>
      <c r="G2616" s="534">
        <v>2</v>
      </c>
      <c r="I2616" s="534">
        <v>0</v>
      </c>
      <c r="J2616" s="534">
        <v>0</v>
      </c>
      <c r="K2616" s="534">
        <v>0</v>
      </c>
      <c r="M2616" s="617">
        <f t="shared" si="82"/>
        <v>0</v>
      </c>
      <c r="N2616" s="617">
        <f t="shared" si="83"/>
        <v>2</v>
      </c>
      <c r="O2616" s="617"/>
      <c r="P2616" s="123"/>
      <c r="R2616" s="123"/>
      <c r="S2616" s="123"/>
      <c r="U2616" s="123"/>
      <c r="V2616" s="123"/>
    </row>
    <row r="2617" spans="1:22" s="530" customFormat="1" ht="15" x14ac:dyDescent="0.25">
      <c r="A2617" s="123"/>
      <c r="B2617" s="529">
        <v>2612001</v>
      </c>
      <c r="C2617" s="529">
        <v>2613</v>
      </c>
      <c r="E2617" s="534">
        <v>0</v>
      </c>
      <c r="F2617" s="534">
        <v>0</v>
      </c>
      <c r="G2617" s="534">
        <v>2</v>
      </c>
      <c r="I2617" s="534">
        <v>0</v>
      </c>
      <c r="J2617" s="534">
        <v>0</v>
      </c>
      <c r="K2617" s="534">
        <v>0</v>
      </c>
      <c r="M2617" s="617">
        <f t="shared" si="82"/>
        <v>0</v>
      </c>
      <c r="N2617" s="617">
        <f t="shared" si="83"/>
        <v>2</v>
      </c>
      <c r="O2617" s="617"/>
      <c r="P2617" s="123"/>
      <c r="R2617" s="123"/>
      <c r="S2617" s="123"/>
      <c r="U2617" s="123"/>
      <c r="V2617" s="123"/>
    </row>
    <row r="2618" spans="1:22" s="530" customFormat="1" ht="15" x14ac:dyDescent="0.25">
      <c r="A2618" s="123"/>
      <c r="B2618" s="529">
        <v>2613001</v>
      </c>
      <c r="C2618" s="529">
        <v>2614</v>
      </c>
      <c r="E2618" s="534">
        <v>0</v>
      </c>
      <c r="F2618" s="534">
        <v>0</v>
      </c>
      <c r="G2618" s="534">
        <v>2</v>
      </c>
      <c r="I2618" s="534">
        <v>0</v>
      </c>
      <c r="J2618" s="534">
        <v>0</v>
      </c>
      <c r="K2618" s="534">
        <v>0</v>
      </c>
      <c r="M2618" s="617">
        <f t="shared" si="82"/>
        <v>0</v>
      </c>
      <c r="N2618" s="617">
        <f t="shared" si="83"/>
        <v>2</v>
      </c>
      <c r="O2618" s="617"/>
      <c r="P2618" s="123"/>
      <c r="R2618" s="123"/>
      <c r="S2618" s="123"/>
      <c r="U2618" s="123"/>
      <c r="V2618" s="123"/>
    </row>
    <row r="2619" spans="1:22" s="530" customFormat="1" ht="15" x14ac:dyDescent="0.25">
      <c r="A2619" s="123"/>
      <c r="B2619" s="529">
        <v>2614001</v>
      </c>
      <c r="C2619" s="529">
        <v>2615</v>
      </c>
      <c r="E2619" s="534">
        <v>0</v>
      </c>
      <c r="F2619" s="534">
        <v>0</v>
      </c>
      <c r="G2619" s="534">
        <v>2</v>
      </c>
      <c r="I2619" s="534">
        <v>0</v>
      </c>
      <c r="J2619" s="534">
        <v>0</v>
      </c>
      <c r="K2619" s="534">
        <v>0</v>
      </c>
      <c r="M2619" s="617">
        <f t="shared" si="82"/>
        <v>0</v>
      </c>
      <c r="N2619" s="617">
        <f t="shared" si="83"/>
        <v>2</v>
      </c>
      <c r="O2619" s="617"/>
      <c r="P2619" s="123"/>
      <c r="R2619" s="123"/>
      <c r="S2619" s="123"/>
      <c r="U2619" s="123"/>
      <c r="V2619" s="123"/>
    </row>
    <row r="2620" spans="1:22" s="530" customFormat="1" ht="15" x14ac:dyDescent="0.25">
      <c r="A2620" s="123"/>
      <c r="B2620" s="529">
        <v>2615001</v>
      </c>
      <c r="C2620" s="529">
        <v>2616</v>
      </c>
      <c r="E2620" s="534">
        <v>0</v>
      </c>
      <c r="F2620" s="534">
        <v>0</v>
      </c>
      <c r="G2620" s="534">
        <v>2</v>
      </c>
      <c r="I2620" s="534">
        <v>0</v>
      </c>
      <c r="J2620" s="534">
        <v>0</v>
      </c>
      <c r="K2620" s="534">
        <v>0</v>
      </c>
      <c r="M2620" s="617">
        <f t="shared" si="82"/>
        <v>0</v>
      </c>
      <c r="N2620" s="617">
        <f t="shared" si="83"/>
        <v>2</v>
      </c>
      <c r="O2620" s="617"/>
      <c r="P2620" s="123"/>
      <c r="R2620" s="123"/>
      <c r="S2620" s="123"/>
      <c r="U2620" s="123"/>
      <c r="V2620" s="123"/>
    </row>
    <row r="2621" spans="1:22" s="530" customFormat="1" ht="15" x14ac:dyDescent="0.25">
      <c r="A2621" s="123"/>
      <c r="B2621" s="529">
        <v>2616001</v>
      </c>
      <c r="C2621" s="529">
        <v>2617</v>
      </c>
      <c r="E2621" s="534">
        <v>0</v>
      </c>
      <c r="F2621" s="534">
        <v>0</v>
      </c>
      <c r="G2621" s="534">
        <v>2</v>
      </c>
      <c r="I2621" s="534">
        <v>0</v>
      </c>
      <c r="J2621" s="534">
        <v>0</v>
      </c>
      <c r="K2621" s="534">
        <v>0</v>
      </c>
      <c r="M2621" s="617">
        <f t="shared" si="82"/>
        <v>0</v>
      </c>
      <c r="N2621" s="617">
        <f t="shared" si="83"/>
        <v>2</v>
      </c>
      <c r="O2621" s="617"/>
      <c r="P2621" s="123"/>
      <c r="R2621" s="123"/>
      <c r="S2621" s="123"/>
      <c r="U2621" s="123"/>
      <c r="V2621" s="123"/>
    </row>
    <row r="2622" spans="1:22" s="530" customFormat="1" ht="15" x14ac:dyDescent="0.25">
      <c r="A2622" s="123"/>
      <c r="B2622" s="529">
        <v>2617001</v>
      </c>
      <c r="C2622" s="529">
        <v>2618</v>
      </c>
      <c r="E2622" s="534">
        <v>0</v>
      </c>
      <c r="F2622" s="534">
        <v>0</v>
      </c>
      <c r="G2622" s="534">
        <v>2</v>
      </c>
      <c r="I2622" s="534">
        <v>0</v>
      </c>
      <c r="J2622" s="534">
        <v>0</v>
      </c>
      <c r="K2622" s="534">
        <v>0</v>
      </c>
      <c r="M2622" s="617">
        <f t="shared" si="82"/>
        <v>0</v>
      </c>
      <c r="N2622" s="617">
        <f t="shared" si="83"/>
        <v>2</v>
      </c>
      <c r="O2622" s="617"/>
      <c r="P2622" s="123"/>
      <c r="R2622" s="123"/>
      <c r="S2622" s="123"/>
      <c r="U2622" s="123"/>
      <c r="V2622" s="123"/>
    </row>
    <row r="2623" spans="1:22" s="530" customFormat="1" ht="15" x14ac:dyDescent="0.25">
      <c r="A2623" s="123"/>
      <c r="B2623" s="529">
        <v>2618001</v>
      </c>
      <c r="C2623" s="529">
        <v>2619</v>
      </c>
      <c r="E2623" s="534">
        <v>0</v>
      </c>
      <c r="F2623" s="534">
        <v>0</v>
      </c>
      <c r="G2623" s="534">
        <v>2</v>
      </c>
      <c r="I2623" s="534">
        <v>0</v>
      </c>
      <c r="J2623" s="534">
        <v>0</v>
      </c>
      <c r="K2623" s="534">
        <v>0</v>
      </c>
      <c r="M2623" s="617">
        <f t="shared" si="82"/>
        <v>0</v>
      </c>
      <c r="N2623" s="617">
        <f t="shared" si="83"/>
        <v>2</v>
      </c>
      <c r="O2623" s="617"/>
      <c r="P2623" s="123"/>
      <c r="R2623" s="123"/>
      <c r="S2623" s="123"/>
      <c r="U2623" s="123"/>
      <c r="V2623" s="123"/>
    </row>
    <row r="2624" spans="1:22" s="530" customFormat="1" ht="15" x14ac:dyDescent="0.25">
      <c r="A2624" s="123"/>
      <c r="B2624" s="529">
        <v>2619001</v>
      </c>
      <c r="C2624" s="529">
        <v>2620</v>
      </c>
      <c r="E2624" s="534">
        <v>0</v>
      </c>
      <c r="F2624" s="534">
        <v>0</v>
      </c>
      <c r="G2624" s="534">
        <v>2</v>
      </c>
      <c r="I2624" s="534">
        <v>0</v>
      </c>
      <c r="J2624" s="534">
        <v>0</v>
      </c>
      <c r="K2624" s="534">
        <v>0</v>
      </c>
      <c r="M2624" s="617">
        <f t="shared" si="82"/>
        <v>0</v>
      </c>
      <c r="N2624" s="617">
        <f t="shared" si="83"/>
        <v>2</v>
      </c>
      <c r="O2624" s="617"/>
      <c r="P2624" s="123"/>
      <c r="R2624" s="123"/>
      <c r="S2624" s="123"/>
      <c r="U2624" s="123"/>
      <c r="V2624" s="123"/>
    </row>
    <row r="2625" spans="1:22" s="530" customFormat="1" ht="15" x14ac:dyDescent="0.25">
      <c r="A2625" s="123"/>
      <c r="B2625" s="529">
        <v>2620001</v>
      </c>
      <c r="C2625" s="529">
        <v>2621</v>
      </c>
      <c r="E2625" s="534">
        <v>0</v>
      </c>
      <c r="F2625" s="534">
        <v>0</v>
      </c>
      <c r="G2625" s="534">
        <v>2</v>
      </c>
      <c r="I2625" s="534">
        <v>0</v>
      </c>
      <c r="J2625" s="534">
        <v>0</v>
      </c>
      <c r="K2625" s="534">
        <v>0</v>
      </c>
      <c r="M2625" s="617">
        <f t="shared" si="82"/>
        <v>0</v>
      </c>
      <c r="N2625" s="617">
        <f t="shared" si="83"/>
        <v>2</v>
      </c>
      <c r="O2625" s="617"/>
      <c r="P2625" s="123"/>
      <c r="R2625" s="123"/>
      <c r="S2625" s="123"/>
      <c r="U2625" s="123"/>
      <c r="V2625" s="123"/>
    </row>
    <row r="2626" spans="1:22" s="530" customFormat="1" ht="15" x14ac:dyDescent="0.25">
      <c r="A2626" s="123"/>
      <c r="B2626" s="529">
        <v>2621001</v>
      </c>
      <c r="C2626" s="529">
        <v>2622</v>
      </c>
      <c r="E2626" s="534">
        <v>0</v>
      </c>
      <c r="F2626" s="534">
        <v>0</v>
      </c>
      <c r="G2626" s="534">
        <v>2</v>
      </c>
      <c r="I2626" s="534">
        <v>0</v>
      </c>
      <c r="J2626" s="534">
        <v>0</v>
      </c>
      <c r="K2626" s="534">
        <v>0</v>
      </c>
      <c r="M2626" s="617">
        <f t="shared" si="82"/>
        <v>0</v>
      </c>
      <c r="N2626" s="617">
        <f t="shared" si="83"/>
        <v>2</v>
      </c>
      <c r="O2626" s="617"/>
      <c r="P2626" s="123"/>
      <c r="R2626" s="123"/>
      <c r="S2626" s="123"/>
      <c r="U2626" s="123"/>
      <c r="V2626" s="123"/>
    </row>
    <row r="2627" spans="1:22" s="530" customFormat="1" ht="15" x14ac:dyDescent="0.25">
      <c r="A2627" s="123"/>
      <c r="B2627" s="529">
        <v>2622001</v>
      </c>
      <c r="C2627" s="529">
        <v>2623</v>
      </c>
      <c r="E2627" s="534">
        <v>0</v>
      </c>
      <c r="F2627" s="534">
        <v>0</v>
      </c>
      <c r="G2627" s="534">
        <v>2</v>
      </c>
      <c r="I2627" s="534">
        <v>0</v>
      </c>
      <c r="J2627" s="534">
        <v>0</v>
      </c>
      <c r="K2627" s="534">
        <v>0</v>
      </c>
      <c r="M2627" s="617">
        <f t="shared" si="82"/>
        <v>0</v>
      </c>
      <c r="N2627" s="617">
        <f t="shared" si="83"/>
        <v>2</v>
      </c>
      <c r="O2627" s="617"/>
      <c r="P2627" s="123"/>
      <c r="R2627" s="123"/>
      <c r="S2627" s="123"/>
      <c r="U2627" s="123"/>
      <c r="V2627" s="123"/>
    </row>
    <row r="2628" spans="1:22" s="530" customFormat="1" ht="15" x14ac:dyDescent="0.25">
      <c r="A2628" s="123"/>
      <c r="B2628" s="529">
        <v>2623001</v>
      </c>
      <c r="C2628" s="529">
        <v>2624</v>
      </c>
      <c r="E2628" s="534">
        <v>0</v>
      </c>
      <c r="F2628" s="534">
        <v>0</v>
      </c>
      <c r="G2628" s="534">
        <v>2</v>
      </c>
      <c r="I2628" s="534">
        <v>0</v>
      </c>
      <c r="J2628" s="534">
        <v>0</v>
      </c>
      <c r="K2628" s="534">
        <v>0</v>
      </c>
      <c r="M2628" s="617">
        <f t="shared" si="82"/>
        <v>0</v>
      </c>
      <c r="N2628" s="617">
        <f t="shared" si="83"/>
        <v>2</v>
      </c>
      <c r="O2628" s="617"/>
      <c r="P2628" s="123"/>
      <c r="R2628" s="123"/>
      <c r="S2628" s="123"/>
      <c r="U2628" s="123"/>
      <c r="V2628" s="123"/>
    </row>
    <row r="2629" spans="1:22" s="530" customFormat="1" ht="15" x14ac:dyDescent="0.25">
      <c r="A2629" s="123"/>
      <c r="B2629" s="529">
        <v>2624001</v>
      </c>
      <c r="C2629" s="529">
        <v>2625</v>
      </c>
      <c r="E2629" s="534">
        <v>0</v>
      </c>
      <c r="F2629" s="534">
        <v>0</v>
      </c>
      <c r="G2629" s="534">
        <v>2</v>
      </c>
      <c r="I2629" s="534">
        <v>0</v>
      </c>
      <c r="J2629" s="534">
        <v>0</v>
      </c>
      <c r="K2629" s="534">
        <v>0</v>
      </c>
      <c r="M2629" s="617">
        <f t="shared" ref="M2629:M2692" si="84">I2629+E2629</f>
        <v>0</v>
      </c>
      <c r="N2629" s="617">
        <f t="shared" ref="N2629:N2692" si="85">K2629+G2629</f>
        <v>2</v>
      </c>
      <c r="O2629" s="617"/>
      <c r="P2629" s="123"/>
      <c r="R2629" s="123"/>
      <c r="S2629" s="123"/>
      <c r="U2629" s="123"/>
      <c r="V2629" s="123"/>
    </row>
    <row r="2630" spans="1:22" s="530" customFormat="1" ht="15" x14ac:dyDescent="0.25">
      <c r="A2630" s="123"/>
      <c r="B2630" s="529">
        <v>2625001</v>
      </c>
      <c r="C2630" s="529">
        <v>2626</v>
      </c>
      <c r="E2630" s="534">
        <v>0</v>
      </c>
      <c r="F2630" s="534">
        <v>0</v>
      </c>
      <c r="G2630" s="534">
        <v>2</v>
      </c>
      <c r="I2630" s="534">
        <v>0</v>
      </c>
      <c r="J2630" s="534">
        <v>0</v>
      </c>
      <c r="K2630" s="534">
        <v>0</v>
      </c>
      <c r="M2630" s="617">
        <f t="shared" si="84"/>
        <v>0</v>
      </c>
      <c r="N2630" s="617">
        <f t="shared" si="85"/>
        <v>2</v>
      </c>
      <c r="O2630" s="617"/>
      <c r="P2630" s="123"/>
      <c r="R2630" s="123"/>
      <c r="S2630" s="123"/>
      <c r="U2630" s="123"/>
      <c r="V2630" s="123"/>
    </row>
    <row r="2631" spans="1:22" s="530" customFormat="1" ht="15" x14ac:dyDescent="0.25">
      <c r="A2631" s="123"/>
      <c r="B2631" s="529">
        <v>2626001</v>
      </c>
      <c r="C2631" s="529">
        <v>2627</v>
      </c>
      <c r="E2631" s="534">
        <v>0</v>
      </c>
      <c r="F2631" s="534">
        <v>0</v>
      </c>
      <c r="G2631" s="534">
        <v>2</v>
      </c>
      <c r="I2631" s="534">
        <v>0</v>
      </c>
      <c r="J2631" s="534">
        <v>0</v>
      </c>
      <c r="K2631" s="534">
        <v>0</v>
      </c>
      <c r="M2631" s="617">
        <f t="shared" si="84"/>
        <v>0</v>
      </c>
      <c r="N2631" s="617">
        <f t="shared" si="85"/>
        <v>2</v>
      </c>
      <c r="O2631" s="617"/>
      <c r="P2631" s="123"/>
      <c r="R2631" s="123"/>
      <c r="S2631" s="123"/>
      <c r="U2631" s="123"/>
      <c r="V2631" s="123"/>
    </row>
    <row r="2632" spans="1:22" s="530" customFormat="1" ht="15" x14ac:dyDescent="0.25">
      <c r="A2632" s="123"/>
      <c r="B2632" s="529">
        <v>2627001</v>
      </c>
      <c r="C2632" s="529">
        <v>2628</v>
      </c>
      <c r="E2632" s="534">
        <v>0</v>
      </c>
      <c r="F2632" s="534">
        <v>0</v>
      </c>
      <c r="G2632" s="534">
        <v>2</v>
      </c>
      <c r="I2632" s="534">
        <v>0</v>
      </c>
      <c r="J2632" s="534">
        <v>0</v>
      </c>
      <c r="K2632" s="534">
        <v>0</v>
      </c>
      <c r="M2632" s="617">
        <f t="shared" si="84"/>
        <v>0</v>
      </c>
      <c r="N2632" s="617">
        <f t="shared" si="85"/>
        <v>2</v>
      </c>
      <c r="O2632" s="617"/>
      <c r="P2632" s="123"/>
      <c r="R2632" s="123"/>
      <c r="S2632" s="123"/>
      <c r="U2632" s="123"/>
      <c r="V2632" s="123"/>
    </row>
    <row r="2633" spans="1:22" s="530" customFormat="1" ht="15" x14ac:dyDescent="0.25">
      <c r="A2633" s="123"/>
      <c r="B2633" s="529">
        <v>2628001</v>
      </c>
      <c r="C2633" s="529">
        <v>2629</v>
      </c>
      <c r="E2633" s="534">
        <v>0</v>
      </c>
      <c r="F2633" s="534">
        <v>0</v>
      </c>
      <c r="G2633" s="534">
        <v>2</v>
      </c>
      <c r="I2633" s="534">
        <v>0</v>
      </c>
      <c r="J2633" s="534">
        <v>0</v>
      </c>
      <c r="K2633" s="534">
        <v>0</v>
      </c>
      <c r="M2633" s="617">
        <f t="shared" si="84"/>
        <v>0</v>
      </c>
      <c r="N2633" s="617">
        <f t="shared" si="85"/>
        <v>2</v>
      </c>
      <c r="O2633" s="617"/>
      <c r="P2633" s="123"/>
      <c r="R2633" s="123"/>
      <c r="S2633" s="123"/>
      <c r="U2633" s="123"/>
      <c r="V2633" s="123"/>
    </row>
    <row r="2634" spans="1:22" s="530" customFormat="1" ht="15" x14ac:dyDescent="0.25">
      <c r="A2634" s="123"/>
      <c r="B2634" s="529">
        <v>2629001</v>
      </c>
      <c r="C2634" s="529">
        <v>2630</v>
      </c>
      <c r="E2634" s="534">
        <v>0</v>
      </c>
      <c r="F2634" s="534">
        <v>0</v>
      </c>
      <c r="G2634" s="534">
        <v>2</v>
      </c>
      <c r="I2634" s="534">
        <v>0</v>
      </c>
      <c r="J2634" s="534">
        <v>0</v>
      </c>
      <c r="K2634" s="534">
        <v>0</v>
      </c>
      <c r="M2634" s="617">
        <f t="shared" si="84"/>
        <v>0</v>
      </c>
      <c r="N2634" s="617">
        <f t="shared" si="85"/>
        <v>2</v>
      </c>
      <c r="O2634" s="617"/>
      <c r="P2634" s="123"/>
      <c r="R2634" s="123"/>
      <c r="S2634" s="123"/>
      <c r="U2634" s="123"/>
      <c r="V2634" s="123"/>
    </row>
    <row r="2635" spans="1:22" s="530" customFormat="1" ht="15" x14ac:dyDescent="0.25">
      <c r="A2635" s="123"/>
      <c r="B2635" s="529">
        <v>2630001</v>
      </c>
      <c r="C2635" s="529">
        <v>2631</v>
      </c>
      <c r="E2635" s="534">
        <v>0</v>
      </c>
      <c r="F2635" s="534">
        <v>0</v>
      </c>
      <c r="G2635" s="534">
        <v>2</v>
      </c>
      <c r="I2635" s="534">
        <v>0</v>
      </c>
      <c r="J2635" s="534">
        <v>0</v>
      </c>
      <c r="K2635" s="534">
        <v>0</v>
      </c>
      <c r="M2635" s="617">
        <f t="shared" si="84"/>
        <v>0</v>
      </c>
      <c r="N2635" s="617">
        <f t="shared" si="85"/>
        <v>2</v>
      </c>
      <c r="O2635" s="617"/>
      <c r="P2635" s="123"/>
      <c r="R2635" s="123"/>
      <c r="S2635" s="123"/>
      <c r="U2635" s="123"/>
      <c r="V2635" s="123"/>
    </row>
    <row r="2636" spans="1:22" s="530" customFormat="1" ht="15" x14ac:dyDescent="0.25">
      <c r="A2636" s="123"/>
      <c r="B2636" s="529">
        <v>2631001</v>
      </c>
      <c r="C2636" s="529">
        <v>2632</v>
      </c>
      <c r="E2636" s="534">
        <v>0</v>
      </c>
      <c r="F2636" s="534">
        <v>0</v>
      </c>
      <c r="G2636" s="534">
        <v>2</v>
      </c>
      <c r="I2636" s="534">
        <v>0</v>
      </c>
      <c r="J2636" s="534">
        <v>0</v>
      </c>
      <c r="K2636" s="534">
        <v>0</v>
      </c>
      <c r="M2636" s="617">
        <f t="shared" si="84"/>
        <v>0</v>
      </c>
      <c r="N2636" s="617">
        <f t="shared" si="85"/>
        <v>2</v>
      </c>
      <c r="O2636" s="617"/>
      <c r="P2636" s="123"/>
      <c r="R2636" s="123"/>
      <c r="S2636" s="123"/>
      <c r="U2636" s="123"/>
      <c r="V2636" s="123"/>
    </row>
    <row r="2637" spans="1:22" s="530" customFormat="1" ht="15" x14ac:dyDescent="0.25">
      <c r="A2637" s="123"/>
      <c r="B2637" s="529">
        <v>2632001</v>
      </c>
      <c r="C2637" s="529">
        <v>2633</v>
      </c>
      <c r="E2637" s="534">
        <v>0</v>
      </c>
      <c r="F2637" s="534">
        <v>0</v>
      </c>
      <c r="G2637" s="534">
        <v>2</v>
      </c>
      <c r="I2637" s="534">
        <v>0</v>
      </c>
      <c r="J2637" s="534">
        <v>0</v>
      </c>
      <c r="K2637" s="534">
        <v>0</v>
      </c>
      <c r="M2637" s="617">
        <f t="shared" si="84"/>
        <v>0</v>
      </c>
      <c r="N2637" s="617">
        <f t="shared" si="85"/>
        <v>2</v>
      </c>
      <c r="O2637" s="617"/>
      <c r="P2637" s="123"/>
      <c r="R2637" s="123"/>
      <c r="S2637" s="123"/>
      <c r="U2637" s="123"/>
      <c r="V2637" s="123"/>
    </row>
    <row r="2638" spans="1:22" s="530" customFormat="1" ht="15" x14ac:dyDescent="0.25">
      <c r="A2638" s="123"/>
      <c r="B2638" s="529">
        <v>2633001</v>
      </c>
      <c r="C2638" s="529">
        <v>2634</v>
      </c>
      <c r="E2638" s="534">
        <v>0</v>
      </c>
      <c r="F2638" s="534">
        <v>0</v>
      </c>
      <c r="G2638" s="534">
        <v>2</v>
      </c>
      <c r="I2638" s="534">
        <v>0</v>
      </c>
      <c r="J2638" s="534">
        <v>0</v>
      </c>
      <c r="K2638" s="534">
        <v>0</v>
      </c>
      <c r="M2638" s="617">
        <f t="shared" si="84"/>
        <v>0</v>
      </c>
      <c r="N2638" s="617">
        <f t="shared" si="85"/>
        <v>2</v>
      </c>
      <c r="O2638" s="617"/>
      <c r="P2638" s="123"/>
      <c r="R2638" s="123"/>
      <c r="S2638" s="123"/>
      <c r="U2638" s="123"/>
      <c r="V2638" s="123"/>
    </row>
    <row r="2639" spans="1:22" s="530" customFormat="1" ht="15" x14ac:dyDescent="0.25">
      <c r="A2639" s="123"/>
      <c r="B2639" s="529">
        <v>2634001</v>
      </c>
      <c r="C2639" s="529">
        <v>2635</v>
      </c>
      <c r="E2639" s="534">
        <v>0</v>
      </c>
      <c r="F2639" s="534">
        <v>0</v>
      </c>
      <c r="G2639" s="534">
        <v>2</v>
      </c>
      <c r="I2639" s="534">
        <v>0</v>
      </c>
      <c r="J2639" s="534">
        <v>0</v>
      </c>
      <c r="K2639" s="534">
        <v>0</v>
      </c>
      <c r="M2639" s="617">
        <f t="shared" si="84"/>
        <v>0</v>
      </c>
      <c r="N2639" s="617">
        <f t="shared" si="85"/>
        <v>2</v>
      </c>
      <c r="O2639" s="617"/>
      <c r="P2639" s="123"/>
      <c r="R2639" s="123"/>
      <c r="S2639" s="123"/>
      <c r="U2639" s="123"/>
      <c r="V2639" s="123"/>
    </row>
    <row r="2640" spans="1:22" s="530" customFormat="1" ht="15" x14ac:dyDescent="0.25">
      <c r="A2640" s="123"/>
      <c r="B2640" s="529">
        <v>2635001</v>
      </c>
      <c r="C2640" s="529">
        <v>2636</v>
      </c>
      <c r="E2640" s="534">
        <v>0</v>
      </c>
      <c r="F2640" s="534">
        <v>0</v>
      </c>
      <c r="G2640" s="534">
        <v>2</v>
      </c>
      <c r="I2640" s="534">
        <v>0</v>
      </c>
      <c r="J2640" s="534">
        <v>0</v>
      </c>
      <c r="K2640" s="534">
        <v>0</v>
      </c>
      <c r="M2640" s="617">
        <f t="shared" si="84"/>
        <v>0</v>
      </c>
      <c r="N2640" s="617">
        <f t="shared" si="85"/>
        <v>2</v>
      </c>
      <c r="O2640" s="617"/>
      <c r="P2640" s="123"/>
      <c r="R2640" s="123"/>
      <c r="S2640" s="123"/>
      <c r="U2640" s="123"/>
      <c r="V2640" s="123"/>
    </row>
    <row r="2641" spans="1:22" s="530" customFormat="1" ht="15" x14ac:dyDescent="0.25">
      <c r="A2641" s="123"/>
      <c r="B2641" s="529">
        <v>2636001</v>
      </c>
      <c r="C2641" s="529">
        <v>2637</v>
      </c>
      <c r="E2641" s="534">
        <v>0</v>
      </c>
      <c r="F2641" s="534">
        <v>0</v>
      </c>
      <c r="G2641" s="534">
        <v>2</v>
      </c>
      <c r="I2641" s="534">
        <v>0</v>
      </c>
      <c r="J2641" s="534">
        <v>0</v>
      </c>
      <c r="K2641" s="534">
        <v>0</v>
      </c>
      <c r="M2641" s="617">
        <f t="shared" si="84"/>
        <v>0</v>
      </c>
      <c r="N2641" s="617">
        <f t="shared" si="85"/>
        <v>2</v>
      </c>
      <c r="O2641" s="617"/>
      <c r="P2641" s="123"/>
      <c r="R2641" s="123"/>
      <c r="S2641" s="123"/>
      <c r="U2641" s="123"/>
      <c r="V2641" s="123"/>
    </row>
    <row r="2642" spans="1:22" s="530" customFormat="1" ht="15" x14ac:dyDescent="0.25">
      <c r="A2642" s="123"/>
      <c r="B2642" s="529">
        <v>2637001</v>
      </c>
      <c r="C2642" s="529">
        <v>2638</v>
      </c>
      <c r="E2642" s="534">
        <v>0</v>
      </c>
      <c r="F2642" s="534">
        <v>0</v>
      </c>
      <c r="G2642" s="534">
        <v>2</v>
      </c>
      <c r="I2642" s="534">
        <v>0</v>
      </c>
      <c r="J2642" s="534">
        <v>0</v>
      </c>
      <c r="K2642" s="534">
        <v>0</v>
      </c>
      <c r="M2642" s="617">
        <f t="shared" si="84"/>
        <v>0</v>
      </c>
      <c r="N2642" s="617">
        <f t="shared" si="85"/>
        <v>2</v>
      </c>
      <c r="O2642" s="617"/>
      <c r="P2642" s="123"/>
      <c r="R2642" s="123"/>
      <c r="S2642" s="123"/>
      <c r="U2642" s="123"/>
      <c r="V2642" s="123"/>
    </row>
    <row r="2643" spans="1:22" s="530" customFormat="1" ht="15" x14ac:dyDescent="0.25">
      <c r="A2643" s="123"/>
      <c r="B2643" s="529">
        <v>2638001</v>
      </c>
      <c r="C2643" s="529">
        <v>2639</v>
      </c>
      <c r="E2643" s="534">
        <v>0</v>
      </c>
      <c r="F2643" s="534">
        <v>0</v>
      </c>
      <c r="G2643" s="534">
        <v>2</v>
      </c>
      <c r="I2643" s="534">
        <v>0</v>
      </c>
      <c r="J2643" s="534">
        <v>0</v>
      </c>
      <c r="K2643" s="534">
        <v>0</v>
      </c>
      <c r="M2643" s="617">
        <f t="shared" si="84"/>
        <v>0</v>
      </c>
      <c r="N2643" s="617">
        <f t="shared" si="85"/>
        <v>2</v>
      </c>
      <c r="O2643" s="617"/>
      <c r="P2643" s="123"/>
      <c r="R2643" s="123"/>
      <c r="S2643" s="123"/>
      <c r="U2643" s="123"/>
      <c r="V2643" s="123"/>
    </row>
    <row r="2644" spans="1:22" s="530" customFormat="1" ht="15" x14ac:dyDescent="0.25">
      <c r="A2644" s="123"/>
      <c r="B2644" s="529">
        <v>2639001</v>
      </c>
      <c r="C2644" s="529">
        <v>2640</v>
      </c>
      <c r="E2644" s="534">
        <v>0</v>
      </c>
      <c r="F2644" s="534">
        <v>0</v>
      </c>
      <c r="G2644" s="534">
        <v>2</v>
      </c>
      <c r="I2644" s="534">
        <v>0</v>
      </c>
      <c r="J2644" s="534">
        <v>0</v>
      </c>
      <c r="K2644" s="534">
        <v>0</v>
      </c>
      <c r="M2644" s="617">
        <f t="shared" si="84"/>
        <v>0</v>
      </c>
      <c r="N2644" s="617">
        <f t="shared" si="85"/>
        <v>2</v>
      </c>
      <c r="O2644" s="617"/>
      <c r="P2644" s="123"/>
      <c r="R2644" s="123"/>
      <c r="S2644" s="123"/>
      <c r="U2644" s="123"/>
      <c r="V2644" s="123"/>
    </row>
    <row r="2645" spans="1:22" s="530" customFormat="1" ht="15" x14ac:dyDescent="0.25">
      <c r="A2645" s="123"/>
      <c r="B2645" s="529">
        <v>2640001</v>
      </c>
      <c r="C2645" s="529">
        <v>2641</v>
      </c>
      <c r="E2645" s="534">
        <v>0</v>
      </c>
      <c r="F2645" s="534">
        <v>0</v>
      </c>
      <c r="G2645" s="534">
        <v>2</v>
      </c>
      <c r="I2645" s="534">
        <v>0</v>
      </c>
      <c r="J2645" s="534">
        <v>0</v>
      </c>
      <c r="K2645" s="534">
        <v>0</v>
      </c>
      <c r="M2645" s="617">
        <f t="shared" si="84"/>
        <v>0</v>
      </c>
      <c r="N2645" s="617">
        <f t="shared" si="85"/>
        <v>2</v>
      </c>
      <c r="O2645" s="617"/>
      <c r="P2645" s="123"/>
      <c r="R2645" s="123"/>
      <c r="S2645" s="123"/>
      <c r="U2645" s="123"/>
      <c r="V2645" s="123"/>
    </row>
    <row r="2646" spans="1:22" s="530" customFormat="1" ht="15" x14ac:dyDescent="0.25">
      <c r="A2646" s="123"/>
      <c r="B2646" s="529">
        <v>2641001</v>
      </c>
      <c r="C2646" s="529">
        <v>2642</v>
      </c>
      <c r="E2646" s="534">
        <v>0</v>
      </c>
      <c r="F2646" s="534">
        <v>0</v>
      </c>
      <c r="G2646" s="534">
        <v>2</v>
      </c>
      <c r="I2646" s="534">
        <v>0</v>
      </c>
      <c r="J2646" s="534">
        <v>0</v>
      </c>
      <c r="K2646" s="534">
        <v>0</v>
      </c>
      <c r="M2646" s="617">
        <f t="shared" si="84"/>
        <v>0</v>
      </c>
      <c r="N2646" s="617">
        <f t="shared" si="85"/>
        <v>2</v>
      </c>
      <c r="O2646" s="617"/>
      <c r="P2646" s="123"/>
      <c r="R2646" s="123"/>
      <c r="S2646" s="123"/>
      <c r="U2646" s="123"/>
      <c r="V2646" s="123"/>
    </row>
    <row r="2647" spans="1:22" s="530" customFormat="1" ht="15" x14ac:dyDescent="0.25">
      <c r="A2647" s="123"/>
      <c r="B2647" s="529">
        <v>2642001</v>
      </c>
      <c r="C2647" s="529">
        <v>2643</v>
      </c>
      <c r="E2647" s="534">
        <v>0</v>
      </c>
      <c r="F2647" s="534">
        <v>0</v>
      </c>
      <c r="G2647" s="534">
        <v>2</v>
      </c>
      <c r="I2647" s="534">
        <v>0</v>
      </c>
      <c r="J2647" s="534">
        <v>0</v>
      </c>
      <c r="K2647" s="534">
        <v>0</v>
      </c>
      <c r="M2647" s="617">
        <f t="shared" si="84"/>
        <v>0</v>
      </c>
      <c r="N2647" s="617">
        <f t="shared" si="85"/>
        <v>2</v>
      </c>
      <c r="O2647" s="617"/>
      <c r="P2647" s="123"/>
      <c r="R2647" s="123"/>
      <c r="S2647" s="123"/>
      <c r="U2647" s="123"/>
      <c r="V2647" s="123"/>
    </row>
    <row r="2648" spans="1:22" s="530" customFormat="1" ht="15" x14ac:dyDescent="0.25">
      <c r="A2648" s="123"/>
      <c r="B2648" s="529">
        <v>2643001</v>
      </c>
      <c r="C2648" s="529">
        <v>2644</v>
      </c>
      <c r="E2648" s="534">
        <v>0</v>
      </c>
      <c r="F2648" s="534">
        <v>0</v>
      </c>
      <c r="G2648" s="534">
        <v>2</v>
      </c>
      <c r="I2648" s="534">
        <v>0</v>
      </c>
      <c r="J2648" s="534">
        <v>0</v>
      </c>
      <c r="K2648" s="534">
        <v>0</v>
      </c>
      <c r="M2648" s="617">
        <f t="shared" si="84"/>
        <v>0</v>
      </c>
      <c r="N2648" s="617">
        <f t="shared" si="85"/>
        <v>2</v>
      </c>
      <c r="O2648" s="617"/>
      <c r="P2648" s="123"/>
      <c r="R2648" s="123"/>
      <c r="S2648" s="123"/>
      <c r="U2648" s="123"/>
      <c r="V2648" s="123"/>
    </row>
    <row r="2649" spans="1:22" s="530" customFormat="1" ht="15" x14ac:dyDescent="0.25">
      <c r="A2649" s="123"/>
      <c r="B2649" s="529">
        <v>2644001</v>
      </c>
      <c r="C2649" s="529">
        <v>2645</v>
      </c>
      <c r="E2649" s="534">
        <v>0</v>
      </c>
      <c r="F2649" s="534">
        <v>0</v>
      </c>
      <c r="G2649" s="534">
        <v>2</v>
      </c>
      <c r="I2649" s="534">
        <v>0</v>
      </c>
      <c r="J2649" s="534">
        <v>0</v>
      </c>
      <c r="K2649" s="534">
        <v>0</v>
      </c>
      <c r="M2649" s="617">
        <f t="shared" si="84"/>
        <v>0</v>
      </c>
      <c r="N2649" s="617">
        <f t="shared" si="85"/>
        <v>2</v>
      </c>
      <c r="O2649" s="617"/>
      <c r="P2649" s="123"/>
      <c r="R2649" s="123"/>
      <c r="S2649" s="123"/>
      <c r="U2649" s="123"/>
      <c r="V2649" s="123"/>
    </row>
    <row r="2650" spans="1:22" s="530" customFormat="1" ht="15" x14ac:dyDescent="0.25">
      <c r="A2650" s="123"/>
      <c r="B2650" s="529">
        <v>2645001</v>
      </c>
      <c r="C2650" s="529">
        <v>2646</v>
      </c>
      <c r="E2650" s="534">
        <v>0</v>
      </c>
      <c r="F2650" s="534">
        <v>0</v>
      </c>
      <c r="G2650" s="534">
        <v>2</v>
      </c>
      <c r="I2650" s="534">
        <v>0</v>
      </c>
      <c r="J2650" s="534">
        <v>0</v>
      </c>
      <c r="K2650" s="534">
        <v>0</v>
      </c>
      <c r="M2650" s="617">
        <f t="shared" si="84"/>
        <v>0</v>
      </c>
      <c r="N2650" s="617">
        <f t="shared" si="85"/>
        <v>2</v>
      </c>
      <c r="O2650" s="617"/>
      <c r="P2650" s="123"/>
      <c r="R2650" s="123"/>
      <c r="S2650" s="123"/>
      <c r="U2650" s="123"/>
      <c r="V2650" s="123"/>
    </row>
    <row r="2651" spans="1:22" s="530" customFormat="1" ht="15" x14ac:dyDescent="0.25">
      <c r="A2651" s="123"/>
      <c r="B2651" s="529">
        <v>2646001</v>
      </c>
      <c r="C2651" s="529">
        <v>2647</v>
      </c>
      <c r="E2651" s="534">
        <v>0</v>
      </c>
      <c r="F2651" s="534">
        <v>0</v>
      </c>
      <c r="G2651" s="534">
        <v>2</v>
      </c>
      <c r="I2651" s="534">
        <v>0</v>
      </c>
      <c r="J2651" s="534">
        <v>0</v>
      </c>
      <c r="K2651" s="534">
        <v>0</v>
      </c>
      <c r="M2651" s="617">
        <f t="shared" si="84"/>
        <v>0</v>
      </c>
      <c r="N2651" s="617">
        <f t="shared" si="85"/>
        <v>2</v>
      </c>
      <c r="O2651" s="617"/>
      <c r="P2651" s="123"/>
      <c r="R2651" s="123"/>
      <c r="S2651" s="123"/>
      <c r="U2651" s="123"/>
      <c r="V2651" s="123"/>
    </row>
    <row r="2652" spans="1:22" s="530" customFormat="1" ht="15" x14ac:dyDescent="0.25">
      <c r="A2652" s="123"/>
      <c r="B2652" s="529">
        <v>2647001</v>
      </c>
      <c r="C2652" s="529">
        <v>2648</v>
      </c>
      <c r="E2652" s="534">
        <v>0</v>
      </c>
      <c r="F2652" s="534">
        <v>0</v>
      </c>
      <c r="G2652" s="534">
        <v>2</v>
      </c>
      <c r="I2652" s="534">
        <v>0</v>
      </c>
      <c r="J2652" s="534">
        <v>0</v>
      </c>
      <c r="K2652" s="534">
        <v>0</v>
      </c>
      <c r="M2652" s="617">
        <f t="shared" si="84"/>
        <v>0</v>
      </c>
      <c r="N2652" s="617">
        <f t="shared" si="85"/>
        <v>2</v>
      </c>
      <c r="O2652" s="617"/>
      <c r="P2652" s="123"/>
      <c r="R2652" s="123"/>
      <c r="S2652" s="123"/>
      <c r="U2652" s="123"/>
      <c r="V2652" s="123"/>
    </row>
    <row r="2653" spans="1:22" s="530" customFormat="1" ht="15" x14ac:dyDescent="0.25">
      <c r="A2653" s="123"/>
      <c r="B2653" s="529">
        <v>2648001</v>
      </c>
      <c r="C2653" s="529">
        <v>2649</v>
      </c>
      <c r="E2653" s="534">
        <v>0</v>
      </c>
      <c r="F2653" s="534">
        <v>0</v>
      </c>
      <c r="G2653" s="534">
        <v>2</v>
      </c>
      <c r="I2653" s="534">
        <v>0</v>
      </c>
      <c r="J2653" s="534">
        <v>0</v>
      </c>
      <c r="K2653" s="534">
        <v>0</v>
      </c>
      <c r="M2653" s="617">
        <f t="shared" si="84"/>
        <v>0</v>
      </c>
      <c r="N2653" s="617">
        <f t="shared" si="85"/>
        <v>2</v>
      </c>
      <c r="O2653" s="617"/>
      <c r="P2653" s="123"/>
      <c r="R2653" s="123"/>
      <c r="S2653" s="123"/>
      <c r="U2653" s="123"/>
      <c r="V2653" s="123"/>
    </row>
    <row r="2654" spans="1:22" s="530" customFormat="1" ht="15" x14ac:dyDescent="0.25">
      <c r="A2654" s="123"/>
      <c r="B2654" s="529">
        <v>2649001</v>
      </c>
      <c r="C2654" s="529">
        <v>2650</v>
      </c>
      <c r="E2654" s="534">
        <v>0</v>
      </c>
      <c r="F2654" s="534">
        <v>0</v>
      </c>
      <c r="G2654" s="534">
        <v>2</v>
      </c>
      <c r="I2654" s="534">
        <v>0</v>
      </c>
      <c r="J2654" s="534">
        <v>0</v>
      </c>
      <c r="K2654" s="534">
        <v>0</v>
      </c>
      <c r="M2654" s="617">
        <f t="shared" si="84"/>
        <v>0</v>
      </c>
      <c r="N2654" s="617">
        <f t="shared" si="85"/>
        <v>2</v>
      </c>
      <c r="O2654" s="617"/>
      <c r="P2654" s="123"/>
      <c r="R2654" s="123"/>
      <c r="S2654" s="123"/>
      <c r="U2654" s="123"/>
      <c r="V2654" s="123"/>
    </row>
    <row r="2655" spans="1:22" s="530" customFormat="1" ht="15" x14ac:dyDescent="0.25">
      <c r="A2655" s="123"/>
      <c r="B2655" s="529">
        <v>2650001</v>
      </c>
      <c r="C2655" s="529">
        <v>2651</v>
      </c>
      <c r="E2655" s="534">
        <v>0</v>
      </c>
      <c r="F2655" s="534">
        <v>0</v>
      </c>
      <c r="G2655" s="534">
        <v>2</v>
      </c>
      <c r="I2655" s="534">
        <v>0</v>
      </c>
      <c r="J2655" s="534">
        <v>0</v>
      </c>
      <c r="K2655" s="534">
        <v>0</v>
      </c>
      <c r="M2655" s="617">
        <f t="shared" si="84"/>
        <v>0</v>
      </c>
      <c r="N2655" s="617">
        <f t="shared" si="85"/>
        <v>2</v>
      </c>
      <c r="O2655" s="617"/>
      <c r="P2655" s="123"/>
      <c r="R2655" s="123"/>
      <c r="S2655" s="123"/>
      <c r="U2655" s="123"/>
      <c r="V2655" s="123"/>
    </row>
    <row r="2656" spans="1:22" s="530" customFormat="1" ht="15" x14ac:dyDescent="0.25">
      <c r="A2656" s="123"/>
      <c r="B2656" s="529">
        <v>2651001</v>
      </c>
      <c r="C2656" s="529">
        <v>2652</v>
      </c>
      <c r="E2656" s="534">
        <v>0</v>
      </c>
      <c r="F2656" s="534">
        <v>0</v>
      </c>
      <c r="G2656" s="534">
        <v>2</v>
      </c>
      <c r="I2656" s="534">
        <v>0</v>
      </c>
      <c r="J2656" s="534">
        <v>0</v>
      </c>
      <c r="K2656" s="534">
        <v>0</v>
      </c>
      <c r="M2656" s="617">
        <f t="shared" si="84"/>
        <v>0</v>
      </c>
      <c r="N2656" s="617">
        <f t="shared" si="85"/>
        <v>2</v>
      </c>
      <c r="O2656" s="617"/>
      <c r="P2656" s="123"/>
      <c r="R2656" s="123"/>
      <c r="S2656" s="123"/>
      <c r="U2656" s="123"/>
      <c r="V2656" s="123"/>
    </row>
    <row r="2657" spans="1:22" s="530" customFormat="1" ht="15" x14ac:dyDescent="0.25">
      <c r="A2657" s="123"/>
      <c r="B2657" s="529">
        <v>2652001</v>
      </c>
      <c r="C2657" s="529">
        <v>2653</v>
      </c>
      <c r="E2657" s="534">
        <v>0</v>
      </c>
      <c r="F2657" s="534">
        <v>0</v>
      </c>
      <c r="G2657" s="534">
        <v>2</v>
      </c>
      <c r="I2657" s="534">
        <v>0</v>
      </c>
      <c r="J2657" s="534">
        <v>0</v>
      </c>
      <c r="K2657" s="534">
        <v>0</v>
      </c>
      <c r="M2657" s="617">
        <f t="shared" si="84"/>
        <v>0</v>
      </c>
      <c r="N2657" s="617">
        <f t="shared" si="85"/>
        <v>2</v>
      </c>
      <c r="O2657" s="617"/>
      <c r="P2657" s="123"/>
      <c r="R2657" s="123"/>
      <c r="S2657" s="123"/>
      <c r="U2657" s="123"/>
      <c r="V2657" s="123"/>
    </row>
    <row r="2658" spans="1:22" s="530" customFormat="1" ht="15" x14ac:dyDescent="0.25">
      <c r="A2658" s="123"/>
      <c r="B2658" s="529">
        <v>2653001</v>
      </c>
      <c r="C2658" s="529">
        <v>2654</v>
      </c>
      <c r="E2658" s="534">
        <v>0</v>
      </c>
      <c r="F2658" s="534">
        <v>0</v>
      </c>
      <c r="G2658" s="534">
        <v>2</v>
      </c>
      <c r="I2658" s="534">
        <v>0</v>
      </c>
      <c r="J2658" s="534">
        <v>0</v>
      </c>
      <c r="K2658" s="534">
        <v>0</v>
      </c>
      <c r="M2658" s="617">
        <f t="shared" si="84"/>
        <v>0</v>
      </c>
      <c r="N2658" s="617">
        <f t="shared" si="85"/>
        <v>2</v>
      </c>
      <c r="O2658" s="617"/>
      <c r="P2658" s="123"/>
      <c r="R2658" s="123"/>
      <c r="S2658" s="123"/>
      <c r="U2658" s="123"/>
      <c r="V2658" s="123"/>
    </row>
    <row r="2659" spans="1:22" s="530" customFormat="1" ht="15" x14ac:dyDescent="0.25">
      <c r="A2659" s="123"/>
      <c r="B2659" s="529">
        <v>2654001</v>
      </c>
      <c r="C2659" s="529">
        <v>2655</v>
      </c>
      <c r="E2659" s="534">
        <v>0</v>
      </c>
      <c r="F2659" s="534">
        <v>0</v>
      </c>
      <c r="G2659" s="534">
        <v>2</v>
      </c>
      <c r="I2659" s="534">
        <v>0</v>
      </c>
      <c r="J2659" s="534">
        <v>0</v>
      </c>
      <c r="K2659" s="534">
        <v>0</v>
      </c>
      <c r="M2659" s="617">
        <f t="shared" si="84"/>
        <v>0</v>
      </c>
      <c r="N2659" s="617">
        <f t="shared" si="85"/>
        <v>2</v>
      </c>
      <c r="O2659" s="617"/>
      <c r="P2659" s="123"/>
      <c r="R2659" s="123"/>
      <c r="S2659" s="123"/>
      <c r="U2659" s="123"/>
      <c r="V2659" s="123"/>
    </row>
    <row r="2660" spans="1:22" s="530" customFormat="1" ht="15" x14ac:dyDescent="0.25">
      <c r="A2660" s="123"/>
      <c r="B2660" s="529">
        <v>2655001</v>
      </c>
      <c r="C2660" s="529">
        <v>2656</v>
      </c>
      <c r="E2660" s="534">
        <v>0</v>
      </c>
      <c r="F2660" s="534">
        <v>0</v>
      </c>
      <c r="G2660" s="534">
        <v>2</v>
      </c>
      <c r="I2660" s="534">
        <v>0</v>
      </c>
      <c r="J2660" s="534">
        <v>0</v>
      </c>
      <c r="K2660" s="534">
        <v>0</v>
      </c>
      <c r="M2660" s="617">
        <f t="shared" si="84"/>
        <v>0</v>
      </c>
      <c r="N2660" s="617">
        <f t="shared" si="85"/>
        <v>2</v>
      </c>
      <c r="O2660" s="617"/>
      <c r="P2660" s="123"/>
      <c r="R2660" s="123"/>
      <c r="S2660" s="123"/>
      <c r="U2660" s="123"/>
      <c r="V2660" s="123"/>
    </row>
    <row r="2661" spans="1:22" s="530" customFormat="1" ht="15" x14ac:dyDescent="0.25">
      <c r="A2661" s="123"/>
      <c r="B2661" s="529">
        <v>2656001</v>
      </c>
      <c r="C2661" s="529">
        <v>2657</v>
      </c>
      <c r="E2661" s="534">
        <v>0</v>
      </c>
      <c r="F2661" s="534">
        <v>0</v>
      </c>
      <c r="G2661" s="534">
        <v>2</v>
      </c>
      <c r="I2661" s="534">
        <v>0</v>
      </c>
      <c r="J2661" s="534">
        <v>0</v>
      </c>
      <c r="K2661" s="534">
        <v>0</v>
      </c>
      <c r="M2661" s="617">
        <f t="shared" si="84"/>
        <v>0</v>
      </c>
      <c r="N2661" s="617">
        <f t="shared" si="85"/>
        <v>2</v>
      </c>
      <c r="O2661" s="617"/>
      <c r="P2661" s="123"/>
      <c r="R2661" s="123"/>
      <c r="S2661" s="123"/>
      <c r="U2661" s="123"/>
      <c r="V2661" s="123"/>
    </row>
    <row r="2662" spans="1:22" s="530" customFormat="1" ht="15" x14ac:dyDescent="0.25">
      <c r="A2662" s="123"/>
      <c r="B2662" s="529">
        <v>2657001</v>
      </c>
      <c r="C2662" s="529">
        <v>2658</v>
      </c>
      <c r="E2662" s="534">
        <v>0</v>
      </c>
      <c r="F2662" s="534">
        <v>0</v>
      </c>
      <c r="G2662" s="534">
        <v>2</v>
      </c>
      <c r="I2662" s="534">
        <v>0</v>
      </c>
      <c r="J2662" s="534">
        <v>0</v>
      </c>
      <c r="K2662" s="534">
        <v>0</v>
      </c>
      <c r="M2662" s="617">
        <f t="shared" si="84"/>
        <v>0</v>
      </c>
      <c r="N2662" s="617">
        <f t="shared" si="85"/>
        <v>2</v>
      </c>
      <c r="O2662" s="617"/>
      <c r="P2662" s="123"/>
      <c r="R2662" s="123"/>
      <c r="S2662" s="123"/>
      <c r="U2662" s="123"/>
      <c r="V2662" s="123"/>
    </row>
    <row r="2663" spans="1:22" s="530" customFormat="1" ht="15" x14ac:dyDescent="0.25">
      <c r="A2663" s="123"/>
      <c r="B2663" s="529">
        <v>2658001</v>
      </c>
      <c r="C2663" s="529">
        <v>2659</v>
      </c>
      <c r="E2663" s="534">
        <v>0</v>
      </c>
      <c r="F2663" s="534">
        <v>0</v>
      </c>
      <c r="G2663" s="534">
        <v>2</v>
      </c>
      <c r="I2663" s="534">
        <v>0</v>
      </c>
      <c r="J2663" s="534">
        <v>0</v>
      </c>
      <c r="K2663" s="534">
        <v>0</v>
      </c>
      <c r="M2663" s="617">
        <f t="shared" si="84"/>
        <v>0</v>
      </c>
      <c r="N2663" s="617">
        <f t="shared" si="85"/>
        <v>2</v>
      </c>
      <c r="O2663" s="617"/>
      <c r="P2663" s="123"/>
      <c r="R2663" s="123"/>
      <c r="S2663" s="123"/>
      <c r="U2663" s="123"/>
      <c r="V2663" s="123"/>
    </row>
    <row r="2664" spans="1:22" s="530" customFormat="1" ht="15" x14ac:dyDescent="0.25">
      <c r="A2664" s="123"/>
      <c r="B2664" s="529">
        <v>2659001</v>
      </c>
      <c r="C2664" s="529">
        <v>2660</v>
      </c>
      <c r="E2664" s="534">
        <v>0</v>
      </c>
      <c r="F2664" s="534">
        <v>0</v>
      </c>
      <c r="G2664" s="534">
        <v>2</v>
      </c>
      <c r="I2664" s="534">
        <v>0</v>
      </c>
      <c r="J2664" s="534">
        <v>0</v>
      </c>
      <c r="K2664" s="534">
        <v>0</v>
      </c>
      <c r="M2664" s="617">
        <f t="shared" si="84"/>
        <v>0</v>
      </c>
      <c r="N2664" s="617">
        <f t="shared" si="85"/>
        <v>2</v>
      </c>
      <c r="O2664" s="617"/>
      <c r="P2664" s="123"/>
      <c r="R2664" s="123"/>
      <c r="S2664" s="123"/>
      <c r="U2664" s="123"/>
      <c r="V2664" s="123"/>
    </row>
    <row r="2665" spans="1:22" s="530" customFormat="1" ht="15" x14ac:dyDescent="0.25">
      <c r="A2665" s="123"/>
      <c r="B2665" s="529">
        <v>2660001</v>
      </c>
      <c r="C2665" s="529">
        <v>2661</v>
      </c>
      <c r="E2665" s="534">
        <v>0</v>
      </c>
      <c r="F2665" s="534">
        <v>0</v>
      </c>
      <c r="G2665" s="534">
        <v>2</v>
      </c>
      <c r="I2665" s="534">
        <v>0</v>
      </c>
      <c r="J2665" s="534">
        <v>0</v>
      </c>
      <c r="K2665" s="534">
        <v>0</v>
      </c>
      <c r="M2665" s="617">
        <f t="shared" si="84"/>
        <v>0</v>
      </c>
      <c r="N2665" s="617">
        <f t="shared" si="85"/>
        <v>2</v>
      </c>
      <c r="O2665" s="617"/>
      <c r="P2665" s="123"/>
      <c r="R2665" s="123"/>
      <c r="S2665" s="123"/>
      <c r="U2665" s="123"/>
      <c r="V2665" s="123"/>
    </row>
    <row r="2666" spans="1:22" s="530" customFormat="1" ht="15" x14ac:dyDescent="0.25">
      <c r="A2666" s="123"/>
      <c r="B2666" s="529">
        <v>2661001</v>
      </c>
      <c r="C2666" s="529">
        <v>2662</v>
      </c>
      <c r="E2666" s="534">
        <v>0</v>
      </c>
      <c r="F2666" s="534">
        <v>0</v>
      </c>
      <c r="G2666" s="534">
        <v>2</v>
      </c>
      <c r="I2666" s="534">
        <v>0</v>
      </c>
      <c r="J2666" s="534">
        <v>0</v>
      </c>
      <c r="K2666" s="534">
        <v>0</v>
      </c>
      <c r="M2666" s="617">
        <f t="shared" si="84"/>
        <v>0</v>
      </c>
      <c r="N2666" s="617">
        <f t="shared" si="85"/>
        <v>2</v>
      </c>
      <c r="O2666" s="617"/>
      <c r="P2666" s="123"/>
      <c r="R2666" s="123"/>
      <c r="S2666" s="123"/>
      <c r="U2666" s="123"/>
      <c r="V2666" s="123"/>
    </row>
    <row r="2667" spans="1:22" s="530" customFormat="1" ht="15" x14ac:dyDescent="0.25">
      <c r="A2667" s="123"/>
      <c r="B2667" s="529">
        <v>2662001</v>
      </c>
      <c r="C2667" s="529">
        <v>2663</v>
      </c>
      <c r="E2667" s="534">
        <v>0</v>
      </c>
      <c r="F2667" s="534">
        <v>0</v>
      </c>
      <c r="G2667" s="534">
        <v>2</v>
      </c>
      <c r="I2667" s="534">
        <v>0</v>
      </c>
      <c r="J2667" s="534">
        <v>0</v>
      </c>
      <c r="K2667" s="534">
        <v>0</v>
      </c>
      <c r="M2667" s="617">
        <f t="shared" si="84"/>
        <v>0</v>
      </c>
      <c r="N2667" s="617">
        <f t="shared" si="85"/>
        <v>2</v>
      </c>
      <c r="O2667" s="617"/>
      <c r="P2667" s="123"/>
      <c r="R2667" s="123"/>
      <c r="S2667" s="123"/>
      <c r="U2667" s="123"/>
      <c r="V2667" s="123"/>
    </row>
    <row r="2668" spans="1:22" s="530" customFormat="1" ht="15" x14ac:dyDescent="0.25">
      <c r="A2668" s="123"/>
      <c r="B2668" s="529">
        <v>2663001</v>
      </c>
      <c r="C2668" s="529">
        <v>2664</v>
      </c>
      <c r="E2668" s="534">
        <v>0</v>
      </c>
      <c r="F2668" s="534">
        <v>0</v>
      </c>
      <c r="G2668" s="534">
        <v>2</v>
      </c>
      <c r="I2668" s="534">
        <v>0</v>
      </c>
      <c r="J2668" s="534">
        <v>0</v>
      </c>
      <c r="K2668" s="534">
        <v>0</v>
      </c>
      <c r="M2668" s="617">
        <f t="shared" si="84"/>
        <v>0</v>
      </c>
      <c r="N2668" s="617">
        <f t="shared" si="85"/>
        <v>2</v>
      </c>
      <c r="O2668" s="617"/>
      <c r="P2668" s="123"/>
      <c r="R2668" s="123"/>
      <c r="S2668" s="123"/>
      <c r="U2668" s="123"/>
      <c r="V2668" s="123"/>
    </row>
    <row r="2669" spans="1:22" s="530" customFormat="1" ht="15" x14ac:dyDescent="0.25">
      <c r="A2669" s="123"/>
      <c r="B2669" s="529">
        <v>2664001</v>
      </c>
      <c r="C2669" s="529">
        <v>2665</v>
      </c>
      <c r="E2669" s="534">
        <v>0</v>
      </c>
      <c r="F2669" s="534">
        <v>0</v>
      </c>
      <c r="G2669" s="534">
        <v>2</v>
      </c>
      <c r="I2669" s="534">
        <v>0</v>
      </c>
      <c r="J2669" s="534">
        <v>0</v>
      </c>
      <c r="K2669" s="534">
        <v>0</v>
      </c>
      <c r="M2669" s="617">
        <f t="shared" si="84"/>
        <v>0</v>
      </c>
      <c r="N2669" s="617">
        <f t="shared" si="85"/>
        <v>2</v>
      </c>
      <c r="O2669" s="617"/>
      <c r="P2669" s="123"/>
      <c r="R2669" s="123"/>
      <c r="S2669" s="123"/>
      <c r="U2669" s="123"/>
      <c r="V2669" s="123"/>
    </row>
    <row r="2670" spans="1:22" s="530" customFormat="1" ht="15" x14ac:dyDescent="0.25">
      <c r="A2670" s="123"/>
      <c r="B2670" s="529">
        <v>2665001</v>
      </c>
      <c r="C2670" s="529">
        <v>2666</v>
      </c>
      <c r="E2670" s="534">
        <v>0</v>
      </c>
      <c r="F2670" s="534">
        <v>0</v>
      </c>
      <c r="G2670" s="534">
        <v>2</v>
      </c>
      <c r="I2670" s="534">
        <v>0</v>
      </c>
      <c r="J2670" s="534">
        <v>0</v>
      </c>
      <c r="K2670" s="534">
        <v>0</v>
      </c>
      <c r="M2670" s="617">
        <f t="shared" si="84"/>
        <v>0</v>
      </c>
      <c r="N2670" s="617">
        <f t="shared" si="85"/>
        <v>2</v>
      </c>
      <c r="O2670" s="617"/>
      <c r="P2670" s="123"/>
      <c r="R2670" s="123"/>
      <c r="S2670" s="123"/>
      <c r="U2670" s="123"/>
      <c r="V2670" s="123"/>
    </row>
    <row r="2671" spans="1:22" s="530" customFormat="1" ht="15" x14ac:dyDescent="0.25">
      <c r="A2671" s="123"/>
      <c r="B2671" s="529">
        <v>2666001</v>
      </c>
      <c r="C2671" s="529">
        <v>2667</v>
      </c>
      <c r="E2671" s="534">
        <v>0</v>
      </c>
      <c r="F2671" s="534">
        <v>0</v>
      </c>
      <c r="G2671" s="534">
        <v>2</v>
      </c>
      <c r="I2671" s="534">
        <v>0</v>
      </c>
      <c r="J2671" s="534">
        <v>0</v>
      </c>
      <c r="K2671" s="534">
        <v>0</v>
      </c>
      <c r="M2671" s="617">
        <f t="shared" si="84"/>
        <v>0</v>
      </c>
      <c r="N2671" s="617">
        <f t="shared" si="85"/>
        <v>2</v>
      </c>
      <c r="O2671" s="617"/>
      <c r="P2671" s="123"/>
      <c r="R2671" s="123"/>
      <c r="S2671" s="123"/>
      <c r="U2671" s="123"/>
      <c r="V2671" s="123"/>
    </row>
    <row r="2672" spans="1:22" s="530" customFormat="1" ht="15" x14ac:dyDescent="0.25">
      <c r="A2672" s="123"/>
      <c r="B2672" s="529">
        <v>2667001</v>
      </c>
      <c r="C2672" s="529">
        <v>2668</v>
      </c>
      <c r="E2672" s="534">
        <v>0</v>
      </c>
      <c r="F2672" s="534">
        <v>0</v>
      </c>
      <c r="G2672" s="534">
        <v>2</v>
      </c>
      <c r="I2672" s="534">
        <v>0</v>
      </c>
      <c r="J2672" s="534">
        <v>0</v>
      </c>
      <c r="K2672" s="534">
        <v>0</v>
      </c>
      <c r="M2672" s="617">
        <f t="shared" si="84"/>
        <v>0</v>
      </c>
      <c r="N2672" s="617">
        <f t="shared" si="85"/>
        <v>2</v>
      </c>
      <c r="O2672" s="617"/>
      <c r="P2672" s="123"/>
      <c r="R2672" s="123"/>
      <c r="S2672" s="123"/>
      <c r="U2672" s="123"/>
      <c r="V2672" s="123"/>
    </row>
    <row r="2673" spans="1:22" s="530" customFormat="1" ht="15" x14ac:dyDescent="0.25">
      <c r="A2673" s="123"/>
      <c r="B2673" s="529">
        <v>2668001</v>
      </c>
      <c r="C2673" s="529">
        <v>2669</v>
      </c>
      <c r="E2673" s="534">
        <v>0</v>
      </c>
      <c r="F2673" s="534">
        <v>0</v>
      </c>
      <c r="G2673" s="534">
        <v>2</v>
      </c>
      <c r="I2673" s="534">
        <v>0</v>
      </c>
      <c r="J2673" s="534">
        <v>0</v>
      </c>
      <c r="K2673" s="534">
        <v>0</v>
      </c>
      <c r="M2673" s="617">
        <f t="shared" si="84"/>
        <v>0</v>
      </c>
      <c r="N2673" s="617">
        <f t="shared" si="85"/>
        <v>2</v>
      </c>
      <c r="O2673" s="617"/>
      <c r="P2673" s="123"/>
      <c r="R2673" s="123"/>
      <c r="S2673" s="123"/>
      <c r="U2673" s="123"/>
      <c r="V2673" s="123"/>
    </row>
    <row r="2674" spans="1:22" s="530" customFormat="1" ht="15" x14ac:dyDescent="0.25">
      <c r="A2674" s="123"/>
      <c r="B2674" s="529">
        <v>2669001</v>
      </c>
      <c r="C2674" s="529">
        <v>2670</v>
      </c>
      <c r="E2674" s="534">
        <v>0</v>
      </c>
      <c r="F2674" s="534">
        <v>0</v>
      </c>
      <c r="G2674" s="534">
        <v>2</v>
      </c>
      <c r="I2674" s="534">
        <v>0</v>
      </c>
      <c r="J2674" s="534">
        <v>0</v>
      </c>
      <c r="K2674" s="534">
        <v>0</v>
      </c>
      <c r="M2674" s="617">
        <f t="shared" si="84"/>
        <v>0</v>
      </c>
      <c r="N2674" s="617">
        <f t="shared" si="85"/>
        <v>2</v>
      </c>
      <c r="O2674" s="617"/>
      <c r="P2674" s="123"/>
      <c r="R2674" s="123"/>
      <c r="S2674" s="123"/>
      <c r="U2674" s="123"/>
      <c r="V2674" s="123"/>
    </row>
    <row r="2675" spans="1:22" s="530" customFormat="1" ht="15" x14ac:dyDescent="0.25">
      <c r="A2675" s="123"/>
      <c r="B2675" s="529">
        <v>2670001</v>
      </c>
      <c r="C2675" s="529">
        <v>2671</v>
      </c>
      <c r="E2675" s="534">
        <v>0</v>
      </c>
      <c r="F2675" s="534">
        <v>0</v>
      </c>
      <c r="G2675" s="534">
        <v>2</v>
      </c>
      <c r="I2675" s="534">
        <v>0</v>
      </c>
      <c r="J2675" s="534">
        <v>0</v>
      </c>
      <c r="K2675" s="534">
        <v>0</v>
      </c>
      <c r="M2675" s="617">
        <f t="shared" si="84"/>
        <v>0</v>
      </c>
      <c r="N2675" s="617">
        <f t="shared" si="85"/>
        <v>2</v>
      </c>
      <c r="O2675" s="617"/>
      <c r="P2675" s="123"/>
      <c r="R2675" s="123"/>
      <c r="S2675" s="123"/>
      <c r="U2675" s="123"/>
      <c r="V2675" s="123"/>
    </row>
    <row r="2676" spans="1:22" s="530" customFormat="1" ht="15" x14ac:dyDescent="0.25">
      <c r="A2676" s="123"/>
      <c r="B2676" s="529">
        <v>2671001</v>
      </c>
      <c r="C2676" s="529">
        <v>2672</v>
      </c>
      <c r="E2676" s="534">
        <v>0</v>
      </c>
      <c r="F2676" s="534">
        <v>0</v>
      </c>
      <c r="G2676" s="534">
        <v>2</v>
      </c>
      <c r="I2676" s="534">
        <v>0</v>
      </c>
      <c r="J2676" s="534">
        <v>0</v>
      </c>
      <c r="K2676" s="534">
        <v>0</v>
      </c>
      <c r="M2676" s="617">
        <f t="shared" si="84"/>
        <v>0</v>
      </c>
      <c r="N2676" s="617">
        <f t="shared" si="85"/>
        <v>2</v>
      </c>
      <c r="O2676" s="617"/>
      <c r="P2676" s="123"/>
      <c r="R2676" s="123"/>
      <c r="S2676" s="123"/>
      <c r="U2676" s="123"/>
      <c r="V2676" s="123"/>
    </row>
    <row r="2677" spans="1:22" s="530" customFormat="1" ht="15" x14ac:dyDescent="0.25">
      <c r="A2677" s="123"/>
      <c r="B2677" s="529">
        <v>2672001</v>
      </c>
      <c r="C2677" s="529">
        <v>2673</v>
      </c>
      <c r="E2677" s="534">
        <v>0</v>
      </c>
      <c r="F2677" s="534">
        <v>0</v>
      </c>
      <c r="G2677" s="534">
        <v>2</v>
      </c>
      <c r="I2677" s="534">
        <v>0</v>
      </c>
      <c r="J2677" s="534">
        <v>0</v>
      </c>
      <c r="K2677" s="534">
        <v>0</v>
      </c>
      <c r="M2677" s="617">
        <f t="shared" si="84"/>
        <v>0</v>
      </c>
      <c r="N2677" s="617">
        <f t="shared" si="85"/>
        <v>2</v>
      </c>
      <c r="O2677" s="617"/>
      <c r="P2677" s="123"/>
      <c r="R2677" s="123"/>
      <c r="S2677" s="123"/>
      <c r="U2677" s="123"/>
      <c r="V2677" s="123"/>
    </row>
    <row r="2678" spans="1:22" s="530" customFormat="1" ht="15" x14ac:dyDescent="0.25">
      <c r="A2678" s="123"/>
      <c r="B2678" s="529">
        <v>2673001</v>
      </c>
      <c r="C2678" s="529">
        <v>2674</v>
      </c>
      <c r="E2678" s="534">
        <v>0</v>
      </c>
      <c r="F2678" s="534">
        <v>0</v>
      </c>
      <c r="G2678" s="534">
        <v>2</v>
      </c>
      <c r="I2678" s="534">
        <v>0</v>
      </c>
      <c r="J2678" s="534">
        <v>0</v>
      </c>
      <c r="K2678" s="534">
        <v>0</v>
      </c>
      <c r="M2678" s="617">
        <f t="shared" si="84"/>
        <v>0</v>
      </c>
      <c r="N2678" s="617">
        <f t="shared" si="85"/>
        <v>2</v>
      </c>
      <c r="O2678" s="617"/>
      <c r="P2678" s="123"/>
      <c r="R2678" s="123"/>
      <c r="S2678" s="123"/>
      <c r="U2678" s="123"/>
      <c r="V2678" s="123"/>
    </row>
    <row r="2679" spans="1:22" s="530" customFormat="1" ht="15" x14ac:dyDescent="0.25">
      <c r="A2679" s="123"/>
      <c r="B2679" s="529">
        <v>2674001</v>
      </c>
      <c r="C2679" s="529">
        <v>2675</v>
      </c>
      <c r="E2679" s="534">
        <v>0</v>
      </c>
      <c r="F2679" s="534">
        <v>0</v>
      </c>
      <c r="G2679" s="534">
        <v>2</v>
      </c>
      <c r="I2679" s="534">
        <v>0</v>
      </c>
      <c r="J2679" s="534">
        <v>0</v>
      </c>
      <c r="K2679" s="534">
        <v>0</v>
      </c>
      <c r="M2679" s="617">
        <f t="shared" si="84"/>
        <v>0</v>
      </c>
      <c r="N2679" s="617">
        <f t="shared" si="85"/>
        <v>2</v>
      </c>
      <c r="O2679" s="617"/>
      <c r="P2679" s="123"/>
      <c r="R2679" s="123"/>
      <c r="S2679" s="123"/>
      <c r="U2679" s="123"/>
      <c r="V2679" s="123"/>
    </row>
    <row r="2680" spans="1:22" s="530" customFormat="1" ht="15" x14ac:dyDescent="0.25">
      <c r="A2680" s="123"/>
      <c r="B2680" s="529">
        <v>2675001</v>
      </c>
      <c r="C2680" s="529">
        <v>2676</v>
      </c>
      <c r="E2680" s="534">
        <v>0</v>
      </c>
      <c r="F2680" s="534">
        <v>0</v>
      </c>
      <c r="G2680" s="534">
        <v>2</v>
      </c>
      <c r="I2680" s="534">
        <v>0</v>
      </c>
      <c r="J2680" s="534">
        <v>0</v>
      </c>
      <c r="K2680" s="534">
        <v>0</v>
      </c>
      <c r="M2680" s="617">
        <f t="shared" si="84"/>
        <v>0</v>
      </c>
      <c r="N2680" s="617">
        <f t="shared" si="85"/>
        <v>2</v>
      </c>
      <c r="O2680" s="617"/>
      <c r="P2680" s="123"/>
      <c r="R2680" s="123"/>
      <c r="S2680" s="123"/>
      <c r="U2680" s="123"/>
      <c r="V2680" s="123"/>
    </row>
    <row r="2681" spans="1:22" s="530" customFormat="1" ht="15" x14ac:dyDescent="0.25">
      <c r="A2681" s="123"/>
      <c r="B2681" s="529">
        <v>2676001</v>
      </c>
      <c r="C2681" s="529">
        <v>2677</v>
      </c>
      <c r="E2681" s="534">
        <v>0</v>
      </c>
      <c r="F2681" s="534">
        <v>0</v>
      </c>
      <c r="G2681" s="534">
        <v>2</v>
      </c>
      <c r="I2681" s="534">
        <v>0</v>
      </c>
      <c r="J2681" s="534">
        <v>0</v>
      </c>
      <c r="K2681" s="534">
        <v>0</v>
      </c>
      <c r="M2681" s="617">
        <f t="shared" si="84"/>
        <v>0</v>
      </c>
      <c r="N2681" s="617">
        <f t="shared" si="85"/>
        <v>2</v>
      </c>
      <c r="O2681" s="617"/>
      <c r="P2681" s="123"/>
      <c r="R2681" s="123"/>
      <c r="S2681" s="123"/>
      <c r="U2681" s="123"/>
      <c r="V2681" s="123"/>
    </row>
    <row r="2682" spans="1:22" s="530" customFormat="1" ht="15" x14ac:dyDescent="0.25">
      <c r="A2682" s="123"/>
      <c r="B2682" s="529">
        <v>2677001</v>
      </c>
      <c r="C2682" s="529">
        <v>2678</v>
      </c>
      <c r="E2682" s="534">
        <v>0</v>
      </c>
      <c r="F2682" s="534">
        <v>0</v>
      </c>
      <c r="G2682" s="534">
        <v>2</v>
      </c>
      <c r="I2682" s="534">
        <v>0</v>
      </c>
      <c r="J2682" s="534">
        <v>0</v>
      </c>
      <c r="K2682" s="534">
        <v>0</v>
      </c>
      <c r="M2682" s="617">
        <f t="shared" si="84"/>
        <v>0</v>
      </c>
      <c r="N2682" s="617">
        <f t="shared" si="85"/>
        <v>2</v>
      </c>
      <c r="O2682" s="617"/>
      <c r="P2682" s="123"/>
      <c r="R2682" s="123"/>
      <c r="S2682" s="123"/>
      <c r="U2682" s="123"/>
      <c r="V2682" s="123"/>
    </row>
    <row r="2683" spans="1:22" s="530" customFormat="1" ht="15" x14ac:dyDescent="0.25">
      <c r="A2683" s="123"/>
      <c r="B2683" s="529">
        <v>2678001</v>
      </c>
      <c r="C2683" s="529">
        <v>2679</v>
      </c>
      <c r="E2683" s="534">
        <v>0</v>
      </c>
      <c r="F2683" s="534">
        <v>0</v>
      </c>
      <c r="G2683" s="534">
        <v>2</v>
      </c>
      <c r="I2683" s="534">
        <v>0</v>
      </c>
      <c r="J2683" s="534">
        <v>0</v>
      </c>
      <c r="K2683" s="534">
        <v>0</v>
      </c>
      <c r="M2683" s="617">
        <f t="shared" si="84"/>
        <v>0</v>
      </c>
      <c r="N2683" s="617">
        <f t="shared" si="85"/>
        <v>2</v>
      </c>
      <c r="O2683" s="617"/>
      <c r="P2683" s="123"/>
      <c r="R2683" s="123"/>
      <c r="S2683" s="123"/>
      <c r="U2683" s="123"/>
      <c r="V2683" s="123"/>
    </row>
    <row r="2684" spans="1:22" s="530" customFormat="1" ht="15" x14ac:dyDescent="0.25">
      <c r="A2684" s="123"/>
      <c r="B2684" s="529">
        <v>2679001</v>
      </c>
      <c r="C2684" s="529">
        <v>2680</v>
      </c>
      <c r="E2684" s="534">
        <v>0</v>
      </c>
      <c r="F2684" s="534">
        <v>0</v>
      </c>
      <c r="G2684" s="534">
        <v>2</v>
      </c>
      <c r="I2684" s="534">
        <v>0</v>
      </c>
      <c r="J2684" s="534">
        <v>0</v>
      </c>
      <c r="K2684" s="534">
        <v>0</v>
      </c>
      <c r="M2684" s="617">
        <f t="shared" si="84"/>
        <v>0</v>
      </c>
      <c r="N2684" s="617">
        <f t="shared" si="85"/>
        <v>2</v>
      </c>
      <c r="O2684" s="617"/>
      <c r="P2684" s="123"/>
      <c r="R2684" s="123"/>
      <c r="S2684" s="123"/>
      <c r="U2684" s="123"/>
      <c r="V2684" s="123"/>
    </row>
    <row r="2685" spans="1:22" s="530" customFormat="1" ht="15" x14ac:dyDescent="0.25">
      <c r="A2685" s="123"/>
      <c r="B2685" s="529">
        <v>2680001</v>
      </c>
      <c r="C2685" s="529">
        <v>2681</v>
      </c>
      <c r="E2685" s="534">
        <v>0</v>
      </c>
      <c r="F2685" s="534">
        <v>0</v>
      </c>
      <c r="G2685" s="534">
        <v>2</v>
      </c>
      <c r="I2685" s="534">
        <v>0</v>
      </c>
      <c r="J2685" s="534">
        <v>0</v>
      </c>
      <c r="K2685" s="534">
        <v>0</v>
      </c>
      <c r="M2685" s="617">
        <f t="shared" si="84"/>
        <v>0</v>
      </c>
      <c r="N2685" s="617">
        <f t="shared" si="85"/>
        <v>2</v>
      </c>
      <c r="O2685" s="617"/>
      <c r="P2685" s="123"/>
      <c r="R2685" s="123"/>
      <c r="S2685" s="123"/>
      <c r="U2685" s="123"/>
      <c r="V2685" s="123"/>
    </row>
    <row r="2686" spans="1:22" s="530" customFormat="1" ht="15" x14ac:dyDescent="0.25">
      <c r="A2686" s="123"/>
      <c r="B2686" s="529">
        <v>2681001</v>
      </c>
      <c r="C2686" s="529">
        <v>2682</v>
      </c>
      <c r="E2686" s="534">
        <v>0</v>
      </c>
      <c r="F2686" s="534">
        <v>0</v>
      </c>
      <c r="G2686" s="534">
        <v>2</v>
      </c>
      <c r="I2686" s="534">
        <v>0</v>
      </c>
      <c r="J2686" s="534">
        <v>0</v>
      </c>
      <c r="K2686" s="534">
        <v>0</v>
      </c>
      <c r="M2686" s="617">
        <f t="shared" si="84"/>
        <v>0</v>
      </c>
      <c r="N2686" s="617">
        <f t="shared" si="85"/>
        <v>2</v>
      </c>
      <c r="O2686" s="617"/>
      <c r="P2686" s="123"/>
      <c r="R2686" s="123"/>
      <c r="S2686" s="123"/>
      <c r="U2686" s="123"/>
      <c r="V2686" s="123"/>
    </row>
    <row r="2687" spans="1:22" s="530" customFormat="1" ht="15" x14ac:dyDescent="0.25">
      <c r="A2687" s="123"/>
      <c r="B2687" s="529">
        <v>2682001</v>
      </c>
      <c r="C2687" s="529">
        <v>2683</v>
      </c>
      <c r="E2687" s="534">
        <v>0</v>
      </c>
      <c r="F2687" s="534">
        <v>0</v>
      </c>
      <c r="G2687" s="534">
        <v>2</v>
      </c>
      <c r="I2687" s="534">
        <v>0</v>
      </c>
      <c r="J2687" s="534">
        <v>0</v>
      </c>
      <c r="K2687" s="534">
        <v>0</v>
      </c>
      <c r="M2687" s="617">
        <f t="shared" si="84"/>
        <v>0</v>
      </c>
      <c r="N2687" s="617">
        <f t="shared" si="85"/>
        <v>2</v>
      </c>
      <c r="O2687" s="617"/>
      <c r="P2687" s="123"/>
      <c r="R2687" s="123"/>
      <c r="S2687" s="123"/>
      <c r="U2687" s="123"/>
      <c r="V2687" s="123"/>
    </row>
    <row r="2688" spans="1:22" s="530" customFormat="1" ht="15" x14ac:dyDescent="0.25">
      <c r="A2688" s="123"/>
      <c r="B2688" s="529">
        <v>2683001</v>
      </c>
      <c r="C2688" s="529">
        <v>2684</v>
      </c>
      <c r="E2688" s="534">
        <v>0</v>
      </c>
      <c r="F2688" s="534">
        <v>0</v>
      </c>
      <c r="G2688" s="534">
        <v>2</v>
      </c>
      <c r="I2688" s="534">
        <v>0</v>
      </c>
      <c r="J2688" s="534">
        <v>0</v>
      </c>
      <c r="K2688" s="534">
        <v>0</v>
      </c>
      <c r="M2688" s="617">
        <f t="shared" si="84"/>
        <v>0</v>
      </c>
      <c r="N2688" s="617">
        <f t="shared" si="85"/>
        <v>2</v>
      </c>
      <c r="O2688" s="617"/>
      <c r="P2688" s="123"/>
      <c r="R2688" s="123"/>
      <c r="S2688" s="123"/>
      <c r="U2688" s="123"/>
      <c r="V2688" s="123"/>
    </row>
    <row r="2689" spans="1:22" s="530" customFormat="1" ht="15" x14ac:dyDescent="0.25">
      <c r="A2689" s="123"/>
      <c r="B2689" s="529">
        <v>2684001</v>
      </c>
      <c r="C2689" s="529">
        <v>2685</v>
      </c>
      <c r="E2689" s="534">
        <v>0</v>
      </c>
      <c r="F2689" s="534">
        <v>0</v>
      </c>
      <c r="G2689" s="534">
        <v>2</v>
      </c>
      <c r="I2689" s="534">
        <v>0</v>
      </c>
      <c r="J2689" s="534">
        <v>0</v>
      </c>
      <c r="K2689" s="534">
        <v>0</v>
      </c>
      <c r="M2689" s="617">
        <f t="shared" si="84"/>
        <v>0</v>
      </c>
      <c r="N2689" s="617">
        <f t="shared" si="85"/>
        <v>2</v>
      </c>
      <c r="O2689" s="617"/>
      <c r="P2689" s="123"/>
      <c r="R2689" s="123"/>
      <c r="S2689" s="123"/>
      <c r="U2689" s="123"/>
      <c r="V2689" s="123"/>
    </row>
    <row r="2690" spans="1:22" s="530" customFormat="1" ht="15" x14ac:dyDescent="0.25">
      <c r="A2690" s="123"/>
      <c r="B2690" s="529">
        <v>2685001</v>
      </c>
      <c r="C2690" s="529">
        <v>2686</v>
      </c>
      <c r="E2690" s="534">
        <v>0</v>
      </c>
      <c r="F2690" s="534">
        <v>0</v>
      </c>
      <c r="G2690" s="534">
        <v>2</v>
      </c>
      <c r="I2690" s="534">
        <v>0</v>
      </c>
      <c r="J2690" s="534">
        <v>0</v>
      </c>
      <c r="K2690" s="534">
        <v>0</v>
      </c>
      <c r="M2690" s="617">
        <f t="shared" si="84"/>
        <v>0</v>
      </c>
      <c r="N2690" s="617">
        <f t="shared" si="85"/>
        <v>2</v>
      </c>
      <c r="O2690" s="617"/>
      <c r="P2690" s="123"/>
      <c r="R2690" s="123"/>
      <c r="S2690" s="123"/>
      <c r="U2690" s="123"/>
      <c r="V2690" s="123"/>
    </row>
    <row r="2691" spans="1:22" s="530" customFormat="1" ht="15" x14ac:dyDescent="0.25">
      <c r="A2691" s="123"/>
      <c r="B2691" s="529">
        <v>2686001</v>
      </c>
      <c r="C2691" s="529">
        <v>2687</v>
      </c>
      <c r="E2691" s="534">
        <v>0</v>
      </c>
      <c r="F2691" s="534">
        <v>0</v>
      </c>
      <c r="G2691" s="534">
        <v>2</v>
      </c>
      <c r="I2691" s="534">
        <v>0</v>
      </c>
      <c r="J2691" s="534">
        <v>0</v>
      </c>
      <c r="K2691" s="534">
        <v>0</v>
      </c>
      <c r="M2691" s="617">
        <f t="shared" si="84"/>
        <v>0</v>
      </c>
      <c r="N2691" s="617">
        <f t="shared" si="85"/>
        <v>2</v>
      </c>
      <c r="O2691" s="617"/>
      <c r="P2691" s="123"/>
      <c r="R2691" s="123"/>
      <c r="S2691" s="123"/>
      <c r="U2691" s="123"/>
      <c r="V2691" s="123"/>
    </row>
    <row r="2692" spans="1:22" s="530" customFormat="1" ht="15" x14ac:dyDescent="0.25">
      <c r="A2692" s="123"/>
      <c r="B2692" s="529">
        <v>2687001</v>
      </c>
      <c r="C2692" s="529">
        <v>2688</v>
      </c>
      <c r="E2692" s="534">
        <v>0</v>
      </c>
      <c r="F2692" s="534">
        <v>0</v>
      </c>
      <c r="G2692" s="534">
        <v>2</v>
      </c>
      <c r="I2692" s="534">
        <v>0</v>
      </c>
      <c r="J2692" s="534">
        <v>0</v>
      </c>
      <c r="K2692" s="534">
        <v>0</v>
      </c>
      <c r="M2692" s="617">
        <f t="shared" si="84"/>
        <v>0</v>
      </c>
      <c r="N2692" s="617">
        <f t="shared" si="85"/>
        <v>2</v>
      </c>
      <c r="O2692" s="617"/>
      <c r="P2692" s="123"/>
      <c r="R2692" s="123"/>
      <c r="S2692" s="123"/>
      <c r="U2692" s="123"/>
      <c r="V2692" s="123"/>
    </row>
    <row r="2693" spans="1:22" s="530" customFormat="1" ht="15" x14ac:dyDescent="0.25">
      <c r="A2693" s="123"/>
      <c r="B2693" s="529">
        <v>2688001</v>
      </c>
      <c r="C2693" s="529">
        <v>2689</v>
      </c>
      <c r="E2693" s="534">
        <v>0</v>
      </c>
      <c r="F2693" s="534">
        <v>0</v>
      </c>
      <c r="G2693" s="534">
        <v>2</v>
      </c>
      <c r="I2693" s="534">
        <v>0</v>
      </c>
      <c r="J2693" s="534">
        <v>0</v>
      </c>
      <c r="K2693" s="534">
        <v>0</v>
      </c>
      <c r="M2693" s="617">
        <f t="shared" ref="M2693:M2756" si="86">I2693+E2693</f>
        <v>0</v>
      </c>
      <c r="N2693" s="617">
        <f t="shared" ref="N2693:N2756" si="87">K2693+G2693</f>
        <v>2</v>
      </c>
      <c r="O2693" s="617"/>
      <c r="P2693" s="123"/>
      <c r="R2693" s="123"/>
      <c r="S2693" s="123"/>
      <c r="U2693" s="123"/>
      <c r="V2693" s="123"/>
    </row>
    <row r="2694" spans="1:22" ht="15" x14ac:dyDescent="0.25">
      <c r="B2694" s="529">
        <v>2689001</v>
      </c>
      <c r="C2694" s="529">
        <v>2690</v>
      </c>
      <c r="E2694" s="534">
        <v>0</v>
      </c>
      <c r="F2694" s="534">
        <v>0</v>
      </c>
      <c r="G2694" s="534">
        <v>2</v>
      </c>
      <c r="I2694" s="534">
        <v>0</v>
      </c>
      <c r="J2694" s="534">
        <v>0</v>
      </c>
      <c r="K2694" s="534">
        <v>0</v>
      </c>
      <c r="M2694" s="617">
        <f t="shared" si="86"/>
        <v>0</v>
      </c>
      <c r="N2694" s="617">
        <f t="shared" si="87"/>
        <v>2</v>
      </c>
      <c r="O2694" s="617"/>
    </row>
    <row r="2695" spans="1:22" ht="15" x14ac:dyDescent="0.25">
      <c r="B2695" s="529">
        <v>2690001</v>
      </c>
      <c r="C2695" s="529">
        <v>2691</v>
      </c>
      <c r="E2695" s="534">
        <v>0</v>
      </c>
      <c r="F2695" s="534">
        <v>0</v>
      </c>
      <c r="G2695" s="534">
        <v>2</v>
      </c>
      <c r="I2695" s="534">
        <v>0</v>
      </c>
      <c r="J2695" s="534">
        <v>0</v>
      </c>
      <c r="K2695" s="534">
        <v>0</v>
      </c>
      <c r="M2695" s="617">
        <f t="shared" si="86"/>
        <v>0</v>
      </c>
      <c r="N2695" s="617">
        <f t="shared" si="87"/>
        <v>2</v>
      </c>
      <c r="O2695" s="617"/>
    </row>
    <row r="2696" spans="1:22" ht="15" x14ac:dyDescent="0.25">
      <c r="B2696" s="529">
        <v>2691001</v>
      </c>
      <c r="C2696" s="529">
        <v>2692</v>
      </c>
      <c r="E2696" s="534">
        <v>0</v>
      </c>
      <c r="F2696" s="534">
        <v>0</v>
      </c>
      <c r="G2696" s="534">
        <v>2</v>
      </c>
      <c r="I2696" s="534">
        <v>0</v>
      </c>
      <c r="J2696" s="534">
        <v>0</v>
      </c>
      <c r="K2696" s="534">
        <v>0</v>
      </c>
      <c r="M2696" s="617">
        <f t="shared" si="86"/>
        <v>0</v>
      </c>
      <c r="N2696" s="617">
        <f t="shared" si="87"/>
        <v>2</v>
      </c>
      <c r="O2696" s="617"/>
    </row>
    <row r="2697" spans="1:22" ht="15" x14ac:dyDescent="0.25">
      <c r="B2697" s="529">
        <v>2692001</v>
      </c>
      <c r="C2697" s="529">
        <v>2693</v>
      </c>
      <c r="E2697" s="534">
        <v>0</v>
      </c>
      <c r="F2697" s="534">
        <v>0</v>
      </c>
      <c r="G2697" s="534">
        <v>2</v>
      </c>
      <c r="I2697" s="534">
        <v>0</v>
      </c>
      <c r="J2697" s="534">
        <v>0</v>
      </c>
      <c r="K2697" s="534">
        <v>0</v>
      </c>
      <c r="M2697" s="617">
        <f t="shared" si="86"/>
        <v>0</v>
      </c>
      <c r="N2697" s="617">
        <f t="shared" si="87"/>
        <v>2</v>
      </c>
      <c r="O2697" s="617"/>
    </row>
    <row r="2698" spans="1:22" ht="15" x14ac:dyDescent="0.25">
      <c r="B2698" s="529">
        <v>2693001</v>
      </c>
      <c r="C2698" s="529">
        <v>2694</v>
      </c>
      <c r="E2698" s="534">
        <v>0</v>
      </c>
      <c r="F2698" s="534">
        <v>0</v>
      </c>
      <c r="G2698" s="534">
        <v>2</v>
      </c>
      <c r="I2698" s="534">
        <v>0</v>
      </c>
      <c r="J2698" s="534">
        <v>0</v>
      </c>
      <c r="K2698" s="534">
        <v>0</v>
      </c>
      <c r="M2698" s="617">
        <f t="shared" si="86"/>
        <v>0</v>
      </c>
      <c r="N2698" s="617">
        <f t="shared" si="87"/>
        <v>2</v>
      </c>
      <c r="O2698" s="617"/>
    </row>
    <row r="2699" spans="1:22" ht="15" x14ac:dyDescent="0.25">
      <c r="B2699" s="529">
        <v>2694001</v>
      </c>
      <c r="C2699" s="529">
        <v>2695</v>
      </c>
      <c r="E2699" s="534">
        <v>0</v>
      </c>
      <c r="F2699" s="534">
        <v>0</v>
      </c>
      <c r="G2699" s="534">
        <v>2</v>
      </c>
      <c r="I2699" s="534">
        <v>0</v>
      </c>
      <c r="J2699" s="534">
        <v>0</v>
      </c>
      <c r="K2699" s="534">
        <v>0</v>
      </c>
      <c r="M2699" s="617">
        <f t="shared" si="86"/>
        <v>0</v>
      </c>
      <c r="N2699" s="617">
        <f t="shared" si="87"/>
        <v>2</v>
      </c>
      <c r="O2699" s="617"/>
    </row>
    <row r="2700" spans="1:22" ht="15" x14ac:dyDescent="0.25">
      <c r="B2700" s="529">
        <v>2695001</v>
      </c>
      <c r="C2700" s="529">
        <v>2696</v>
      </c>
      <c r="E2700" s="534">
        <v>0</v>
      </c>
      <c r="F2700" s="534">
        <v>0</v>
      </c>
      <c r="G2700" s="534">
        <v>2</v>
      </c>
      <c r="I2700" s="534">
        <v>0</v>
      </c>
      <c r="J2700" s="534">
        <v>0</v>
      </c>
      <c r="K2700" s="534">
        <v>0</v>
      </c>
      <c r="M2700" s="617">
        <f t="shared" si="86"/>
        <v>0</v>
      </c>
      <c r="N2700" s="617">
        <f t="shared" si="87"/>
        <v>2</v>
      </c>
      <c r="O2700" s="617"/>
    </row>
    <row r="2701" spans="1:22" ht="15" x14ac:dyDescent="0.25">
      <c r="B2701" s="529">
        <v>2696001</v>
      </c>
      <c r="C2701" s="529">
        <v>2697</v>
      </c>
      <c r="E2701" s="534">
        <v>1</v>
      </c>
      <c r="F2701" s="534">
        <v>2697</v>
      </c>
      <c r="G2701" s="534">
        <v>2</v>
      </c>
      <c r="I2701" s="534">
        <v>0</v>
      </c>
      <c r="J2701" s="534">
        <v>0</v>
      </c>
      <c r="K2701" s="534">
        <v>0</v>
      </c>
      <c r="M2701" s="617">
        <f t="shared" si="86"/>
        <v>1</v>
      </c>
      <c r="N2701" s="617">
        <f t="shared" si="87"/>
        <v>2</v>
      </c>
      <c r="O2701" s="617"/>
    </row>
    <row r="2702" spans="1:22" ht="15" x14ac:dyDescent="0.25">
      <c r="B2702" s="529">
        <v>2697001</v>
      </c>
      <c r="C2702" s="529">
        <v>2698</v>
      </c>
      <c r="E2702" s="534">
        <v>0</v>
      </c>
      <c r="F2702" s="534">
        <v>0</v>
      </c>
      <c r="G2702" s="534">
        <v>1</v>
      </c>
      <c r="I2702" s="534">
        <v>0</v>
      </c>
      <c r="J2702" s="534">
        <v>0</v>
      </c>
      <c r="K2702" s="534">
        <v>0</v>
      </c>
      <c r="M2702" s="617">
        <f t="shared" si="86"/>
        <v>0</v>
      </c>
      <c r="N2702" s="617">
        <f t="shared" si="87"/>
        <v>1</v>
      </c>
      <c r="O2702" s="617"/>
    </row>
    <row r="2703" spans="1:22" ht="15" x14ac:dyDescent="0.25">
      <c r="B2703" s="529">
        <v>2698001</v>
      </c>
      <c r="C2703" s="529">
        <v>2699</v>
      </c>
      <c r="E2703" s="534">
        <v>0</v>
      </c>
      <c r="F2703" s="534">
        <v>0</v>
      </c>
      <c r="G2703" s="534">
        <v>1</v>
      </c>
      <c r="M2703" s="617">
        <f t="shared" si="86"/>
        <v>0</v>
      </c>
      <c r="N2703" s="617">
        <f t="shared" si="87"/>
        <v>1</v>
      </c>
      <c r="O2703" s="617"/>
    </row>
    <row r="2704" spans="1:22" ht="15" x14ac:dyDescent="0.25">
      <c r="B2704" s="529">
        <v>2699001</v>
      </c>
      <c r="C2704" s="529">
        <v>2700</v>
      </c>
      <c r="E2704" s="534">
        <v>0</v>
      </c>
      <c r="F2704" s="534">
        <v>0</v>
      </c>
      <c r="G2704" s="534">
        <v>1</v>
      </c>
      <c r="M2704" s="617">
        <f t="shared" si="86"/>
        <v>0</v>
      </c>
      <c r="N2704" s="617">
        <f t="shared" si="87"/>
        <v>1</v>
      </c>
      <c r="O2704" s="617"/>
    </row>
    <row r="2705" spans="2:15" ht="15" x14ac:dyDescent="0.25">
      <c r="B2705" s="529">
        <v>2700001</v>
      </c>
      <c r="C2705" s="529">
        <v>2701</v>
      </c>
      <c r="E2705" s="534">
        <v>0</v>
      </c>
      <c r="F2705" s="534">
        <v>0</v>
      </c>
      <c r="G2705" s="534">
        <v>1</v>
      </c>
      <c r="M2705" s="617">
        <f t="shared" si="86"/>
        <v>0</v>
      </c>
      <c r="N2705" s="617">
        <f t="shared" si="87"/>
        <v>1</v>
      </c>
      <c r="O2705" s="617"/>
    </row>
    <row r="2706" spans="2:15" ht="15" x14ac:dyDescent="0.25">
      <c r="B2706" s="529">
        <v>2701001</v>
      </c>
      <c r="C2706" s="529">
        <v>2702</v>
      </c>
      <c r="E2706" s="534">
        <v>0</v>
      </c>
      <c r="F2706" s="534">
        <v>0</v>
      </c>
      <c r="G2706" s="534">
        <v>1</v>
      </c>
      <c r="M2706" s="617">
        <f t="shared" si="86"/>
        <v>0</v>
      </c>
      <c r="N2706" s="617">
        <f t="shared" si="87"/>
        <v>1</v>
      </c>
      <c r="O2706" s="617"/>
    </row>
    <row r="2707" spans="2:15" ht="15" x14ac:dyDescent="0.25">
      <c r="B2707" s="529">
        <v>2702001</v>
      </c>
      <c r="C2707" s="529">
        <v>2703</v>
      </c>
      <c r="E2707" s="534">
        <v>0</v>
      </c>
      <c r="F2707" s="534">
        <v>0</v>
      </c>
      <c r="G2707" s="534">
        <v>1</v>
      </c>
      <c r="M2707" s="617">
        <f t="shared" si="86"/>
        <v>0</v>
      </c>
      <c r="N2707" s="617">
        <f t="shared" si="87"/>
        <v>1</v>
      </c>
      <c r="O2707" s="617"/>
    </row>
    <row r="2708" spans="2:15" ht="15" x14ac:dyDescent="0.25">
      <c r="B2708" s="529">
        <v>2703001</v>
      </c>
      <c r="C2708" s="529">
        <v>2704</v>
      </c>
      <c r="E2708" s="534">
        <v>0</v>
      </c>
      <c r="F2708" s="534">
        <v>0</v>
      </c>
      <c r="G2708" s="534">
        <v>1</v>
      </c>
      <c r="M2708" s="617">
        <f t="shared" si="86"/>
        <v>0</v>
      </c>
      <c r="N2708" s="617">
        <f t="shared" si="87"/>
        <v>1</v>
      </c>
      <c r="O2708" s="617"/>
    </row>
    <row r="2709" spans="2:15" ht="15" x14ac:dyDescent="0.25">
      <c r="B2709" s="529">
        <v>2704001</v>
      </c>
      <c r="C2709" s="529">
        <v>2705</v>
      </c>
      <c r="E2709" s="534">
        <v>0</v>
      </c>
      <c r="F2709" s="534">
        <v>0</v>
      </c>
      <c r="G2709" s="534">
        <v>1</v>
      </c>
      <c r="M2709" s="617">
        <f t="shared" si="86"/>
        <v>0</v>
      </c>
      <c r="N2709" s="617">
        <f t="shared" si="87"/>
        <v>1</v>
      </c>
      <c r="O2709" s="617"/>
    </row>
    <row r="2710" spans="2:15" ht="15" x14ac:dyDescent="0.25">
      <c r="B2710" s="529">
        <v>2705001</v>
      </c>
      <c r="C2710" s="529">
        <v>2706</v>
      </c>
      <c r="E2710" s="534">
        <v>0</v>
      </c>
      <c r="F2710" s="534">
        <v>0</v>
      </c>
      <c r="G2710" s="534">
        <v>1</v>
      </c>
      <c r="M2710" s="617">
        <f t="shared" si="86"/>
        <v>0</v>
      </c>
      <c r="N2710" s="617">
        <f t="shared" si="87"/>
        <v>1</v>
      </c>
      <c r="O2710" s="617"/>
    </row>
    <row r="2711" spans="2:15" ht="15" x14ac:dyDescent="0.25">
      <c r="B2711" s="529">
        <v>2706001</v>
      </c>
      <c r="C2711" s="529">
        <v>2707</v>
      </c>
      <c r="E2711" s="534">
        <v>0</v>
      </c>
      <c r="F2711" s="534">
        <v>0</v>
      </c>
      <c r="G2711" s="534">
        <v>1</v>
      </c>
      <c r="M2711" s="617">
        <f t="shared" si="86"/>
        <v>0</v>
      </c>
      <c r="N2711" s="617">
        <f t="shared" si="87"/>
        <v>1</v>
      </c>
      <c r="O2711" s="617"/>
    </row>
    <row r="2712" spans="2:15" ht="15" x14ac:dyDescent="0.25">
      <c r="B2712" s="529">
        <v>2707001</v>
      </c>
      <c r="C2712" s="529">
        <v>2708</v>
      </c>
      <c r="E2712" s="534">
        <v>0</v>
      </c>
      <c r="F2712" s="534">
        <v>0</v>
      </c>
      <c r="G2712" s="534">
        <v>1</v>
      </c>
      <c r="M2712" s="617">
        <f t="shared" si="86"/>
        <v>0</v>
      </c>
      <c r="N2712" s="617">
        <f t="shared" si="87"/>
        <v>1</v>
      </c>
      <c r="O2712" s="617"/>
    </row>
    <row r="2713" spans="2:15" ht="15" x14ac:dyDescent="0.25">
      <c r="B2713" s="529">
        <v>2708001</v>
      </c>
      <c r="C2713" s="529">
        <v>2709</v>
      </c>
      <c r="E2713" s="534">
        <v>0</v>
      </c>
      <c r="F2713" s="534">
        <v>0</v>
      </c>
      <c r="G2713" s="534">
        <v>1</v>
      </c>
      <c r="M2713" s="617">
        <f t="shared" si="86"/>
        <v>0</v>
      </c>
      <c r="N2713" s="617">
        <f t="shared" si="87"/>
        <v>1</v>
      </c>
      <c r="O2713" s="617"/>
    </row>
    <row r="2714" spans="2:15" ht="15" x14ac:dyDescent="0.25">
      <c r="B2714" s="529">
        <v>2709001</v>
      </c>
      <c r="C2714" s="529">
        <v>2710</v>
      </c>
      <c r="E2714" s="534">
        <v>0</v>
      </c>
      <c r="F2714" s="534">
        <v>0</v>
      </c>
      <c r="G2714" s="534">
        <v>1</v>
      </c>
      <c r="M2714" s="617">
        <f t="shared" si="86"/>
        <v>0</v>
      </c>
      <c r="N2714" s="617">
        <f t="shared" si="87"/>
        <v>1</v>
      </c>
      <c r="O2714" s="617"/>
    </row>
    <row r="2715" spans="2:15" ht="15" x14ac:dyDescent="0.25">
      <c r="B2715" s="529">
        <v>2710001</v>
      </c>
      <c r="C2715" s="529">
        <v>2711</v>
      </c>
      <c r="E2715" s="534">
        <v>0</v>
      </c>
      <c r="F2715" s="534">
        <v>0</v>
      </c>
      <c r="G2715" s="534">
        <v>1</v>
      </c>
      <c r="M2715" s="617">
        <f t="shared" si="86"/>
        <v>0</v>
      </c>
      <c r="N2715" s="617">
        <f t="shared" si="87"/>
        <v>1</v>
      </c>
      <c r="O2715" s="617"/>
    </row>
    <row r="2716" spans="2:15" ht="15" x14ac:dyDescent="0.25">
      <c r="B2716" s="529">
        <v>2711001</v>
      </c>
      <c r="C2716" s="529">
        <v>2712</v>
      </c>
      <c r="E2716" s="534">
        <v>0</v>
      </c>
      <c r="F2716" s="534">
        <v>0</v>
      </c>
      <c r="G2716" s="534">
        <v>1</v>
      </c>
      <c r="M2716" s="617">
        <f t="shared" si="86"/>
        <v>0</v>
      </c>
      <c r="N2716" s="617">
        <f t="shared" si="87"/>
        <v>1</v>
      </c>
      <c r="O2716" s="617"/>
    </row>
    <row r="2717" spans="2:15" ht="15" x14ac:dyDescent="0.25">
      <c r="B2717" s="529">
        <v>2712001</v>
      </c>
      <c r="C2717" s="529">
        <v>2713</v>
      </c>
      <c r="E2717" s="534">
        <v>0</v>
      </c>
      <c r="F2717" s="534">
        <v>0</v>
      </c>
      <c r="G2717" s="534">
        <v>1</v>
      </c>
      <c r="M2717" s="617">
        <f t="shared" si="86"/>
        <v>0</v>
      </c>
      <c r="N2717" s="617">
        <f t="shared" si="87"/>
        <v>1</v>
      </c>
      <c r="O2717" s="617"/>
    </row>
    <row r="2718" spans="2:15" ht="15" x14ac:dyDescent="0.25">
      <c r="B2718" s="529">
        <v>2713001</v>
      </c>
      <c r="C2718" s="529">
        <v>2714</v>
      </c>
      <c r="E2718" s="534">
        <v>0</v>
      </c>
      <c r="F2718" s="534">
        <v>0</v>
      </c>
      <c r="G2718" s="534">
        <v>1</v>
      </c>
      <c r="M2718" s="617">
        <f t="shared" si="86"/>
        <v>0</v>
      </c>
      <c r="N2718" s="617">
        <f t="shared" si="87"/>
        <v>1</v>
      </c>
      <c r="O2718" s="617"/>
    </row>
    <row r="2719" spans="2:15" ht="15" x14ac:dyDescent="0.25">
      <c r="B2719" s="529">
        <v>2714001</v>
      </c>
      <c r="C2719" s="529">
        <v>2715</v>
      </c>
      <c r="E2719" s="534">
        <v>0</v>
      </c>
      <c r="F2719" s="534">
        <v>0</v>
      </c>
      <c r="G2719" s="534">
        <v>1</v>
      </c>
      <c r="M2719" s="617">
        <f t="shared" si="86"/>
        <v>0</v>
      </c>
      <c r="N2719" s="617">
        <f t="shared" si="87"/>
        <v>1</v>
      </c>
      <c r="O2719" s="617"/>
    </row>
    <row r="2720" spans="2:15" ht="15" x14ac:dyDescent="0.25">
      <c r="B2720" s="529">
        <v>2715001</v>
      </c>
      <c r="C2720" s="529">
        <v>2716</v>
      </c>
      <c r="E2720" s="534">
        <v>0</v>
      </c>
      <c r="F2720" s="534">
        <v>0</v>
      </c>
      <c r="G2720" s="534">
        <v>1</v>
      </c>
      <c r="M2720" s="617">
        <f t="shared" si="86"/>
        <v>0</v>
      </c>
      <c r="N2720" s="617">
        <f t="shared" si="87"/>
        <v>1</v>
      </c>
      <c r="O2720" s="617"/>
    </row>
    <row r="2721" spans="2:15" ht="15" x14ac:dyDescent="0.25">
      <c r="B2721" s="529">
        <v>2716001</v>
      </c>
      <c r="C2721" s="529">
        <v>2717</v>
      </c>
      <c r="E2721" s="534">
        <v>0</v>
      </c>
      <c r="F2721" s="534">
        <v>0</v>
      </c>
      <c r="G2721" s="534">
        <v>1</v>
      </c>
      <c r="M2721" s="617">
        <f t="shared" si="86"/>
        <v>0</v>
      </c>
      <c r="N2721" s="617">
        <f t="shared" si="87"/>
        <v>1</v>
      </c>
      <c r="O2721" s="617"/>
    </row>
    <row r="2722" spans="2:15" ht="15" x14ac:dyDescent="0.25">
      <c r="B2722" s="529">
        <v>2717001</v>
      </c>
      <c r="C2722" s="529">
        <v>2718</v>
      </c>
      <c r="E2722" s="534">
        <v>0</v>
      </c>
      <c r="F2722" s="534">
        <v>0</v>
      </c>
      <c r="G2722" s="534">
        <v>1</v>
      </c>
      <c r="M2722" s="617">
        <f t="shared" si="86"/>
        <v>0</v>
      </c>
      <c r="N2722" s="617">
        <f t="shared" si="87"/>
        <v>1</v>
      </c>
      <c r="O2722" s="617"/>
    </row>
    <row r="2723" spans="2:15" ht="15" x14ac:dyDescent="0.25">
      <c r="B2723" s="529">
        <v>2718001</v>
      </c>
      <c r="C2723" s="529">
        <v>2719</v>
      </c>
      <c r="E2723" s="534">
        <v>0</v>
      </c>
      <c r="F2723" s="534">
        <v>0</v>
      </c>
      <c r="G2723" s="534">
        <v>1</v>
      </c>
      <c r="M2723" s="617">
        <f t="shared" si="86"/>
        <v>0</v>
      </c>
      <c r="N2723" s="617">
        <f t="shared" si="87"/>
        <v>1</v>
      </c>
      <c r="O2723" s="617"/>
    </row>
    <row r="2724" spans="2:15" ht="15" x14ac:dyDescent="0.25">
      <c r="B2724" s="529">
        <v>2719001</v>
      </c>
      <c r="C2724" s="529">
        <v>2720</v>
      </c>
      <c r="E2724" s="534">
        <v>0</v>
      </c>
      <c r="F2724" s="534">
        <v>0</v>
      </c>
      <c r="G2724" s="534">
        <v>1</v>
      </c>
      <c r="M2724" s="617">
        <f t="shared" si="86"/>
        <v>0</v>
      </c>
      <c r="N2724" s="617">
        <f t="shared" si="87"/>
        <v>1</v>
      </c>
      <c r="O2724" s="617"/>
    </row>
    <row r="2725" spans="2:15" ht="15" x14ac:dyDescent="0.25">
      <c r="B2725" s="529">
        <v>2720001</v>
      </c>
      <c r="C2725" s="529">
        <v>2721</v>
      </c>
      <c r="E2725" s="534">
        <v>0</v>
      </c>
      <c r="F2725" s="534">
        <v>0</v>
      </c>
      <c r="G2725" s="534">
        <v>1</v>
      </c>
      <c r="M2725" s="617">
        <f t="shared" si="86"/>
        <v>0</v>
      </c>
      <c r="N2725" s="617">
        <f t="shared" si="87"/>
        <v>1</v>
      </c>
      <c r="O2725" s="617"/>
    </row>
    <row r="2726" spans="2:15" ht="15" x14ac:dyDescent="0.25">
      <c r="B2726" s="529">
        <v>2721001</v>
      </c>
      <c r="C2726" s="529">
        <v>2722</v>
      </c>
      <c r="E2726" s="534">
        <v>0</v>
      </c>
      <c r="F2726" s="534">
        <v>0</v>
      </c>
      <c r="G2726" s="534">
        <v>1</v>
      </c>
      <c r="M2726" s="617">
        <f t="shared" si="86"/>
        <v>0</v>
      </c>
      <c r="N2726" s="617">
        <f t="shared" si="87"/>
        <v>1</v>
      </c>
      <c r="O2726" s="617"/>
    </row>
    <row r="2727" spans="2:15" ht="15" x14ac:dyDescent="0.25">
      <c r="B2727" s="529">
        <v>2722001</v>
      </c>
      <c r="C2727" s="529">
        <v>2723</v>
      </c>
      <c r="E2727" s="534">
        <v>0</v>
      </c>
      <c r="F2727" s="534">
        <v>0</v>
      </c>
      <c r="G2727" s="534">
        <v>1</v>
      </c>
      <c r="M2727" s="617">
        <f t="shared" si="86"/>
        <v>0</v>
      </c>
      <c r="N2727" s="617">
        <f t="shared" si="87"/>
        <v>1</v>
      </c>
      <c r="O2727" s="617"/>
    </row>
    <row r="2728" spans="2:15" ht="15" x14ac:dyDescent="0.25">
      <c r="B2728" s="529">
        <v>2723001</v>
      </c>
      <c r="C2728" s="529">
        <v>2724</v>
      </c>
      <c r="E2728" s="534">
        <v>0</v>
      </c>
      <c r="F2728" s="534">
        <v>0</v>
      </c>
      <c r="G2728" s="534">
        <v>1</v>
      </c>
      <c r="M2728" s="617">
        <f t="shared" si="86"/>
        <v>0</v>
      </c>
      <c r="N2728" s="617">
        <f t="shared" si="87"/>
        <v>1</v>
      </c>
      <c r="O2728" s="617"/>
    </row>
    <row r="2729" spans="2:15" ht="15" x14ac:dyDescent="0.25">
      <c r="B2729" s="529">
        <v>2724001</v>
      </c>
      <c r="C2729" s="529">
        <v>2725</v>
      </c>
      <c r="E2729" s="534">
        <v>0</v>
      </c>
      <c r="F2729" s="534">
        <v>0</v>
      </c>
      <c r="G2729" s="534">
        <v>1</v>
      </c>
      <c r="M2729" s="617">
        <f t="shared" si="86"/>
        <v>0</v>
      </c>
      <c r="N2729" s="617">
        <f t="shared" si="87"/>
        <v>1</v>
      </c>
      <c r="O2729" s="617"/>
    </row>
    <row r="2730" spans="2:15" ht="15" x14ac:dyDescent="0.25">
      <c r="B2730" s="529">
        <v>2725001</v>
      </c>
      <c r="C2730" s="529">
        <v>2726</v>
      </c>
      <c r="E2730" s="534">
        <v>0</v>
      </c>
      <c r="F2730" s="534">
        <v>0</v>
      </c>
      <c r="G2730" s="534">
        <v>1</v>
      </c>
      <c r="M2730" s="617">
        <f t="shared" si="86"/>
        <v>0</v>
      </c>
      <c r="N2730" s="617">
        <f t="shared" si="87"/>
        <v>1</v>
      </c>
      <c r="O2730" s="617"/>
    </row>
    <row r="2731" spans="2:15" ht="15" x14ac:dyDescent="0.25">
      <c r="B2731" s="529">
        <v>2726001</v>
      </c>
      <c r="C2731" s="529">
        <v>2727</v>
      </c>
      <c r="E2731" s="534">
        <v>0</v>
      </c>
      <c r="F2731" s="534">
        <v>0</v>
      </c>
      <c r="G2731" s="534">
        <v>1</v>
      </c>
      <c r="M2731" s="617">
        <f t="shared" si="86"/>
        <v>0</v>
      </c>
      <c r="N2731" s="617">
        <f t="shared" si="87"/>
        <v>1</v>
      </c>
      <c r="O2731" s="617"/>
    </row>
    <row r="2732" spans="2:15" ht="15" x14ac:dyDescent="0.25">
      <c r="B2732" s="529">
        <v>2727001</v>
      </c>
      <c r="C2732" s="529">
        <v>2728</v>
      </c>
      <c r="E2732" s="534">
        <v>0</v>
      </c>
      <c r="F2732" s="534">
        <v>0</v>
      </c>
      <c r="G2732" s="534">
        <v>1</v>
      </c>
      <c r="M2732" s="617">
        <f t="shared" si="86"/>
        <v>0</v>
      </c>
      <c r="N2732" s="617">
        <f t="shared" si="87"/>
        <v>1</v>
      </c>
      <c r="O2732" s="617"/>
    </row>
    <row r="2733" spans="2:15" ht="15" x14ac:dyDescent="0.25">
      <c r="B2733" s="529">
        <v>2728001</v>
      </c>
      <c r="C2733" s="529">
        <v>2729</v>
      </c>
      <c r="E2733" s="534">
        <v>0</v>
      </c>
      <c r="F2733" s="534">
        <v>0</v>
      </c>
      <c r="G2733" s="534">
        <v>1</v>
      </c>
      <c r="M2733" s="617">
        <f t="shared" si="86"/>
        <v>0</v>
      </c>
      <c r="N2733" s="617">
        <f t="shared" si="87"/>
        <v>1</v>
      </c>
      <c r="O2733" s="617"/>
    </row>
    <row r="2734" spans="2:15" ht="15" x14ac:dyDescent="0.25">
      <c r="B2734" s="529">
        <v>2729001</v>
      </c>
      <c r="C2734" s="529">
        <v>2730</v>
      </c>
      <c r="E2734" s="534">
        <v>0</v>
      </c>
      <c r="F2734" s="534">
        <v>0</v>
      </c>
      <c r="G2734" s="534">
        <v>1</v>
      </c>
      <c r="M2734" s="617">
        <f t="shared" si="86"/>
        <v>0</v>
      </c>
      <c r="N2734" s="617">
        <f t="shared" si="87"/>
        <v>1</v>
      </c>
      <c r="O2734" s="617"/>
    </row>
    <row r="2735" spans="2:15" ht="15" x14ac:dyDescent="0.25">
      <c r="B2735" s="529">
        <v>2730001</v>
      </c>
      <c r="C2735" s="529">
        <v>2731</v>
      </c>
      <c r="E2735" s="534">
        <v>0</v>
      </c>
      <c r="F2735" s="534">
        <v>0</v>
      </c>
      <c r="G2735" s="534">
        <v>1</v>
      </c>
      <c r="M2735" s="617">
        <f t="shared" si="86"/>
        <v>0</v>
      </c>
      <c r="N2735" s="617">
        <f t="shared" si="87"/>
        <v>1</v>
      </c>
      <c r="O2735" s="617"/>
    </row>
    <row r="2736" spans="2:15" ht="15" x14ac:dyDescent="0.25">
      <c r="B2736" s="529">
        <v>2731001</v>
      </c>
      <c r="C2736" s="529">
        <v>2732</v>
      </c>
      <c r="E2736" s="534">
        <v>0</v>
      </c>
      <c r="F2736" s="534">
        <v>0</v>
      </c>
      <c r="G2736" s="534">
        <v>1</v>
      </c>
      <c r="M2736" s="617">
        <f t="shared" si="86"/>
        <v>0</v>
      </c>
      <c r="N2736" s="617">
        <f t="shared" si="87"/>
        <v>1</v>
      </c>
      <c r="O2736" s="617"/>
    </row>
    <row r="2737" spans="2:15" ht="15" x14ac:dyDescent="0.25">
      <c r="B2737" s="529">
        <v>2732001</v>
      </c>
      <c r="C2737" s="529">
        <v>2733</v>
      </c>
      <c r="E2737" s="534">
        <v>0</v>
      </c>
      <c r="F2737" s="534">
        <v>0</v>
      </c>
      <c r="G2737" s="534">
        <v>1</v>
      </c>
      <c r="M2737" s="617">
        <f t="shared" si="86"/>
        <v>0</v>
      </c>
      <c r="N2737" s="617">
        <f t="shared" si="87"/>
        <v>1</v>
      </c>
      <c r="O2737" s="617"/>
    </row>
    <row r="2738" spans="2:15" ht="15" x14ac:dyDescent="0.25">
      <c r="B2738" s="529">
        <v>2733001</v>
      </c>
      <c r="C2738" s="529">
        <v>2734</v>
      </c>
      <c r="E2738" s="534">
        <v>0</v>
      </c>
      <c r="F2738" s="534">
        <v>0</v>
      </c>
      <c r="G2738" s="534">
        <v>1</v>
      </c>
      <c r="M2738" s="617">
        <f t="shared" si="86"/>
        <v>0</v>
      </c>
      <c r="N2738" s="617">
        <f t="shared" si="87"/>
        <v>1</v>
      </c>
      <c r="O2738" s="617"/>
    </row>
    <row r="2739" spans="2:15" ht="15" x14ac:dyDescent="0.25">
      <c r="B2739" s="529">
        <v>2734001</v>
      </c>
      <c r="C2739" s="529">
        <v>2735</v>
      </c>
      <c r="E2739" s="534">
        <v>0</v>
      </c>
      <c r="F2739" s="534">
        <v>0</v>
      </c>
      <c r="G2739" s="534">
        <v>1</v>
      </c>
      <c r="M2739" s="617">
        <f t="shared" si="86"/>
        <v>0</v>
      </c>
      <c r="N2739" s="617">
        <f t="shared" si="87"/>
        <v>1</v>
      </c>
      <c r="O2739" s="617"/>
    </row>
    <row r="2740" spans="2:15" ht="15" x14ac:dyDescent="0.25">
      <c r="B2740" s="529">
        <v>2735001</v>
      </c>
      <c r="C2740" s="529">
        <v>2736</v>
      </c>
      <c r="E2740" s="534">
        <v>0</v>
      </c>
      <c r="F2740" s="534">
        <v>0</v>
      </c>
      <c r="G2740" s="534">
        <v>1</v>
      </c>
      <c r="M2740" s="617">
        <f t="shared" si="86"/>
        <v>0</v>
      </c>
      <c r="N2740" s="617">
        <f t="shared" si="87"/>
        <v>1</v>
      </c>
      <c r="O2740" s="617"/>
    </row>
    <row r="2741" spans="2:15" ht="15" x14ac:dyDescent="0.25">
      <c r="B2741" s="529">
        <v>2736001</v>
      </c>
      <c r="C2741" s="529">
        <v>2737</v>
      </c>
      <c r="E2741" s="534">
        <v>0</v>
      </c>
      <c r="F2741" s="534">
        <v>0</v>
      </c>
      <c r="G2741" s="534">
        <v>1</v>
      </c>
      <c r="M2741" s="617">
        <f t="shared" si="86"/>
        <v>0</v>
      </c>
      <c r="N2741" s="617">
        <f t="shared" si="87"/>
        <v>1</v>
      </c>
      <c r="O2741" s="617"/>
    </row>
    <row r="2742" spans="2:15" ht="15" x14ac:dyDescent="0.25">
      <c r="B2742" s="529">
        <v>2737001</v>
      </c>
      <c r="C2742" s="529">
        <v>2738</v>
      </c>
      <c r="E2742" s="534">
        <v>0</v>
      </c>
      <c r="F2742" s="534">
        <v>0</v>
      </c>
      <c r="G2742" s="534">
        <v>1</v>
      </c>
      <c r="M2742" s="617">
        <f t="shared" si="86"/>
        <v>0</v>
      </c>
      <c r="N2742" s="617">
        <f t="shared" si="87"/>
        <v>1</v>
      </c>
      <c r="O2742" s="617"/>
    </row>
    <row r="2743" spans="2:15" ht="15" x14ac:dyDescent="0.25">
      <c r="B2743" s="529">
        <v>2738001</v>
      </c>
      <c r="C2743" s="529">
        <v>2739</v>
      </c>
      <c r="E2743" s="534">
        <v>0</v>
      </c>
      <c r="F2743" s="534">
        <v>0</v>
      </c>
      <c r="G2743" s="534">
        <v>1</v>
      </c>
      <c r="M2743" s="617">
        <f t="shared" si="86"/>
        <v>0</v>
      </c>
      <c r="N2743" s="617">
        <f t="shared" si="87"/>
        <v>1</v>
      </c>
      <c r="O2743" s="617"/>
    </row>
    <row r="2744" spans="2:15" ht="15" x14ac:dyDescent="0.25">
      <c r="B2744" s="529">
        <v>2739001</v>
      </c>
      <c r="C2744" s="529">
        <v>2740</v>
      </c>
      <c r="E2744" s="534">
        <v>0</v>
      </c>
      <c r="F2744" s="534">
        <v>0</v>
      </c>
      <c r="G2744" s="534">
        <v>1</v>
      </c>
      <c r="M2744" s="617">
        <f t="shared" si="86"/>
        <v>0</v>
      </c>
      <c r="N2744" s="617">
        <f t="shared" si="87"/>
        <v>1</v>
      </c>
      <c r="O2744" s="617"/>
    </row>
    <row r="2745" spans="2:15" ht="15" x14ac:dyDescent="0.25">
      <c r="B2745" s="529">
        <v>2740001</v>
      </c>
      <c r="C2745" s="529">
        <v>2741</v>
      </c>
      <c r="E2745" s="534">
        <v>0</v>
      </c>
      <c r="F2745" s="534">
        <v>0</v>
      </c>
      <c r="G2745" s="534">
        <v>1</v>
      </c>
      <c r="M2745" s="617">
        <f t="shared" si="86"/>
        <v>0</v>
      </c>
      <c r="N2745" s="617">
        <f t="shared" si="87"/>
        <v>1</v>
      </c>
      <c r="O2745" s="617"/>
    </row>
    <row r="2746" spans="2:15" ht="15" x14ac:dyDescent="0.25">
      <c r="B2746" s="529">
        <v>2741001</v>
      </c>
      <c r="C2746" s="529">
        <v>2742</v>
      </c>
      <c r="E2746" s="534">
        <v>0</v>
      </c>
      <c r="F2746" s="534">
        <v>0</v>
      </c>
      <c r="G2746" s="534">
        <v>1</v>
      </c>
      <c r="M2746" s="617">
        <f t="shared" si="86"/>
        <v>0</v>
      </c>
      <c r="N2746" s="617">
        <f t="shared" si="87"/>
        <v>1</v>
      </c>
      <c r="O2746" s="617"/>
    </row>
    <row r="2747" spans="2:15" ht="15" x14ac:dyDescent="0.25">
      <c r="B2747" s="529">
        <v>2742001</v>
      </c>
      <c r="C2747" s="529">
        <v>2743</v>
      </c>
      <c r="E2747" s="534">
        <v>0</v>
      </c>
      <c r="F2747" s="534">
        <v>0</v>
      </c>
      <c r="G2747" s="534">
        <v>1</v>
      </c>
      <c r="M2747" s="617">
        <f t="shared" si="86"/>
        <v>0</v>
      </c>
      <c r="N2747" s="617">
        <f t="shared" si="87"/>
        <v>1</v>
      </c>
      <c r="O2747" s="617"/>
    </row>
    <row r="2748" spans="2:15" ht="15" x14ac:dyDescent="0.25">
      <c r="B2748" s="529">
        <v>2743001</v>
      </c>
      <c r="C2748" s="529">
        <v>2744</v>
      </c>
      <c r="E2748" s="534">
        <v>0</v>
      </c>
      <c r="F2748" s="534">
        <v>0</v>
      </c>
      <c r="G2748" s="534">
        <v>1</v>
      </c>
      <c r="M2748" s="617">
        <f t="shared" si="86"/>
        <v>0</v>
      </c>
      <c r="N2748" s="617">
        <f t="shared" si="87"/>
        <v>1</v>
      </c>
      <c r="O2748" s="617"/>
    </row>
    <row r="2749" spans="2:15" ht="15" x14ac:dyDescent="0.25">
      <c r="B2749" s="529">
        <v>2744001</v>
      </c>
      <c r="C2749" s="529">
        <v>2745</v>
      </c>
      <c r="E2749" s="534">
        <v>0</v>
      </c>
      <c r="F2749" s="534">
        <v>0</v>
      </c>
      <c r="G2749" s="534">
        <v>1</v>
      </c>
      <c r="M2749" s="617">
        <f t="shared" si="86"/>
        <v>0</v>
      </c>
      <c r="N2749" s="617">
        <f t="shared" si="87"/>
        <v>1</v>
      </c>
      <c r="O2749" s="617"/>
    </row>
    <row r="2750" spans="2:15" ht="15" x14ac:dyDescent="0.25">
      <c r="B2750" s="529">
        <v>2745001</v>
      </c>
      <c r="C2750" s="529">
        <v>2746</v>
      </c>
      <c r="E2750" s="534">
        <v>0</v>
      </c>
      <c r="F2750" s="534">
        <v>0</v>
      </c>
      <c r="G2750" s="534">
        <v>1</v>
      </c>
      <c r="M2750" s="617">
        <f t="shared" si="86"/>
        <v>0</v>
      </c>
      <c r="N2750" s="617">
        <f t="shared" si="87"/>
        <v>1</v>
      </c>
      <c r="O2750" s="617"/>
    </row>
    <row r="2751" spans="2:15" ht="15" x14ac:dyDescent="0.25">
      <c r="B2751" s="529">
        <v>2746001</v>
      </c>
      <c r="C2751" s="529">
        <v>2747</v>
      </c>
      <c r="E2751" s="534">
        <v>0</v>
      </c>
      <c r="F2751" s="534">
        <v>0</v>
      </c>
      <c r="G2751" s="534">
        <v>1</v>
      </c>
      <c r="M2751" s="617">
        <f t="shared" si="86"/>
        <v>0</v>
      </c>
      <c r="N2751" s="617">
        <f t="shared" si="87"/>
        <v>1</v>
      </c>
      <c r="O2751" s="617"/>
    </row>
    <row r="2752" spans="2:15" ht="15" x14ac:dyDescent="0.25">
      <c r="B2752" s="529">
        <v>2747001</v>
      </c>
      <c r="C2752" s="529">
        <v>2748</v>
      </c>
      <c r="E2752" s="534">
        <v>0</v>
      </c>
      <c r="F2752" s="534">
        <v>0</v>
      </c>
      <c r="G2752" s="534">
        <v>1</v>
      </c>
      <c r="M2752" s="617">
        <f t="shared" si="86"/>
        <v>0</v>
      </c>
      <c r="N2752" s="617">
        <f t="shared" si="87"/>
        <v>1</v>
      </c>
      <c r="O2752" s="617"/>
    </row>
    <row r="2753" spans="2:15" ht="15" x14ac:dyDescent="0.25">
      <c r="B2753" s="529">
        <v>2748001</v>
      </c>
      <c r="C2753" s="529">
        <v>2749</v>
      </c>
      <c r="E2753" s="534">
        <v>0</v>
      </c>
      <c r="F2753" s="534">
        <v>0</v>
      </c>
      <c r="G2753" s="534">
        <v>1</v>
      </c>
      <c r="M2753" s="617">
        <f t="shared" si="86"/>
        <v>0</v>
      </c>
      <c r="N2753" s="617">
        <f t="shared" si="87"/>
        <v>1</v>
      </c>
      <c r="O2753" s="617"/>
    </row>
    <row r="2754" spans="2:15" ht="15" x14ac:dyDescent="0.25">
      <c r="B2754" s="529">
        <v>2749001</v>
      </c>
      <c r="C2754" s="529">
        <v>2750</v>
      </c>
      <c r="E2754" s="534">
        <v>0</v>
      </c>
      <c r="F2754" s="534">
        <v>0</v>
      </c>
      <c r="G2754" s="534">
        <v>1</v>
      </c>
      <c r="M2754" s="617">
        <f t="shared" si="86"/>
        <v>0</v>
      </c>
      <c r="N2754" s="617">
        <f t="shared" si="87"/>
        <v>1</v>
      </c>
      <c r="O2754" s="617"/>
    </row>
    <row r="2755" spans="2:15" ht="15" x14ac:dyDescent="0.25">
      <c r="B2755" s="529">
        <v>2750001</v>
      </c>
      <c r="C2755" s="529">
        <v>2751</v>
      </c>
      <c r="E2755" s="534">
        <v>0</v>
      </c>
      <c r="F2755" s="534">
        <v>0</v>
      </c>
      <c r="G2755" s="534">
        <v>1</v>
      </c>
      <c r="M2755" s="617">
        <f t="shared" si="86"/>
        <v>0</v>
      </c>
      <c r="N2755" s="617">
        <f t="shared" si="87"/>
        <v>1</v>
      </c>
      <c r="O2755" s="617"/>
    </row>
    <row r="2756" spans="2:15" ht="15" x14ac:dyDescent="0.25">
      <c r="B2756" s="529">
        <v>2751001</v>
      </c>
      <c r="C2756" s="529">
        <v>2752</v>
      </c>
      <c r="E2756" s="534">
        <v>0</v>
      </c>
      <c r="F2756" s="534">
        <v>0</v>
      </c>
      <c r="G2756" s="534">
        <v>1</v>
      </c>
      <c r="M2756" s="617">
        <f t="shared" si="86"/>
        <v>0</v>
      </c>
      <c r="N2756" s="617">
        <f t="shared" si="87"/>
        <v>1</v>
      </c>
      <c r="O2756" s="617"/>
    </row>
    <row r="2757" spans="2:15" ht="15" x14ac:dyDescent="0.25">
      <c r="B2757" s="529">
        <v>2752001</v>
      </c>
      <c r="C2757" s="529">
        <v>2753</v>
      </c>
      <c r="E2757" s="534">
        <v>0</v>
      </c>
      <c r="F2757" s="534">
        <v>0</v>
      </c>
      <c r="G2757" s="534">
        <v>1</v>
      </c>
      <c r="M2757" s="617">
        <f t="shared" ref="M2757:M2797" si="88">I2757+E2757</f>
        <v>0</v>
      </c>
      <c r="N2757" s="617">
        <f t="shared" ref="N2757:N2797" si="89">K2757+G2757</f>
        <v>1</v>
      </c>
      <c r="O2757" s="617"/>
    </row>
    <row r="2758" spans="2:15" ht="15" x14ac:dyDescent="0.25">
      <c r="B2758" s="529">
        <v>2753001</v>
      </c>
      <c r="C2758" s="529">
        <v>2754</v>
      </c>
      <c r="E2758" s="534">
        <v>0</v>
      </c>
      <c r="F2758" s="534">
        <v>0</v>
      </c>
      <c r="G2758" s="534">
        <v>1</v>
      </c>
      <c r="M2758" s="617">
        <f t="shared" si="88"/>
        <v>0</v>
      </c>
      <c r="N2758" s="617">
        <f t="shared" si="89"/>
        <v>1</v>
      </c>
      <c r="O2758" s="617"/>
    </row>
    <row r="2759" spans="2:15" ht="15" x14ac:dyDescent="0.25">
      <c r="B2759" s="529">
        <v>2754001</v>
      </c>
      <c r="C2759" s="529">
        <v>2755</v>
      </c>
      <c r="E2759" s="534">
        <v>0</v>
      </c>
      <c r="F2759" s="534">
        <v>0</v>
      </c>
      <c r="G2759" s="534">
        <v>1</v>
      </c>
      <c r="M2759" s="617">
        <f t="shared" si="88"/>
        <v>0</v>
      </c>
      <c r="N2759" s="617">
        <f t="shared" si="89"/>
        <v>1</v>
      </c>
      <c r="O2759" s="617"/>
    </row>
    <row r="2760" spans="2:15" ht="15" x14ac:dyDescent="0.25">
      <c r="B2760" s="529">
        <v>2755001</v>
      </c>
      <c r="C2760" s="529">
        <v>2756</v>
      </c>
      <c r="E2760" s="534">
        <v>0</v>
      </c>
      <c r="F2760" s="534">
        <v>0</v>
      </c>
      <c r="G2760" s="534">
        <v>1</v>
      </c>
      <c r="M2760" s="617">
        <f t="shared" si="88"/>
        <v>0</v>
      </c>
      <c r="N2760" s="617">
        <f t="shared" si="89"/>
        <v>1</v>
      </c>
      <c r="O2760" s="617"/>
    </row>
    <row r="2761" spans="2:15" ht="15" x14ac:dyDescent="0.25">
      <c r="B2761" s="529">
        <v>2756001</v>
      </c>
      <c r="C2761" s="529">
        <v>2757</v>
      </c>
      <c r="E2761" s="534">
        <v>0</v>
      </c>
      <c r="F2761" s="534">
        <v>0</v>
      </c>
      <c r="G2761" s="534">
        <v>1</v>
      </c>
      <c r="M2761" s="617">
        <f t="shared" si="88"/>
        <v>0</v>
      </c>
      <c r="N2761" s="617">
        <f t="shared" si="89"/>
        <v>1</v>
      </c>
      <c r="O2761" s="617"/>
    </row>
    <row r="2762" spans="2:15" ht="15" x14ac:dyDescent="0.25">
      <c r="B2762" s="529">
        <v>2757001</v>
      </c>
      <c r="C2762" s="529">
        <v>2758</v>
      </c>
      <c r="E2762" s="534">
        <v>0</v>
      </c>
      <c r="F2762" s="534">
        <v>0</v>
      </c>
      <c r="G2762" s="534">
        <v>1</v>
      </c>
      <c r="M2762" s="617">
        <f t="shared" si="88"/>
        <v>0</v>
      </c>
      <c r="N2762" s="617">
        <f t="shared" si="89"/>
        <v>1</v>
      </c>
      <c r="O2762" s="617"/>
    </row>
    <row r="2763" spans="2:15" ht="15" x14ac:dyDescent="0.25">
      <c r="B2763" s="529">
        <v>2758001</v>
      </c>
      <c r="C2763" s="529">
        <v>2759</v>
      </c>
      <c r="E2763" s="534">
        <v>0</v>
      </c>
      <c r="F2763" s="534">
        <v>0</v>
      </c>
      <c r="G2763" s="534">
        <v>1</v>
      </c>
      <c r="M2763" s="617">
        <f t="shared" si="88"/>
        <v>0</v>
      </c>
      <c r="N2763" s="617">
        <f t="shared" si="89"/>
        <v>1</v>
      </c>
      <c r="O2763" s="617"/>
    </row>
    <row r="2764" spans="2:15" ht="15" x14ac:dyDescent="0.25">
      <c r="B2764" s="529">
        <v>2759001</v>
      </c>
      <c r="C2764" s="529">
        <v>2760</v>
      </c>
      <c r="E2764" s="534">
        <v>0</v>
      </c>
      <c r="F2764" s="534">
        <v>0</v>
      </c>
      <c r="G2764" s="534">
        <v>1</v>
      </c>
      <c r="M2764" s="617">
        <f t="shared" si="88"/>
        <v>0</v>
      </c>
      <c r="N2764" s="617">
        <f t="shared" si="89"/>
        <v>1</v>
      </c>
      <c r="O2764" s="617"/>
    </row>
    <row r="2765" spans="2:15" ht="15" x14ac:dyDescent="0.25">
      <c r="B2765" s="529">
        <v>2760001</v>
      </c>
      <c r="C2765" s="529">
        <v>2761</v>
      </c>
      <c r="E2765" s="534">
        <v>0</v>
      </c>
      <c r="F2765" s="534">
        <v>0</v>
      </c>
      <c r="G2765" s="534">
        <v>1</v>
      </c>
      <c r="M2765" s="617">
        <f t="shared" si="88"/>
        <v>0</v>
      </c>
      <c r="N2765" s="617">
        <f t="shared" si="89"/>
        <v>1</v>
      </c>
      <c r="O2765" s="617"/>
    </row>
    <row r="2766" spans="2:15" ht="15" x14ac:dyDescent="0.25">
      <c r="B2766" s="529">
        <v>2761001</v>
      </c>
      <c r="C2766" s="529">
        <v>2762</v>
      </c>
      <c r="E2766" s="534">
        <v>0</v>
      </c>
      <c r="F2766" s="534">
        <v>0</v>
      </c>
      <c r="G2766" s="534">
        <v>1</v>
      </c>
      <c r="M2766" s="617">
        <f t="shared" si="88"/>
        <v>0</v>
      </c>
      <c r="N2766" s="617">
        <f t="shared" si="89"/>
        <v>1</v>
      </c>
      <c r="O2766" s="617"/>
    </row>
    <row r="2767" spans="2:15" ht="15" x14ac:dyDescent="0.25">
      <c r="B2767" s="529">
        <v>2762001</v>
      </c>
      <c r="C2767" s="529">
        <v>2763</v>
      </c>
      <c r="E2767" s="534">
        <v>0</v>
      </c>
      <c r="F2767" s="534">
        <v>0</v>
      </c>
      <c r="G2767" s="534">
        <v>1</v>
      </c>
      <c r="M2767" s="617">
        <f t="shared" si="88"/>
        <v>0</v>
      </c>
      <c r="N2767" s="617">
        <f t="shared" si="89"/>
        <v>1</v>
      </c>
      <c r="O2767" s="617"/>
    </row>
    <row r="2768" spans="2:15" ht="15" x14ac:dyDescent="0.25">
      <c r="B2768" s="529">
        <v>2763001</v>
      </c>
      <c r="C2768" s="529">
        <v>2764</v>
      </c>
      <c r="E2768" s="534">
        <v>0</v>
      </c>
      <c r="F2768" s="534">
        <v>0</v>
      </c>
      <c r="G2768" s="534">
        <v>1</v>
      </c>
      <c r="M2768" s="617">
        <f t="shared" si="88"/>
        <v>0</v>
      </c>
      <c r="N2768" s="617">
        <f t="shared" si="89"/>
        <v>1</v>
      </c>
      <c r="O2768" s="617"/>
    </row>
    <row r="2769" spans="2:15" ht="15" x14ac:dyDescent="0.25">
      <c r="B2769" s="529">
        <v>2764001</v>
      </c>
      <c r="C2769" s="529">
        <v>2765</v>
      </c>
      <c r="E2769" s="534">
        <v>0</v>
      </c>
      <c r="F2769" s="534">
        <v>0</v>
      </c>
      <c r="G2769" s="534">
        <v>1</v>
      </c>
      <c r="M2769" s="617">
        <f t="shared" si="88"/>
        <v>0</v>
      </c>
      <c r="N2769" s="617">
        <f t="shared" si="89"/>
        <v>1</v>
      </c>
      <c r="O2769" s="617"/>
    </row>
    <row r="2770" spans="2:15" ht="15" x14ac:dyDescent="0.25">
      <c r="B2770" s="529">
        <v>2765001</v>
      </c>
      <c r="C2770" s="529">
        <v>2766</v>
      </c>
      <c r="E2770" s="534">
        <v>0</v>
      </c>
      <c r="F2770" s="534">
        <v>0</v>
      </c>
      <c r="G2770" s="534">
        <v>1</v>
      </c>
      <c r="M2770" s="617">
        <f t="shared" si="88"/>
        <v>0</v>
      </c>
      <c r="N2770" s="617">
        <f t="shared" si="89"/>
        <v>1</v>
      </c>
      <c r="O2770" s="617"/>
    </row>
    <row r="2771" spans="2:15" ht="15" x14ac:dyDescent="0.25">
      <c r="B2771" s="529">
        <v>2766001</v>
      </c>
      <c r="C2771" s="529">
        <v>2767</v>
      </c>
      <c r="E2771" s="534">
        <v>0</v>
      </c>
      <c r="F2771" s="534">
        <v>0</v>
      </c>
      <c r="G2771" s="534">
        <v>1</v>
      </c>
      <c r="M2771" s="617">
        <f t="shared" si="88"/>
        <v>0</v>
      </c>
      <c r="N2771" s="617">
        <f t="shared" si="89"/>
        <v>1</v>
      </c>
      <c r="O2771" s="617"/>
    </row>
    <row r="2772" spans="2:15" ht="15" x14ac:dyDescent="0.25">
      <c r="B2772" s="529">
        <v>2767001</v>
      </c>
      <c r="C2772" s="529">
        <v>2768</v>
      </c>
      <c r="E2772" s="534">
        <v>0</v>
      </c>
      <c r="F2772" s="534">
        <v>0</v>
      </c>
      <c r="G2772" s="534">
        <v>1</v>
      </c>
      <c r="M2772" s="617">
        <f t="shared" si="88"/>
        <v>0</v>
      </c>
      <c r="N2772" s="617">
        <f t="shared" si="89"/>
        <v>1</v>
      </c>
      <c r="O2772" s="617"/>
    </row>
    <row r="2773" spans="2:15" ht="15" x14ac:dyDescent="0.25">
      <c r="B2773" s="529">
        <v>2768001</v>
      </c>
      <c r="C2773" s="529">
        <v>2769</v>
      </c>
      <c r="E2773" s="534">
        <v>0</v>
      </c>
      <c r="F2773" s="534">
        <v>0</v>
      </c>
      <c r="G2773" s="534">
        <v>1</v>
      </c>
      <c r="M2773" s="617">
        <f t="shared" si="88"/>
        <v>0</v>
      </c>
      <c r="N2773" s="617">
        <f t="shared" si="89"/>
        <v>1</v>
      </c>
      <c r="O2773" s="617"/>
    </row>
    <row r="2774" spans="2:15" ht="15" x14ac:dyDescent="0.25">
      <c r="B2774" s="529">
        <v>2769001</v>
      </c>
      <c r="C2774" s="529">
        <v>2770</v>
      </c>
      <c r="E2774" s="534">
        <v>0</v>
      </c>
      <c r="F2774" s="534">
        <v>0</v>
      </c>
      <c r="G2774" s="534">
        <v>1</v>
      </c>
      <c r="M2774" s="617">
        <f t="shared" si="88"/>
        <v>0</v>
      </c>
      <c r="N2774" s="617">
        <f t="shared" si="89"/>
        <v>1</v>
      </c>
      <c r="O2774" s="617"/>
    </row>
    <row r="2775" spans="2:15" ht="15" x14ac:dyDescent="0.25">
      <c r="B2775" s="529">
        <v>2770001</v>
      </c>
      <c r="C2775" s="529">
        <v>2771</v>
      </c>
      <c r="E2775" s="534">
        <v>0</v>
      </c>
      <c r="F2775" s="534">
        <v>0</v>
      </c>
      <c r="G2775" s="534">
        <v>1</v>
      </c>
      <c r="M2775" s="617">
        <f t="shared" si="88"/>
        <v>0</v>
      </c>
      <c r="N2775" s="617">
        <f t="shared" si="89"/>
        <v>1</v>
      </c>
      <c r="O2775" s="617"/>
    </row>
    <row r="2776" spans="2:15" ht="15" x14ac:dyDescent="0.25">
      <c r="B2776" s="529">
        <v>2771001</v>
      </c>
      <c r="C2776" s="529">
        <v>2772</v>
      </c>
      <c r="E2776" s="534">
        <v>0</v>
      </c>
      <c r="F2776" s="534">
        <v>0</v>
      </c>
      <c r="G2776" s="534">
        <v>1</v>
      </c>
      <c r="M2776" s="617">
        <f t="shared" si="88"/>
        <v>0</v>
      </c>
      <c r="N2776" s="617">
        <f t="shared" si="89"/>
        <v>1</v>
      </c>
      <c r="O2776" s="617"/>
    </row>
    <row r="2777" spans="2:15" ht="15" x14ac:dyDescent="0.25">
      <c r="B2777" s="529">
        <v>2772001</v>
      </c>
      <c r="C2777" s="529">
        <v>2773</v>
      </c>
      <c r="E2777" s="534">
        <v>0</v>
      </c>
      <c r="F2777" s="534">
        <v>0</v>
      </c>
      <c r="G2777" s="534">
        <v>1</v>
      </c>
      <c r="M2777" s="617">
        <f t="shared" si="88"/>
        <v>0</v>
      </c>
      <c r="N2777" s="617">
        <f t="shared" si="89"/>
        <v>1</v>
      </c>
      <c r="O2777" s="617"/>
    </row>
    <row r="2778" spans="2:15" ht="15" x14ac:dyDescent="0.25">
      <c r="B2778" s="529">
        <v>2773001</v>
      </c>
      <c r="C2778" s="529">
        <v>2774</v>
      </c>
      <c r="E2778" s="534">
        <v>0</v>
      </c>
      <c r="F2778" s="534">
        <v>0</v>
      </c>
      <c r="G2778" s="534">
        <v>1</v>
      </c>
      <c r="M2778" s="617">
        <f t="shared" si="88"/>
        <v>0</v>
      </c>
      <c r="N2778" s="617">
        <f t="shared" si="89"/>
        <v>1</v>
      </c>
      <c r="O2778" s="617"/>
    </row>
    <row r="2779" spans="2:15" ht="15" x14ac:dyDescent="0.25">
      <c r="B2779" s="529">
        <v>2774001</v>
      </c>
      <c r="C2779" s="529">
        <v>2775</v>
      </c>
      <c r="E2779" s="534">
        <v>0</v>
      </c>
      <c r="F2779" s="534">
        <v>0</v>
      </c>
      <c r="G2779" s="534">
        <v>1</v>
      </c>
      <c r="M2779" s="617">
        <f t="shared" si="88"/>
        <v>0</v>
      </c>
      <c r="N2779" s="617">
        <f t="shared" si="89"/>
        <v>1</v>
      </c>
      <c r="O2779" s="617"/>
    </row>
    <row r="2780" spans="2:15" ht="15" x14ac:dyDescent="0.25">
      <c r="B2780" s="529">
        <v>2775001</v>
      </c>
      <c r="C2780" s="529">
        <v>2776</v>
      </c>
      <c r="E2780" s="534">
        <v>0</v>
      </c>
      <c r="F2780" s="534">
        <v>0</v>
      </c>
      <c r="G2780" s="534">
        <v>1</v>
      </c>
      <c r="M2780" s="617">
        <f t="shared" si="88"/>
        <v>0</v>
      </c>
      <c r="N2780" s="617">
        <f t="shared" si="89"/>
        <v>1</v>
      </c>
      <c r="O2780" s="617"/>
    </row>
    <row r="2781" spans="2:15" ht="15" x14ac:dyDescent="0.25">
      <c r="B2781" s="529">
        <v>2776001</v>
      </c>
      <c r="C2781" s="529">
        <v>2777</v>
      </c>
      <c r="E2781" s="534">
        <v>0</v>
      </c>
      <c r="F2781" s="534">
        <v>0</v>
      </c>
      <c r="G2781" s="534">
        <v>1</v>
      </c>
      <c r="M2781" s="617">
        <f t="shared" si="88"/>
        <v>0</v>
      </c>
      <c r="N2781" s="617">
        <f t="shared" si="89"/>
        <v>1</v>
      </c>
      <c r="O2781" s="617"/>
    </row>
    <row r="2782" spans="2:15" ht="15" x14ac:dyDescent="0.25">
      <c r="B2782" s="529">
        <v>2777001</v>
      </c>
      <c r="C2782" s="529">
        <v>2778</v>
      </c>
      <c r="E2782" s="534">
        <v>0</v>
      </c>
      <c r="F2782" s="534">
        <v>0</v>
      </c>
      <c r="G2782" s="534">
        <v>1</v>
      </c>
      <c r="M2782" s="617">
        <f t="shared" si="88"/>
        <v>0</v>
      </c>
      <c r="N2782" s="617">
        <f t="shared" si="89"/>
        <v>1</v>
      </c>
      <c r="O2782" s="617"/>
    </row>
    <row r="2783" spans="2:15" ht="15" x14ac:dyDescent="0.25">
      <c r="B2783" s="529">
        <v>2778001</v>
      </c>
      <c r="C2783" s="529">
        <v>2779</v>
      </c>
      <c r="E2783" s="534">
        <v>0</v>
      </c>
      <c r="F2783" s="534">
        <v>0</v>
      </c>
      <c r="G2783" s="534">
        <v>1</v>
      </c>
      <c r="M2783" s="617">
        <f t="shared" si="88"/>
        <v>0</v>
      </c>
      <c r="N2783" s="617">
        <f t="shared" si="89"/>
        <v>1</v>
      </c>
      <c r="O2783" s="617"/>
    </row>
    <row r="2784" spans="2:15" ht="15" x14ac:dyDescent="0.25">
      <c r="B2784" s="529">
        <v>2779001</v>
      </c>
      <c r="C2784" s="529">
        <v>2780</v>
      </c>
      <c r="E2784" s="534">
        <v>0</v>
      </c>
      <c r="F2784" s="534">
        <v>0</v>
      </c>
      <c r="G2784" s="534">
        <v>1</v>
      </c>
      <c r="M2784" s="617">
        <f t="shared" si="88"/>
        <v>0</v>
      </c>
      <c r="N2784" s="617">
        <f t="shared" si="89"/>
        <v>1</v>
      </c>
      <c r="O2784" s="617"/>
    </row>
    <row r="2785" spans="2:15" ht="15" x14ac:dyDescent="0.25">
      <c r="B2785" s="529">
        <v>2780001</v>
      </c>
      <c r="C2785" s="529">
        <v>2781</v>
      </c>
      <c r="E2785" s="534">
        <v>0</v>
      </c>
      <c r="F2785" s="534">
        <v>0</v>
      </c>
      <c r="G2785" s="534">
        <v>1</v>
      </c>
      <c r="M2785" s="617">
        <f t="shared" si="88"/>
        <v>0</v>
      </c>
      <c r="N2785" s="617">
        <f t="shared" si="89"/>
        <v>1</v>
      </c>
      <c r="O2785" s="617"/>
    </row>
    <row r="2786" spans="2:15" ht="15" x14ac:dyDescent="0.25">
      <c r="B2786" s="529">
        <v>2781001</v>
      </c>
      <c r="C2786" s="529">
        <v>2782</v>
      </c>
      <c r="E2786" s="534">
        <v>0</v>
      </c>
      <c r="F2786" s="534">
        <v>0</v>
      </c>
      <c r="G2786" s="534">
        <v>1</v>
      </c>
      <c r="M2786" s="617">
        <f t="shared" si="88"/>
        <v>0</v>
      </c>
      <c r="N2786" s="617">
        <f t="shared" si="89"/>
        <v>1</v>
      </c>
      <c r="O2786" s="617"/>
    </row>
    <row r="2787" spans="2:15" ht="15" x14ac:dyDescent="0.25">
      <c r="B2787" s="529">
        <v>2782001</v>
      </c>
      <c r="C2787" s="529">
        <v>2783</v>
      </c>
      <c r="E2787" s="534">
        <v>0</v>
      </c>
      <c r="F2787" s="534">
        <v>0</v>
      </c>
      <c r="G2787" s="534">
        <v>1</v>
      </c>
      <c r="M2787" s="617">
        <f t="shared" si="88"/>
        <v>0</v>
      </c>
      <c r="N2787" s="617">
        <f t="shared" si="89"/>
        <v>1</v>
      </c>
      <c r="O2787" s="617"/>
    </row>
    <row r="2788" spans="2:15" ht="15" x14ac:dyDescent="0.25">
      <c r="B2788" s="529">
        <v>2783001</v>
      </c>
      <c r="C2788" s="529">
        <v>2784</v>
      </c>
      <c r="E2788" s="534">
        <v>0</v>
      </c>
      <c r="F2788" s="534">
        <v>0</v>
      </c>
      <c r="G2788" s="534">
        <v>1</v>
      </c>
      <c r="M2788" s="617">
        <f t="shared" si="88"/>
        <v>0</v>
      </c>
      <c r="N2788" s="617">
        <f t="shared" si="89"/>
        <v>1</v>
      </c>
      <c r="O2788" s="617"/>
    </row>
    <row r="2789" spans="2:15" ht="15" x14ac:dyDescent="0.25">
      <c r="B2789" s="529">
        <v>2784001</v>
      </c>
      <c r="C2789" s="529">
        <v>2785</v>
      </c>
      <c r="E2789" s="534">
        <v>0</v>
      </c>
      <c r="F2789" s="534">
        <v>0</v>
      </c>
      <c r="G2789" s="534">
        <v>1</v>
      </c>
      <c r="M2789" s="617">
        <f t="shared" si="88"/>
        <v>0</v>
      </c>
      <c r="N2789" s="617">
        <f t="shared" si="89"/>
        <v>1</v>
      </c>
      <c r="O2789" s="617"/>
    </row>
    <row r="2790" spans="2:15" ht="15" x14ac:dyDescent="0.25">
      <c r="B2790" s="529">
        <v>2785001</v>
      </c>
      <c r="C2790" s="529">
        <v>2786</v>
      </c>
      <c r="E2790" s="534">
        <v>0</v>
      </c>
      <c r="F2790" s="534">
        <v>0</v>
      </c>
      <c r="G2790" s="534">
        <v>1</v>
      </c>
      <c r="M2790" s="617">
        <f t="shared" si="88"/>
        <v>0</v>
      </c>
      <c r="N2790" s="617">
        <f t="shared" si="89"/>
        <v>1</v>
      </c>
      <c r="O2790" s="617"/>
    </row>
    <row r="2791" spans="2:15" ht="15" x14ac:dyDescent="0.25">
      <c r="B2791" s="529">
        <v>2786001</v>
      </c>
      <c r="C2791" s="529">
        <v>2787</v>
      </c>
      <c r="E2791" s="534">
        <v>0</v>
      </c>
      <c r="F2791" s="534">
        <v>0</v>
      </c>
      <c r="G2791" s="534">
        <v>1</v>
      </c>
      <c r="M2791" s="617">
        <f t="shared" si="88"/>
        <v>0</v>
      </c>
      <c r="N2791" s="617">
        <f t="shared" si="89"/>
        <v>1</v>
      </c>
      <c r="O2791" s="617"/>
    </row>
    <row r="2792" spans="2:15" ht="15" x14ac:dyDescent="0.25">
      <c r="B2792" s="529">
        <v>2787001</v>
      </c>
      <c r="C2792" s="529">
        <v>2788</v>
      </c>
      <c r="E2792" s="534">
        <v>0</v>
      </c>
      <c r="F2792" s="534">
        <v>0</v>
      </c>
      <c r="G2792" s="534">
        <v>1</v>
      </c>
      <c r="M2792" s="617">
        <f t="shared" si="88"/>
        <v>0</v>
      </c>
      <c r="N2792" s="617">
        <f t="shared" si="89"/>
        <v>1</v>
      </c>
      <c r="O2792" s="617"/>
    </row>
    <row r="2793" spans="2:15" ht="15" x14ac:dyDescent="0.25">
      <c r="B2793" s="529">
        <v>2788001</v>
      </c>
      <c r="C2793" s="529">
        <v>2789</v>
      </c>
      <c r="E2793" s="534">
        <v>0</v>
      </c>
      <c r="F2793" s="534">
        <v>0</v>
      </c>
      <c r="G2793" s="534">
        <v>1</v>
      </c>
      <c r="M2793" s="617">
        <f t="shared" si="88"/>
        <v>0</v>
      </c>
      <c r="N2793" s="617">
        <f t="shared" si="89"/>
        <v>1</v>
      </c>
      <c r="O2793" s="617"/>
    </row>
    <row r="2794" spans="2:15" ht="15" x14ac:dyDescent="0.25">
      <c r="B2794" s="529">
        <v>2789001</v>
      </c>
      <c r="C2794" s="529">
        <v>2790</v>
      </c>
      <c r="E2794" s="534">
        <v>0</v>
      </c>
      <c r="F2794" s="534">
        <v>0</v>
      </c>
      <c r="G2794" s="534">
        <v>1</v>
      </c>
      <c r="M2794" s="617">
        <f t="shared" si="88"/>
        <v>0</v>
      </c>
      <c r="N2794" s="617">
        <f t="shared" si="89"/>
        <v>1</v>
      </c>
      <c r="O2794" s="617"/>
    </row>
    <row r="2795" spans="2:15" ht="15" x14ac:dyDescent="0.25">
      <c r="B2795" s="529">
        <v>2790001</v>
      </c>
      <c r="C2795" s="529">
        <v>2791</v>
      </c>
      <c r="E2795" s="534">
        <v>0</v>
      </c>
      <c r="F2795" s="534">
        <v>0</v>
      </c>
      <c r="G2795" s="534">
        <v>1</v>
      </c>
      <c r="M2795" s="617">
        <f t="shared" si="88"/>
        <v>0</v>
      </c>
      <c r="N2795" s="617">
        <f t="shared" si="89"/>
        <v>1</v>
      </c>
      <c r="O2795" s="617"/>
    </row>
    <row r="2796" spans="2:15" ht="15" x14ac:dyDescent="0.25">
      <c r="B2796" s="529">
        <v>2791001</v>
      </c>
      <c r="C2796" s="529">
        <v>2792</v>
      </c>
      <c r="E2796" s="534">
        <v>1</v>
      </c>
      <c r="F2796" s="534">
        <v>2792</v>
      </c>
      <c r="G2796" s="534">
        <v>1</v>
      </c>
      <c r="M2796" s="617">
        <f t="shared" si="88"/>
        <v>1</v>
      </c>
      <c r="N2796" s="617">
        <f t="shared" si="89"/>
        <v>1</v>
      </c>
      <c r="O2796" s="617"/>
    </row>
    <row r="2797" spans="2:15" ht="15" x14ac:dyDescent="0.25">
      <c r="B2797" s="529">
        <v>2792001</v>
      </c>
      <c r="C2797" s="529">
        <v>2793</v>
      </c>
      <c r="E2797" s="534">
        <v>0</v>
      </c>
      <c r="F2797" s="534">
        <v>0</v>
      </c>
      <c r="G2797" s="534">
        <v>0</v>
      </c>
      <c r="M2797" s="617">
        <f t="shared" si="88"/>
        <v>0</v>
      </c>
      <c r="N2797" s="617">
        <f t="shared" si="89"/>
        <v>0</v>
      </c>
      <c r="O2797" s="617"/>
    </row>
    <row r="2799" spans="2:15" ht="15" x14ac:dyDescent="0.25">
      <c r="E2799" s="536">
        <f>SUM(E4:E2797)</f>
        <v>112015</v>
      </c>
      <c r="F2799" s="536">
        <f t="shared" ref="F2799:G2799" si="90">SUM(F4:F2797)</f>
        <v>1399982</v>
      </c>
      <c r="G2799" s="536">
        <f t="shared" si="90"/>
        <v>1399982</v>
      </c>
      <c r="I2799" s="536">
        <f>SUM(I4:I2797)</f>
        <v>7910</v>
      </c>
      <c r="J2799" s="536">
        <f t="shared" ref="J2799:K2799" si="91">SUM(J4:J2797)</f>
        <v>96645</v>
      </c>
      <c r="K2799" s="536">
        <f t="shared" si="91"/>
        <v>96645</v>
      </c>
      <c r="M2799" s="959">
        <f>I2799+E2799</f>
        <v>119925</v>
      </c>
      <c r="N2799" s="959">
        <f>SUM(N4:N2798)</f>
        <v>1496627</v>
      </c>
      <c r="O2799" s="959"/>
    </row>
    <row r="2800" spans="2:15" ht="15" x14ac:dyDescent="0.25">
      <c r="E2800" s="1214"/>
      <c r="G2800" s="1273"/>
    </row>
    <row r="2801" spans="2:22" ht="15" x14ac:dyDescent="0.25">
      <c r="C2801" s="123" t="s">
        <v>1700</v>
      </c>
      <c r="M2801" s="537" t="s">
        <v>1703</v>
      </c>
      <c r="N2801" s="537"/>
      <c r="O2801" s="537"/>
      <c r="P2801" s="537" t="s">
        <v>1704</v>
      </c>
      <c r="R2801" s="1327" t="s">
        <v>1754</v>
      </c>
      <c r="S2801" s="1327"/>
      <c r="U2801" s="1327" t="s">
        <v>1751</v>
      </c>
      <c r="V2801" s="1327"/>
    </row>
    <row r="2802" spans="2:22" ht="15" x14ac:dyDescent="0.25">
      <c r="C2802" s="123" t="s">
        <v>1697</v>
      </c>
      <c r="E2802" s="538">
        <v>0</v>
      </c>
      <c r="F2802" s="609">
        <v>9</v>
      </c>
      <c r="G2802" s="536">
        <f>SUMIF($C$4:$C$2797,"&lt;="&amp;F2802,G$4:G$2797)</f>
        <v>729096</v>
      </c>
      <c r="I2802" s="538">
        <v>0</v>
      </c>
      <c r="J2802" s="538">
        <v>9</v>
      </c>
      <c r="K2802" s="536">
        <f>SUMIF($C$4:$C$2797,"&lt;="&amp;J2802,K$4:K$2797)</f>
        <v>54411</v>
      </c>
      <c r="M2802" s="540">
        <f>G2802/$G$2806</f>
        <v>0.52078955300853869</v>
      </c>
      <c r="N2802" s="540"/>
      <c r="O2802" s="540"/>
      <c r="P2802" s="540">
        <f>K2802/$K$2806</f>
        <v>0.56299860313518546</v>
      </c>
      <c r="R2802" s="542">
        <v>9</v>
      </c>
      <c r="S2802" s="542">
        <v>9</v>
      </c>
      <c r="U2802" s="543">
        <f>R2802*E2799*1.607</f>
        <v>1620072.9450000001</v>
      </c>
      <c r="V2802" s="543">
        <f>S2802*I2799*1.607</f>
        <v>114402.33</v>
      </c>
    </row>
    <row r="2803" spans="2:22" ht="15" x14ac:dyDescent="0.25">
      <c r="C2803" s="123" t="s">
        <v>1698</v>
      </c>
      <c r="E2803" s="538">
        <f>F2802</f>
        <v>9</v>
      </c>
      <c r="F2803" s="609">
        <v>18</v>
      </c>
      <c r="G2803" s="536">
        <f>SUMIF($C$4:$C$2797,"&lt;="&amp;F2803,G$4:G$2797)-G2802</f>
        <v>237899</v>
      </c>
      <c r="I2803" s="538">
        <f>J2802</f>
        <v>9</v>
      </c>
      <c r="J2803" s="538">
        <v>18</v>
      </c>
      <c r="K2803" s="536">
        <f>SUMIF($C$4:$C$2797,"&lt;="&amp;J2803,K$4:K$2797)-K2802</f>
        <v>18161</v>
      </c>
      <c r="M2803" s="540">
        <f>G2803/$G$2806</f>
        <v>0.16993004195768233</v>
      </c>
      <c r="N2803" s="540"/>
      <c r="O2803" s="540"/>
      <c r="P2803" s="540">
        <f t="shared" ref="P2803:P2804" si="92">K2803/$K$2806</f>
        <v>0.18791453256764448</v>
      </c>
      <c r="U2803" s="600">
        <f>((U2802+V2802)-'Misc Revenues'!R57)/'Misc Revenues'!R57</f>
        <v>0.37348823075247967</v>
      </c>
    </row>
    <row r="2804" spans="2:22" ht="15" x14ac:dyDescent="0.25">
      <c r="C2804" s="123" t="s">
        <v>1699</v>
      </c>
      <c r="E2804" s="538" t="s">
        <v>1696</v>
      </c>
      <c r="F2804" s="609">
        <f>F2803</f>
        <v>18</v>
      </c>
      <c r="G2804" s="536">
        <f>SUMIF($C$4:$C$2797,"&gt;"&amp;F2804,G4:G2797)</f>
        <v>432987</v>
      </c>
      <c r="I2804" s="538" t="s">
        <v>1696</v>
      </c>
      <c r="J2804" s="538">
        <f>J2803</f>
        <v>18</v>
      </c>
      <c r="K2804" s="536">
        <f>SUMIF($C$4:$C$2797,"&gt;"&amp;J2804,K4:K2797)</f>
        <v>24073</v>
      </c>
      <c r="M2804" s="540">
        <f>G2804/$G$2806</f>
        <v>0.30928040503377902</v>
      </c>
      <c r="N2804" s="540"/>
      <c r="O2804" s="540"/>
      <c r="P2804" s="540">
        <f t="shared" si="92"/>
        <v>0.24908686429717006</v>
      </c>
    </row>
    <row r="2805" spans="2:22" ht="15" x14ac:dyDescent="0.25">
      <c r="M2805" s="541">
        <f>SUM(M2802:M2804)</f>
        <v>1</v>
      </c>
      <c r="N2805" s="541"/>
      <c r="O2805" s="541"/>
      <c r="P2805" s="541">
        <f>SUM(P2802:P2804)</f>
        <v>1</v>
      </c>
    </row>
    <row r="2806" spans="2:22" ht="15" x14ac:dyDescent="0.25">
      <c r="C2806" s="123" t="s">
        <v>1485</v>
      </c>
      <c r="F2806" s="535" t="b">
        <f>G2806=G$2799</f>
        <v>1</v>
      </c>
      <c r="G2806" s="536">
        <f>SUM(G2802:G2804)</f>
        <v>1399982</v>
      </c>
      <c r="J2806" s="535" t="b">
        <f>K2806=K$2799</f>
        <v>1</v>
      </c>
      <c r="K2806" s="536">
        <f>SUM(K2802:K2804)</f>
        <v>96645</v>
      </c>
      <c r="M2806" s="599"/>
      <c r="N2806" s="1251"/>
      <c r="O2806" s="1251"/>
      <c r="P2806" s="599"/>
    </row>
    <row r="2807" spans="2:22" ht="15" x14ac:dyDescent="0.25">
      <c r="M2807" s="599"/>
      <c r="N2807" s="1251"/>
      <c r="O2807" s="1251"/>
      <c r="P2807" s="599"/>
    </row>
    <row r="2808" spans="2:22" ht="15" x14ac:dyDescent="0.25">
      <c r="C2808" s="123" t="s">
        <v>1701</v>
      </c>
      <c r="M2808" s="599"/>
      <c r="N2808" s="1251"/>
      <c r="O2808" s="1251"/>
      <c r="P2808" s="599"/>
      <c r="R2808" s="599" t="s">
        <v>1755</v>
      </c>
      <c r="S2808" s="599"/>
      <c r="U2808" s="599" t="s">
        <v>1752</v>
      </c>
      <c r="V2808" s="599"/>
    </row>
    <row r="2809" spans="2:22" ht="15" x14ac:dyDescent="0.25">
      <c r="C2809" s="123" t="s">
        <v>1697</v>
      </c>
      <c r="E2809" s="538">
        <v>0</v>
      </c>
      <c r="F2809" s="608">
        <f>'Water Rate Projections'!C79/1000</f>
        <v>7</v>
      </c>
      <c r="G2809" s="536">
        <f>SUMIF($C$4:$C$2797,"&lt;="&amp;F2809,G$4:G$2797)</f>
        <v>617899</v>
      </c>
      <c r="H2809" s="1275">
        <f>G2809/G$2814</f>
        <v>0.4413621032270415</v>
      </c>
      <c r="I2809" s="538">
        <f>E2809</f>
        <v>0</v>
      </c>
      <c r="J2809" s="538">
        <f>F2809</f>
        <v>7</v>
      </c>
      <c r="K2809" s="536">
        <f>SUMIF($C$4:$C$2797,"&lt;="&amp;J2809,K$4:K$2797)</f>
        <v>45552</v>
      </c>
      <c r="M2809" s="540">
        <f>G2809/$G$2814</f>
        <v>0.4413621032270415</v>
      </c>
      <c r="N2809" s="540"/>
      <c r="O2809" s="540"/>
      <c r="P2809" s="540">
        <f>K2809/$K$2814</f>
        <v>0.4713332298618656</v>
      </c>
      <c r="R2809" s="542">
        <v>5.85</v>
      </c>
      <c r="S2809" s="542">
        <v>8.3699999999999992</v>
      </c>
      <c r="U2809" s="543">
        <f>R2809*G2802*1.607</f>
        <v>6854195.0411999989</v>
      </c>
      <c r="V2809" s="543">
        <f>S2809*K2802*1.607</f>
        <v>731860.05248999991</v>
      </c>
    </row>
    <row r="2810" spans="2:22" ht="15" x14ac:dyDescent="0.25">
      <c r="C2810" s="123" t="s">
        <v>1698</v>
      </c>
      <c r="E2810" s="538">
        <f>F2809</f>
        <v>7</v>
      </c>
      <c r="F2810" s="608">
        <f>'Water Rate Projections'!C80/1000</f>
        <v>12</v>
      </c>
      <c r="G2810" s="536">
        <f>SUMIF($C$4:$C$2797,"&lt;="&amp;F2810,G$4:G$2797)-G2809</f>
        <v>227052</v>
      </c>
      <c r="H2810" s="1275">
        <f>(G2809+G2810)/G$2814</f>
        <v>0.60354418842527979</v>
      </c>
      <c r="I2810" s="538">
        <f t="shared" ref="I2810:J2812" si="93">E2810</f>
        <v>7</v>
      </c>
      <c r="J2810" s="538">
        <f t="shared" si="93"/>
        <v>12</v>
      </c>
      <c r="K2810" s="536">
        <f>SUMIF($C$4:$C$2797,"&lt;="&amp;J2810,K$4:K$2797)-K2809</f>
        <v>18041</v>
      </c>
      <c r="M2810" s="540">
        <f>G2810/$G$2814</f>
        <v>0.16218208519823826</v>
      </c>
      <c r="N2810" s="540"/>
      <c r="O2810" s="540"/>
      <c r="P2810" s="540">
        <f t="shared" ref="P2810:P2812" si="94">K2810/$K$2814</f>
        <v>0.18667287495473123</v>
      </c>
      <c r="R2810" s="542">
        <v>7.23</v>
      </c>
      <c r="S2810" s="542">
        <v>10.38</v>
      </c>
      <c r="U2810" s="543">
        <f>R2810*G2803*1.607</f>
        <v>2764055.7003899999</v>
      </c>
      <c r="V2810" s="543">
        <f>S2810*K2803*1.607</f>
        <v>302937.46626000002</v>
      </c>
    </row>
    <row r="2811" spans="2:22" ht="15" x14ac:dyDescent="0.25">
      <c r="C2811" s="123" t="s">
        <v>1699</v>
      </c>
      <c r="E2811" s="538">
        <f>F2810</f>
        <v>12</v>
      </c>
      <c r="F2811" s="608">
        <f>'Water Rate Projections'!C81/1000</f>
        <v>22</v>
      </c>
      <c r="G2811" s="536">
        <f>SUMIF($C$4:$C$2797,"&lt;="&amp;F2811,G$4:G$2797)-G2810-G2809</f>
        <v>167347</v>
      </c>
      <c r="H2811" s="1275">
        <f>(G2810+G2811+G2809)/G$2814</f>
        <v>0.7230792967338151</v>
      </c>
      <c r="I2811" s="538">
        <f t="shared" si="93"/>
        <v>12</v>
      </c>
      <c r="J2811" s="538">
        <f t="shared" si="93"/>
        <v>22</v>
      </c>
      <c r="K2811" s="536">
        <f>SUMIF($C$4:$C$2797,"&lt;="&amp;J2811,K$4:K$2797)-K2810-K2809</f>
        <v>11796</v>
      </c>
      <c r="M2811" s="540">
        <f>G2811/$G$2814</f>
        <v>0.11953510830853539</v>
      </c>
      <c r="N2811" s="540"/>
      <c r="O2811" s="540"/>
      <c r="P2811" s="540">
        <f t="shared" si="94"/>
        <v>0.12205494334937141</v>
      </c>
      <c r="R2811" s="542">
        <v>8.6199999999999992</v>
      </c>
      <c r="S2811" s="542">
        <v>12.39</v>
      </c>
      <c r="U2811" s="543">
        <f>R2811*G2804*1.607</f>
        <v>5997883.1395799993</v>
      </c>
      <c r="V2811" s="543">
        <f>S2811*K2804*1.607</f>
        <v>479311.00329000002</v>
      </c>
    </row>
    <row r="2812" spans="2:22" ht="15" x14ac:dyDescent="0.25">
      <c r="C2812" s="123" t="s">
        <v>1702</v>
      </c>
      <c r="E2812" s="538" t="s">
        <v>1696</v>
      </c>
      <c r="F2812" s="538">
        <f>F2811</f>
        <v>22</v>
      </c>
      <c r="G2812" s="536">
        <f>SUMIF($C$4:$C$2797,"&gt;"&amp;F2812,G$4:G$2797)</f>
        <v>387684</v>
      </c>
      <c r="H2812" s="1275">
        <f>SUM(G2809:G2812)/G$2814</f>
        <v>1</v>
      </c>
      <c r="I2812" s="538" t="str">
        <f t="shared" si="93"/>
        <v>Over</v>
      </c>
      <c r="J2812" s="538">
        <f t="shared" si="93"/>
        <v>22</v>
      </c>
      <c r="K2812" s="536">
        <f>SUMIF($C$4:$C$2797,"&gt;"&amp;J2812,K$4:K$2797)</f>
        <v>21256</v>
      </c>
      <c r="M2812" s="540">
        <f>G2812/$G$2814</f>
        <v>0.27692070326618484</v>
      </c>
      <c r="N2812" s="540"/>
      <c r="O2812" s="540"/>
      <c r="P2812" s="540">
        <f t="shared" si="94"/>
        <v>0.21993895183403175</v>
      </c>
      <c r="U2812" s="543">
        <f>SUM(U2809:U2811)</f>
        <v>15616133.881169997</v>
      </c>
      <c r="V2812" s="543">
        <f>SUM(V2809:V2811)</f>
        <v>1514108.52204</v>
      </c>
    </row>
    <row r="2813" spans="2:22" ht="15" x14ac:dyDescent="0.25">
      <c r="C2813" s="123">
        <v>8</v>
      </c>
      <c r="M2813" s="541">
        <f>SUM(M2809:M2812)</f>
        <v>1</v>
      </c>
      <c r="N2813" s="541"/>
      <c r="O2813" s="541"/>
      <c r="P2813" s="541">
        <f>SUM(P2809:P2812)</f>
        <v>1</v>
      </c>
      <c r="U2813" s="600">
        <f>(U2812-'Misc Revenues'!R54)/'Misc Revenues'!R54</f>
        <v>0.1658574728441749</v>
      </c>
      <c r="V2813" s="600">
        <f>(V2812-'Misc Revenues'!R55)/'Misc Revenues'!R55</f>
        <v>6.5093003980095265E-2</v>
      </c>
    </row>
    <row r="2814" spans="2:22" ht="15" x14ac:dyDescent="0.25">
      <c r="C2814" s="123" t="s">
        <v>1485</v>
      </c>
      <c r="F2814" s="535" t="b">
        <f>G2814=G$2799</f>
        <v>1</v>
      </c>
      <c r="G2814" s="536">
        <f>SUM(G2809:G2812)</f>
        <v>1399982</v>
      </c>
      <c r="J2814" s="535" t="b">
        <f>K2814=K$2799</f>
        <v>1</v>
      </c>
      <c r="K2814" s="536">
        <f>SUM(K2809:K2812)</f>
        <v>96645</v>
      </c>
    </row>
    <row r="2816" spans="2:22" ht="15" x14ac:dyDescent="0.25">
      <c r="B2816" s="123" t="s">
        <v>1889</v>
      </c>
      <c r="C2816" s="123" t="s">
        <v>1700</v>
      </c>
      <c r="E2816" s="538">
        <f>E2809</f>
        <v>0</v>
      </c>
      <c r="F2816" s="538">
        <f>F2809</f>
        <v>7</v>
      </c>
      <c r="G2816" s="536">
        <f>SUMIF($C$4:$C$2797,"&lt;="&amp;F2816,F$4:F$2797)</f>
        <v>201406</v>
      </c>
      <c r="H2816" s="1275"/>
      <c r="I2816" s="609">
        <f>I2809</f>
        <v>0</v>
      </c>
      <c r="J2816" s="609">
        <f>J2809</f>
        <v>7</v>
      </c>
      <c r="K2816" s="536">
        <f>SUMIF($C$4:$C$2797,"&lt;="&amp;J2816,J$4:J$2797)</f>
        <v>12309</v>
      </c>
      <c r="R2816" s="542">
        <v>5.85</v>
      </c>
      <c r="S2816" s="542">
        <v>8.3699999999999992</v>
      </c>
      <c r="U2816" s="543">
        <f>R2816*G2816*1.607</f>
        <v>1893407.7356999998</v>
      </c>
      <c r="V2816" s="543">
        <f>S2816*K2816*1.607</f>
        <v>165563.31230999998</v>
      </c>
    </row>
    <row r="2817" spans="5:22" ht="15" x14ac:dyDescent="0.25">
      <c r="E2817" s="538">
        <f t="shared" ref="E2817:F2817" si="95">E2810</f>
        <v>7</v>
      </c>
      <c r="F2817" s="538">
        <f t="shared" si="95"/>
        <v>12</v>
      </c>
      <c r="G2817" s="536">
        <f>SUMIF($C$4:$C$2797,"&lt;="&amp;F2817,F$4:F$2797)-G2816</f>
        <v>306333</v>
      </c>
      <c r="H2817" s="1275"/>
      <c r="I2817" s="609">
        <f t="shared" ref="I2817:J2817" si="96">I2810</f>
        <v>7</v>
      </c>
      <c r="J2817" s="609">
        <f t="shared" si="96"/>
        <v>12</v>
      </c>
      <c r="K2817" s="536">
        <f>SUMIF($C$4:$C$2797,"&lt;="&amp;J2817,J$4:J$2797)-K2816</f>
        <v>24896</v>
      </c>
      <c r="R2817" s="542">
        <v>7.23</v>
      </c>
      <c r="S2817" s="542">
        <v>10.38</v>
      </c>
      <c r="U2817" s="543">
        <f>R2817*G2817*1.607</f>
        <v>3559163.6571300006</v>
      </c>
      <c r="V2817" s="543">
        <f>S2817*K2817*1.607</f>
        <v>415281.71136000002</v>
      </c>
    </row>
    <row r="2818" spans="5:22" ht="15" x14ac:dyDescent="0.25">
      <c r="E2818" s="538">
        <f t="shared" ref="E2818:F2818" si="97">E2811</f>
        <v>12</v>
      </c>
      <c r="F2818" s="538">
        <f t="shared" si="97"/>
        <v>22</v>
      </c>
      <c r="G2818" s="536">
        <f>SUMIF($C$4:$C$2797,"&lt;="&amp;F2818,F$4:F$2797)-G2816-G2817</f>
        <v>302841</v>
      </c>
      <c r="H2818" s="1275"/>
      <c r="I2818" s="609">
        <f t="shared" ref="I2818:J2818" si="98">I2811</f>
        <v>12</v>
      </c>
      <c r="J2818" s="609">
        <f t="shared" si="98"/>
        <v>22</v>
      </c>
      <c r="K2818" s="536">
        <f>SUMIF($C$4:$C$2797,"&lt;="&amp;J2818,J$4:J$2797)-K2817-K2816</f>
        <v>27008</v>
      </c>
      <c r="R2818" s="542">
        <v>8.6199999999999992</v>
      </c>
      <c r="S2818" s="542">
        <v>12.39</v>
      </c>
      <c r="U2818" s="543">
        <f>R2818*G2818*1.607</f>
        <v>4195056.4979400001</v>
      </c>
      <c r="V2818" s="543">
        <f>S2818*K2818*1.607</f>
        <v>537748.99583999999</v>
      </c>
    </row>
    <row r="2819" spans="5:22" ht="15" x14ac:dyDescent="0.25">
      <c r="E2819" s="538" t="str">
        <f t="shared" ref="E2819:F2819" si="99">E2812</f>
        <v>Over</v>
      </c>
      <c r="F2819" s="538">
        <f t="shared" si="99"/>
        <v>22</v>
      </c>
      <c r="G2819" s="536">
        <f>SUMIF($C$4:$C$2797,"&gt;"&amp;F2819,F$4:F$2797)</f>
        <v>589402</v>
      </c>
      <c r="H2819" s="1275"/>
      <c r="I2819" s="609" t="str">
        <f t="shared" ref="I2819:J2819" si="100">I2812</f>
        <v>Over</v>
      </c>
      <c r="J2819" s="609">
        <f t="shared" si="100"/>
        <v>22</v>
      </c>
      <c r="K2819" s="536">
        <f>SUMIF($C$4:$C$2797,"&gt;"&amp;J2819,J4:J2797)</f>
        <v>32432</v>
      </c>
      <c r="U2819" s="543">
        <f>SUM(U2816:U2818)</f>
        <v>9647627.8907699995</v>
      </c>
      <c r="V2819" s="543">
        <f>SUM(V2816:V2818)</f>
        <v>1118594.01951</v>
      </c>
    </row>
    <row r="2820" spans="5:22" ht="15" x14ac:dyDescent="0.25">
      <c r="H2820" s="1275"/>
    </row>
    <row r="2821" spans="5:22" ht="15" x14ac:dyDescent="0.25">
      <c r="F2821" s="535" t="b">
        <f>G2821=G$2799</f>
        <v>1</v>
      </c>
      <c r="G2821" s="536">
        <f>SUM(G2816:G2819)</f>
        <v>1399982</v>
      </c>
      <c r="H2821" s="1275"/>
      <c r="J2821" s="535" t="b">
        <f>K2821=K$2799</f>
        <v>1</v>
      </c>
      <c r="K2821" s="536">
        <f>SUM(K2816:K2819)</f>
        <v>96645</v>
      </c>
    </row>
    <row r="2823" spans="5:22" ht="15" x14ac:dyDescent="0.25">
      <c r="G2823" s="1214"/>
    </row>
    <row r="2825" spans="5:22" ht="15" x14ac:dyDescent="0.25">
      <c r="F2825" s="1213">
        <f>G2825/$E$2799</f>
        <v>0.46883006740168726</v>
      </c>
      <c r="G2825" s="536">
        <f>SUMIF($C$4:$C$2797,"&lt;="&amp;F2809,E$4:E$2797)</f>
        <v>52516</v>
      </c>
    </row>
    <row r="2826" spans="5:22" ht="15" x14ac:dyDescent="0.25">
      <c r="F2826" s="1213">
        <f t="shared" ref="F2826:F2828" si="101">G2826/$E$2799</f>
        <v>0.2803017453019685</v>
      </c>
      <c r="G2826" s="536">
        <f>SUMIF($C$4:$C$2797,"&lt;="&amp;F2810,E$4:E$2797)-G2825</f>
        <v>31398</v>
      </c>
    </row>
    <row r="2827" spans="5:22" ht="15" x14ac:dyDescent="0.25">
      <c r="F2827" s="1213">
        <f t="shared" si="101"/>
        <v>0.1690130786055439</v>
      </c>
      <c r="G2827" s="536">
        <f>SUMIF($C$4:$C$2797,"&lt;="&amp;F2811,E$4:E$2797)-G2826-G2825</f>
        <v>18932</v>
      </c>
    </row>
    <row r="2828" spans="5:22" ht="15" x14ac:dyDescent="0.25">
      <c r="F2828" s="1213">
        <f t="shared" si="101"/>
        <v>8.1855108690800343E-2</v>
      </c>
      <c r="G2828" s="536">
        <f>SUMIF($C$4:$C$2797,"&gt;"&amp;F2812,E$4:E$2797)</f>
        <v>9169</v>
      </c>
    </row>
    <row r="2830" spans="5:22" ht="15" x14ac:dyDescent="0.25">
      <c r="F2830" s="535" t="s">
        <v>2316</v>
      </c>
    </row>
    <row r="2831" spans="5:22" ht="15" x14ac:dyDescent="0.25">
      <c r="E2831" s="536">
        <v>8000</v>
      </c>
      <c r="F2831" s="536">
        <f>SUM(E5:E12)</f>
        <v>51822</v>
      </c>
      <c r="G2831" s="1213">
        <f>F2831/$E$2799</f>
        <v>0.46263446859795565</v>
      </c>
    </row>
    <row r="2832" spans="5:22" ht="15" x14ac:dyDescent="0.25">
      <c r="E2832" s="536">
        <v>13000</v>
      </c>
      <c r="F2832" s="536">
        <f>SUM(E5:E17)</f>
        <v>79294</v>
      </c>
      <c r="G2832" s="1213">
        <f t="shared" ref="G2832:G2835" si="102">F2832/$E$2799</f>
        <v>0.70788733651743074</v>
      </c>
    </row>
    <row r="2833" spans="5:7" ht="15" x14ac:dyDescent="0.25">
      <c r="E2833" s="536">
        <v>20000</v>
      </c>
      <c r="F2833" s="536">
        <f>SUM(E5:E24)</f>
        <v>92789</v>
      </c>
      <c r="G2833" s="1213">
        <f t="shared" si="102"/>
        <v>0.82836227290987818</v>
      </c>
    </row>
    <row r="2834" spans="5:7" ht="15" x14ac:dyDescent="0.25">
      <c r="E2834" s="536">
        <v>40000</v>
      </c>
      <c r="F2834" s="536">
        <f>SUM(E5:E44)</f>
        <v>99877</v>
      </c>
      <c r="G2834" s="1213">
        <f t="shared" si="102"/>
        <v>0.8916395125652814</v>
      </c>
    </row>
    <row r="2835" spans="5:7" ht="15" x14ac:dyDescent="0.25">
      <c r="E2835" s="536">
        <v>80000</v>
      </c>
      <c r="F2835" s="536">
        <f>SUM(E5:E84)</f>
        <v>102232</v>
      </c>
      <c r="G2835" s="1213">
        <f t="shared" si="102"/>
        <v>0.91266348256929875</v>
      </c>
    </row>
  </sheetData>
  <mergeCells count="4">
    <mergeCell ref="B2:C2"/>
    <mergeCell ref="B3:C3"/>
    <mergeCell ref="R2801:S2801"/>
    <mergeCell ref="U2801:V280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AK51"/>
  <sheetViews>
    <sheetView showGridLines="0" zoomScaleNormal="100" workbookViewId="0">
      <selection activeCell="C12" sqref="C12"/>
    </sheetView>
  </sheetViews>
  <sheetFormatPr defaultColWidth="9" defaultRowHeight="14.4" x14ac:dyDescent="0.3"/>
  <cols>
    <col min="1" max="1" width="4.5" style="550" customWidth="1"/>
    <col min="2" max="2" width="34" style="550" bestFit="1" customWidth="1"/>
    <col min="3" max="3" width="11.59765625" style="550" bestFit="1" customWidth="1"/>
    <col min="4" max="4" width="13.09765625" style="550" bestFit="1" customWidth="1"/>
    <col min="5" max="5" width="32.5" style="550" bestFit="1" customWidth="1"/>
    <col min="6" max="6" width="11" style="550" bestFit="1" customWidth="1"/>
    <col min="7" max="7" width="13.09765625" style="550" customWidth="1"/>
    <col min="8" max="8" width="32.5" style="550" bestFit="1" customWidth="1"/>
    <col min="9" max="9" width="11" style="550" bestFit="1" customWidth="1"/>
    <col min="10" max="10" width="13.09765625" style="550" bestFit="1" customWidth="1"/>
    <col min="11" max="16384" width="9" style="550"/>
  </cols>
  <sheetData>
    <row r="1" spans="2:37" s="545" customFormat="1" ht="18" x14ac:dyDescent="0.35">
      <c r="B1" s="548"/>
      <c r="C1" s="547"/>
      <c r="D1" s="547"/>
      <c r="E1" s="547"/>
      <c r="F1" s="547"/>
      <c r="G1" s="549"/>
      <c r="H1" s="547"/>
      <c r="I1" s="547"/>
      <c r="J1" s="549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7"/>
      <c r="AI1" s="547"/>
      <c r="AJ1" s="547"/>
      <c r="AK1" s="547"/>
    </row>
    <row r="2" spans="2:37" s="545" customFormat="1" ht="18" x14ac:dyDescent="0.35">
      <c r="B2" s="151" t="s">
        <v>1959</v>
      </c>
      <c r="C2" s="547"/>
      <c r="D2" s="547"/>
      <c r="E2" s="547"/>
      <c r="F2" s="547"/>
      <c r="G2" s="549"/>
      <c r="H2" s="547"/>
      <c r="I2" s="547"/>
      <c r="J2" s="549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7"/>
      <c r="AI2" s="547"/>
      <c r="AJ2" s="547"/>
      <c r="AK2" s="547"/>
    </row>
    <row r="3" spans="2:37" x14ac:dyDescent="0.3">
      <c r="C3" s="551" t="s">
        <v>1724</v>
      </c>
      <c r="F3" s="551" t="s">
        <v>1724</v>
      </c>
      <c r="I3" s="551" t="s">
        <v>1724</v>
      </c>
    </row>
    <row r="4" spans="2:37" x14ac:dyDescent="0.3">
      <c r="C4" s="551" t="s">
        <v>10</v>
      </c>
      <c r="F4" s="551" t="s">
        <v>13</v>
      </c>
      <c r="I4" s="551" t="s">
        <v>1734</v>
      </c>
    </row>
    <row r="5" spans="2:37" x14ac:dyDescent="0.3">
      <c r="B5" s="586" t="s">
        <v>1711</v>
      </c>
      <c r="C5" s="587">
        <f>SUM('Misc Revenues'!Q54:Q57)</f>
        <v>12894687.039999999</v>
      </c>
      <c r="F5" s="588">
        <f>SUM('Misc Revenues'!Q59:Q60)</f>
        <v>1573219.62</v>
      </c>
      <c r="I5" s="588">
        <f>SUM('Misc Revenues'!Q62:Q63)</f>
        <v>1465391.15</v>
      </c>
    </row>
    <row r="7" spans="2:37" ht="15" thickBot="1" x14ac:dyDescent="0.35"/>
    <row r="8" spans="2:37" x14ac:dyDescent="0.3">
      <c r="B8" s="552" t="s">
        <v>16</v>
      </c>
      <c r="C8" s="553"/>
      <c r="D8" s="553"/>
      <c r="E8" s="552"/>
      <c r="F8" s="553"/>
      <c r="G8" s="554"/>
      <c r="H8" s="552"/>
      <c r="I8" s="553"/>
      <c r="J8" s="554"/>
    </row>
    <row r="9" spans="2:37" x14ac:dyDescent="0.3">
      <c r="B9" s="555"/>
      <c r="C9" s="556" t="s">
        <v>1724</v>
      </c>
      <c r="D9" s="556" t="s">
        <v>1724</v>
      </c>
      <c r="E9" s="555"/>
      <c r="F9" s="556"/>
      <c r="G9" s="557"/>
      <c r="H9" s="555"/>
      <c r="I9" s="556"/>
      <c r="J9" s="557"/>
    </row>
    <row r="10" spans="2:37" x14ac:dyDescent="0.3">
      <c r="B10" s="558" t="s">
        <v>1725</v>
      </c>
      <c r="C10" s="559" t="s">
        <v>1690</v>
      </c>
      <c r="D10" s="559" t="s">
        <v>1695</v>
      </c>
      <c r="E10" s="558"/>
      <c r="F10" s="556"/>
      <c r="G10" s="557"/>
      <c r="H10" s="558"/>
      <c r="I10" s="556"/>
      <c r="J10" s="557"/>
    </row>
    <row r="11" spans="2:37" x14ac:dyDescent="0.3">
      <c r="B11" s="558"/>
      <c r="C11" s="556"/>
      <c r="D11" s="556"/>
      <c r="E11" s="558"/>
      <c r="F11" s="556"/>
      <c r="G11" s="557"/>
      <c r="H11" s="558"/>
      <c r="I11" s="556"/>
      <c r="J11" s="557"/>
    </row>
    <row r="12" spans="2:37" x14ac:dyDescent="0.3">
      <c r="B12" s="558" t="s">
        <v>1727</v>
      </c>
      <c r="C12" s="560">
        <f>'Customers and Consumption'!F32</f>
        <v>22778</v>
      </c>
      <c r="D12" s="560">
        <f>'Customers and Consumption'!F43</f>
        <v>1327</v>
      </c>
      <c r="E12" s="558"/>
      <c r="F12" s="560"/>
      <c r="G12" s="561"/>
      <c r="H12" s="558"/>
      <c r="I12" s="560"/>
      <c r="J12" s="561"/>
    </row>
    <row r="13" spans="2:37" x14ac:dyDescent="0.3">
      <c r="B13" s="558" t="s">
        <v>1726</v>
      </c>
      <c r="C13" s="562">
        <v>9</v>
      </c>
      <c r="D13" s="563">
        <v>9</v>
      </c>
      <c r="E13" s="558"/>
      <c r="F13" s="562"/>
      <c r="G13" s="564"/>
      <c r="H13" s="558"/>
      <c r="I13" s="562"/>
      <c r="J13" s="564"/>
    </row>
    <row r="14" spans="2:37" x14ac:dyDescent="0.3">
      <c r="B14" s="558" t="s">
        <v>1712</v>
      </c>
      <c r="C14" s="565">
        <f>C12*C13*6</f>
        <v>1230012</v>
      </c>
      <c r="D14" s="565">
        <f>D12*D13*6</f>
        <v>71658</v>
      </c>
      <c r="E14" s="558"/>
      <c r="F14" s="565"/>
      <c r="G14" s="566"/>
      <c r="H14" s="558"/>
      <c r="I14" s="565"/>
      <c r="J14" s="566"/>
    </row>
    <row r="15" spans="2:37" ht="15" thickBot="1" x14ac:dyDescent="0.35">
      <c r="B15" s="567"/>
      <c r="C15" s="568"/>
      <c r="D15" s="569"/>
      <c r="E15" s="567"/>
      <c r="F15" s="568"/>
      <c r="G15" s="570"/>
      <c r="H15" s="567"/>
      <c r="I15" s="568"/>
      <c r="J15" s="570"/>
    </row>
    <row r="16" spans="2:37" x14ac:dyDescent="0.3">
      <c r="B16" s="558" t="s">
        <v>1713</v>
      </c>
      <c r="C16" s="556" t="s">
        <v>1724</v>
      </c>
      <c r="D16" s="556" t="s">
        <v>1724</v>
      </c>
      <c r="E16" s="558" t="s">
        <v>1713</v>
      </c>
      <c r="F16" s="556" t="s">
        <v>1724</v>
      </c>
      <c r="G16" s="557" t="s">
        <v>1724</v>
      </c>
      <c r="H16" s="558" t="s">
        <v>1713</v>
      </c>
      <c r="I16" s="556" t="s">
        <v>1724</v>
      </c>
      <c r="J16" s="557" t="s">
        <v>1724</v>
      </c>
    </row>
    <row r="17" spans="2:10" x14ac:dyDescent="0.3">
      <c r="B17" s="558"/>
      <c r="C17" s="559" t="s">
        <v>1690</v>
      </c>
      <c r="D17" s="559" t="s">
        <v>1695</v>
      </c>
      <c r="E17" s="558"/>
      <c r="F17" s="556" t="s">
        <v>1690</v>
      </c>
      <c r="G17" s="557" t="s">
        <v>1695</v>
      </c>
      <c r="H17" s="558"/>
      <c r="I17" s="556" t="s">
        <v>1690</v>
      </c>
      <c r="J17" s="557" t="s">
        <v>1695</v>
      </c>
    </row>
    <row r="18" spans="2:10" x14ac:dyDescent="0.3">
      <c r="B18" s="558" t="s">
        <v>1731</v>
      </c>
      <c r="C18" s="571"/>
      <c r="D18" s="571"/>
      <c r="E18" s="558"/>
      <c r="F18" s="560"/>
      <c r="G18" s="561"/>
      <c r="H18" s="558"/>
      <c r="I18" s="560"/>
      <c r="J18" s="561"/>
    </row>
    <row r="19" spans="2:10" x14ac:dyDescent="0.3">
      <c r="B19" s="558"/>
      <c r="C19" s="571"/>
      <c r="D19" s="571"/>
      <c r="E19" s="558"/>
      <c r="F19" s="560"/>
      <c r="G19" s="561"/>
      <c r="H19" s="558"/>
      <c r="I19" s="560"/>
      <c r="J19" s="561"/>
    </row>
    <row r="20" spans="2:10" x14ac:dyDescent="0.3">
      <c r="B20" s="558" t="s">
        <v>1728</v>
      </c>
      <c r="C20" s="571"/>
      <c r="D20" s="571"/>
      <c r="E20" s="558" t="s">
        <v>1714</v>
      </c>
      <c r="F20" s="571"/>
      <c r="G20" s="572"/>
      <c r="H20" s="558" t="s">
        <v>1714</v>
      </c>
      <c r="I20" s="571"/>
      <c r="J20" s="572"/>
    </row>
    <row r="21" spans="2:10" x14ac:dyDescent="0.3">
      <c r="B21" s="558" t="s">
        <v>1715</v>
      </c>
      <c r="C21" s="571">
        <f>'Customers and Consumption'!F55</f>
        <v>883403</v>
      </c>
      <c r="D21" s="556">
        <f>'Customers and Consumption'!F62</f>
        <v>66189</v>
      </c>
      <c r="E21" s="558" t="s">
        <v>1716</v>
      </c>
      <c r="F21" s="560">
        <f>'Customers and Consumption'!F58</f>
        <v>1730880</v>
      </c>
      <c r="G21" s="561">
        <f>'Customers and Consumption'!F65</f>
        <v>121558</v>
      </c>
      <c r="H21" s="558" t="s">
        <v>1716</v>
      </c>
      <c r="I21" s="560">
        <f>F21</f>
        <v>1730880</v>
      </c>
      <c r="J21" s="561">
        <f>G21</f>
        <v>121558</v>
      </c>
    </row>
    <row r="22" spans="2:10" x14ac:dyDescent="0.3">
      <c r="B22" s="558" t="s">
        <v>1717</v>
      </c>
      <c r="C22" s="563">
        <v>5.24</v>
      </c>
      <c r="D22" s="563">
        <v>7.61</v>
      </c>
      <c r="E22" s="558" t="s">
        <v>1717</v>
      </c>
      <c r="F22" s="563">
        <v>0.8</v>
      </c>
      <c r="G22" s="564">
        <v>1.82</v>
      </c>
      <c r="H22" s="558" t="s">
        <v>1717</v>
      </c>
      <c r="I22" s="563">
        <v>0.83</v>
      </c>
      <c r="J22" s="564">
        <v>0.62</v>
      </c>
    </row>
    <row r="23" spans="2:10" x14ac:dyDescent="0.3">
      <c r="B23" s="558" t="s">
        <v>1712</v>
      </c>
      <c r="C23" s="565">
        <f>C21*C22</f>
        <v>4629031.72</v>
      </c>
      <c r="D23" s="565">
        <f>D21*D22</f>
        <v>503698.29000000004</v>
      </c>
      <c r="E23" s="558" t="s">
        <v>1712</v>
      </c>
      <c r="F23" s="565">
        <f>F21*F22</f>
        <v>1384704</v>
      </c>
      <c r="G23" s="566">
        <f>G21*G22</f>
        <v>221235.56</v>
      </c>
      <c r="H23" s="558" t="s">
        <v>1712</v>
      </c>
      <c r="I23" s="565">
        <f>I21*I22</f>
        <v>1436630.4</v>
      </c>
      <c r="J23" s="566">
        <f>J21*J22</f>
        <v>75365.960000000006</v>
      </c>
    </row>
    <row r="24" spans="2:10" x14ac:dyDescent="0.3">
      <c r="B24" s="558"/>
      <c r="C24" s="560"/>
      <c r="D24" s="571"/>
      <c r="E24" s="558"/>
      <c r="F24" s="560"/>
      <c r="G24" s="561"/>
      <c r="H24" s="558"/>
      <c r="I24" s="560"/>
      <c r="J24" s="561"/>
    </row>
    <row r="25" spans="2:10" x14ac:dyDescent="0.3">
      <c r="B25" s="558" t="s">
        <v>1730</v>
      </c>
      <c r="C25" s="571"/>
      <c r="D25" s="571"/>
      <c r="E25" s="558"/>
      <c r="F25" s="560"/>
      <c r="G25" s="561"/>
      <c r="H25" s="558"/>
      <c r="I25" s="560"/>
      <c r="J25" s="561"/>
    </row>
    <row r="26" spans="2:10" x14ac:dyDescent="0.3">
      <c r="B26" s="558" t="s">
        <v>1715</v>
      </c>
      <c r="C26" s="560">
        <f>'Customers and Consumption'!F56</f>
        <v>303869</v>
      </c>
      <c r="D26" s="556">
        <f>'Customers and Consumption'!F63</f>
        <v>22777</v>
      </c>
      <c r="E26" s="558"/>
      <c r="F26" s="560"/>
      <c r="G26" s="561"/>
      <c r="H26" s="558"/>
      <c r="I26" s="560"/>
      <c r="J26" s="561"/>
    </row>
    <row r="27" spans="2:10" x14ac:dyDescent="0.3">
      <c r="B27" s="558" t="s">
        <v>1717</v>
      </c>
      <c r="C27" s="563">
        <v>6.54</v>
      </c>
      <c r="D27" s="563">
        <v>9.51</v>
      </c>
      <c r="E27" s="558"/>
      <c r="F27" s="563"/>
      <c r="G27" s="564"/>
      <c r="H27" s="558"/>
      <c r="I27" s="563"/>
      <c r="J27" s="564"/>
    </row>
    <row r="28" spans="2:10" x14ac:dyDescent="0.3">
      <c r="B28" s="558" t="s">
        <v>1712</v>
      </c>
      <c r="C28" s="565">
        <f>C26*C27</f>
        <v>1987303.26</v>
      </c>
      <c r="D28" s="565">
        <f>D26*D27</f>
        <v>216609.27</v>
      </c>
      <c r="E28" s="558"/>
      <c r="F28" s="565"/>
      <c r="G28" s="566"/>
      <c r="H28" s="558"/>
      <c r="I28" s="565"/>
      <c r="J28" s="566"/>
    </row>
    <row r="29" spans="2:10" x14ac:dyDescent="0.3">
      <c r="B29" s="558"/>
      <c r="C29" s="565"/>
      <c r="D29" s="565"/>
      <c r="E29" s="558"/>
      <c r="F29" s="565"/>
      <c r="G29" s="566"/>
      <c r="H29" s="558"/>
      <c r="I29" s="565"/>
      <c r="J29" s="566"/>
    </row>
    <row r="30" spans="2:10" x14ac:dyDescent="0.3">
      <c r="B30" s="558"/>
      <c r="C30" s="565"/>
      <c r="D30" s="571"/>
      <c r="E30" s="558"/>
      <c r="G30" s="566"/>
      <c r="H30" s="558"/>
      <c r="J30" s="566"/>
    </row>
    <row r="31" spans="2:10" x14ac:dyDescent="0.3">
      <c r="B31" s="558" t="s">
        <v>1729</v>
      </c>
      <c r="C31" s="571"/>
      <c r="D31" s="571"/>
      <c r="E31" s="558"/>
      <c r="F31" s="565"/>
      <c r="G31" s="566"/>
      <c r="H31" s="558"/>
      <c r="I31" s="565"/>
      <c r="J31" s="566"/>
    </row>
    <row r="32" spans="2:10" x14ac:dyDescent="0.3">
      <c r="B32" s="558" t="s">
        <v>1715</v>
      </c>
      <c r="C32" s="571">
        <f>'Customers and Consumption'!F57</f>
        <v>543608</v>
      </c>
      <c r="D32" s="556">
        <f>'Customers and Consumption'!F64</f>
        <v>32592</v>
      </c>
      <c r="E32" s="558"/>
      <c r="F32" s="560"/>
      <c r="G32" s="561"/>
      <c r="H32" s="558"/>
      <c r="I32" s="560"/>
      <c r="J32" s="561"/>
    </row>
    <row r="33" spans="2:11" x14ac:dyDescent="0.3">
      <c r="B33" s="558" t="s">
        <v>1717</v>
      </c>
      <c r="C33" s="563">
        <v>7.85</v>
      </c>
      <c r="D33" s="563">
        <v>11.41</v>
      </c>
      <c r="E33" s="558"/>
      <c r="F33" s="573"/>
      <c r="G33" s="574"/>
      <c r="H33" s="558"/>
      <c r="I33" s="573"/>
      <c r="J33" s="574"/>
    </row>
    <row r="34" spans="2:11" x14ac:dyDescent="0.3">
      <c r="B34" s="558" t="s">
        <v>1712</v>
      </c>
      <c r="C34" s="565">
        <f>C32*C33</f>
        <v>4267322.8</v>
      </c>
      <c r="D34" s="565">
        <f>D32*D33</f>
        <v>371874.72000000003</v>
      </c>
      <c r="E34" s="558"/>
      <c r="F34" s="565"/>
      <c r="G34" s="566"/>
      <c r="H34" s="558"/>
      <c r="I34" s="565"/>
      <c r="J34" s="566"/>
    </row>
    <row r="35" spans="2:11" x14ac:dyDescent="0.3">
      <c r="B35" s="558"/>
      <c r="C35" s="565"/>
      <c r="D35" s="565"/>
      <c r="E35" s="558"/>
      <c r="F35" s="565"/>
      <c r="G35" s="566"/>
      <c r="H35" s="558"/>
      <c r="I35" s="565"/>
      <c r="J35" s="566"/>
    </row>
    <row r="36" spans="2:11" x14ac:dyDescent="0.3">
      <c r="B36" s="712" t="s">
        <v>1891</v>
      </c>
      <c r="C36" s="565"/>
      <c r="D36" s="565"/>
      <c r="E36" s="558"/>
      <c r="F36" s="565"/>
      <c r="G36" s="566"/>
      <c r="H36" s="558"/>
      <c r="I36" s="565"/>
      <c r="J36" s="566"/>
    </row>
    <row r="37" spans="2:11" x14ac:dyDescent="0.3">
      <c r="B37" s="558" t="s">
        <v>1715</v>
      </c>
      <c r="C37" s="571">
        <f>'Customers and Consumption'!F68</f>
        <v>15536</v>
      </c>
      <c r="D37" s="565"/>
      <c r="E37" s="558"/>
      <c r="F37" s="565"/>
      <c r="G37" s="566"/>
      <c r="H37" s="558"/>
      <c r="I37" s="565"/>
      <c r="J37" s="566"/>
    </row>
    <row r="38" spans="2:11" ht="15" x14ac:dyDescent="0.25">
      <c r="B38" s="558" t="s">
        <v>1717</v>
      </c>
      <c r="C38" s="563">
        <f>'Water Rate Projections'!E23</f>
        <v>5.71</v>
      </c>
      <c r="D38" s="565"/>
      <c r="E38" s="558"/>
      <c r="F38" s="565"/>
      <c r="G38" s="566"/>
      <c r="H38" s="558"/>
      <c r="I38" s="565"/>
      <c r="J38" s="566"/>
    </row>
    <row r="39" spans="2:11" ht="15" x14ac:dyDescent="0.25">
      <c r="B39" s="558" t="s">
        <v>1712</v>
      </c>
      <c r="C39" s="565">
        <f>C37*C38</f>
        <v>88710.56</v>
      </c>
      <c r="D39" s="565"/>
      <c r="E39" s="558"/>
      <c r="F39" s="565"/>
      <c r="G39" s="566"/>
      <c r="H39" s="558"/>
      <c r="I39" s="565"/>
      <c r="J39" s="566"/>
    </row>
    <row r="40" spans="2:11" ht="15.75" thickBot="1" x14ac:dyDescent="0.3">
      <c r="B40" s="558"/>
      <c r="C40" s="565"/>
      <c r="D40" s="571"/>
      <c r="E40" s="558"/>
      <c r="F40" s="565"/>
      <c r="G40" s="566"/>
      <c r="H40" s="558"/>
      <c r="I40" s="565"/>
      <c r="J40" s="566"/>
    </row>
    <row r="41" spans="2:11" ht="15" x14ac:dyDescent="0.25">
      <c r="B41" s="575" t="s">
        <v>1732</v>
      </c>
      <c r="C41" s="576">
        <f>C14</f>
        <v>1230012</v>
      </c>
      <c r="D41" s="576">
        <f>D14</f>
        <v>71658</v>
      </c>
      <c r="E41" s="575" t="s">
        <v>1718</v>
      </c>
      <c r="F41" s="576">
        <f>F13*F12*4</f>
        <v>0</v>
      </c>
      <c r="G41" s="577">
        <f>G13*G12*4</f>
        <v>0</v>
      </c>
      <c r="H41" s="575" t="s">
        <v>1718</v>
      </c>
      <c r="I41" s="576">
        <f>I13*I12*4</f>
        <v>0</v>
      </c>
      <c r="J41" s="577">
        <f>J13*J12*4</f>
        <v>0</v>
      </c>
    </row>
    <row r="42" spans="2:11" ht="15" x14ac:dyDescent="0.25">
      <c r="B42" s="558" t="s">
        <v>1719</v>
      </c>
      <c r="C42" s="565">
        <f>C23</f>
        <v>4629031.72</v>
      </c>
      <c r="D42" s="565">
        <f>D23</f>
        <v>503698.29000000004</v>
      </c>
      <c r="E42" s="558" t="s">
        <v>1720</v>
      </c>
      <c r="F42" s="565">
        <f>F23</f>
        <v>1384704</v>
      </c>
      <c r="G42" s="566">
        <f>G23</f>
        <v>221235.56</v>
      </c>
      <c r="H42" s="558" t="s">
        <v>1720</v>
      </c>
      <c r="I42" s="565">
        <f>I23</f>
        <v>1436630.4</v>
      </c>
      <c r="J42" s="566">
        <f>J23</f>
        <v>75365.960000000006</v>
      </c>
    </row>
    <row r="43" spans="2:11" ht="15" x14ac:dyDescent="0.25">
      <c r="B43" s="558" t="s">
        <v>1721</v>
      </c>
      <c r="C43" s="565">
        <f>C28</f>
        <v>1987303.26</v>
      </c>
      <c r="D43" s="565">
        <f>D28</f>
        <v>216609.27</v>
      </c>
      <c r="E43" s="558"/>
      <c r="F43" s="565"/>
      <c r="G43" s="561"/>
      <c r="H43" s="558"/>
      <c r="I43" s="565"/>
      <c r="J43" s="561"/>
    </row>
    <row r="44" spans="2:11" ht="15" x14ac:dyDescent="0.25">
      <c r="B44" s="558" t="s">
        <v>1722</v>
      </c>
      <c r="C44" s="565">
        <f>C34</f>
        <v>4267322.8</v>
      </c>
      <c r="D44" s="565">
        <f>D34</f>
        <v>371874.72000000003</v>
      </c>
      <c r="E44" s="558"/>
      <c r="F44" s="565"/>
      <c r="G44" s="561"/>
      <c r="H44" s="558"/>
      <c r="I44" s="565"/>
      <c r="J44" s="561"/>
    </row>
    <row r="45" spans="2:11" ht="15" x14ac:dyDescent="0.25">
      <c r="B45" s="712" t="s">
        <v>1893</v>
      </c>
      <c r="C45" s="565">
        <f>C39</f>
        <v>88710.56</v>
      </c>
      <c r="D45" s="565"/>
      <c r="E45" s="558"/>
      <c r="F45" s="565"/>
      <c r="G45" s="561"/>
      <c r="H45" s="558"/>
      <c r="I45" s="565"/>
      <c r="J45" s="561"/>
    </row>
    <row r="46" spans="2:11" ht="15" x14ac:dyDescent="0.25">
      <c r="B46" s="558"/>
      <c r="C46" s="578">
        <f>SUM(C41:C45)</f>
        <v>12202380.34</v>
      </c>
      <c r="D46" s="578">
        <f>SUM(D41:D45)</f>
        <v>1163840.28</v>
      </c>
      <c r="E46" s="558"/>
      <c r="F46" s="578">
        <f>SUM(F41:F45)</f>
        <v>1384704</v>
      </c>
      <c r="G46" s="578">
        <f>SUM(G41:G45)</f>
        <v>221235.56</v>
      </c>
      <c r="H46" s="558"/>
      <c r="I46" s="578">
        <f>SUM(I41:I45)</f>
        <v>1436630.4</v>
      </c>
      <c r="J46" s="578">
        <f>SUM(J41:J45)</f>
        <v>75365.960000000006</v>
      </c>
      <c r="K46" s="558"/>
    </row>
    <row r="47" spans="2:11" ht="15" x14ac:dyDescent="0.25">
      <c r="B47" s="558"/>
      <c r="C47" s="584"/>
      <c r="D47" s="584"/>
      <c r="E47" s="558"/>
      <c r="F47" s="584"/>
      <c r="G47" s="585"/>
      <c r="H47" s="558"/>
      <c r="I47" s="584"/>
      <c r="J47" s="585"/>
    </row>
    <row r="48" spans="2:11" ht="14.25" customHeight="1" x14ac:dyDescent="0.25">
      <c r="B48" s="558" t="s">
        <v>1723</v>
      </c>
      <c r="C48" s="565">
        <f>C46+D46</f>
        <v>13366220.619999999</v>
      </c>
      <c r="D48" s="571"/>
      <c r="E48" s="558" t="s">
        <v>1723</v>
      </c>
      <c r="F48" s="565">
        <f>F46+G46</f>
        <v>1605939.56</v>
      </c>
      <c r="G48" s="579"/>
      <c r="H48" s="558" t="s">
        <v>1723</v>
      </c>
      <c r="I48" s="565">
        <f>I46+J46</f>
        <v>1511996.3599999999</v>
      </c>
      <c r="J48" s="579"/>
    </row>
    <row r="49" spans="2:10" ht="15" x14ac:dyDescent="0.25">
      <c r="B49" s="558" t="s">
        <v>1733</v>
      </c>
      <c r="C49" s="565">
        <f>C5</f>
        <v>12894687.039999999</v>
      </c>
      <c r="D49" s="571"/>
      <c r="E49" s="558" t="s">
        <v>1733</v>
      </c>
      <c r="F49" s="565">
        <f>F5</f>
        <v>1573219.62</v>
      </c>
      <c r="G49" s="561"/>
      <c r="H49" s="558" t="s">
        <v>1733</v>
      </c>
      <c r="I49" s="565">
        <f>I5</f>
        <v>1465391.15</v>
      </c>
      <c r="J49" s="561"/>
    </row>
    <row r="50" spans="2:10" ht="15.75" thickBot="1" x14ac:dyDescent="0.3">
      <c r="B50" s="580" t="s">
        <v>1485</v>
      </c>
      <c r="C50" s="581">
        <f>C48-C49</f>
        <v>471533.58000000007</v>
      </c>
      <c r="D50" s="569"/>
      <c r="E50" s="580" t="s">
        <v>1485</v>
      </c>
      <c r="F50" s="581">
        <f>F48-F49</f>
        <v>32719.939999999944</v>
      </c>
      <c r="G50" s="582"/>
      <c r="H50" s="580" t="s">
        <v>1485</v>
      </c>
      <c r="I50" s="581">
        <f>I48-I49</f>
        <v>46605.209999999963</v>
      </c>
      <c r="J50" s="582"/>
    </row>
    <row r="51" spans="2:10" ht="15" x14ac:dyDescent="0.25">
      <c r="C51" s="583">
        <f>(C48-C49)/C49</f>
        <v>3.6568051518992131E-2</v>
      </c>
      <c r="F51" s="583">
        <f>(F48-F49)/F49</f>
        <v>2.0798075223597796E-2</v>
      </c>
      <c r="I51" s="583">
        <f>(I48-I49)/I49</f>
        <v>3.1803938491098409E-2</v>
      </c>
    </row>
  </sheetData>
  <printOptions horizontalCentered="1"/>
  <pageMargins left="0.2" right="0.2" top="0.2" bottom="0.2" header="0.3" footer="0.3"/>
  <pageSetup scale="6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1"/>
  <sheetViews>
    <sheetView showGridLines="0" zoomScaleNormal="100" workbookViewId="0">
      <selection activeCell="C13" sqref="C13"/>
    </sheetView>
  </sheetViews>
  <sheetFormatPr defaultColWidth="9" defaultRowHeight="14.4" x14ac:dyDescent="0.3"/>
  <cols>
    <col min="1" max="1" width="4.5" style="550" customWidth="1"/>
    <col min="2" max="2" width="34" style="550" bestFit="1" customWidth="1"/>
    <col min="3" max="3" width="11.59765625" style="550" bestFit="1" customWidth="1"/>
    <col min="4" max="4" width="13.09765625" style="550" bestFit="1" customWidth="1"/>
    <col min="5" max="5" width="32.5" style="550" bestFit="1" customWidth="1"/>
    <col min="6" max="6" width="11" style="550" bestFit="1" customWidth="1"/>
    <col min="7" max="7" width="13.09765625" style="550" customWidth="1"/>
    <col min="8" max="8" width="32.5" style="550" bestFit="1" customWidth="1"/>
    <col min="9" max="9" width="11" style="550" bestFit="1" customWidth="1"/>
    <col min="10" max="10" width="13.09765625" style="550" bestFit="1" customWidth="1"/>
    <col min="11" max="16384" width="9" style="550"/>
  </cols>
  <sheetData>
    <row r="1" spans="2:37" s="545" customFormat="1" ht="18" x14ac:dyDescent="0.35">
      <c r="B1" s="548"/>
      <c r="C1" s="547"/>
      <c r="D1" s="547"/>
      <c r="E1" s="547"/>
      <c r="F1" s="547"/>
      <c r="G1" s="549"/>
      <c r="H1" s="547"/>
      <c r="I1" s="547"/>
      <c r="J1" s="549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7"/>
      <c r="AI1" s="547"/>
      <c r="AJ1" s="547"/>
      <c r="AK1" s="547"/>
    </row>
    <row r="2" spans="2:37" s="545" customFormat="1" ht="18" x14ac:dyDescent="0.35">
      <c r="B2" s="151" t="s">
        <v>1960</v>
      </c>
      <c r="C2" s="547"/>
      <c r="D2" s="547"/>
      <c r="E2" s="547"/>
      <c r="F2" s="547"/>
      <c r="G2" s="549"/>
      <c r="H2" s="547"/>
      <c r="I2" s="547"/>
      <c r="J2" s="549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7"/>
      <c r="AI2" s="547"/>
      <c r="AJ2" s="547"/>
      <c r="AK2" s="547"/>
    </row>
    <row r="3" spans="2:37" x14ac:dyDescent="0.3">
      <c r="C3" s="551" t="s">
        <v>4</v>
      </c>
      <c r="F3" s="551" t="s">
        <v>4</v>
      </c>
      <c r="I3" s="551" t="s">
        <v>4</v>
      </c>
    </row>
    <row r="4" spans="2:37" x14ac:dyDescent="0.3">
      <c r="C4" s="551" t="s">
        <v>10</v>
      </c>
      <c r="F4" s="551" t="s">
        <v>13</v>
      </c>
      <c r="I4" s="551" t="s">
        <v>1734</v>
      </c>
    </row>
    <row r="5" spans="2:37" x14ac:dyDescent="0.3">
      <c r="B5" s="586" t="s">
        <v>1753</v>
      </c>
      <c r="C5" s="587">
        <f>SUM('Misc Revenues'!R54:R57)</f>
        <v>16187958</v>
      </c>
      <c r="F5" s="588">
        <f>SUM('Misc Revenues'!R59:R60)</f>
        <v>1956611</v>
      </c>
      <c r="I5" s="588">
        <f>SUM('Misc Revenues'!R62:R63)</f>
        <v>1783798</v>
      </c>
    </row>
    <row r="7" spans="2:37" ht="15" thickBot="1" x14ac:dyDescent="0.35"/>
    <row r="8" spans="2:37" x14ac:dyDescent="0.3">
      <c r="B8" s="552" t="s">
        <v>16</v>
      </c>
      <c r="C8" s="553"/>
      <c r="D8" s="553"/>
      <c r="E8" s="552"/>
      <c r="F8" s="553"/>
      <c r="G8" s="554"/>
      <c r="H8" s="552"/>
      <c r="I8" s="553"/>
      <c r="J8" s="554"/>
    </row>
    <row r="9" spans="2:37" x14ac:dyDescent="0.3">
      <c r="B9" s="555"/>
      <c r="C9" s="556" t="s">
        <v>1724</v>
      </c>
      <c r="D9" s="556" t="s">
        <v>1724</v>
      </c>
      <c r="E9" s="555"/>
      <c r="F9" s="556"/>
      <c r="G9" s="557"/>
      <c r="H9" s="555"/>
      <c r="I9" s="556"/>
      <c r="J9" s="557"/>
    </row>
    <row r="10" spans="2:37" x14ac:dyDescent="0.3">
      <c r="B10" s="558" t="s">
        <v>1725</v>
      </c>
      <c r="C10" s="559" t="s">
        <v>1690</v>
      </c>
      <c r="D10" s="559" t="s">
        <v>1695</v>
      </c>
      <c r="E10" s="558"/>
      <c r="F10" s="556"/>
      <c r="G10" s="557"/>
      <c r="H10" s="558"/>
      <c r="I10" s="556"/>
      <c r="J10" s="557"/>
    </row>
    <row r="11" spans="2:37" x14ac:dyDescent="0.3">
      <c r="B11" s="558"/>
      <c r="C11" s="556"/>
      <c r="D11" s="556"/>
      <c r="E11" s="558"/>
      <c r="F11" s="556"/>
      <c r="G11" s="557"/>
      <c r="H11" s="558"/>
      <c r="I11" s="556"/>
      <c r="J11" s="557"/>
    </row>
    <row r="12" spans="2:37" x14ac:dyDescent="0.3">
      <c r="B12" s="558" t="s">
        <v>1727</v>
      </c>
      <c r="C12" s="560">
        <f>'Customers and Consumption'!G32</f>
        <v>22808</v>
      </c>
      <c r="D12" s="560">
        <f>'Customers and Consumption'!G43</f>
        <v>1339</v>
      </c>
      <c r="E12" s="558"/>
      <c r="F12" s="560"/>
      <c r="G12" s="561"/>
      <c r="H12" s="558"/>
      <c r="I12" s="560"/>
      <c r="J12" s="561"/>
    </row>
    <row r="13" spans="2:37" x14ac:dyDescent="0.3">
      <c r="B13" s="558" t="s">
        <v>1726</v>
      </c>
      <c r="C13" s="562">
        <v>9</v>
      </c>
      <c r="D13" s="563">
        <v>9</v>
      </c>
      <c r="E13" s="558"/>
      <c r="F13" s="562"/>
      <c r="G13" s="564"/>
      <c r="H13" s="558"/>
      <c r="I13" s="562"/>
      <c r="J13" s="564"/>
    </row>
    <row r="14" spans="2:37" x14ac:dyDescent="0.3">
      <c r="B14" s="558" t="s">
        <v>1712</v>
      </c>
      <c r="C14" s="565">
        <f>C12*C13*6</f>
        <v>1231632</v>
      </c>
      <c r="D14" s="565">
        <f>D12*D13*6</f>
        <v>72306</v>
      </c>
      <c r="E14" s="558"/>
      <c r="F14" s="565"/>
      <c r="G14" s="566"/>
      <c r="H14" s="558"/>
      <c r="I14" s="565"/>
      <c r="J14" s="566"/>
    </row>
    <row r="15" spans="2:37" ht="15" thickBot="1" x14ac:dyDescent="0.35">
      <c r="B15" s="567"/>
      <c r="C15" s="568"/>
      <c r="D15" s="569"/>
      <c r="E15" s="567"/>
      <c r="F15" s="568"/>
      <c r="G15" s="570"/>
      <c r="H15" s="567"/>
      <c r="I15" s="568"/>
      <c r="J15" s="570"/>
    </row>
    <row r="16" spans="2:37" x14ac:dyDescent="0.3">
      <c r="B16" s="558" t="s">
        <v>1713</v>
      </c>
      <c r="C16" s="597" t="s">
        <v>4</v>
      </c>
      <c r="D16" s="597" t="s">
        <v>4</v>
      </c>
      <c r="E16" s="558" t="s">
        <v>1713</v>
      </c>
      <c r="F16" s="597" t="s">
        <v>4</v>
      </c>
      <c r="G16" s="597" t="s">
        <v>4</v>
      </c>
      <c r="H16" s="558" t="s">
        <v>1713</v>
      </c>
      <c r="I16" s="597" t="s">
        <v>4</v>
      </c>
      <c r="J16" s="597" t="s">
        <v>4</v>
      </c>
      <c r="K16" s="558"/>
    </row>
    <row r="17" spans="2:10" x14ac:dyDescent="0.3">
      <c r="B17" s="558"/>
      <c r="C17" s="559" t="s">
        <v>1690</v>
      </c>
      <c r="D17" s="559" t="s">
        <v>1695</v>
      </c>
      <c r="E17" s="558"/>
      <c r="F17" s="556" t="s">
        <v>1690</v>
      </c>
      <c r="G17" s="557" t="s">
        <v>1695</v>
      </c>
      <c r="H17" s="558"/>
      <c r="I17" s="556" t="s">
        <v>1690</v>
      </c>
      <c r="J17" s="557" t="s">
        <v>1695</v>
      </c>
    </row>
    <row r="18" spans="2:10" x14ac:dyDescent="0.3">
      <c r="B18" s="558" t="s">
        <v>1731</v>
      </c>
      <c r="C18" s="571"/>
      <c r="D18" s="571"/>
      <c r="E18" s="558"/>
      <c r="F18" s="560"/>
      <c r="G18" s="561"/>
      <c r="H18" s="558"/>
      <c r="I18" s="560"/>
      <c r="J18" s="561"/>
    </row>
    <row r="19" spans="2:10" x14ac:dyDescent="0.3">
      <c r="B19" s="558"/>
      <c r="C19" s="571"/>
      <c r="D19" s="571"/>
      <c r="E19" s="558"/>
      <c r="F19" s="560"/>
      <c r="G19" s="561"/>
      <c r="H19" s="558"/>
      <c r="I19" s="560"/>
      <c r="J19" s="561"/>
    </row>
    <row r="20" spans="2:10" x14ac:dyDescent="0.3">
      <c r="B20" s="558" t="s">
        <v>1728</v>
      </c>
      <c r="C20" s="571"/>
      <c r="D20" s="571"/>
      <c r="E20" s="558" t="s">
        <v>1714</v>
      </c>
      <c r="F20" s="571"/>
      <c r="G20" s="572"/>
      <c r="H20" s="558" t="s">
        <v>1714</v>
      </c>
      <c r="I20" s="571"/>
      <c r="J20" s="572"/>
    </row>
    <row r="21" spans="2:10" x14ac:dyDescent="0.3">
      <c r="B21" s="558" t="s">
        <v>1715</v>
      </c>
      <c r="C21" s="571">
        <f>'Customers and Consumption'!G55</f>
        <v>889497.12</v>
      </c>
      <c r="D21" s="556">
        <f>'Customers and Consumption'!G62</f>
        <v>66381.42</v>
      </c>
      <c r="E21" s="558" t="s">
        <v>1716</v>
      </c>
      <c r="F21" s="560">
        <f>C21+C26+C32</f>
        <v>1707978.04</v>
      </c>
      <c r="G21" s="560">
        <f>D21+D26+D32</f>
        <v>117906.9</v>
      </c>
      <c r="H21" s="558" t="s">
        <v>1716</v>
      </c>
      <c r="I21" s="560">
        <f>F21</f>
        <v>1707978.04</v>
      </c>
      <c r="J21" s="561">
        <f>G21</f>
        <v>117906.9</v>
      </c>
    </row>
    <row r="22" spans="2:10" x14ac:dyDescent="0.3">
      <c r="B22" s="558" t="s">
        <v>1717</v>
      </c>
      <c r="C22" s="563">
        <v>5.85</v>
      </c>
      <c r="D22" s="563">
        <v>8.3699999999999992</v>
      </c>
      <c r="E22" s="558" t="s">
        <v>1717</v>
      </c>
      <c r="F22" s="563">
        <v>0.84</v>
      </c>
      <c r="G22" s="564">
        <v>1.91</v>
      </c>
      <c r="H22" s="558" t="s">
        <v>1717</v>
      </c>
      <c r="I22" s="563">
        <v>0.88</v>
      </c>
      <c r="J22" s="564">
        <v>0.66</v>
      </c>
    </row>
    <row r="23" spans="2:10" x14ac:dyDescent="0.3">
      <c r="B23" s="558" t="s">
        <v>1712</v>
      </c>
      <c r="C23" s="565">
        <f>C21*C22</f>
        <v>5203558.1519999998</v>
      </c>
      <c r="D23" s="565">
        <f>D21*D22</f>
        <v>555612.48539999989</v>
      </c>
      <c r="E23" s="558" t="s">
        <v>1712</v>
      </c>
      <c r="F23" s="565">
        <f>F21*F22</f>
        <v>1434701.5536</v>
      </c>
      <c r="G23" s="566">
        <f>G21*G22</f>
        <v>225202.17899999997</v>
      </c>
      <c r="H23" s="558" t="s">
        <v>1712</v>
      </c>
      <c r="I23" s="565">
        <f>I21*I22</f>
        <v>1503020.6751999999</v>
      </c>
      <c r="J23" s="566">
        <f>J21*J22</f>
        <v>77818.554000000004</v>
      </c>
    </row>
    <row r="24" spans="2:10" x14ac:dyDescent="0.3">
      <c r="B24" s="558"/>
      <c r="C24" s="560"/>
      <c r="D24" s="571"/>
      <c r="E24" s="558"/>
      <c r="F24" s="560"/>
      <c r="G24" s="561"/>
      <c r="H24" s="558"/>
      <c r="I24" s="560"/>
      <c r="J24" s="561"/>
    </row>
    <row r="25" spans="2:10" x14ac:dyDescent="0.3">
      <c r="B25" s="558" t="s">
        <v>1730</v>
      </c>
      <c r="C25" s="571"/>
      <c r="D25" s="571"/>
      <c r="E25" s="558"/>
      <c r="F25" s="560"/>
      <c r="G25" s="561"/>
      <c r="H25" s="558"/>
      <c r="I25" s="560"/>
      <c r="J25" s="561"/>
    </row>
    <row r="26" spans="2:10" x14ac:dyDescent="0.3">
      <c r="B26" s="558" t="s">
        <v>1715</v>
      </c>
      <c r="C26" s="560">
        <f>'Customers and Consumption'!G56</f>
        <v>290236.77999999997</v>
      </c>
      <c r="D26" s="556">
        <f>'Customers and Consumption'!G63</f>
        <v>22156.42</v>
      </c>
      <c r="E26" s="558"/>
      <c r="F26" s="560"/>
      <c r="G26" s="561"/>
      <c r="H26" s="558"/>
      <c r="I26" s="560"/>
      <c r="J26" s="561"/>
    </row>
    <row r="27" spans="2:10" x14ac:dyDescent="0.3">
      <c r="B27" s="558" t="s">
        <v>1717</v>
      </c>
      <c r="C27" s="563">
        <v>7.23</v>
      </c>
      <c r="D27" s="563">
        <v>10.38</v>
      </c>
      <c r="E27" s="558"/>
      <c r="F27" s="563"/>
      <c r="G27" s="564"/>
      <c r="H27" s="558"/>
      <c r="I27" s="563"/>
      <c r="J27" s="564"/>
    </row>
    <row r="28" spans="2:10" x14ac:dyDescent="0.3">
      <c r="B28" s="558" t="s">
        <v>1712</v>
      </c>
      <c r="C28" s="565">
        <f>C26*C27</f>
        <v>2098411.9194</v>
      </c>
      <c r="D28" s="565">
        <f>D26*D27</f>
        <v>229983.63959999999</v>
      </c>
      <c r="E28" s="558"/>
      <c r="F28" s="565"/>
      <c r="G28" s="566"/>
      <c r="H28" s="558"/>
      <c r="I28" s="565"/>
      <c r="J28" s="566"/>
    </row>
    <row r="29" spans="2:10" x14ac:dyDescent="0.3">
      <c r="B29" s="558"/>
      <c r="C29" s="565"/>
      <c r="D29" s="565"/>
      <c r="E29" s="558"/>
      <c r="F29" s="565"/>
      <c r="G29" s="566"/>
      <c r="H29" s="558"/>
      <c r="I29" s="565"/>
      <c r="J29" s="566"/>
    </row>
    <row r="30" spans="2:10" x14ac:dyDescent="0.3">
      <c r="B30" s="558"/>
      <c r="C30" s="565"/>
      <c r="D30" s="571"/>
      <c r="E30" s="558"/>
      <c r="G30" s="566"/>
      <c r="H30" s="558"/>
      <c r="J30" s="566"/>
    </row>
    <row r="31" spans="2:10" x14ac:dyDescent="0.3">
      <c r="B31" s="558" t="s">
        <v>1729</v>
      </c>
      <c r="C31" s="571"/>
      <c r="D31" s="571"/>
      <c r="E31" s="558"/>
      <c r="F31" s="565"/>
      <c r="G31" s="566"/>
      <c r="H31" s="558"/>
      <c r="I31" s="565"/>
      <c r="J31" s="566"/>
    </row>
    <row r="32" spans="2:10" x14ac:dyDescent="0.3">
      <c r="B32" s="558" t="s">
        <v>1715</v>
      </c>
      <c r="C32" s="571">
        <f>'Customers and Consumption'!G57</f>
        <v>528244.14</v>
      </c>
      <c r="D32" s="556">
        <f>'Customers and Consumption'!G64</f>
        <v>29369.059999999998</v>
      </c>
      <c r="E32" s="558"/>
      <c r="F32" s="560"/>
      <c r="G32" s="561"/>
      <c r="H32" s="558"/>
      <c r="I32" s="560"/>
      <c r="J32" s="561"/>
    </row>
    <row r="33" spans="2:11" x14ac:dyDescent="0.3">
      <c r="B33" s="558" t="s">
        <v>1717</v>
      </c>
      <c r="C33" s="563">
        <v>8.6199999999999992</v>
      </c>
      <c r="D33" s="563">
        <v>12.39</v>
      </c>
      <c r="E33" s="558"/>
      <c r="F33" s="573"/>
      <c r="G33" s="574"/>
      <c r="H33" s="558"/>
      <c r="I33" s="573"/>
      <c r="J33" s="574"/>
    </row>
    <row r="34" spans="2:11" x14ac:dyDescent="0.3">
      <c r="B34" s="558" t="s">
        <v>1712</v>
      </c>
      <c r="C34" s="565">
        <f>C32*C33</f>
        <v>4553464.4868000001</v>
      </c>
      <c r="D34" s="565">
        <f>D32*D33</f>
        <v>363882.65340000001</v>
      </c>
      <c r="E34" s="558"/>
      <c r="F34" s="565"/>
      <c r="G34" s="566"/>
      <c r="H34" s="558"/>
      <c r="I34" s="565"/>
      <c r="J34" s="566"/>
    </row>
    <row r="35" spans="2:11" x14ac:dyDescent="0.3">
      <c r="B35" s="558"/>
      <c r="C35" s="565"/>
      <c r="D35" s="565"/>
      <c r="E35" s="558"/>
      <c r="F35" s="565"/>
      <c r="G35" s="566"/>
      <c r="H35" s="558"/>
      <c r="I35" s="565"/>
      <c r="J35" s="566"/>
    </row>
    <row r="36" spans="2:11" x14ac:dyDescent="0.3">
      <c r="B36" s="712" t="s">
        <v>1891</v>
      </c>
      <c r="C36" s="565"/>
      <c r="D36" s="565"/>
      <c r="E36" s="558"/>
      <c r="F36" s="565"/>
      <c r="G36" s="566"/>
      <c r="H36" s="558"/>
      <c r="I36" s="565"/>
      <c r="J36" s="566"/>
    </row>
    <row r="37" spans="2:11" x14ac:dyDescent="0.3">
      <c r="B37" s="558" t="s">
        <v>1715</v>
      </c>
      <c r="C37" s="571">
        <f>'Customers and Consumption'!G68</f>
        <v>16155.599999999999</v>
      </c>
      <c r="D37" s="565"/>
      <c r="E37" s="558"/>
      <c r="F37" s="565"/>
      <c r="G37" s="566"/>
      <c r="H37" s="558"/>
      <c r="I37" s="565"/>
      <c r="J37" s="566"/>
    </row>
    <row r="38" spans="2:11" ht="15" x14ac:dyDescent="0.25">
      <c r="B38" s="558" t="s">
        <v>1717</v>
      </c>
      <c r="C38" s="563">
        <f>'Water Rate Projections'!F23</f>
        <v>6.35</v>
      </c>
      <c r="D38" s="565"/>
      <c r="E38" s="558"/>
      <c r="F38" s="565"/>
      <c r="G38" s="566"/>
      <c r="H38" s="558"/>
      <c r="I38" s="565"/>
      <c r="J38" s="566"/>
    </row>
    <row r="39" spans="2:11" ht="15" x14ac:dyDescent="0.25">
      <c r="B39" s="558" t="s">
        <v>1712</v>
      </c>
      <c r="C39" s="565">
        <f>C37*C38</f>
        <v>102588.05999999998</v>
      </c>
      <c r="D39" s="571"/>
      <c r="E39" s="558"/>
      <c r="F39" s="565"/>
      <c r="G39" s="566"/>
      <c r="H39" s="558"/>
      <c r="I39" s="565"/>
      <c r="J39" s="566"/>
    </row>
    <row r="40" spans="2:11" ht="15.75" thickBot="1" x14ac:dyDescent="0.3">
      <c r="B40" s="558"/>
      <c r="C40" s="565"/>
      <c r="D40" s="571"/>
      <c r="E40" s="558"/>
      <c r="F40" s="565"/>
      <c r="G40" s="566"/>
      <c r="H40" s="558"/>
      <c r="I40" s="565"/>
      <c r="J40" s="566"/>
    </row>
    <row r="41" spans="2:11" ht="15" x14ac:dyDescent="0.25">
      <c r="B41" s="575" t="s">
        <v>1732</v>
      </c>
      <c r="C41" s="576">
        <f>C14</f>
        <v>1231632</v>
      </c>
      <c r="D41" s="576">
        <f>D14</f>
        <v>72306</v>
      </c>
      <c r="E41" s="575" t="s">
        <v>1718</v>
      </c>
      <c r="F41" s="576">
        <f>F13*F12*4</f>
        <v>0</v>
      </c>
      <c r="G41" s="577">
        <f>G13*G12*4</f>
        <v>0</v>
      </c>
      <c r="H41" s="575" t="s">
        <v>1718</v>
      </c>
      <c r="I41" s="576">
        <f>I13*I12*4</f>
        <v>0</v>
      </c>
      <c r="J41" s="577">
        <f>J13*J12*4</f>
        <v>0</v>
      </c>
    </row>
    <row r="42" spans="2:11" ht="15" x14ac:dyDescent="0.25">
      <c r="B42" s="558" t="s">
        <v>1719</v>
      </c>
      <c r="C42" s="565">
        <f>C23</f>
        <v>5203558.1519999998</v>
      </c>
      <c r="D42" s="565">
        <f>D23</f>
        <v>555612.48539999989</v>
      </c>
      <c r="E42" s="558" t="s">
        <v>1720</v>
      </c>
      <c r="F42" s="565">
        <f>F23</f>
        <v>1434701.5536</v>
      </c>
      <c r="G42" s="566">
        <f>G23</f>
        <v>225202.17899999997</v>
      </c>
      <c r="H42" s="558" t="s">
        <v>1720</v>
      </c>
      <c r="I42" s="565">
        <f>I23</f>
        <v>1503020.6751999999</v>
      </c>
      <c r="J42" s="566">
        <f>J23</f>
        <v>77818.554000000004</v>
      </c>
    </row>
    <row r="43" spans="2:11" ht="15" x14ac:dyDescent="0.25">
      <c r="B43" s="558" t="s">
        <v>1721</v>
      </c>
      <c r="C43" s="565">
        <f>C28</f>
        <v>2098411.9194</v>
      </c>
      <c r="D43" s="565">
        <f>D28</f>
        <v>229983.63959999999</v>
      </c>
      <c r="E43" s="558"/>
      <c r="F43" s="565"/>
      <c r="G43" s="561"/>
      <c r="H43" s="558"/>
      <c r="I43" s="565"/>
      <c r="J43" s="561"/>
    </row>
    <row r="44" spans="2:11" ht="15" x14ac:dyDescent="0.25">
      <c r="B44" s="558" t="s">
        <v>1722</v>
      </c>
      <c r="C44" s="565">
        <f>C34</f>
        <v>4553464.4868000001</v>
      </c>
      <c r="D44" s="565">
        <f>D34</f>
        <v>363882.65340000001</v>
      </c>
      <c r="E44" s="558"/>
      <c r="F44" s="565"/>
      <c r="G44" s="561"/>
      <c r="H44" s="558"/>
      <c r="I44" s="565"/>
      <c r="J44" s="561"/>
    </row>
    <row r="45" spans="2:11" ht="15" x14ac:dyDescent="0.25">
      <c r="B45" s="712" t="s">
        <v>1892</v>
      </c>
      <c r="C45" s="565">
        <f>C39</f>
        <v>102588.05999999998</v>
      </c>
      <c r="D45" s="565">
        <f>D39</f>
        <v>0</v>
      </c>
      <c r="E45" s="558"/>
      <c r="F45" s="565"/>
      <c r="G45" s="561"/>
      <c r="H45" s="558"/>
      <c r="I45" s="565"/>
      <c r="J45" s="561"/>
    </row>
    <row r="46" spans="2:11" ht="15" x14ac:dyDescent="0.25">
      <c r="B46" s="558"/>
      <c r="C46" s="578">
        <f>SUM(C41:C45)</f>
        <v>13189654.6182</v>
      </c>
      <c r="D46" s="578">
        <f>SUM(D41:D45)</f>
        <v>1221784.7784</v>
      </c>
      <c r="E46" s="558"/>
      <c r="F46" s="578">
        <f>SUM(F41:F45)</f>
        <v>1434701.5536</v>
      </c>
      <c r="G46" s="578">
        <f>SUM(G41:G45)</f>
        <v>225202.17899999997</v>
      </c>
      <c r="H46" s="558"/>
      <c r="I46" s="578">
        <f>SUM(I41:I45)</f>
        <v>1503020.6751999999</v>
      </c>
      <c r="J46" s="578">
        <f>SUM(J41:J45)</f>
        <v>77818.554000000004</v>
      </c>
      <c r="K46" s="558"/>
    </row>
    <row r="47" spans="2:11" ht="15" x14ac:dyDescent="0.25">
      <c r="B47" s="558"/>
      <c r="C47" s="584"/>
      <c r="D47" s="584"/>
      <c r="E47" s="558"/>
      <c r="F47" s="584"/>
      <c r="G47" s="585"/>
      <c r="H47" s="558"/>
      <c r="I47" s="584"/>
      <c r="J47" s="585"/>
    </row>
    <row r="48" spans="2:11" ht="14.25" customHeight="1" x14ac:dyDescent="0.25">
      <c r="B48" s="558" t="s">
        <v>1723</v>
      </c>
      <c r="C48" s="565">
        <f>C46+D46</f>
        <v>14411439.396600001</v>
      </c>
      <c r="D48" s="571"/>
      <c r="E48" s="558" t="s">
        <v>1723</v>
      </c>
      <c r="F48" s="565">
        <f>F46+G46</f>
        <v>1659903.7326</v>
      </c>
      <c r="G48" s="579"/>
      <c r="H48" s="558" t="s">
        <v>1723</v>
      </c>
      <c r="I48" s="565">
        <f>I46+J46</f>
        <v>1580839.2291999999</v>
      </c>
      <c r="J48" s="579"/>
    </row>
    <row r="49" spans="2:10" ht="15" x14ac:dyDescent="0.25">
      <c r="B49" s="602" t="s">
        <v>1756</v>
      </c>
      <c r="C49" s="565">
        <f>C5</f>
        <v>16187958</v>
      </c>
      <c r="D49" s="571"/>
      <c r="E49" s="602" t="s">
        <v>1756</v>
      </c>
      <c r="F49" s="565">
        <f>F5</f>
        <v>1956611</v>
      </c>
      <c r="G49" s="561"/>
      <c r="H49" s="602" t="s">
        <v>1756</v>
      </c>
      <c r="I49" s="565">
        <f>I5</f>
        <v>1783798</v>
      </c>
      <c r="J49" s="561"/>
    </row>
    <row r="50" spans="2:10" ht="15.75" thickBot="1" x14ac:dyDescent="0.3">
      <c r="B50" s="580" t="s">
        <v>1485</v>
      </c>
      <c r="C50" s="581">
        <f>C48-C49</f>
        <v>-1776518.6033999994</v>
      </c>
      <c r="D50" s="569"/>
      <c r="E50" s="580" t="s">
        <v>1485</v>
      </c>
      <c r="F50" s="581">
        <f>F48-F49</f>
        <v>-296707.26740000001</v>
      </c>
      <c r="G50" s="582"/>
      <c r="H50" s="580" t="s">
        <v>1485</v>
      </c>
      <c r="I50" s="581">
        <f>I48-I49</f>
        <v>-202958.77080000006</v>
      </c>
      <c r="J50" s="582"/>
    </row>
    <row r="51" spans="2:10" ht="15" x14ac:dyDescent="0.25">
      <c r="C51" s="583">
        <f>(C48-C49)/C49</f>
        <v>-0.10974321797721488</v>
      </c>
      <c r="F51" s="583">
        <f>(F48-F49)/F49</f>
        <v>-0.15164346280379698</v>
      </c>
      <c r="I51" s="583">
        <f>(I48-I49)/I49</f>
        <v>-0.11377901017940376</v>
      </c>
    </row>
  </sheetData>
  <printOptions horizontalCentered="1"/>
  <pageMargins left="0.2" right="0.2" top="0.2" bottom="0.2" header="0.3" footer="0.3"/>
  <pageSetup scale="6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93"/>
  <sheetViews>
    <sheetView zoomScale="90" zoomScaleNormal="90" workbookViewId="0">
      <pane ySplit="2" topLeftCell="A3" activePane="bottomLeft" state="frozen"/>
      <selection activeCell="B113" sqref="B113"/>
      <selection pane="bottomLeft" activeCell="M6" sqref="M6"/>
    </sheetView>
  </sheetViews>
  <sheetFormatPr defaultRowHeight="15.6" x14ac:dyDescent="0.3"/>
  <cols>
    <col min="2" max="2" width="9.59765625" bestFit="1" customWidth="1"/>
    <col min="3" max="3" width="27.59765625" bestFit="1" customWidth="1"/>
    <col min="4" max="10" width="8.8984375" bestFit="1" customWidth="1"/>
    <col min="11" max="11" width="9.3984375" bestFit="1" customWidth="1"/>
    <col min="12" max="12" width="57.19921875" bestFit="1" customWidth="1"/>
    <col min="13" max="13" width="14.09765625" bestFit="1" customWidth="1"/>
    <col min="14" max="14" width="16.59765625" bestFit="1" customWidth="1"/>
    <col min="15" max="16" width="10.8984375" bestFit="1" customWidth="1"/>
    <col min="17" max="17" width="8.8984375" bestFit="1" customWidth="1"/>
    <col min="18" max="18" width="22.69921875" bestFit="1" customWidth="1"/>
    <col min="19" max="19" width="24.8984375" bestFit="1" customWidth="1"/>
    <col min="20" max="20" width="26.09765625" bestFit="1" customWidth="1"/>
    <col min="21" max="21" width="41.3984375" bestFit="1" customWidth="1"/>
    <col min="23" max="23" width="65" bestFit="1" customWidth="1"/>
    <col min="24" max="24" width="11.8984375" bestFit="1" customWidth="1"/>
    <col min="25" max="25" width="9.8984375" bestFit="1" customWidth="1"/>
    <col min="26" max="26" width="15.09765625" bestFit="1" customWidth="1"/>
    <col min="27" max="27" width="19.3984375" bestFit="1" customWidth="1"/>
    <col min="28" max="28" width="1" customWidth="1"/>
    <col min="29" max="29" width="16.19921875" bestFit="1" customWidth="1"/>
    <col min="30" max="31" width="10.3984375" customWidth="1"/>
    <col min="32" max="32" width="13.8984375" customWidth="1"/>
  </cols>
  <sheetData>
    <row r="1" spans="2:32" x14ac:dyDescent="0.3">
      <c r="Z1">
        <v>0.88</v>
      </c>
      <c r="AA1" s="957">
        <f>'Stormwater Rate Projections'!F39</f>
        <v>1.2158628735762882E-2</v>
      </c>
    </row>
    <row r="2" spans="2:32" x14ac:dyDescent="0.3">
      <c r="D2" s="833" t="s">
        <v>1997</v>
      </c>
      <c r="E2" s="833" t="s">
        <v>1998</v>
      </c>
      <c r="F2" s="833" t="s">
        <v>1999</v>
      </c>
      <c r="G2" s="833" t="s">
        <v>2000</v>
      </c>
      <c r="H2" s="833" t="s">
        <v>2001</v>
      </c>
      <c r="I2" s="833" t="s">
        <v>1988</v>
      </c>
      <c r="J2" s="833" t="s">
        <v>1989</v>
      </c>
      <c r="K2" s="833" t="s">
        <v>1990</v>
      </c>
      <c r="L2" s="833" t="s">
        <v>1991</v>
      </c>
      <c r="M2" s="833" t="s">
        <v>1975</v>
      </c>
      <c r="N2" s="833" t="s">
        <v>1976</v>
      </c>
      <c r="O2" s="833" t="s">
        <v>1977</v>
      </c>
      <c r="P2" s="833" t="s">
        <v>1724</v>
      </c>
      <c r="Q2" s="833" t="s">
        <v>4</v>
      </c>
    </row>
    <row r="3" spans="2:32" ht="64.5" customHeight="1" x14ac:dyDescent="0.3">
      <c r="C3" t="s">
        <v>1693</v>
      </c>
      <c r="I3" s="832"/>
      <c r="J3" s="832"/>
      <c r="K3" s="832">
        <v>2824652</v>
      </c>
      <c r="L3" s="832">
        <v>2210556</v>
      </c>
      <c r="M3" s="832">
        <f>'Customers and Consumption'!C17</f>
        <v>2060040</v>
      </c>
      <c r="N3" s="832">
        <f>'Customers and Consumption'!D17</f>
        <v>2240181</v>
      </c>
      <c r="O3" s="832">
        <f>'Customers and Consumption'!E17</f>
        <v>2070378</v>
      </c>
      <c r="P3" s="832">
        <f>'Customers and Consumption'!F17</f>
        <v>1867974</v>
      </c>
      <c r="Q3" s="832">
        <v>1824578</v>
      </c>
      <c r="W3" s="1108" t="s">
        <v>2245</v>
      </c>
      <c r="X3" s="1108" t="s">
        <v>2141</v>
      </c>
      <c r="Y3" s="1107" t="s">
        <v>2139</v>
      </c>
      <c r="Z3" s="1107" t="s">
        <v>2241</v>
      </c>
      <c r="AA3" s="1107" t="s">
        <v>2242</v>
      </c>
      <c r="AB3" s="1109"/>
      <c r="AC3" s="1107" t="s">
        <v>2140</v>
      </c>
    </row>
    <row r="4" spans="2:32" x14ac:dyDescent="0.3">
      <c r="C4" t="s">
        <v>1978</v>
      </c>
      <c r="K4" s="834">
        <f>K3/'Customers and Consumption'!$G$32/(365+31+30+31)*1000</f>
        <v>270.99516696126432</v>
      </c>
      <c r="L4" s="834">
        <f>L3/'Customers and Consumption'!$G$32/365*1000</f>
        <v>265.53480393805586</v>
      </c>
      <c r="M4" s="834">
        <f>M3/'Customers and Consumption'!$G$32/365*1000</f>
        <v>247.45463019464449</v>
      </c>
      <c r="N4" s="834">
        <f>N3/'Customers and Consumption'!$G$32/365*1000</f>
        <v>269.09339669330149</v>
      </c>
      <c r="O4" s="834">
        <f>O3/'Customers and Consumption'!$G$32/365*1000</f>
        <v>248.69644392979151</v>
      </c>
      <c r="P4" s="834">
        <f>P3/'Customers and Consumption'!$G$32/365*1000</f>
        <v>224.3834174983063</v>
      </c>
      <c r="Q4" s="834">
        <f>Q3/'Customers and Consumption'!$G$32/365*1000</f>
        <v>219.1706346727656</v>
      </c>
      <c r="W4" s="1110" t="s">
        <v>2121</v>
      </c>
      <c r="X4" s="1111">
        <v>4</v>
      </c>
      <c r="Y4" s="1112">
        <v>958</v>
      </c>
      <c r="Z4" s="1113">
        <f>X4*$Z$1</f>
        <v>3.52</v>
      </c>
      <c r="AA4" s="1113">
        <f>Y4*$AA$1/6</f>
        <v>1.9413277214768068</v>
      </c>
      <c r="AB4" s="1110"/>
      <c r="AC4" s="1114">
        <f>AA4-Z4</f>
        <v>-1.5786722785231933</v>
      </c>
    </row>
    <row r="5" spans="2:32" x14ac:dyDescent="0.3">
      <c r="W5" s="1110" t="s">
        <v>2122</v>
      </c>
      <c r="X5" s="1111">
        <v>4</v>
      </c>
      <c r="Y5" s="1112">
        <v>1962</v>
      </c>
      <c r="Z5" s="1113">
        <f t="shared" ref="Z5:Z11" si="0">X5*$Z$1</f>
        <v>3.52</v>
      </c>
      <c r="AA5" s="1113">
        <f t="shared" ref="AA5:AA11" si="1">Y5*$AA$1/6</f>
        <v>3.9758715965944624</v>
      </c>
      <c r="AB5" s="1110"/>
      <c r="AC5" s="1114">
        <f t="shared" ref="AC5:AC11" si="2">AA5-Z5</f>
        <v>0.45587159659446241</v>
      </c>
    </row>
    <row r="6" spans="2:32" x14ac:dyDescent="0.3">
      <c r="C6" t="s">
        <v>1994</v>
      </c>
      <c r="D6" s="832">
        <v>2516530</v>
      </c>
      <c r="E6" s="832">
        <v>2528335</v>
      </c>
      <c r="F6" s="832">
        <v>2286033</v>
      </c>
      <c r="G6" s="832">
        <v>2538549</v>
      </c>
      <c r="H6" s="832">
        <f>'[3]8A Consumption-Customers'!$G$33+'[3]8A Consumption-Customers'!$G$34+'[3]8A Consumption-Customers'!$G$35</f>
        <v>2562750.4899999998</v>
      </c>
      <c r="I6" s="832">
        <f>'[3]8B Cons-Cust Projections'!$G$150</f>
        <v>2408905.91</v>
      </c>
      <c r="J6" s="832">
        <f>'[3]8B Cons-Cust Projections'!$H$150</f>
        <v>2380833.9700000002</v>
      </c>
      <c r="K6" s="832">
        <f>'[3]8B Cons-Cust Projections'!$I$150</f>
        <v>2873752.98</v>
      </c>
      <c r="L6" s="832">
        <f>'[3]8B Cons-Cust Projections'!$J$150</f>
        <v>2210555</v>
      </c>
      <c r="M6" s="832">
        <f>'[3]8B Cons-Cust Projections'!$K$150</f>
        <v>2122758</v>
      </c>
      <c r="N6" s="832">
        <f>'[3]8B Cons-Cust Projections'!$L$150</f>
        <v>2377727.4300000002</v>
      </c>
      <c r="O6" s="832">
        <f>'[3]8B Cons-Cust Projections'!$M$150</f>
        <v>2204336.69</v>
      </c>
      <c r="P6" s="832">
        <v>1867589</v>
      </c>
      <c r="Q6" s="832">
        <v>1824578</v>
      </c>
      <c r="R6" s="832"/>
      <c r="S6" s="832"/>
      <c r="W6" s="1110" t="s">
        <v>2123</v>
      </c>
      <c r="X6" s="1111">
        <v>11</v>
      </c>
      <c r="Y6" s="1112">
        <v>4027</v>
      </c>
      <c r="Z6" s="1113">
        <f t="shared" si="0"/>
        <v>9.68</v>
      </c>
      <c r="AA6" s="1113">
        <f t="shared" si="1"/>
        <v>8.1604663198195215</v>
      </c>
      <c r="AB6" s="1110"/>
      <c r="AC6" s="1114">
        <f t="shared" si="2"/>
        <v>-1.5195336801804782</v>
      </c>
    </row>
    <row r="7" spans="2:32" x14ac:dyDescent="0.3">
      <c r="B7" s="845" t="s">
        <v>1995</v>
      </c>
      <c r="C7" t="s">
        <v>1992</v>
      </c>
      <c r="D7" s="832"/>
      <c r="E7" s="832"/>
      <c r="F7" s="832"/>
      <c r="G7" s="832">
        <v>22205</v>
      </c>
      <c r="H7" s="832">
        <v>22570</v>
      </c>
      <c r="I7" s="832">
        <v>22789</v>
      </c>
      <c r="J7" s="832">
        <v>22903</v>
      </c>
      <c r="K7" s="832">
        <v>22991</v>
      </c>
      <c r="L7" s="832">
        <v>23002</v>
      </c>
      <c r="M7" s="832">
        <v>23044</v>
      </c>
      <c r="N7" s="832">
        <v>23079</v>
      </c>
      <c r="O7" s="832">
        <v>23092</v>
      </c>
      <c r="P7" s="832">
        <v>23546</v>
      </c>
      <c r="Q7" s="832">
        <v>23700</v>
      </c>
      <c r="W7" s="1110" t="s">
        <v>2123</v>
      </c>
      <c r="X7" s="1111">
        <v>10</v>
      </c>
      <c r="Y7" s="1112">
        <v>4349</v>
      </c>
      <c r="Z7" s="1113">
        <f t="shared" si="0"/>
        <v>8.8000000000000007</v>
      </c>
      <c r="AA7" s="1113">
        <f t="shared" si="1"/>
        <v>8.8129793953054634</v>
      </c>
      <c r="AB7" s="1110"/>
      <c r="AC7" s="1114">
        <f t="shared" si="2"/>
        <v>1.297939530546266E-2</v>
      </c>
    </row>
    <row r="8" spans="2:32" x14ac:dyDescent="0.3">
      <c r="C8" t="s">
        <v>1993</v>
      </c>
      <c r="D8" s="832"/>
      <c r="E8" s="832"/>
      <c r="F8" s="832"/>
      <c r="G8" s="832">
        <f t="shared" ref="G8" si="3">G6/G7/365*1000</f>
        <v>313.21453578578189</v>
      </c>
      <c r="H8" s="832">
        <f t="shared" ref="H8" si="4">H6/H7/365*1000</f>
        <v>311.08702787674264</v>
      </c>
      <c r="I8" s="832">
        <f>I6/I7/365*1000</f>
        <v>289.6020983447313</v>
      </c>
      <c r="J8" s="832">
        <f t="shared" ref="J8:Q8" si="5">J6/J7/365*1000</f>
        <v>284.8025496450486</v>
      </c>
      <c r="K8" s="832">
        <f>K6/K7/(365+31+30+31)*1000</f>
        <v>273.511362594839</v>
      </c>
      <c r="L8" s="832">
        <f t="shared" si="5"/>
        <v>263.29515122568262</v>
      </c>
      <c r="M8" s="832">
        <f t="shared" si="5"/>
        <v>252.3769893449815</v>
      </c>
      <c r="N8" s="832">
        <f t="shared" si="5"/>
        <v>282.26187122611026</v>
      </c>
      <c r="O8" s="832">
        <f t="shared" si="5"/>
        <v>261.53120573097721</v>
      </c>
      <c r="P8" s="832">
        <f t="shared" si="5"/>
        <v>217.30579256692525</v>
      </c>
      <c r="Q8" s="832">
        <f t="shared" si="5"/>
        <v>210.9216808276978</v>
      </c>
      <c r="W8" s="1110" t="s">
        <v>2124</v>
      </c>
      <c r="X8" s="1111">
        <v>14</v>
      </c>
      <c r="Y8" s="1112">
        <v>11725</v>
      </c>
      <c r="Z8" s="1113">
        <f t="shared" si="0"/>
        <v>12.32</v>
      </c>
      <c r="AA8" s="1113">
        <f t="shared" si="1"/>
        <v>23.759986987803298</v>
      </c>
      <c r="AB8" s="1110"/>
      <c r="AC8" s="1114">
        <f t="shared" si="2"/>
        <v>11.439986987803298</v>
      </c>
    </row>
    <row r="9" spans="2:32" x14ac:dyDescent="0.3">
      <c r="D9" s="832"/>
      <c r="E9" s="832"/>
      <c r="F9" s="832"/>
      <c r="G9" s="832"/>
      <c r="H9" s="832"/>
      <c r="I9" s="832"/>
      <c r="J9" s="832"/>
      <c r="K9" s="832"/>
      <c r="L9" s="832"/>
      <c r="M9" s="832"/>
      <c r="N9" s="832"/>
      <c r="O9" s="832"/>
      <c r="P9" s="832"/>
      <c r="Q9" s="832"/>
      <c r="W9" s="1110" t="s">
        <v>1621</v>
      </c>
      <c r="X9" s="1111">
        <v>18</v>
      </c>
      <c r="Y9" s="1112">
        <v>158816</v>
      </c>
      <c r="Z9" s="1113">
        <f t="shared" si="0"/>
        <v>15.84</v>
      </c>
      <c r="AA9" s="1113">
        <f t="shared" si="1"/>
        <v>321.83079688315297</v>
      </c>
      <c r="AB9" s="1110"/>
      <c r="AC9" s="1114">
        <f t="shared" si="2"/>
        <v>305.990796883153</v>
      </c>
    </row>
    <row r="10" spans="2:32" x14ac:dyDescent="0.3">
      <c r="C10" t="s">
        <v>1996</v>
      </c>
      <c r="D10" s="832">
        <f>D6-194768</f>
        <v>2321762</v>
      </c>
      <c r="E10" s="832">
        <f>E6-105191</f>
        <v>2423144</v>
      </c>
      <c r="F10" s="832">
        <f>F6-32459</f>
        <v>2253574</v>
      </c>
      <c r="G10" s="832">
        <f>G6-31571</f>
        <v>2506978</v>
      </c>
      <c r="H10" s="832">
        <f>'[3]8A Consumption-Customers'!$G$33+'[3]8A Consumption-Customers'!$G$35</f>
        <v>2529956.4899999998</v>
      </c>
      <c r="I10" s="832">
        <f>'[3]8B Cons-Cust Projections'!G$151</f>
        <v>2362533.91</v>
      </c>
      <c r="J10" s="832">
        <f>'[3]8B Cons-Cust Projections'!H$151</f>
        <v>2336653.9900000002</v>
      </c>
      <c r="K10" s="832">
        <f>'[3]8B Cons-Cust Projections'!I$151</f>
        <v>2824651.98</v>
      </c>
      <c r="L10" s="832">
        <f>'[3]8B Cons-Cust Projections'!J$151</f>
        <v>2125514</v>
      </c>
      <c r="M10" s="832">
        <f>'[3]8B Cons-Cust Projections'!K$151</f>
        <v>2060040</v>
      </c>
      <c r="N10" s="832">
        <f>'[3]8B Cons-Cust Projections'!L$151</f>
        <v>2240180.4400000004</v>
      </c>
      <c r="O10" s="832">
        <f>'[3]8B Cons-Cust Projections'!M$151</f>
        <v>2070377.5699999998</v>
      </c>
      <c r="P10" s="832">
        <f>'[3]8B Cons-Cust Projections'!N$151</f>
        <v>1867589</v>
      </c>
      <c r="Q10" s="832">
        <v>1824578</v>
      </c>
      <c r="W10" s="1110" t="s">
        <v>1632</v>
      </c>
      <c r="X10" s="1111">
        <v>129</v>
      </c>
      <c r="Y10" s="1112">
        <v>404649</v>
      </c>
      <c r="Z10" s="1113">
        <f t="shared" si="0"/>
        <v>113.52</v>
      </c>
      <c r="AA10" s="1113">
        <f t="shared" si="1"/>
        <v>819.99615988295238</v>
      </c>
      <c r="AB10" s="1110"/>
      <c r="AC10" s="1114">
        <f t="shared" si="2"/>
        <v>706.4761598829524</v>
      </c>
    </row>
    <row r="11" spans="2:32" x14ac:dyDescent="0.3">
      <c r="B11" s="845" t="s">
        <v>1995</v>
      </c>
      <c r="C11" t="s">
        <v>1992</v>
      </c>
      <c r="G11" s="832">
        <v>22205</v>
      </c>
      <c r="H11" s="832">
        <v>22570</v>
      </c>
      <c r="I11" s="832">
        <v>22789</v>
      </c>
      <c r="J11" s="832">
        <v>22903</v>
      </c>
      <c r="K11" s="832">
        <v>22991</v>
      </c>
      <c r="L11" s="832">
        <v>23002</v>
      </c>
      <c r="M11" s="832">
        <v>23044</v>
      </c>
      <c r="N11" s="832">
        <v>23079</v>
      </c>
      <c r="O11" s="832">
        <v>23092</v>
      </c>
      <c r="P11" s="832">
        <v>23546</v>
      </c>
      <c r="Q11" s="832">
        <v>23700</v>
      </c>
      <c r="W11" s="1110" t="s">
        <v>2142</v>
      </c>
      <c r="X11" s="1111">
        <v>75</v>
      </c>
      <c r="Y11" s="1112">
        <v>39453</v>
      </c>
      <c r="Z11" s="1113">
        <f t="shared" si="0"/>
        <v>66</v>
      </c>
      <c r="AA11" s="1113">
        <f t="shared" si="1"/>
        <v>79.949063252008827</v>
      </c>
      <c r="AB11" s="1110"/>
      <c r="AC11" s="1114">
        <f t="shared" si="2"/>
        <v>13.949063252008827</v>
      </c>
    </row>
    <row r="12" spans="2:32" x14ac:dyDescent="0.3">
      <c r="C12" t="s">
        <v>1993</v>
      </c>
      <c r="G12" s="832">
        <f t="shared" ref="G12:H12" si="6">G10/G11/365*1000</f>
        <v>309.31920183347574</v>
      </c>
      <c r="H12" s="832">
        <f t="shared" si="6"/>
        <v>307.10623145040387</v>
      </c>
      <c r="I12" s="832">
        <f>I10/I11/365*1000</f>
        <v>284.02719047942503</v>
      </c>
      <c r="J12" s="832">
        <f t="shared" ref="J12" si="7">J10/J11/365*1000</f>
        <v>279.51760701325844</v>
      </c>
      <c r="K12" s="832">
        <f>K10/K11/(365+31+30+31)*1000</f>
        <v>268.83814206815015</v>
      </c>
      <c r="L12" s="832">
        <f t="shared" ref="L12" si="8">L10/L11/365*1000</f>
        <v>253.16607370651511</v>
      </c>
      <c r="M12" s="832">
        <f t="shared" ref="M12" si="9">M10/M11/365*1000</f>
        <v>244.92037864430878</v>
      </c>
      <c r="N12" s="832">
        <f t="shared" ref="N12" si="10">N10/N11/365*1000</f>
        <v>265.93356113931486</v>
      </c>
      <c r="O12" s="832">
        <f t="shared" ref="O12" si="11">O10/O11/365*1000</f>
        <v>245.63776697854203</v>
      </c>
      <c r="P12" s="832">
        <f t="shared" ref="P12" si="12">P10/P11/365*1000</f>
        <v>217.30579256692525</v>
      </c>
      <c r="Q12" s="832">
        <f t="shared" ref="Q12" si="13">Q10/Q11/365*1000</f>
        <v>210.9216808276978</v>
      </c>
    </row>
    <row r="13" spans="2:32" x14ac:dyDescent="0.3">
      <c r="G13" s="832"/>
      <c r="H13" s="847">
        <f>(H11-G11)/G11</f>
        <v>1.6437739247917135E-2</v>
      </c>
      <c r="I13" s="847">
        <f t="shared" ref="I13:Q13" si="14">(I11-H11)/H11</f>
        <v>9.7031457687195392E-3</v>
      </c>
      <c r="J13" s="847">
        <f t="shared" si="14"/>
        <v>5.0024134450831542E-3</v>
      </c>
      <c r="K13" s="847">
        <f t="shared" si="14"/>
        <v>3.8422914028729861E-3</v>
      </c>
      <c r="L13" s="847">
        <f t="shared" si="14"/>
        <v>4.7844808838241052E-4</v>
      </c>
      <c r="M13" s="847">
        <f t="shared" si="14"/>
        <v>1.8259281801582471E-3</v>
      </c>
      <c r="N13" s="847">
        <f t="shared" si="14"/>
        <v>1.5188335358444715E-3</v>
      </c>
      <c r="O13" s="847">
        <f t="shared" si="14"/>
        <v>5.6328263789592273E-4</v>
      </c>
      <c r="P13" s="847">
        <f t="shared" si="14"/>
        <v>1.9660488480859172E-2</v>
      </c>
      <c r="Q13" s="847">
        <f t="shared" si="14"/>
        <v>6.5403890257368551E-3</v>
      </c>
    </row>
    <row r="14" spans="2:32" x14ac:dyDescent="0.3">
      <c r="B14" s="413"/>
      <c r="C14" s="413" t="s">
        <v>2002</v>
      </c>
      <c r="D14" s="413"/>
      <c r="E14" s="413"/>
      <c r="F14" s="413"/>
      <c r="G14" s="846"/>
      <c r="H14" s="846"/>
      <c r="I14" s="846"/>
      <c r="J14" s="846"/>
      <c r="K14" s="846">
        <v>342</v>
      </c>
      <c r="L14" s="846">
        <v>263</v>
      </c>
      <c r="M14" s="846">
        <v>245</v>
      </c>
      <c r="N14" s="846">
        <v>266</v>
      </c>
      <c r="O14" s="846">
        <v>246</v>
      </c>
      <c r="P14" s="846">
        <v>216</v>
      </c>
      <c r="Q14" s="846">
        <v>212</v>
      </c>
    </row>
    <row r="15" spans="2:32" ht="18" x14ac:dyDescent="0.35">
      <c r="K15" t="s">
        <v>2003</v>
      </c>
      <c r="L15" t="s">
        <v>2004</v>
      </c>
      <c r="R15" s="1095" t="s">
        <v>2150</v>
      </c>
      <c r="S15" s="1100" t="s">
        <v>2155</v>
      </c>
      <c r="T15" s="1096" t="s">
        <v>2156</v>
      </c>
      <c r="U15" s="962"/>
      <c r="AD15" s="974"/>
      <c r="AE15" s="962"/>
      <c r="AF15" s="962"/>
    </row>
    <row r="16" spans="2:32" ht="18" x14ac:dyDescent="0.35">
      <c r="R16" s="1104" t="s">
        <v>2151</v>
      </c>
      <c r="S16" s="1101">
        <f>'2014 Allocated Consuption'!Q9</f>
        <v>0.33089906382831707</v>
      </c>
      <c r="T16" s="1097">
        <f>'2014 Allocated Consuption'!N9</f>
        <v>0.32277538755719454</v>
      </c>
      <c r="U16" s="834"/>
      <c r="AC16" s="413"/>
      <c r="AD16" s="833"/>
      <c r="AE16" s="833"/>
      <c r="AF16" s="973"/>
    </row>
    <row r="17" spans="18:32" ht="18" x14ac:dyDescent="0.35">
      <c r="R17" s="1105" t="s">
        <v>2152</v>
      </c>
      <c r="S17" s="1102">
        <f>'2014 Allocated Consuption'!Q10</f>
        <v>0.3844317596594326</v>
      </c>
      <c r="T17" s="1098">
        <f>'2014 Allocated Consuption'!N10</f>
        <v>0.39084886976712424</v>
      </c>
      <c r="U17" s="1116" t="s">
        <v>2247</v>
      </c>
      <c r="AC17" s="413"/>
      <c r="AD17" s="833"/>
      <c r="AE17" s="833"/>
      <c r="AF17" s="973"/>
    </row>
    <row r="18" spans="18:32" ht="18" x14ac:dyDescent="0.35">
      <c r="R18" s="1104" t="s">
        <v>2153</v>
      </c>
      <c r="S18" s="1101">
        <f>'2014 Allocated Consuption'!Q11</f>
        <v>0.43258343868998583</v>
      </c>
      <c r="T18" s="1097">
        <f>'2014 Allocated Consuption'!N11</f>
        <v>0.46016526668032509</v>
      </c>
      <c r="U18" s="834"/>
    </row>
    <row r="19" spans="18:32" ht="18" x14ac:dyDescent="0.35">
      <c r="R19" s="1105" t="s">
        <v>2154</v>
      </c>
      <c r="S19" s="1102">
        <f>'2014 Allocated Consuption'!Q12</f>
        <v>0.47525585201771936</v>
      </c>
      <c r="T19" s="1098">
        <f>'2014 Allocated Consuption'!N12</f>
        <v>0.52735095267363241</v>
      </c>
      <c r="U19" s="1116" t="s">
        <v>2248</v>
      </c>
    </row>
    <row r="20" spans="18:32" ht="18" x14ac:dyDescent="0.35">
      <c r="R20" s="1106" t="s">
        <v>2240</v>
      </c>
      <c r="S20" s="1103">
        <f>'2014 Allocated Consuption'!Q13</f>
        <v>0.5126174263322173</v>
      </c>
      <c r="T20" s="1099">
        <f>'2014 Allocated Consuption'!N13</f>
        <v>0.58909376493887866</v>
      </c>
      <c r="U20" s="834"/>
    </row>
    <row r="21" spans="18:32" x14ac:dyDescent="0.3">
      <c r="S21" s="961"/>
      <c r="T21" s="961"/>
      <c r="U21" s="834"/>
    </row>
    <row r="23" spans="18:32" x14ac:dyDescent="0.3">
      <c r="W23" s="1115" t="s">
        <v>2246</v>
      </c>
    </row>
    <row r="24" spans="18:32" x14ac:dyDescent="0.3">
      <c r="W24" s="1115" t="s">
        <v>2243</v>
      </c>
    </row>
    <row r="25" spans="18:32" x14ac:dyDescent="0.3">
      <c r="W25" s="1109" t="s">
        <v>2244</v>
      </c>
    </row>
    <row r="26" spans="18:32" x14ac:dyDescent="0.3">
      <c r="W26" s="1109" t="s">
        <v>2249</v>
      </c>
    </row>
    <row r="35" spans="12:21" x14ac:dyDescent="0.3">
      <c r="M35" s="833" t="s">
        <v>1724</v>
      </c>
      <c r="N35" s="833" t="s">
        <v>4</v>
      </c>
      <c r="O35" s="833" t="s">
        <v>1596</v>
      </c>
      <c r="P35" s="833" t="s">
        <v>1597</v>
      </c>
      <c r="Q35" s="833" t="s">
        <v>1598</v>
      </c>
      <c r="R35" s="833" t="s">
        <v>1599</v>
      </c>
      <c r="S35" s="833" t="s">
        <v>1601</v>
      </c>
      <c r="T35" s="833" t="s">
        <v>1604</v>
      </c>
      <c r="U35" s="833" t="s">
        <v>1605</v>
      </c>
    </row>
    <row r="36" spans="12:21" x14ac:dyDescent="0.3">
      <c r="L36" s="845" t="str">
        <f>'Customers and Consumption'!B21</f>
        <v>Incorporated Customers</v>
      </c>
      <c r="M36" s="832">
        <f>'Customers and Consumption'!F32</f>
        <v>22778</v>
      </c>
      <c r="N36" s="832">
        <f>'Customers and Consumption'!G32</f>
        <v>22808</v>
      </c>
      <c r="O36" s="832">
        <f>'Customers and Consumption'!H32</f>
        <v>22911</v>
      </c>
      <c r="P36" s="832">
        <f>'Customers and Consumption'!I32</f>
        <v>23020</v>
      </c>
      <c r="Q36" s="832">
        <f>'Customers and Consumption'!J32</f>
        <v>23126</v>
      </c>
      <c r="R36" s="832">
        <f>'Customers and Consumption'!K32</f>
        <v>23232</v>
      </c>
      <c r="S36" s="832">
        <f>'Customers and Consumption'!M32</f>
        <v>23338</v>
      </c>
      <c r="T36" s="832">
        <f>'Customers and Consumption'!P32</f>
        <v>23338</v>
      </c>
      <c r="U36" s="832">
        <f>'Customers and Consumption'!Q32</f>
        <v>23338</v>
      </c>
    </row>
    <row r="37" spans="12:21" x14ac:dyDescent="0.3">
      <c r="L37" s="845" t="str">
        <f>'Customers and Consumption'!B34</f>
        <v>Unincorporated Customers</v>
      </c>
      <c r="M37" s="832">
        <f>'Customers and Consumption'!F43</f>
        <v>1327</v>
      </c>
      <c r="N37" s="832">
        <f>'Customers and Consumption'!G43</f>
        <v>1339</v>
      </c>
      <c r="O37" s="832">
        <f>'Customers and Consumption'!H43</f>
        <v>1339</v>
      </c>
      <c r="P37" s="832">
        <f>'Customers and Consumption'!I43</f>
        <v>1339</v>
      </c>
      <c r="Q37" s="832">
        <f>'Customers and Consumption'!J43</f>
        <v>1339</v>
      </c>
      <c r="R37" s="832">
        <f>'Customers and Consumption'!K43</f>
        <v>1339</v>
      </c>
      <c r="S37" s="832">
        <f>'Customers and Consumption'!M43</f>
        <v>1339</v>
      </c>
      <c r="T37" s="832">
        <f>'Customers and Consumption'!P43</f>
        <v>1339</v>
      </c>
      <c r="U37" s="832">
        <f>'Customers and Consumption'!Q43</f>
        <v>1339</v>
      </c>
    </row>
    <row r="38" spans="12:21" x14ac:dyDescent="0.3">
      <c r="L38" s="845" t="s">
        <v>1979</v>
      </c>
      <c r="M38" s="832">
        <f>'Customers and Consumption'!F48</f>
        <v>2</v>
      </c>
      <c r="N38" s="832">
        <f>'Customers and Consumption'!G48</f>
        <v>2</v>
      </c>
      <c r="O38" s="832">
        <f>'Customers and Consumption'!H48</f>
        <v>2</v>
      </c>
      <c r="P38" s="832">
        <f>'Customers and Consumption'!I48</f>
        <v>2</v>
      </c>
      <c r="Q38" s="832">
        <f>'Customers and Consumption'!J48</f>
        <v>2</v>
      </c>
      <c r="R38" s="832">
        <f>'Customers and Consumption'!K48</f>
        <v>2</v>
      </c>
      <c r="S38" s="832">
        <f>'Customers and Consumption'!M48</f>
        <v>2</v>
      </c>
      <c r="T38" s="832">
        <f>'Customers and Consumption'!P48</f>
        <v>2</v>
      </c>
      <c r="U38" s="832">
        <f>'Customers and Consumption'!Q48</f>
        <v>2</v>
      </c>
    </row>
    <row r="39" spans="12:21" x14ac:dyDescent="0.3">
      <c r="M39" s="832">
        <f>SUM(M36:M38)</f>
        <v>24107</v>
      </c>
      <c r="N39" s="832">
        <f t="shared" ref="N39:U39" si="15">SUM(N36:N38)</f>
        <v>24149</v>
      </c>
      <c r="O39" s="832">
        <f t="shared" si="15"/>
        <v>24252</v>
      </c>
      <c r="P39" s="832">
        <f t="shared" si="15"/>
        <v>24361</v>
      </c>
      <c r="Q39" s="832">
        <f t="shared" si="15"/>
        <v>24467</v>
      </c>
      <c r="R39" s="832">
        <f t="shared" si="15"/>
        <v>24573</v>
      </c>
      <c r="S39" s="832">
        <f t="shared" si="15"/>
        <v>24679</v>
      </c>
      <c r="T39" s="832">
        <f t="shared" si="15"/>
        <v>24679</v>
      </c>
      <c r="U39" s="832">
        <f t="shared" si="15"/>
        <v>24679</v>
      </c>
    </row>
    <row r="40" spans="12:21" x14ac:dyDescent="0.3">
      <c r="N40" s="835">
        <f>(N39-M39)/M39</f>
        <v>1.7422325465632389E-3</v>
      </c>
      <c r="O40" s="835">
        <f t="shared" ref="O40:U40" si="16">(O39-N39)/N39</f>
        <v>4.2651869642635308E-3</v>
      </c>
      <c r="P40" s="835">
        <f t="shared" si="16"/>
        <v>4.4944746825004121E-3</v>
      </c>
      <c r="Q40" s="835">
        <f t="shared" si="16"/>
        <v>4.3512171093140675E-3</v>
      </c>
      <c r="R40" s="835">
        <f t="shared" si="16"/>
        <v>4.3323660440593454E-3</v>
      </c>
      <c r="S40" s="835" t="e">
        <f>(S39-#REF!)/#REF!</f>
        <v>#REF!</v>
      </c>
      <c r="T40" s="835" t="e">
        <f>(T39-#REF!)/#REF!</f>
        <v>#REF!</v>
      </c>
      <c r="U40" s="835">
        <f t="shared" si="16"/>
        <v>0</v>
      </c>
    </row>
    <row r="59" spans="9:16" x14ac:dyDescent="0.3">
      <c r="L59" t="s">
        <v>1980</v>
      </c>
      <c r="M59" s="837" t="s">
        <v>1983</v>
      </c>
      <c r="N59" s="837" t="s">
        <v>1982</v>
      </c>
      <c r="O59" s="837" t="s">
        <v>1981</v>
      </c>
      <c r="P59" s="837" t="s">
        <v>14</v>
      </c>
    </row>
    <row r="60" spans="9:16" x14ac:dyDescent="0.3">
      <c r="L60" t="s">
        <v>16</v>
      </c>
      <c r="M60" s="838">
        <f>SUM('Capital Improvement Plan'!F29:J29)</f>
        <v>10830000</v>
      </c>
      <c r="N60" s="838">
        <f>SUM('Capital Improvement Plan'!F30:J30)</f>
        <v>0</v>
      </c>
      <c r="O60" s="838">
        <f>SUM('Capital Improvement Plan'!F28:J28)</f>
        <v>7800000</v>
      </c>
      <c r="P60" s="839">
        <f>SUM(M60:O60)</f>
        <v>18630000</v>
      </c>
    </row>
    <row r="61" spans="9:16" x14ac:dyDescent="0.3">
      <c r="L61" t="s">
        <v>24</v>
      </c>
      <c r="M61" s="838">
        <f>SUM('Capital Improvement Plan'!F65:J65)</f>
        <v>2720000</v>
      </c>
      <c r="N61" s="838">
        <f>SUM('Capital Improvement Plan'!F66:J66)</f>
        <v>0</v>
      </c>
      <c r="O61" s="838">
        <f>SUM('Capital Improvement Plan'!F64:J64)</f>
        <v>0</v>
      </c>
      <c r="P61" s="839">
        <f t="shared" ref="P61:P62" si="17">SUM(M61:O61)</f>
        <v>2720000</v>
      </c>
    </row>
    <row r="62" spans="9:16" x14ac:dyDescent="0.3">
      <c r="L62" t="s">
        <v>358</v>
      </c>
      <c r="M62" s="838">
        <f>SUM('Capital Improvement Plan'!F100:J100)</f>
        <v>4589127</v>
      </c>
      <c r="N62" s="838">
        <f>SUM('Capital Improvement Plan'!F101:J101)</f>
        <v>0</v>
      </c>
      <c r="O62" s="838">
        <f>SUM('Capital Improvement Plan'!F99:J99)</f>
        <v>7995400</v>
      </c>
      <c r="P62" s="839">
        <f t="shared" si="17"/>
        <v>12584527</v>
      </c>
    </row>
    <row r="63" spans="9:16" x14ac:dyDescent="0.3">
      <c r="I63" s="413"/>
      <c r="J63" s="413"/>
      <c r="K63" s="413"/>
      <c r="L63" s="413" t="s">
        <v>14</v>
      </c>
      <c r="M63" s="839">
        <f>SUM(M60:M62)</f>
        <v>18139127</v>
      </c>
      <c r="N63" s="839">
        <f t="shared" ref="N63:P63" si="18">SUM(N60:N62)</f>
        <v>0</v>
      </c>
      <c r="O63" s="839">
        <f t="shared" si="18"/>
        <v>15795400</v>
      </c>
      <c r="P63" s="839">
        <f t="shared" si="18"/>
        <v>33934527</v>
      </c>
    </row>
    <row r="66" spans="11:16" x14ac:dyDescent="0.3">
      <c r="K66" s="849"/>
      <c r="L66" s="849"/>
      <c r="M66" s="848" t="s">
        <v>16</v>
      </c>
      <c r="N66" s="848" t="s">
        <v>24</v>
      </c>
      <c r="O66" s="848" t="s">
        <v>314</v>
      </c>
      <c r="P66" s="848" t="s">
        <v>14</v>
      </c>
    </row>
    <row r="67" spans="11:16" hidden="1" x14ac:dyDescent="0.3">
      <c r="K67" s="849"/>
      <c r="L67" s="849" t="s">
        <v>1984</v>
      </c>
      <c r="M67" s="850" t="e">
        <f>'Cash Flows and Cash Balances'!#REF!</f>
        <v>#REF!</v>
      </c>
      <c r="N67" s="850" t="e">
        <f>'Cash Flows and Cash Balances'!#REF!</f>
        <v>#REF!</v>
      </c>
      <c r="O67" s="850" t="e">
        <f>'Cash Flows and Cash Balances'!#REF!</f>
        <v>#REF!</v>
      </c>
      <c r="P67" s="850" t="e">
        <f>SUM(M67:O67)</f>
        <v>#REF!</v>
      </c>
    </row>
    <row r="68" spans="11:16" x14ac:dyDescent="0.3">
      <c r="K68" s="849"/>
      <c r="L68" s="851" t="s">
        <v>2006</v>
      </c>
      <c r="M68" s="850">
        <f>'Asset Replacement'!D30*'Asset Replacement'!D31</f>
        <v>3866398.9673773381</v>
      </c>
      <c r="N68" s="850">
        <f>'Asset Replacement'!D59*'Asset Replacement'!D60</f>
        <v>1927646.9643778261</v>
      </c>
      <c r="O68" s="850">
        <f>'Asset Replacement'!D88*'Asset Replacement'!D89</f>
        <v>1921417.8341829064</v>
      </c>
      <c r="P68" s="850">
        <f>SUM(M68:O68)</f>
        <v>7715463.7659380715</v>
      </c>
    </row>
    <row r="69" spans="11:16" ht="21" customHeight="1" x14ac:dyDescent="0.3">
      <c r="K69" s="849"/>
      <c r="L69" s="851" t="s">
        <v>2005</v>
      </c>
      <c r="M69" s="850">
        <v>3830919</v>
      </c>
      <c r="N69" s="850">
        <v>298182</v>
      </c>
      <c r="O69" s="850">
        <v>3493803</v>
      </c>
      <c r="P69" s="850">
        <v>7622904</v>
      </c>
    </row>
    <row r="80" spans="11:16" ht="30.75" customHeight="1" x14ac:dyDescent="0.3">
      <c r="L80" s="962" t="s">
        <v>2157</v>
      </c>
      <c r="M80" s="962" t="s">
        <v>2251</v>
      </c>
      <c r="N80" s="962" t="s">
        <v>2250</v>
      </c>
    </row>
    <row r="81" spans="12:15" x14ac:dyDescent="0.3">
      <c r="L81" s="833" t="s">
        <v>2160</v>
      </c>
      <c r="M81" s="833" t="s">
        <v>2161</v>
      </c>
      <c r="N81" s="833">
        <v>1998</v>
      </c>
    </row>
    <row r="82" spans="12:15" x14ac:dyDescent="0.3">
      <c r="L82" s="833" t="s">
        <v>2158</v>
      </c>
      <c r="M82" s="833" t="s">
        <v>2252</v>
      </c>
      <c r="N82" s="833">
        <v>2013</v>
      </c>
    </row>
    <row r="83" spans="12:15" x14ac:dyDescent="0.3">
      <c r="L83" s="833" t="s">
        <v>2159</v>
      </c>
      <c r="M83" s="833" t="s">
        <v>2252</v>
      </c>
      <c r="N83" s="833">
        <v>2006</v>
      </c>
    </row>
    <row r="84" spans="12:15" x14ac:dyDescent="0.3">
      <c r="L84" s="833" t="s">
        <v>2162</v>
      </c>
      <c r="M84" s="833" t="s">
        <v>2163</v>
      </c>
      <c r="N84" s="833">
        <v>2012</v>
      </c>
    </row>
    <row r="85" spans="12:15" x14ac:dyDescent="0.3">
      <c r="L85" s="833" t="s">
        <v>2256</v>
      </c>
      <c r="M85" s="833" t="s">
        <v>2163</v>
      </c>
      <c r="N85" s="833">
        <v>1990</v>
      </c>
    </row>
    <row r="86" spans="12:15" x14ac:dyDescent="0.3">
      <c r="L86" s="833" t="s">
        <v>2255</v>
      </c>
      <c r="M86" s="833" t="s">
        <v>2161</v>
      </c>
      <c r="N86" s="833" t="s">
        <v>2257</v>
      </c>
    </row>
    <row r="87" spans="12:15" x14ac:dyDescent="0.3">
      <c r="L87" s="833" t="s">
        <v>2164</v>
      </c>
      <c r="M87" s="833" t="s">
        <v>2252</v>
      </c>
      <c r="N87" s="833">
        <v>2001</v>
      </c>
    </row>
    <row r="88" spans="12:15" x14ac:dyDescent="0.3">
      <c r="L88" s="833" t="s">
        <v>2165</v>
      </c>
      <c r="M88" s="833" t="s">
        <v>2166</v>
      </c>
      <c r="N88" s="833">
        <v>1983</v>
      </c>
    </row>
    <row r="89" spans="12:15" x14ac:dyDescent="0.3">
      <c r="L89" s="833" t="s">
        <v>2167</v>
      </c>
      <c r="M89" s="833" t="s">
        <v>2252</v>
      </c>
      <c r="N89" s="833">
        <v>2014</v>
      </c>
    </row>
    <row r="91" spans="12:15" ht="31.5" customHeight="1" x14ac:dyDescent="0.3">
      <c r="L91" s="1328" t="s">
        <v>2258</v>
      </c>
      <c r="M91" s="1328"/>
      <c r="N91" s="1328"/>
      <c r="O91" s="1117"/>
    </row>
    <row r="92" spans="12:15" x14ac:dyDescent="0.3">
      <c r="L92" t="s">
        <v>2253</v>
      </c>
    </row>
    <row r="93" spans="12:15" x14ac:dyDescent="0.3">
      <c r="L93" t="s">
        <v>2254</v>
      </c>
    </row>
  </sheetData>
  <sortState ref="L81:N88">
    <sortCondition ref="L81:L88"/>
  </sortState>
  <mergeCells count="1">
    <mergeCell ref="L91:N91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U709"/>
  <sheetViews>
    <sheetView showGridLines="0" topLeftCell="A4" zoomScale="80" zoomScaleNormal="80" workbookViewId="0">
      <pane ySplit="2" topLeftCell="A672" activePane="bottomLeft" state="frozen"/>
      <selection activeCell="B113" sqref="B113"/>
      <selection pane="bottomLeft" activeCell="F688" sqref="F688"/>
    </sheetView>
  </sheetViews>
  <sheetFormatPr defaultColWidth="9" defaultRowHeight="15.6" outlineLevelRow="1" x14ac:dyDescent="0.3"/>
  <cols>
    <col min="1" max="1" width="18.8984375" style="1181" bestFit="1" customWidth="1"/>
    <col min="2" max="2" width="18.8984375" style="656" bestFit="1" customWidth="1"/>
    <col min="3" max="3" width="24" style="656" customWidth="1"/>
    <col min="4" max="5" width="9.59765625" style="656" customWidth="1"/>
    <col min="6" max="6" width="9.59765625" style="656" bestFit="1" customWidth="1"/>
    <col min="7" max="8" width="12.59765625" style="656" bestFit="1" customWidth="1"/>
    <col min="9" max="10" width="9.59765625" style="656" bestFit="1" customWidth="1"/>
    <col min="11" max="12" width="12.59765625" style="656" bestFit="1" customWidth="1"/>
    <col min="13" max="15" width="9.59765625" style="656" bestFit="1" customWidth="1"/>
    <col min="16" max="16" width="9" style="656"/>
    <col min="17" max="17" width="7" style="656" bestFit="1" customWidth="1"/>
    <col min="18" max="18" width="12.59765625" style="656" bestFit="1" customWidth="1"/>
    <col min="19" max="21" width="14.5" style="656" customWidth="1"/>
    <col min="22" max="22" width="16.8984375" style="656" bestFit="1" customWidth="1"/>
    <col min="23" max="16384" width="9" style="656"/>
  </cols>
  <sheetData>
    <row r="2" spans="2:15" x14ac:dyDescent="0.3">
      <c r="B2" s="151" t="s">
        <v>1938</v>
      </c>
    </row>
    <row r="3" spans="2:15" x14ac:dyDescent="0.3">
      <c r="B3" s="151"/>
    </row>
    <row r="4" spans="2:15" x14ac:dyDescent="0.3">
      <c r="B4" s="604"/>
      <c r="C4" s="604"/>
      <c r="D4" s="604"/>
      <c r="E4" s="604" t="s">
        <v>1700</v>
      </c>
      <c r="F4" s="604" t="s">
        <v>2</v>
      </c>
      <c r="G4" s="604" t="s">
        <v>2</v>
      </c>
      <c r="H4" s="604" t="s">
        <v>2</v>
      </c>
      <c r="I4" s="604" t="s">
        <v>2</v>
      </c>
      <c r="J4" s="604" t="s">
        <v>2</v>
      </c>
      <c r="K4" s="604" t="s">
        <v>2</v>
      </c>
      <c r="L4" s="604" t="s">
        <v>2</v>
      </c>
      <c r="M4" s="604" t="s">
        <v>2</v>
      </c>
      <c r="N4" s="604" t="s">
        <v>2</v>
      </c>
      <c r="O4" s="604" t="s">
        <v>2</v>
      </c>
    </row>
    <row r="5" spans="2:15" x14ac:dyDescent="0.3">
      <c r="B5" s="604"/>
      <c r="C5" s="604"/>
      <c r="D5" s="604">
        <v>2015</v>
      </c>
      <c r="E5" s="604" t="s">
        <v>2314</v>
      </c>
      <c r="F5" s="604">
        <v>2016</v>
      </c>
      <c r="G5" s="604">
        <v>2017</v>
      </c>
      <c r="H5" s="604">
        <v>2018</v>
      </c>
      <c r="I5" s="604">
        <v>2019</v>
      </c>
      <c r="J5" s="604">
        <v>2020</v>
      </c>
      <c r="K5" s="604">
        <v>2021</v>
      </c>
      <c r="L5" s="604">
        <v>2022</v>
      </c>
      <c r="M5" s="604">
        <v>2023</v>
      </c>
      <c r="N5" s="604">
        <v>2024</v>
      </c>
      <c r="O5" s="604">
        <v>2025</v>
      </c>
    </row>
    <row r="6" spans="2:15" outlineLevel="1" x14ac:dyDescent="0.3">
      <c r="C6" s="660" t="s">
        <v>1842</v>
      </c>
    </row>
    <row r="7" spans="2:15" outlineLevel="1" x14ac:dyDescent="0.3">
      <c r="B7" s="970"/>
      <c r="C7" s="970" t="s">
        <v>1700</v>
      </c>
    </row>
    <row r="8" spans="2:15" outlineLevel="1" x14ac:dyDescent="0.3">
      <c r="B8" s="970"/>
      <c r="C8" s="970" t="str">
        <f>'Water Rate Projections'!B8</f>
        <v>Incorporated Rates</v>
      </c>
    </row>
    <row r="9" spans="2:15" outlineLevel="1" x14ac:dyDescent="0.3">
      <c r="B9" s="970"/>
      <c r="C9" s="970" t="str">
        <f>'Water Rate Projections'!B9</f>
        <v>Service Charge</v>
      </c>
      <c r="D9" s="661">
        <f>'Water Rate Projections'!F9</f>
        <v>9</v>
      </c>
      <c r="E9" s="661">
        <f>D9</f>
        <v>9</v>
      </c>
      <c r="F9" s="661">
        <f>'Water Rate Projections'!G9</f>
        <v>9</v>
      </c>
      <c r="G9" s="661">
        <f>'Water Rate Projections'!H9</f>
        <v>9.4500000000000011</v>
      </c>
      <c r="H9" s="661">
        <f>'Water Rate Projections'!I9</f>
        <v>9.9225000000000012</v>
      </c>
      <c r="I9" s="661">
        <f>'Water Rate Projections'!J9</f>
        <v>10.418625000000002</v>
      </c>
      <c r="J9" s="661">
        <f>'Water Rate Projections'!K9</f>
        <v>10.939556250000003</v>
      </c>
      <c r="K9" s="661">
        <f>'Water Rate Projections'!L9</f>
        <v>10.939556250000003</v>
      </c>
      <c r="L9" s="661">
        <f>'Water Rate Projections'!M9</f>
        <v>10.939556250000003</v>
      </c>
      <c r="M9" s="661">
        <f>'Water Rate Projections'!N9</f>
        <v>10.939556250000003</v>
      </c>
      <c r="N9" s="661">
        <f>'Water Rate Projections'!O9</f>
        <v>10.939556250000003</v>
      </c>
      <c r="O9" s="661">
        <f>'Water Rate Projections'!P9</f>
        <v>10.939556250000003</v>
      </c>
    </row>
    <row r="10" spans="2:15" outlineLevel="1" x14ac:dyDescent="0.3">
      <c r="B10" s="970"/>
      <c r="C10" s="970"/>
      <c r="D10" s="661"/>
      <c r="E10" s="661"/>
      <c r="F10" s="661"/>
      <c r="G10" s="661"/>
      <c r="H10" s="661"/>
      <c r="I10" s="661"/>
      <c r="J10" s="661"/>
      <c r="K10" s="661"/>
      <c r="L10" s="661"/>
      <c r="M10" s="661"/>
      <c r="N10" s="661"/>
      <c r="O10" s="661"/>
    </row>
    <row r="11" spans="2:15" outlineLevel="1" x14ac:dyDescent="0.3">
      <c r="B11" s="970"/>
      <c r="C11" s="970" t="str">
        <f>'Water Rate Projections'!B11</f>
        <v>Tier 1: 0 - 9,000 Gal</v>
      </c>
      <c r="D11" s="661">
        <f>'Water Rate Projections'!F11</f>
        <v>5.85</v>
      </c>
      <c r="E11" s="661">
        <v>6.01</v>
      </c>
      <c r="F11" s="661">
        <f>'Water Rate Projections'!G11</f>
        <v>6.3179999999999996</v>
      </c>
      <c r="G11" s="661">
        <f>'Water Rate Projections'!H11</f>
        <v>6.6338999999999997</v>
      </c>
      <c r="H11" s="661">
        <f>'Water Rate Projections'!I11</f>
        <v>6.9655949999999995</v>
      </c>
      <c r="I11" s="661">
        <f>'Water Rate Projections'!J11</f>
        <v>7.3138747500000001</v>
      </c>
      <c r="J11" s="661">
        <f>'Water Rate Projections'!K11</f>
        <v>7.6795684875000001</v>
      </c>
      <c r="K11" s="661">
        <f>'Water Rate Projections'!L11</f>
        <v>7.6795684875000001</v>
      </c>
      <c r="L11" s="661">
        <f>'Water Rate Projections'!M11</f>
        <v>7.6795684875000001</v>
      </c>
      <c r="M11" s="661">
        <f>'Water Rate Projections'!N11</f>
        <v>7.6795684875000001</v>
      </c>
      <c r="N11" s="661">
        <f>'Water Rate Projections'!O11</f>
        <v>7.6795684875000001</v>
      </c>
      <c r="O11" s="661">
        <f>'Water Rate Projections'!P11</f>
        <v>7.6795684875000001</v>
      </c>
    </row>
    <row r="12" spans="2:15" outlineLevel="1" x14ac:dyDescent="0.3">
      <c r="B12" s="970"/>
      <c r="C12" s="970" t="str">
        <f>'Water Rate Projections'!B12</f>
        <v>Tier 2: 9,000 - 18,000 Gal</v>
      </c>
      <c r="D12" s="661">
        <f>'Water Rate Projections'!F12</f>
        <v>7.23</v>
      </c>
      <c r="E12" s="661">
        <v>7.43</v>
      </c>
      <c r="F12" s="661">
        <f>'Water Rate Projections'!G12</f>
        <v>7.8084000000000007</v>
      </c>
      <c r="G12" s="661">
        <f>'Water Rate Projections'!H12</f>
        <v>8.1988200000000013</v>
      </c>
      <c r="H12" s="661">
        <f>'Water Rate Projections'!I12</f>
        <v>8.6087610000000012</v>
      </c>
      <c r="I12" s="661">
        <f>'Water Rate Projections'!J12</f>
        <v>9.0391990500000023</v>
      </c>
      <c r="J12" s="661">
        <f>'Water Rate Projections'!K12</f>
        <v>9.4911590025000034</v>
      </c>
      <c r="K12" s="661">
        <f>'Water Rate Projections'!L12</f>
        <v>9.4911590025000034</v>
      </c>
      <c r="L12" s="661">
        <f>'Water Rate Projections'!M12</f>
        <v>9.4911590025000034</v>
      </c>
      <c r="M12" s="661">
        <f>'Water Rate Projections'!N12</f>
        <v>9.4911590025000034</v>
      </c>
      <c r="N12" s="661">
        <f>'Water Rate Projections'!O12</f>
        <v>9.4911590025000034</v>
      </c>
      <c r="O12" s="661">
        <f>'Water Rate Projections'!P12</f>
        <v>9.4911590025000034</v>
      </c>
    </row>
    <row r="13" spans="2:15" outlineLevel="1" x14ac:dyDescent="0.3">
      <c r="B13" s="970"/>
      <c r="C13" s="970" t="str">
        <f>'Water Rate Projections'!B13</f>
        <v>Teir 3: Over 18,000 Gal</v>
      </c>
      <c r="D13" s="661">
        <f>'Water Rate Projections'!F13</f>
        <v>8.6199999999999992</v>
      </c>
      <c r="E13" s="661">
        <v>8.85</v>
      </c>
      <c r="F13" s="661">
        <f>'Water Rate Projections'!G13</f>
        <v>9.3095999999999997</v>
      </c>
      <c r="G13" s="661">
        <f>'Water Rate Projections'!H13</f>
        <v>9.7750800000000009</v>
      </c>
      <c r="H13" s="661">
        <f>'Water Rate Projections'!I13</f>
        <v>10.263834000000001</v>
      </c>
      <c r="I13" s="661">
        <f>'Water Rate Projections'!J13</f>
        <v>10.777025700000001</v>
      </c>
      <c r="J13" s="661">
        <f>'Water Rate Projections'!K13</f>
        <v>11.315876985000001</v>
      </c>
      <c r="K13" s="661">
        <f>'Water Rate Projections'!L13</f>
        <v>11.315876985000001</v>
      </c>
      <c r="L13" s="661">
        <f>'Water Rate Projections'!M13</f>
        <v>11.315876985000001</v>
      </c>
      <c r="M13" s="661">
        <f>'Water Rate Projections'!N13</f>
        <v>11.315876985000001</v>
      </c>
      <c r="N13" s="661">
        <f>'Water Rate Projections'!O13</f>
        <v>11.315876985000001</v>
      </c>
      <c r="O13" s="661">
        <f>'Water Rate Projections'!P13</f>
        <v>11.315876985000001</v>
      </c>
    </row>
    <row r="14" spans="2:15" outlineLevel="1" x14ac:dyDescent="0.3">
      <c r="B14" s="970"/>
      <c r="C14" s="970"/>
      <c r="D14" s="661"/>
      <c r="E14" s="661"/>
      <c r="F14" s="661"/>
      <c r="G14" s="661"/>
      <c r="H14" s="661"/>
      <c r="I14" s="661"/>
      <c r="J14" s="661"/>
      <c r="K14" s="661"/>
      <c r="L14" s="661"/>
      <c r="M14" s="661"/>
      <c r="N14" s="661"/>
      <c r="O14" s="661"/>
    </row>
    <row r="15" spans="2:15" outlineLevel="1" x14ac:dyDescent="0.3">
      <c r="B15" s="970"/>
      <c r="C15" s="970"/>
      <c r="D15" s="661"/>
      <c r="E15" s="661"/>
      <c r="F15" s="661"/>
      <c r="G15" s="661"/>
      <c r="H15" s="661"/>
      <c r="I15" s="661"/>
      <c r="J15" s="661"/>
      <c r="K15" s="661"/>
      <c r="L15" s="661"/>
      <c r="M15" s="661"/>
      <c r="N15" s="661"/>
      <c r="O15" s="661"/>
    </row>
    <row r="16" spans="2:15" outlineLevel="1" x14ac:dyDescent="0.3">
      <c r="B16" s="970"/>
      <c r="C16" s="970" t="str">
        <f>'Water Rate Projections'!B16</f>
        <v>Unincorporated Rates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  <c r="N16" s="661"/>
      <c r="O16" s="661"/>
    </row>
    <row r="17" spans="1:17" outlineLevel="1" x14ac:dyDescent="0.3">
      <c r="B17" s="970"/>
      <c r="C17" s="970" t="str">
        <f>'Water Rate Projections'!B17</f>
        <v>Service Charge</v>
      </c>
      <c r="D17" s="661">
        <f>'Water Rate Projections'!F17</f>
        <v>9</v>
      </c>
      <c r="E17" s="661">
        <v>9</v>
      </c>
      <c r="F17" s="661">
        <f>'Water Rate Projections'!G17</f>
        <v>9.7200000000000006</v>
      </c>
      <c r="G17" s="661">
        <f>'Water Rate Projections'!H17</f>
        <v>10.206000000000001</v>
      </c>
      <c r="H17" s="661">
        <f>'Water Rate Projections'!I17</f>
        <v>10.716300000000002</v>
      </c>
      <c r="I17" s="661">
        <f>'Water Rate Projections'!J17</f>
        <v>11.252115000000003</v>
      </c>
      <c r="J17" s="661">
        <f>'Water Rate Projections'!K17</f>
        <v>11.814720750000005</v>
      </c>
      <c r="K17" s="661">
        <f>'Water Rate Projections'!L17</f>
        <v>11.814720750000005</v>
      </c>
      <c r="L17" s="661">
        <f>'Water Rate Projections'!M17</f>
        <v>11.814720750000005</v>
      </c>
      <c r="M17" s="661">
        <f>'Water Rate Projections'!N17</f>
        <v>11.814720750000005</v>
      </c>
      <c r="N17" s="661">
        <f>'Water Rate Projections'!O17</f>
        <v>11.814720750000005</v>
      </c>
      <c r="O17" s="661">
        <f>'Water Rate Projections'!P17</f>
        <v>11.814720750000005</v>
      </c>
    </row>
    <row r="18" spans="1:17" outlineLevel="1" x14ac:dyDescent="0.3">
      <c r="B18" s="970"/>
      <c r="C18" s="970"/>
      <c r="D18" s="661"/>
      <c r="E18" s="661"/>
      <c r="F18" s="661"/>
      <c r="G18" s="661"/>
      <c r="H18" s="661"/>
      <c r="I18" s="661"/>
      <c r="J18" s="661"/>
      <c r="K18" s="661"/>
      <c r="L18" s="661"/>
      <c r="M18" s="661"/>
      <c r="N18" s="661"/>
      <c r="O18" s="661"/>
    </row>
    <row r="19" spans="1:17" outlineLevel="1" x14ac:dyDescent="0.3">
      <c r="A19" s="1180">
        <v>9</v>
      </c>
      <c r="B19" s="971">
        <v>9</v>
      </c>
      <c r="C19" s="970" t="str">
        <f>'Water Rate Projections'!B19</f>
        <v>Tier 1: 0 - 9,000 Gal</v>
      </c>
      <c r="D19" s="661">
        <f>'Water Rate Projections'!F19</f>
        <v>8.3699999999999992</v>
      </c>
      <c r="E19" s="661">
        <v>8.59</v>
      </c>
      <c r="F19" s="661">
        <f>'Water Rate Projections'!G19</f>
        <v>9.0396000000000001</v>
      </c>
      <c r="G19" s="661">
        <f>'Water Rate Projections'!H19</f>
        <v>9.4915800000000008</v>
      </c>
      <c r="H19" s="661">
        <f>'Water Rate Projections'!I19</f>
        <v>9.9661590000000011</v>
      </c>
      <c r="I19" s="661">
        <f>'Water Rate Projections'!J19</f>
        <v>10.464466950000002</v>
      </c>
      <c r="J19" s="661">
        <f>'Water Rate Projections'!K19</f>
        <v>10.987690297500002</v>
      </c>
      <c r="K19" s="661">
        <f>'Water Rate Projections'!L19</f>
        <v>10.987690297500002</v>
      </c>
      <c r="L19" s="661">
        <f>'Water Rate Projections'!M19</f>
        <v>10.987690297500002</v>
      </c>
      <c r="M19" s="661">
        <f>'Water Rate Projections'!N19</f>
        <v>10.987690297500002</v>
      </c>
      <c r="N19" s="661">
        <f>'Water Rate Projections'!O19</f>
        <v>10.987690297500002</v>
      </c>
      <c r="O19" s="661">
        <f>'Water Rate Projections'!P19</f>
        <v>10.987690297500002</v>
      </c>
    </row>
    <row r="20" spans="1:17" outlineLevel="1" x14ac:dyDescent="0.3">
      <c r="A20" s="1180">
        <v>18</v>
      </c>
      <c r="B20" s="971">
        <v>18</v>
      </c>
      <c r="C20" s="970" t="str">
        <f>'Water Rate Projections'!B20</f>
        <v>Tier 2: 9,000 - 18,000 Gal</v>
      </c>
      <c r="D20" s="661">
        <f>'Water Rate Projections'!F20</f>
        <v>10.38</v>
      </c>
      <c r="E20" s="661">
        <v>10.66</v>
      </c>
      <c r="F20" s="661">
        <f>'Water Rate Projections'!G20</f>
        <v>11.210400000000002</v>
      </c>
      <c r="G20" s="661">
        <f>'Water Rate Projections'!H20</f>
        <v>11.770920000000002</v>
      </c>
      <c r="H20" s="661">
        <f>'Water Rate Projections'!I20</f>
        <v>12.359466000000003</v>
      </c>
      <c r="I20" s="661">
        <f>'Water Rate Projections'!J20</f>
        <v>12.977439300000004</v>
      </c>
      <c r="J20" s="661">
        <f>'Water Rate Projections'!K20</f>
        <v>13.626311265000005</v>
      </c>
      <c r="K20" s="661">
        <f>'Water Rate Projections'!L20</f>
        <v>13.626311265000005</v>
      </c>
      <c r="L20" s="661">
        <f>'Water Rate Projections'!M20</f>
        <v>13.626311265000005</v>
      </c>
      <c r="M20" s="661">
        <f>'Water Rate Projections'!N20</f>
        <v>13.626311265000005</v>
      </c>
      <c r="N20" s="661">
        <f>'Water Rate Projections'!O20</f>
        <v>13.626311265000005</v>
      </c>
      <c r="O20" s="661">
        <f>'Water Rate Projections'!P20</f>
        <v>13.626311265000005</v>
      </c>
    </row>
    <row r="21" spans="1:17" outlineLevel="1" x14ac:dyDescent="0.3">
      <c r="A21" s="1180">
        <v>18</v>
      </c>
      <c r="B21" s="971">
        <v>18</v>
      </c>
      <c r="C21" s="970" t="str">
        <f>'Water Rate Projections'!B21</f>
        <v>Teir 3: Over 18,000 Gal</v>
      </c>
      <c r="D21" s="661">
        <f>'Water Rate Projections'!F21</f>
        <v>12.39</v>
      </c>
      <c r="E21" s="661">
        <v>12.73</v>
      </c>
      <c r="F21" s="661">
        <f>'Water Rate Projections'!G21</f>
        <v>13.381200000000002</v>
      </c>
      <c r="G21" s="661">
        <f>'Water Rate Projections'!H21</f>
        <v>14.050260000000002</v>
      </c>
      <c r="H21" s="661">
        <f>'Water Rate Projections'!I21</f>
        <v>14.752773000000003</v>
      </c>
      <c r="I21" s="661">
        <f>'Water Rate Projections'!J21</f>
        <v>15.490411650000004</v>
      </c>
      <c r="J21" s="661">
        <f>'Water Rate Projections'!K21</f>
        <v>16.264932232500005</v>
      </c>
      <c r="K21" s="661">
        <f>'Water Rate Projections'!L21</f>
        <v>16.264932232500005</v>
      </c>
      <c r="L21" s="661">
        <f>'Water Rate Projections'!M21</f>
        <v>16.264932232500005</v>
      </c>
      <c r="M21" s="661">
        <f>'Water Rate Projections'!N21</f>
        <v>16.264932232500005</v>
      </c>
      <c r="N21" s="661">
        <f>'Water Rate Projections'!O21</f>
        <v>16.264932232500005</v>
      </c>
      <c r="O21" s="661">
        <f>'Water Rate Projections'!P21</f>
        <v>16.264932232500005</v>
      </c>
      <c r="Q21" s="1183"/>
    </row>
    <row r="22" spans="1:17" outlineLevel="1" x14ac:dyDescent="0.3">
      <c r="B22" s="972"/>
      <c r="C22" s="970"/>
      <c r="D22" s="661"/>
      <c r="E22" s="661"/>
      <c r="F22" s="661"/>
      <c r="G22" s="661"/>
      <c r="H22" s="661"/>
      <c r="I22" s="661"/>
      <c r="J22" s="661"/>
      <c r="K22" s="661"/>
      <c r="L22" s="661"/>
      <c r="M22" s="661"/>
      <c r="N22" s="661"/>
      <c r="O22" s="661"/>
    </row>
    <row r="23" spans="1:17" outlineLevel="1" x14ac:dyDescent="0.3">
      <c r="B23" s="972"/>
      <c r="C23" s="970" t="str">
        <f>'Water Rate Projections'!B23</f>
        <v>Citizens Utilities Bulk Rate</v>
      </c>
      <c r="D23" s="661">
        <f>'Water Rate Projections'!F23</f>
        <v>6.35</v>
      </c>
      <c r="E23" s="661">
        <v>6.52</v>
      </c>
      <c r="F23" s="661">
        <f>'Water Rate Projections'!G23</f>
        <v>6.8579999999999997</v>
      </c>
      <c r="G23" s="661">
        <f>'Water Rate Projections'!H23</f>
        <v>7.2008999999999999</v>
      </c>
      <c r="H23" s="661">
        <f>'Water Rate Projections'!I23</f>
        <v>7.5609450000000002</v>
      </c>
      <c r="I23" s="661">
        <f>'Water Rate Projections'!J23</f>
        <v>7.938992250000001</v>
      </c>
      <c r="J23" s="661">
        <f>'Water Rate Projections'!K23</f>
        <v>8.3359418625000021</v>
      </c>
      <c r="K23" s="661">
        <f>'Water Rate Projections'!L23</f>
        <v>8.3359418625000021</v>
      </c>
      <c r="L23" s="661">
        <f>'Water Rate Projections'!M23</f>
        <v>8.3359418625000021</v>
      </c>
      <c r="M23" s="661">
        <f>'Water Rate Projections'!N23</f>
        <v>8.3359418625000021</v>
      </c>
      <c r="N23" s="661">
        <f>'Water Rate Projections'!O23</f>
        <v>8.3359418625000021</v>
      </c>
      <c r="O23" s="661">
        <f>'Water Rate Projections'!P23</f>
        <v>8.3359418625000021</v>
      </c>
    </row>
    <row r="24" spans="1:17" outlineLevel="1" x14ac:dyDescent="0.3">
      <c r="B24" s="666"/>
    </row>
    <row r="25" spans="1:17" outlineLevel="1" x14ac:dyDescent="0.3">
      <c r="B25" s="968"/>
      <c r="C25" s="969" t="s">
        <v>1968</v>
      </c>
    </row>
    <row r="26" spans="1:17" outlineLevel="1" x14ac:dyDescent="0.3">
      <c r="B26" s="968"/>
      <c r="C26" s="963" t="str">
        <f>'Water Rate Projections'!B77</f>
        <v>Incorporated Rates</v>
      </c>
    </row>
    <row r="27" spans="1:17" outlineLevel="1" x14ac:dyDescent="0.3">
      <c r="B27" s="968"/>
      <c r="C27" s="963" t="str">
        <f>'Water Rate Projections'!B78</f>
        <v>Service Charge</v>
      </c>
      <c r="F27" s="661">
        <f>'Water Rate Projections'!G78</f>
        <v>9</v>
      </c>
      <c r="G27" s="661">
        <f>'Water Rate Projections'!H78</f>
        <v>9.4915568783611821</v>
      </c>
      <c r="H27" s="661">
        <f>'Water Rate Projections'!I78</f>
        <v>9.9659456652360525</v>
      </c>
      <c r="I27" s="661">
        <f>'Water Rate Projections'!J78</f>
        <v>10.464046151357293</v>
      </c>
      <c r="J27" s="661">
        <f>'Water Rate Projections'!K78</f>
        <v>10.987043597145117</v>
      </c>
      <c r="K27" s="661">
        <f>'Water Rate Projections'!L78</f>
        <v>10.987043597145117</v>
      </c>
      <c r="L27" s="661">
        <f>'Water Rate Projections'!M78</f>
        <v>10.987043597145117</v>
      </c>
      <c r="M27" s="661">
        <f>'Water Rate Projections'!N78</f>
        <v>10.987043597145117</v>
      </c>
      <c r="N27" s="661">
        <f>'Water Rate Projections'!O78</f>
        <v>10.987043597145117</v>
      </c>
      <c r="O27" s="661">
        <f>'Water Rate Projections'!P78</f>
        <v>10.987043597145117</v>
      </c>
      <c r="Q27" s="661"/>
    </row>
    <row r="28" spans="1:17" outlineLevel="1" x14ac:dyDescent="0.3">
      <c r="B28" s="968"/>
      <c r="C28" s="963"/>
      <c r="F28" s="661"/>
      <c r="G28" s="661"/>
      <c r="H28" s="661"/>
      <c r="I28" s="661"/>
      <c r="J28" s="661"/>
      <c r="K28" s="661"/>
      <c r="L28" s="661"/>
      <c r="M28" s="661"/>
      <c r="N28" s="661"/>
      <c r="O28" s="661"/>
    </row>
    <row r="29" spans="1:17" outlineLevel="1" x14ac:dyDescent="0.3">
      <c r="B29" s="968"/>
      <c r="C29" s="963" t="str">
        <f>'Water Rate Projections'!B79</f>
        <v>Tier 1: 0 - 7000</v>
      </c>
      <c r="F29" s="661">
        <f>'Water Rate Projections'!G79</f>
        <v>5.6587589587394973</v>
      </c>
      <c r="G29" s="661">
        <f>'Water Rate Projections'!H79</f>
        <v>6.0154594152429359</v>
      </c>
      <c r="H29" s="661">
        <f>'Water Rate Projections'!I79</f>
        <v>6.3162427583804854</v>
      </c>
      <c r="I29" s="661">
        <f>'Water Rate Projections'!J79</f>
        <v>6.632065696582913</v>
      </c>
      <c r="J29" s="661">
        <f>'Water Rate Projections'!K79</f>
        <v>6.9636802276483447</v>
      </c>
      <c r="K29" s="661">
        <f>'Water Rate Projections'!L79</f>
        <v>6.9636802276483465</v>
      </c>
      <c r="L29" s="661">
        <f>'Water Rate Projections'!M79</f>
        <v>6.9636802276483438</v>
      </c>
      <c r="M29" s="661">
        <f>'Water Rate Projections'!N79</f>
        <v>6.9636802276483438</v>
      </c>
      <c r="N29" s="661">
        <f>'Water Rate Projections'!O79</f>
        <v>6.9636802276483456</v>
      </c>
      <c r="O29" s="661">
        <f>'Water Rate Projections'!P79</f>
        <v>6.9636802276483447</v>
      </c>
    </row>
    <row r="30" spans="1:17" outlineLevel="1" x14ac:dyDescent="0.3">
      <c r="B30" s="968">
        <f>'Water Rate Projections'!C79/1000</f>
        <v>7</v>
      </c>
      <c r="C30" s="963" t="str">
        <f>'Water Rate Projections'!B80</f>
        <v>Tier 2: 7000 - 12000</v>
      </c>
      <c r="F30" s="661">
        <f>'Water Rate Projections'!G80</f>
        <v>7.0734486984243716</v>
      </c>
      <c r="G30" s="661">
        <f>'Water Rate Projections'!H80</f>
        <v>7.5193242690536701</v>
      </c>
      <c r="H30" s="661">
        <f>'Water Rate Projections'!I80</f>
        <v>7.895303447975607</v>
      </c>
      <c r="I30" s="661">
        <f>'Water Rate Projections'!J80</f>
        <v>8.2900821207286413</v>
      </c>
      <c r="J30" s="661">
        <f>'Water Rate Projections'!K80</f>
        <v>8.7046002845604313</v>
      </c>
      <c r="K30" s="661">
        <f>'Water Rate Projections'!L80</f>
        <v>8.7046002845604331</v>
      </c>
      <c r="L30" s="661">
        <f>'Water Rate Projections'!M80</f>
        <v>8.7046002845604296</v>
      </c>
      <c r="M30" s="661">
        <f>'Water Rate Projections'!N80</f>
        <v>8.7046002845604296</v>
      </c>
      <c r="N30" s="661">
        <f>'Water Rate Projections'!O80</f>
        <v>8.7046002845604313</v>
      </c>
      <c r="O30" s="661">
        <f>'Water Rate Projections'!P80</f>
        <v>8.7046002845604313</v>
      </c>
    </row>
    <row r="31" spans="1:17" outlineLevel="1" x14ac:dyDescent="0.3">
      <c r="B31" s="968">
        <f>'Water Rate Projections'!C80/1000</f>
        <v>12</v>
      </c>
      <c r="C31" s="963" t="str">
        <f>'Water Rate Projections'!B81</f>
        <v>Tier 3: 12000 - 22000</v>
      </c>
      <c r="F31" s="661">
        <f>'Water Rate Projections'!G81</f>
        <v>8.488138438109246</v>
      </c>
      <c r="G31" s="661">
        <f>'Water Rate Projections'!H81</f>
        <v>9.0231891228644034</v>
      </c>
      <c r="H31" s="661">
        <f>'Water Rate Projections'!I81</f>
        <v>9.4743641375707277</v>
      </c>
      <c r="I31" s="661">
        <f>'Water Rate Projections'!J81</f>
        <v>9.9480985448743695</v>
      </c>
      <c r="J31" s="661">
        <f>'Water Rate Projections'!K81</f>
        <v>10.445520341472516</v>
      </c>
      <c r="K31" s="661">
        <f>'Water Rate Projections'!L81</f>
        <v>10.44552034147252</v>
      </c>
      <c r="L31" s="661">
        <f>'Water Rate Projections'!M81</f>
        <v>10.445520341472516</v>
      </c>
      <c r="M31" s="661">
        <f>'Water Rate Projections'!N81</f>
        <v>10.445520341472516</v>
      </c>
      <c r="N31" s="661">
        <f>'Water Rate Projections'!O81</f>
        <v>10.445520341472518</v>
      </c>
      <c r="O31" s="661">
        <f>'Water Rate Projections'!P81</f>
        <v>10.445520341472516</v>
      </c>
    </row>
    <row r="32" spans="1:17" outlineLevel="1" x14ac:dyDescent="0.3">
      <c r="B32" s="968">
        <f>'Water Rate Projections'!C81/1000</f>
        <v>22</v>
      </c>
      <c r="C32" s="963" t="str">
        <f>'Water Rate Projections'!B82</f>
        <v>Tier 4: Over 22000</v>
      </c>
      <c r="F32" s="661">
        <f>'Water Rate Projections'!G82</f>
        <v>9.9028281777941203</v>
      </c>
      <c r="G32" s="661">
        <f>'Water Rate Projections'!H82</f>
        <v>10.527053976675138</v>
      </c>
      <c r="H32" s="661">
        <f>'Water Rate Projections'!I82</f>
        <v>11.05342482716585</v>
      </c>
      <c r="I32" s="661">
        <f>'Water Rate Projections'!J82</f>
        <v>11.606114969020098</v>
      </c>
      <c r="J32" s="661">
        <f>'Water Rate Projections'!K82</f>
        <v>12.186440398384603</v>
      </c>
      <c r="K32" s="661">
        <f>'Water Rate Projections'!L82</f>
        <v>12.186440398384606</v>
      </c>
      <c r="L32" s="661">
        <f>'Water Rate Projections'!M82</f>
        <v>12.186440398384601</v>
      </c>
      <c r="M32" s="661">
        <f>'Water Rate Projections'!N82</f>
        <v>12.186440398384601</v>
      </c>
      <c r="N32" s="661">
        <f>'Water Rate Projections'!O82</f>
        <v>12.186440398384605</v>
      </c>
      <c r="O32" s="661">
        <f>'Water Rate Projections'!P82</f>
        <v>12.186440398384603</v>
      </c>
      <c r="Q32" s="661"/>
    </row>
    <row r="33" spans="2:18" outlineLevel="1" x14ac:dyDescent="0.3">
      <c r="B33" s="968"/>
      <c r="C33" s="963"/>
      <c r="F33" s="661"/>
      <c r="G33" s="661"/>
      <c r="H33" s="661"/>
      <c r="I33" s="661"/>
      <c r="J33" s="661"/>
      <c r="K33" s="661"/>
      <c r="L33" s="661"/>
      <c r="M33" s="661"/>
      <c r="N33" s="661"/>
      <c r="O33" s="661"/>
      <c r="Q33" s="1186"/>
    </row>
    <row r="34" spans="2:18" outlineLevel="1" x14ac:dyDescent="0.3">
      <c r="B34" s="968"/>
      <c r="C34" s="963" t="str">
        <f>'Water Rate Projections'!B84</f>
        <v>Unincorporated Rates</v>
      </c>
      <c r="F34" s="661"/>
      <c r="G34" s="661"/>
      <c r="H34" s="661"/>
      <c r="I34" s="661"/>
      <c r="J34" s="661"/>
      <c r="K34" s="661"/>
      <c r="L34" s="661"/>
      <c r="M34" s="661"/>
      <c r="N34" s="661"/>
      <c r="O34" s="661"/>
      <c r="Q34" s="1185"/>
    </row>
    <row r="35" spans="2:18" outlineLevel="1" x14ac:dyDescent="0.3">
      <c r="B35" s="968"/>
      <c r="C35" s="963" t="str">
        <f>'Water Rate Projections'!B85</f>
        <v>Service Charge</v>
      </c>
      <c r="F35" s="661">
        <f>'Water Rate Projections'!G85</f>
        <v>9</v>
      </c>
      <c r="G35" s="661">
        <f>'Water Rate Projections'!H85</f>
        <v>9.4915568783611821</v>
      </c>
      <c r="H35" s="661">
        <f>'Water Rate Projections'!I85</f>
        <v>9.9659456652360525</v>
      </c>
      <c r="I35" s="661">
        <f>'Water Rate Projections'!J85</f>
        <v>10.464046151357293</v>
      </c>
      <c r="J35" s="661">
        <f>'Water Rate Projections'!K85</f>
        <v>10.987043597145117</v>
      </c>
      <c r="K35" s="661">
        <f>'Water Rate Projections'!L85</f>
        <v>10.987043597145117</v>
      </c>
      <c r="L35" s="661">
        <f>'Water Rate Projections'!M85</f>
        <v>10.987043597145117</v>
      </c>
      <c r="M35" s="661">
        <f>'Water Rate Projections'!N85</f>
        <v>10.987043597145117</v>
      </c>
      <c r="N35" s="661">
        <f>'Water Rate Projections'!O85</f>
        <v>10.987043597145117</v>
      </c>
      <c r="O35" s="661">
        <f>'Water Rate Projections'!P85</f>
        <v>10.987043597145117</v>
      </c>
    </row>
    <row r="36" spans="2:18" outlineLevel="1" x14ac:dyDescent="0.3">
      <c r="B36" s="968"/>
      <c r="C36" s="963"/>
      <c r="F36" s="661"/>
      <c r="G36" s="661"/>
      <c r="H36" s="661"/>
      <c r="I36" s="661"/>
      <c r="J36" s="661"/>
      <c r="K36" s="661"/>
      <c r="L36" s="661"/>
      <c r="M36" s="661"/>
      <c r="N36" s="661"/>
      <c r="O36" s="661"/>
      <c r="R36" s="1186"/>
    </row>
    <row r="37" spans="2:18" outlineLevel="1" x14ac:dyDescent="0.3">
      <c r="B37" s="968"/>
      <c r="C37" s="963" t="str">
        <f>'Water Rate Projections'!B86</f>
        <v>Tier 1: 0 - 7000</v>
      </c>
      <c r="F37" s="661">
        <f>'Water Rate Projections'!G86</f>
        <v>8.2052004901722704</v>
      </c>
      <c r="G37" s="661">
        <f>'Water Rate Projections'!H86</f>
        <v>8.722416152102257</v>
      </c>
      <c r="H37" s="661">
        <f>'Water Rate Projections'!I86</f>
        <v>9.1585519996517029</v>
      </c>
      <c r="I37" s="661">
        <f>'Water Rate Projections'!J86</f>
        <v>9.6164952600452231</v>
      </c>
      <c r="J37" s="661">
        <f>'Water Rate Projections'!K86</f>
        <v>10.0973363300901</v>
      </c>
      <c r="K37" s="661">
        <f>'Water Rate Projections'!L86</f>
        <v>10.097336330090101</v>
      </c>
      <c r="L37" s="661">
        <f>'Water Rate Projections'!M86</f>
        <v>10.097336330090098</v>
      </c>
      <c r="M37" s="661">
        <f>'Water Rate Projections'!N86</f>
        <v>10.097336330090098</v>
      </c>
      <c r="N37" s="661">
        <f>'Water Rate Projections'!O86</f>
        <v>10.097336330090101</v>
      </c>
      <c r="O37" s="661">
        <f>'Water Rate Projections'!P86</f>
        <v>10.0973363300901</v>
      </c>
    </row>
    <row r="38" spans="2:18" outlineLevel="1" x14ac:dyDescent="0.3">
      <c r="B38" s="968">
        <f>B30</f>
        <v>7</v>
      </c>
      <c r="C38" s="963" t="str">
        <f>'Water Rate Projections'!B87</f>
        <v>Tier 2: 7000 - 12000</v>
      </c>
      <c r="F38" s="661">
        <f>'Water Rate Projections'!G87</f>
        <v>10.256500612715337</v>
      </c>
      <c r="G38" s="661">
        <f>'Water Rate Projections'!H87</f>
        <v>10.903020190127821</v>
      </c>
      <c r="H38" s="661">
        <f>'Water Rate Projections'!I87</f>
        <v>11.448189999564628</v>
      </c>
      <c r="I38" s="661">
        <f>'Water Rate Projections'!J87</f>
        <v>12.020619075056528</v>
      </c>
      <c r="J38" s="661">
        <f>'Water Rate Projections'!K87</f>
        <v>12.621670412612623</v>
      </c>
      <c r="K38" s="661">
        <f>'Water Rate Projections'!L87</f>
        <v>12.621670412612627</v>
      </c>
      <c r="L38" s="661">
        <f>'Water Rate Projections'!M87</f>
        <v>12.621670412612621</v>
      </c>
      <c r="M38" s="661">
        <f>'Water Rate Projections'!N87</f>
        <v>12.621670412612621</v>
      </c>
      <c r="N38" s="661">
        <f>'Water Rate Projections'!O87</f>
        <v>12.621670412612625</v>
      </c>
      <c r="O38" s="661">
        <f>'Water Rate Projections'!P87</f>
        <v>12.621670412612623</v>
      </c>
      <c r="Q38" s="1183"/>
    </row>
    <row r="39" spans="2:18" outlineLevel="1" x14ac:dyDescent="0.3">
      <c r="B39" s="968">
        <f>B31</f>
        <v>12</v>
      </c>
      <c r="C39" s="963" t="str">
        <f>'Water Rate Projections'!B88</f>
        <v>Tier 3: 12000 - 22000</v>
      </c>
      <c r="F39" s="661">
        <f>'Water Rate Projections'!G88</f>
        <v>12.307800735258406</v>
      </c>
      <c r="G39" s="661">
        <f>'Water Rate Projections'!H88</f>
        <v>13.083624228153385</v>
      </c>
      <c r="H39" s="661">
        <f>'Water Rate Projections'!I88</f>
        <v>13.737827999477554</v>
      </c>
      <c r="I39" s="661">
        <f>'Water Rate Projections'!J88</f>
        <v>14.424742890067835</v>
      </c>
      <c r="J39" s="661">
        <f>'Water Rate Projections'!K88</f>
        <v>15.146004495135148</v>
      </c>
      <c r="K39" s="661">
        <f>'Water Rate Projections'!L88</f>
        <v>15.146004495135152</v>
      </c>
      <c r="L39" s="661">
        <f>'Water Rate Projections'!M88</f>
        <v>15.146004495135147</v>
      </c>
      <c r="M39" s="661">
        <f>'Water Rate Projections'!N88</f>
        <v>15.146004495135147</v>
      </c>
      <c r="N39" s="661">
        <f>'Water Rate Projections'!O88</f>
        <v>15.14600449513515</v>
      </c>
      <c r="O39" s="661">
        <f>'Water Rate Projections'!P88</f>
        <v>15.146004495135148</v>
      </c>
    </row>
    <row r="40" spans="2:18" outlineLevel="1" x14ac:dyDescent="0.3">
      <c r="B40" s="968">
        <f>B32</f>
        <v>22</v>
      </c>
      <c r="C40" s="963" t="str">
        <f>'Water Rate Projections'!B89</f>
        <v>Tier 4: Over 22000</v>
      </c>
      <c r="F40" s="661">
        <f>'Water Rate Projections'!G89</f>
        <v>14.359100857801474</v>
      </c>
      <c r="G40" s="661">
        <f>'Water Rate Projections'!H89</f>
        <v>15.26422826617895</v>
      </c>
      <c r="H40" s="661">
        <f>'Water Rate Projections'!I89</f>
        <v>16.027465999390483</v>
      </c>
      <c r="I40" s="661">
        <f>'Water Rate Projections'!J89</f>
        <v>16.828866705079143</v>
      </c>
      <c r="J40" s="661">
        <f>'Water Rate Projections'!K89</f>
        <v>17.670338577657674</v>
      </c>
      <c r="K40" s="661">
        <f>'Water Rate Projections'!L89</f>
        <v>17.670338577657681</v>
      </c>
      <c r="L40" s="661">
        <f>'Water Rate Projections'!M89</f>
        <v>17.670338577657674</v>
      </c>
      <c r="M40" s="661">
        <f>'Water Rate Projections'!N89</f>
        <v>17.670338577657674</v>
      </c>
      <c r="N40" s="661">
        <f>'Water Rate Projections'!O89</f>
        <v>17.670338577657677</v>
      </c>
      <c r="O40" s="661">
        <f>'Water Rate Projections'!P89</f>
        <v>17.670338577657674</v>
      </c>
    </row>
    <row r="41" spans="2:18" outlineLevel="1" x14ac:dyDescent="0.3">
      <c r="B41" s="968"/>
      <c r="C41" s="963"/>
      <c r="F41" s="661"/>
      <c r="G41" s="661"/>
      <c r="H41" s="661"/>
      <c r="I41" s="661"/>
      <c r="J41" s="661"/>
      <c r="K41" s="661"/>
      <c r="L41" s="661"/>
      <c r="M41" s="661"/>
      <c r="N41" s="661"/>
      <c r="O41" s="661"/>
    </row>
    <row r="42" spans="2:18" outlineLevel="1" x14ac:dyDescent="0.3">
      <c r="B42" s="963"/>
      <c r="C42" s="963" t="str">
        <f>'Water Rate Projections'!B91</f>
        <v>Citizens Utilities Bulk Rate</v>
      </c>
      <c r="F42" s="661">
        <f>'Water Rate Projections'!G91</f>
        <v>6.8579999999999997</v>
      </c>
      <c r="G42" s="661">
        <f>'Water Rate Projections'!H91</f>
        <v>7.2008999999999999</v>
      </c>
      <c r="H42" s="661">
        <f>'Water Rate Projections'!I91</f>
        <v>7.5609450000000002</v>
      </c>
      <c r="I42" s="661">
        <f>'Water Rate Projections'!J91</f>
        <v>7.938992250000001</v>
      </c>
      <c r="J42" s="661">
        <f>'Water Rate Projections'!K91</f>
        <v>8.3359418625000021</v>
      </c>
      <c r="K42" s="661">
        <f>'Water Rate Projections'!L91</f>
        <v>8.3359418625000021</v>
      </c>
      <c r="L42" s="661">
        <f>'Water Rate Projections'!M91</f>
        <v>8.3359418625000021</v>
      </c>
      <c r="M42" s="661">
        <f>'Water Rate Projections'!N91</f>
        <v>8.3359418625000021</v>
      </c>
      <c r="N42" s="661">
        <f>'Water Rate Projections'!O91</f>
        <v>8.3359418625000021</v>
      </c>
      <c r="O42" s="661">
        <f>'Water Rate Projections'!P91</f>
        <v>8.3359418625000021</v>
      </c>
    </row>
    <row r="43" spans="2:18" outlineLevel="1" x14ac:dyDescent="0.3"/>
    <row r="44" spans="2:18" outlineLevel="1" x14ac:dyDescent="0.3">
      <c r="C44" s="660" t="s">
        <v>1843</v>
      </c>
    </row>
    <row r="45" spans="2:18" outlineLevel="1" x14ac:dyDescent="0.3">
      <c r="C45" s="656" t="str">
        <f>'Sewer Rate Projections'!B8</f>
        <v>Incorporated Rates</v>
      </c>
    </row>
    <row r="46" spans="2:18" outlineLevel="1" x14ac:dyDescent="0.3">
      <c r="C46" s="656" t="str">
        <f>'Sewer Rate Projections'!B9</f>
        <v>Sewer Rate</v>
      </c>
      <c r="D46" s="661">
        <f>'Sewer Rate Projections'!D9</f>
        <v>0.84</v>
      </c>
      <c r="E46" s="661">
        <v>0.86</v>
      </c>
      <c r="F46" s="661">
        <f>'Sewer Rate Projections'!E9</f>
        <v>1.008</v>
      </c>
      <c r="G46" s="661">
        <f>'Sewer Rate Projections'!F9</f>
        <v>1.0584</v>
      </c>
      <c r="H46" s="661">
        <f>'Sewer Rate Projections'!G9</f>
        <v>1.1113200000000001</v>
      </c>
      <c r="I46" s="661">
        <f>'Sewer Rate Projections'!H9</f>
        <v>1.1668860000000001</v>
      </c>
      <c r="J46" s="661">
        <f>'Sewer Rate Projections'!I9</f>
        <v>1.2252303000000002</v>
      </c>
      <c r="K46" s="661">
        <f>'Sewer Rate Projections'!J9</f>
        <v>1.2252303000000002</v>
      </c>
      <c r="L46" s="661">
        <f>'Sewer Rate Projections'!K9</f>
        <v>1.2252303000000002</v>
      </c>
      <c r="M46" s="661">
        <f>'Sewer Rate Projections'!L9</f>
        <v>1.2252303000000002</v>
      </c>
      <c r="N46" s="661">
        <f>'Sewer Rate Projections'!M9</f>
        <v>1.2252303000000002</v>
      </c>
      <c r="O46" s="661">
        <f>'Sewer Rate Projections'!N9</f>
        <v>1.2252303000000002</v>
      </c>
    </row>
    <row r="47" spans="2:18" outlineLevel="1" x14ac:dyDescent="0.3">
      <c r="D47" s="661"/>
      <c r="E47" s="661"/>
      <c r="F47" s="661"/>
      <c r="G47" s="661"/>
      <c r="H47" s="661"/>
      <c r="I47" s="661"/>
      <c r="J47" s="661"/>
      <c r="K47" s="661"/>
      <c r="L47" s="661"/>
      <c r="M47" s="661"/>
      <c r="N47" s="661"/>
      <c r="O47" s="661"/>
    </row>
    <row r="48" spans="2:18" outlineLevel="1" x14ac:dyDescent="0.3">
      <c r="C48" s="656" t="str">
        <f>'Sewer Rate Projections'!B11</f>
        <v>Unincorporated Rates</v>
      </c>
      <c r="D48" s="661"/>
      <c r="E48" s="661"/>
      <c r="F48" s="661"/>
      <c r="G48" s="661"/>
      <c r="H48" s="661"/>
      <c r="I48" s="661"/>
      <c r="J48" s="661"/>
      <c r="K48" s="661"/>
      <c r="L48" s="661"/>
      <c r="M48" s="661"/>
      <c r="N48" s="661"/>
      <c r="O48" s="661"/>
    </row>
    <row r="49" spans="1:18" outlineLevel="1" x14ac:dyDescent="0.3">
      <c r="C49" s="656" t="str">
        <f>'Sewer Rate Projections'!B12</f>
        <v>Sewer Rate</v>
      </c>
      <c r="D49" s="661">
        <f>'Sewer Rate Projections'!D12</f>
        <v>1.91</v>
      </c>
      <c r="E49" s="661">
        <v>1.96</v>
      </c>
      <c r="F49" s="661">
        <f>'Sewer Rate Projections'!E12</f>
        <v>2.2919999999999998</v>
      </c>
      <c r="G49" s="661">
        <f>'Sewer Rate Projections'!F12</f>
        <v>2.4066000000000001</v>
      </c>
      <c r="H49" s="661">
        <f>'Sewer Rate Projections'!G12</f>
        <v>2.5269300000000001</v>
      </c>
      <c r="I49" s="661">
        <f>'Sewer Rate Projections'!H12</f>
        <v>2.6532765</v>
      </c>
      <c r="J49" s="661">
        <f>'Sewer Rate Projections'!I12</f>
        <v>2.7859403250000003</v>
      </c>
      <c r="K49" s="661">
        <f>'Sewer Rate Projections'!J12</f>
        <v>2.7859403250000003</v>
      </c>
      <c r="L49" s="661">
        <f>'Sewer Rate Projections'!K12</f>
        <v>2.7859403250000003</v>
      </c>
      <c r="M49" s="661">
        <f>'Sewer Rate Projections'!L12</f>
        <v>2.7859403250000003</v>
      </c>
      <c r="N49" s="661">
        <f>'Sewer Rate Projections'!M12</f>
        <v>2.7859403250000003</v>
      </c>
      <c r="O49" s="661">
        <f>'Sewer Rate Projections'!N12</f>
        <v>2.7859403250000003</v>
      </c>
    </row>
    <row r="50" spans="1:18" outlineLevel="1" x14ac:dyDescent="0.3"/>
    <row r="51" spans="1:18" outlineLevel="1" x14ac:dyDescent="0.3">
      <c r="C51" s="656" t="s">
        <v>1844</v>
      </c>
    </row>
    <row r="52" spans="1:18" outlineLevel="1" x14ac:dyDescent="0.3">
      <c r="C52" s="656" t="str">
        <f>'Stormwater Rate Projections'!B8</f>
        <v>Incorporated Rates</v>
      </c>
    </row>
    <row r="53" spans="1:18" outlineLevel="1" x14ac:dyDescent="0.3">
      <c r="C53" s="656" t="str">
        <f>'Stormwater Rate Projections'!B9</f>
        <v>Stormwater Rate</v>
      </c>
      <c r="D53" s="661">
        <f>'Stormwater Rate Projections'!E9</f>
        <v>0.88</v>
      </c>
      <c r="E53" s="661">
        <v>0.9</v>
      </c>
      <c r="F53" s="661">
        <f>'Stormwater Rate Projections'!F9</f>
        <v>1.76</v>
      </c>
      <c r="G53" s="661">
        <f>'Stormwater Rate Projections'!G9</f>
        <v>1.8480000000000001</v>
      </c>
      <c r="H53" s="661">
        <f>'Stormwater Rate Projections'!H9</f>
        <v>1.9219200000000001</v>
      </c>
      <c r="I53" s="661">
        <f>'Stormwater Rate Projections'!I9</f>
        <v>1.9795776</v>
      </c>
      <c r="J53" s="661">
        <f>'Stormwater Rate Projections'!J9</f>
        <v>2.038964928</v>
      </c>
      <c r="K53" s="661">
        <f>'Stormwater Rate Projections'!K9</f>
        <v>2.038964928</v>
      </c>
      <c r="L53" s="661">
        <f>'Stormwater Rate Projections'!L9</f>
        <v>2.038964928</v>
      </c>
      <c r="M53" s="661">
        <f>'Stormwater Rate Projections'!M9</f>
        <v>2.038964928</v>
      </c>
      <c r="N53" s="661">
        <f>'Stormwater Rate Projections'!N9</f>
        <v>2.038964928</v>
      </c>
      <c r="O53" s="661">
        <f>'Stormwater Rate Projections'!O9</f>
        <v>2.038964928</v>
      </c>
    </row>
    <row r="54" spans="1:18" outlineLevel="1" x14ac:dyDescent="0.3">
      <c r="D54" s="661"/>
      <c r="E54" s="661"/>
      <c r="F54" s="661"/>
      <c r="G54" s="661"/>
      <c r="H54" s="661"/>
      <c r="I54" s="661"/>
      <c r="J54" s="661"/>
      <c r="K54" s="661"/>
      <c r="L54" s="661"/>
      <c r="M54" s="661"/>
      <c r="N54" s="661"/>
      <c r="O54" s="661"/>
    </row>
    <row r="55" spans="1:18" outlineLevel="1" x14ac:dyDescent="0.3">
      <c r="C55" s="656" t="str">
        <f>'Stormwater Rate Projections'!B11</f>
        <v>Unincorporated Rates</v>
      </c>
      <c r="D55" s="661"/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</row>
    <row r="56" spans="1:18" outlineLevel="1" x14ac:dyDescent="0.3">
      <c r="C56" s="656" t="str">
        <f>'Stormwater Rate Projections'!B12</f>
        <v>Stormwater Rate</v>
      </c>
      <c r="D56" s="661">
        <f>'Stormwater Rate Projections'!E12</f>
        <v>0.66</v>
      </c>
      <c r="E56" s="661">
        <v>0.68</v>
      </c>
      <c r="F56" s="661">
        <f>'Stormwater Rate Projections'!F12</f>
        <v>1.32</v>
      </c>
      <c r="G56" s="661">
        <f>'Stormwater Rate Projections'!G12</f>
        <v>1.3860000000000001</v>
      </c>
      <c r="H56" s="661">
        <f>'Stormwater Rate Projections'!H12</f>
        <v>1.4414400000000003</v>
      </c>
      <c r="I56" s="661">
        <f>'Stormwater Rate Projections'!I12</f>
        <v>1.4846832000000003</v>
      </c>
      <c r="J56" s="661">
        <f>'Stormwater Rate Projections'!J12</f>
        <v>1.5292236960000003</v>
      </c>
      <c r="K56" s="661">
        <f>'Stormwater Rate Projections'!K12</f>
        <v>1.5292236960000003</v>
      </c>
      <c r="L56" s="661">
        <f>'Stormwater Rate Projections'!L12</f>
        <v>1.5292236960000003</v>
      </c>
      <c r="M56" s="661">
        <f>'Stormwater Rate Projections'!M12</f>
        <v>1.5292236960000003</v>
      </c>
      <c r="N56" s="661">
        <f>'Stormwater Rate Projections'!N12</f>
        <v>1.5292236960000003</v>
      </c>
      <c r="O56" s="661">
        <f>'Stormwater Rate Projections'!O12</f>
        <v>1.5292236960000003</v>
      </c>
    </row>
    <row r="57" spans="1:18" outlineLevel="1" x14ac:dyDescent="0.3">
      <c r="R57" s="661"/>
    </row>
    <row r="58" spans="1:18" x14ac:dyDescent="0.3">
      <c r="C58" s="662" t="s">
        <v>1838</v>
      </c>
      <c r="D58" s="661"/>
      <c r="E58" s="661"/>
    </row>
    <row r="59" spans="1:18" x14ac:dyDescent="0.3">
      <c r="C59" s="664" t="s">
        <v>1841</v>
      </c>
      <c r="D59" s="661"/>
      <c r="E59" s="661"/>
    </row>
    <row r="60" spans="1:18" x14ac:dyDescent="0.3">
      <c r="B60" s="663" t="s">
        <v>1846</v>
      </c>
      <c r="C60" s="663" t="s">
        <v>1847</v>
      </c>
    </row>
    <row r="61" spans="1:18" x14ac:dyDescent="0.3">
      <c r="A61" s="1182" t="s">
        <v>1700</v>
      </c>
      <c r="B61" s="663" t="s">
        <v>1690</v>
      </c>
      <c r="C61" s="663">
        <v>1</v>
      </c>
      <c r="D61" s="661">
        <f>IF($B61=$A$64,D$9+IF($C61&gt;$A$21,$A$19*D$11+($A$20-$A$19)*D$12+($C61-$A$21)*D$13,IF($C61&gt;$A$19,$A$19*D$11+($C61-$A$19)*D$12,$C61*D$11)),D$17+IF($C61&gt;$A$21,$A$19*D$19+($A$20-$A$19)*D$20+($C61-$A$21)*D$21,IF($C61&gt;$A$19,$A$19*D$19+($C61-$A$19)*D$20,$C61*D$19)))</f>
        <v>14.85</v>
      </c>
      <c r="E61" s="661">
        <f>IF($B61=$A$64,E$9+IF($C61&gt;$A$21,$A$19*E$11+($A$20-$A$19)*E$12+($C61-$A$21)*E$13,IF($C61&gt;$A$19,$A$19*E$11+($C61-$A$19)*E$12,$C61*E$11)),E$17+IF($C61&gt;$A$21,$A$19*E$19+($A$20-$A$19)*E$20+($C61-$A$21)*E$21,IF($C61&gt;$A$19,$A$19*E$19+($C61-$A$19)*E$20,$C61*E$19)))</f>
        <v>15.01</v>
      </c>
      <c r="F61" s="661">
        <f t="shared" ref="F61:O61" si="0">IF($B61=$A$64,F$9+IF($C61&gt;$A$21,$A$19*F$11+($A$20-$A$19)*F$12+($C61-$A$21)*F$13,IF($C61&gt;$A$19,$A$19*F$11+($C61-$A$19)*F$12,$C61*F$11)),F$17+IF($C61&gt;$A$21,$A$19*F$19+($A$20-$A$19)*F$20+($C61-$A$21)*F$21,IF($C61&gt;$A$19,$A$19*F$19+($C61-$A$19)*F$20,$C61*F$19)))</f>
        <v>15.318</v>
      </c>
      <c r="G61" s="661">
        <f t="shared" si="0"/>
        <v>16.0839</v>
      </c>
      <c r="H61" s="661">
        <f t="shared" si="0"/>
        <v>16.888095</v>
      </c>
      <c r="I61" s="661">
        <f t="shared" si="0"/>
        <v>17.732499750000002</v>
      </c>
      <c r="J61" s="661">
        <f t="shared" si="0"/>
        <v>18.619124737500002</v>
      </c>
      <c r="K61" s="661">
        <f t="shared" si="0"/>
        <v>18.619124737500002</v>
      </c>
      <c r="L61" s="661">
        <f t="shared" si="0"/>
        <v>18.619124737500002</v>
      </c>
      <c r="M61" s="661">
        <f t="shared" si="0"/>
        <v>18.619124737500002</v>
      </c>
      <c r="N61" s="661">
        <f t="shared" si="0"/>
        <v>18.619124737500002</v>
      </c>
      <c r="O61" s="661">
        <f t="shared" si="0"/>
        <v>18.619124737500002</v>
      </c>
    </row>
    <row r="62" spans="1:18" x14ac:dyDescent="0.3">
      <c r="A62" s="1182" t="s">
        <v>1968</v>
      </c>
      <c r="B62" s="663" t="s">
        <v>1690</v>
      </c>
      <c r="C62" s="663">
        <v>2</v>
      </c>
      <c r="D62" s="661">
        <f t="shared" ref="D62:O160" si="1">IF($B62=$A$64,D$9+IF($C62&gt;$A$21,$A$19*D$11+($A$20-$A$19)*D$12+($C62-$A$21)*D$13,IF($C62&gt;$A$19,$A$19*D$11+($C62-$A$19)*D$12,$C62*D$11)),D$17+IF($C62&gt;$A$21,$A$19*D$19+($A$20-$A$19)*D$20+($C62-$A$21)*D$21,IF($C62&gt;$A$19,$A$19*D$19+($C62-$A$19)*D$20,$C62*D$19)))</f>
        <v>20.7</v>
      </c>
      <c r="E62" s="661">
        <f t="shared" si="1"/>
        <v>21.02</v>
      </c>
      <c r="F62" s="661">
        <f t="shared" si="1"/>
        <v>21.635999999999999</v>
      </c>
      <c r="G62" s="661">
        <f t="shared" si="1"/>
        <v>22.7178</v>
      </c>
      <c r="H62" s="661">
        <f t="shared" si="1"/>
        <v>23.85369</v>
      </c>
      <c r="I62" s="661">
        <f t="shared" si="1"/>
        <v>25.046374500000002</v>
      </c>
      <c r="J62" s="661">
        <f t="shared" si="1"/>
        <v>26.298693225000001</v>
      </c>
      <c r="K62" s="661">
        <f t="shared" si="1"/>
        <v>26.298693225000001</v>
      </c>
      <c r="L62" s="661">
        <f t="shared" si="1"/>
        <v>26.298693225000001</v>
      </c>
      <c r="M62" s="661">
        <f t="shared" si="1"/>
        <v>26.298693225000001</v>
      </c>
      <c r="N62" s="661">
        <f t="shared" si="1"/>
        <v>26.298693225000001</v>
      </c>
      <c r="O62" s="661">
        <f t="shared" si="1"/>
        <v>26.298693225000001</v>
      </c>
      <c r="Q62" s="661"/>
    </row>
    <row r="63" spans="1:18" x14ac:dyDescent="0.3">
      <c r="A63" s="1182"/>
      <c r="B63" s="663" t="s">
        <v>1690</v>
      </c>
      <c r="C63" s="663">
        <v>3</v>
      </c>
      <c r="D63" s="661">
        <f t="shared" si="1"/>
        <v>26.549999999999997</v>
      </c>
      <c r="E63" s="661">
        <f t="shared" si="1"/>
        <v>27.03</v>
      </c>
      <c r="F63" s="661">
        <f t="shared" si="1"/>
        <v>27.954000000000001</v>
      </c>
      <c r="G63" s="661">
        <f t="shared" si="1"/>
        <v>29.351700000000001</v>
      </c>
      <c r="H63" s="661">
        <f t="shared" si="1"/>
        <v>30.819285000000001</v>
      </c>
      <c r="I63" s="661">
        <f t="shared" si="1"/>
        <v>32.360249250000003</v>
      </c>
      <c r="J63" s="661">
        <f t="shared" si="1"/>
        <v>33.9782617125</v>
      </c>
      <c r="K63" s="661">
        <f t="shared" si="1"/>
        <v>33.9782617125</v>
      </c>
      <c r="L63" s="661">
        <f t="shared" si="1"/>
        <v>33.9782617125</v>
      </c>
      <c r="M63" s="661">
        <f t="shared" si="1"/>
        <v>33.9782617125</v>
      </c>
      <c r="N63" s="661">
        <f t="shared" si="1"/>
        <v>33.9782617125</v>
      </c>
      <c r="O63" s="661">
        <f t="shared" si="1"/>
        <v>33.9782617125</v>
      </c>
      <c r="Q63" s="661"/>
    </row>
    <row r="64" spans="1:18" x14ac:dyDescent="0.3">
      <c r="A64" s="1182" t="s">
        <v>1690</v>
      </c>
      <c r="B64" s="663" t="s">
        <v>1690</v>
      </c>
      <c r="C64" s="663">
        <v>4</v>
      </c>
      <c r="D64" s="661">
        <f t="shared" si="1"/>
        <v>32.4</v>
      </c>
      <c r="E64" s="661">
        <f t="shared" si="1"/>
        <v>33.04</v>
      </c>
      <c r="F64" s="661">
        <f t="shared" si="1"/>
        <v>34.271999999999998</v>
      </c>
      <c r="G64" s="661">
        <f t="shared" si="1"/>
        <v>35.985599999999998</v>
      </c>
      <c r="H64" s="661">
        <f t="shared" si="1"/>
        <v>37.784880000000001</v>
      </c>
      <c r="I64" s="661">
        <f t="shared" si="1"/>
        <v>39.674124000000006</v>
      </c>
      <c r="J64" s="661">
        <f t="shared" si="1"/>
        <v>41.657830200000006</v>
      </c>
      <c r="K64" s="661">
        <f t="shared" si="1"/>
        <v>41.657830200000006</v>
      </c>
      <c r="L64" s="661">
        <f t="shared" si="1"/>
        <v>41.657830200000006</v>
      </c>
      <c r="M64" s="661">
        <f t="shared" si="1"/>
        <v>41.657830200000006</v>
      </c>
      <c r="N64" s="661">
        <f t="shared" si="1"/>
        <v>41.657830200000006</v>
      </c>
      <c r="O64" s="661">
        <f t="shared" si="1"/>
        <v>41.657830200000006</v>
      </c>
      <c r="Q64" s="661"/>
    </row>
    <row r="65" spans="1:17" x14ac:dyDescent="0.3">
      <c r="A65" s="1182"/>
      <c r="B65" s="663" t="s">
        <v>1690</v>
      </c>
      <c r="C65" s="663">
        <v>5</v>
      </c>
      <c r="D65" s="661">
        <f t="shared" si="1"/>
        <v>38.25</v>
      </c>
      <c r="E65" s="661">
        <f t="shared" si="1"/>
        <v>39.049999999999997</v>
      </c>
      <c r="F65" s="661">
        <f t="shared" si="1"/>
        <v>40.589999999999996</v>
      </c>
      <c r="G65" s="661">
        <f t="shared" si="1"/>
        <v>42.619500000000002</v>
      </c>
      <c r="H65" s="661">
        <f t="shared" si="1"/>
        <v>44.750474999999994</v>
      </c>
      <c r="I65" s="661">
        <f t="shared" si="1"/>
        <v>46.987998750000003</v>
      </c>
      <c r="J65" s="661">
        <f t="shared" si="1"/>
        <v>49.337398687500006</v>
      </c>
      <c r="K65" s="661">
        <f t="shared" si="1"/>
        <v>49.337398687500006</v>
      </c>
      <c r="L65" s="661">
        <f t="shared" si="1"/>
        <v>49.337398687500006</v>
      </c>
      <c r="M65" s="661">
        <f t="shared" si="1"/>
        <v>49.337398687500006</v>
      </c>
      <c r="N65" s="661">
        <f t="shared" si="1"/>
        <v>49.337398687500006</v>
      </c>
      <c r="O65" s="661">
        <f t="shared" si="1"/>
        <v>49.337398687500006</v>
      </c>
      <c r="Q65" s="661"/>
    </row>
    <row r="66" spans="1:17" x14ac:dyDescent="0.3">
      <c r="A66" s="1182"/>
      <c r="B66" s="663" t="s">
        <v>1690</v>
      </c>
      <c r="C66" s="663">
        <v>6</v>
      </c>
      <c r="D66" s="661">
        <f t="shared" si="1"/>
        <v>44.099999999999994</v>
      </c>
      <c r="E66" s="661">
        <f t="shared" si="1"/>
        <v>45.06</v>
      </c>
      <c r="F66" s="661">
        <f t="shared" si="1"/>
        <v>46.908000000000001</v>
      </c>
      <c r="G66" s="661">
        <f t="shared" si="1"/>
        <v>49.253399999999999</v>
      </c>
      <c r="H66" s="661">
        <f t="shared" si="1"/>
        <v>51.716069999999995</v>
      </c>
      <c r="I66" s="661">
        <f t="shared" si="1"/>
        <v>54.301873499999999</v>
      </c>
      <c r="J66" s="661">
        <f t="shared" si="1"/>
        <v>57.016967175000005</v>
      </c>
      <c r="K66" s="661">
        <f t="shared" si="1"/>
        <v>57.016967175000005</v>
      </c>
      <c r="L66" s="661">
        <f t="shared" si="1"/>
        <v>57.016967175000005</v>
      </c>
      <c r="M66" s="661">
        <f t="shared" si="1"/>
        <v>57.016967175000005</v>
      </c>
      <c r="N66" s="661">
        <f t="shared" si="1"/>
        <v>57.016967175000005</v>
      </c>
      <c r="O66" s="661">
        <f t="shared" si="1"/>
        <v>57.016967175000005</v>
      </c>
      <c r="Q66" s="661"/>
    </row>
    <row r="67" spans="1:17" x14ac:dyDescent="0.3">
      <c r="A67" s="1182"/>
      <c r="B67" s="663" t="s">
        <v>1690</v>
      </c>
      <c r="C67" s="663">
        <v>7</v>
      </c>
      <c r="D67" s="661">
        <f t="shared" si="1"/>
        <v>49.949999999999996</v>
      </c>
      <c r="E67" s="661">
        <f t="shared" si="1"/>
        <v>51.07</v>
      </c>
      <c r="F67" s="661">
        <f t="shared" si="1"/>
        <v>53.225999999999999</v>
      </c>
      <c r="G67" s="661">
        <f t="shared" si="1"/>
        <v>55.887300000000003</v>
      </c>
      <c r="H67" s="661">
        <f t="shared" si="1"/>
        <v>58.681664999999995</v>
      </c>
      <c r="I67" s="661">
        <f t="shared" si="1"/>
        <v>61.61574825000001</v>
      </c>
      <c r="J67" s="661">
        <f t="shared" si="1"/>
        <v>64.696535662499997</v>
      </c>
      <c r="K67" s="661">
        <f t="shared" si="1"/>
        <v>64.696535662499997</v>
      </c>
      <c r="L67" s="661">
        <f t="shared" si="1"/>
        <v>64.696535662499997</v>
      </c>
      <c r="M67" s="661">
        <f t="shared" si="1"/>
        <v>64.696535662499997</v>
      </c>
      <c r="N67" s="661">
        <f t="shared" si="1"/>
        <v>64.696535662499997</v>
      </c>
      <c r="O67" s="661">
        <f t="shared" si="1"/>
        <v>64.696535662499997</v>
      </c>
      <c r="Q67" s="661"/>
    </row>
    <row r="68" spans="1:17" x14ac:dyDescent="0.3">
      <c r="A68" s="1182"/>
      <c r="B68" s="663" t="s">
        <v>1690</v>
      </c>
      <c r="C68" s="663">
        <v>8</v>
      </c>
      <c r="D68" s="661">
        <f t="shared" si="1"/>
        <v>55.8</v>
      </c>
      <c r="E68" s="661">
        <f t="shared" si="1"/>
        <v>57.08</v>
      </c>
      <c r="F68" s="661">
        <f t="shared" si="1"/>
        <v>59.543999999999997</v>
      </c>
      <c r="G68" s="661">
        <f t="shared" si="1"/>
        <v>62.5212</v>
      </c>
      <c r="H68" s="661">
        <f t="shared" si="1"/>
        <v>65.647260000000003</v>
      </c>
      <c r="I68" s="661">
        <f t="shared" si="1"/>
        <v>68.929623000000007</v>
      </c>
      <c r="J68" s="661">
        <f t="shared" si="1"/>
        <v>72.376104150000003</v>
      </c>
      <c r="K68" s="661">
        <f t="shared" si="1"/>
        <v>72.376104150000003</v>
      </c>
      <c r="L68" s="661">
        <f t="shared" si="1"/>
        <v>72.376104150000003</v>
      </c>
      <c r="M68" s="661">
        <f t="shared" si="1"/>
        <v>72.376104150000003</v>
      </c>
      <c r="N68" s="661">
        <f t="shared" si="1"/>
        <v>72.376104150000003</v>
      </c>
      <c r="O68" s="661">
        <f t="shared" si="1"/>
        <v>72.376104150000003</v>
      </c>
      <c r="Q68" s="661"/>
    </row>
    <row r="69" spans="1:17" x14ac:dyDescent="0.3">
      <c r="A69" s="1182"/>
      <c r="B69" s="663" t="s">
        <v>1690</v>
      </c>
      <c r="C69" s="663">
        <v>9</v>
      </c>
      <c r="D69" s="661">
        <f t="shared" si="1"/>
        <v>61.65</v>
      </c>
      <c r="E69" s="661">
        <f t="shared" si="1"/>
        <v>63.089999999999996</v>
      </c>
      <c r="F69" s="661">
        <f t="shared" si="1"/>
        <v>65.861999999999995</v>
      </c>
      <c r="G69" s="661">
        <f t="shared" si="1"/>
        <v>69.15509999999999</v>
      </c>
      <c r="H69" s="661">
        <f t="shared" si="1"/>
        <v>72.612854999999996</v>
      </c>
      <c r="I69" s="661">
        <f t="shared" si="1"/>
        <v>76.243497750000003</v>
      </c>
      <c r="J69" s="661">
        <f t="shared" si="1"/>
        <v>80.05567263750001</v>
      </c>
      <c r="K69" s="661">
        <f t="shared" si="1"/>
        <v>80.05567263750001</v>
      </c>
      <c r="L69" s="661">
        <f t="shared" si="1"/>
        <v>80.05567263750001</v>
      </c>
      <c r="M69" s="661">
        <f t="shared" si="1"/>
        <v>80.05567263750001</v>
      </c>
      <c r="N69" s="661">
        <f t="shared" si="1"/>
        <v>80.05567263750001</v>
      </c>
      <c r="O69" s="661">
        <f t="shared" si="1"/>
        <v>80.05567263750001</v>
      </c>
      <c r="Q69" s="661"/>
    </row>
    <row r="70" spans="1:17" x14ac:dyDescent="0.3">
      <c r="A70" s="1182"/>
      <c r="B70" s="663" t="s">
        <v>1690</v>
      </c>
      <c r="C70" s="663">
        <v>10</v>
      </c>
      <c r="D70" s="661">
        <f t="shared" si="1"/>
        <v>68.88</v>
      </c>
      <c r="E70" s="661">
        <f t="shared" si="1"/>
        <v>70.52</v>
      </c>
      <c r="F70" s="661">
        <f t="shared" si="1"/>
        <v>73.670400000000001</v>
      </c>
      <c r="G70" s="661">
        <f t="shared" si="1"/>
        <v>77.353920000000002</v>
      </c>
      <c r="H70" s="661">
        <f t="shared" si="1"/>
        <v>81.221615999999997</v>
      </c>
      <c r="I70" s="661">
        <f t="shared" si="1"/>
        <v>85.282696800000011</v>
      </c>
      <c r="J70" s="661">
        <f t="shared" si="1"/>
        <v>89.546831639999994</v>
      </c>
      <c r="K70" s="661">
        <f t="shared" si="1"/>
        <v>89.546831639999994</v>
      </c>
      <c r="L70" s="661">
        <f t="shared" si="1"/>
        <v>89.546831639999994</v>
      </c>
      <c r="M70" s="661">
        <f t="shared" si="1"/>
        <v>89.546831639999994</v>
      </c>
      <c r="N70" s="661">
        <f t="shared" si="1"/>
        <v>89.546831639999994</v>
      </c>
      <c r="O70" s="661">
        <f t="shared" si="1"/>
        <v>89.546831639999994</v>
      </c>
      <c r="Q70" s="661"/>
    </row>
    <row r="71" spans="1:17" x14ac:dyDescent="0.3">
      <c r="A71" s="1182"/>
      <c r="B71" s="663" t="s">
        <v>1690</v>
      </c>
      <c r="C71" s="663">
        <v>11</v>
      </c>
      <c r="D71" s="661">
        <f t="shared" si="1"/>
        <v>76.11</v>
      </c>
      <c r="E71" s="661">
        <f t="shared" si="1"/>
        <v>77.949999999999989</v>
      </c>
      <c r="F71" s="661">
        <f t="shared" si="1"/>
        <v>81.478799999999993</v>
      </c>
      <c r="G71" s="661">
        <f t="shared" si="1"/>
        <v>85.55274</v>
      </c>
      <c r="H71" s="661">
        <f t="shared" si="1"/>
        <v>89.830376999999999</v>
      </c>
      <c r="I71" s="661">
        <f t="shared" si="1"/>
        <v>94.321895850000004</v>
      </c>
      <c r="J71" s="661">
        <f t="shared" si="1"/>
        <v>99.037990642500006</v>
      </c>
      <c r="K71" s="661">
        <f t="shared" si="1"/>
        <v>99.037990642500006</v>
      </c>
      <c r="L71" s="661">
        <f t="shared" si="1"/>
        <v>99.037990642500006</v>
      </c>
      <c r="M71" s="661">
        <f t="shared" si="1"/>
        <v>99.037990642500006</v>
      </c>
      <c r="N71" s="661">
        <f t="shared" si="1"/>
        <v>99.037990642500006</v>
      </c>
      <c r="O71" s="661">
        <f t="shared" si="1"/>
        <v>99.037990642500006</v>
      </c>
      <c r="Q71" s="661"/>
    </row>
    <row r="72" spans="1:17" x14ac:dyDescent="0.3">
      <c r="A72" s="1182"/>
      <c r="B72" s="663" t="s">
        <v>1690</v>
      </c>
      <c r="C72" s="663">
        <v>12</v>
      </c>
      <c r="D72" s="661">
        <f t="shared" si="1"/>
        <v>83.34</v>
      </c>
      <c r="E72" s="661">
        <f t="shared" si="1"/>
        <v>85.38</v>
      </c>
      <c r="F72" s="661">
        <f t="shared" si="1"/>
        <v>89.287199999999999</v>
      </c>
      <c r="G72" s="661">
        <f t="shared" si="1"/>
        <v>93.751559999999998</v>
      </c>
      <c r="H72" s="661">
        <f t="shared" si="1"/>
        <v>98.439138</v>
      </c>
      <c r="I72" s="661">
        <f t="shared" si="1"/>
        <v>103.36109490000001</v>
      </c>
      <c r="J72" s="661">
        <f t="shared" si="1"/>
        <v>108.52914964500002</v>
      </c>
      <c r="K72" s="661">
        <f t="shared" si="1"/>
        <v>108.52914964500002</v>
      </c>
      <c r="L72" s="661">
        <f t="shared" si="1"/>
        <v>108.52914964500002</v>
      </c>
      <c r="M72" s="661">
        <f t="shared" si="1"/>
        <v>108.52914964500002</v>
      </c>
      <c r="N72" s="661">
        <f t="shared" si="1"/>
        <v>108.52914964500002</v>
      </c>
      <c r="O72" s="661">
        <f t="shared" si="1"/>
        <v>108.52914964500002</v>
      </c>
      <c r="Q72" s="661"/>
    </row>
    <row r="73" spans="1:17" x14ac:dyDescent="0.3">
      <c r="A73" s="1182"/>
      <c r="B73" s="663" t="s">
        <v>1690</v>
      </c>
      <c r="C73" s="663">
        <v>13</v>
      </c>
      <c r="D73" s="661">
        <f t="shared" si="1"/>
        <v>90.57</v>
      </c>
      <c r="E73" s="661">
        <f t="shared" si="1"/>
        <v>92.81</v>
      </c>
      <c r="F73" s="661">
        <f t="shared" si="1"/>
        <v>97.09559999999999</v>
      </c>
      <c r="G73" s="661">
        <f t="shared" si="1"/>
        <v>101.95038000000001</v>
      </c>
      <c r="H73" s="661">
        <f t="shared" si="1"/>
        <v>107.047899</v>
      </c>
      <c r="I73" s="661">
        <f t="shared" si="1"/>
        <v>112.40029395000001</v>
      </c>
      <c r="J73" s="661">
        <f t="shared" ref="F73:O88" si="2">IF($B73=$A$64,J$9+IF($C73&gt;$A$21,$A$19*J$11+($A$20-$A$19)*J$12+($C73-$A$21)*J$13,IF($C73&gt;$A$19,$A$19*J$11+($C73-$A$19)*J$12,$C73*J$11)),J$17+IF($C73&gt;$A$21,$A$19*J$19+($A$20-$A$19)*J$20+($C73-$A$21)*J$21,IF($C73&gt;$A$19,$A$19*J$19+($C73-$A$19)*J$20,$C73*J$19)))</f>
        <v>118.02030864750003</v>
      </c>
      <c r="K73" s="661">
        <f t="shared" si="2"/>
        <v>118.02030864750003</v>
      </c>
      <c r="L73" s="661">
        <f t="shared" si="2"/>
        <v>118.02030864750003</v>
      </c>
      <c r="M73" s="661">
        <f t="shared" si="2"/>
        <v>118.02030864750003</v>
      </c>
      <c r="N73" s="661">
        <f t="shared" si="2"/>
        <v>118.02030864750003</v>
      </c>
      <c r="O73" s="661">
        <f t="shared" si="2"/>
        <v>118.02030864750003</v>
      </c>
      <c r="Q73" s="661"/>
    </row>
    <row r="74" spans="1:17" x14ac:dyDescent="0.3">
      <c r="A74" s="1182"/>
      <c r="B74" s="663" t="s">
        <v>1690</v>
      </c>
      <c r="C74" s="663">
        <v>14</v>
      </c>
      <c r="D74" s="661">
        <f t="shared" si="1"/>
        <v>97.800000000000011</v>
      </c>
      <c r="E74" s="661">
        <f t="shared" si="1"/>
        <v>100.24</v>
      </c>
      <c r="F74" s="661">
        <f t="shared" si="2"/>
        <v>104.904</v>
      </c>
      <c r="G74" s="661">
        <f t="shared" si="2"/>
        <v>110.14919999999999</v>
      </c>
      <c r="H74" s="661">
        <f t="shared" si="2"/>
        <v>115.65666</v>
      </c>
      <c r="I74" s="661">
        <f t="shared" si="2"/>
        <v>121.43949300000001</v>
      </c>
      <c r="J74" s="661">
        <f t="shared" si="2"/>
        <v>127.51146765000001</v>
      </c>
      <c r="K74" s="661">
        <f t="shared" si="2"/>
        <v>127.51146765000001</v>
      </c>
      <c r="L74" s="661">
        <f t="shared" si="2"/>
        <v>127.51146765000001</v>
      </c>
      <c r="M74" s="661">
        <f t="shared" si="2"/>
        <v>127.51146765000001</v>
      </c>
      <c r="N74" s="661">
        <f t="shared" si="2"/>
        <v>127.51146765000001</v>
      </c>
      <c r="O74" s="661">
        <f t="shared" si="2"/>
        <v>127.51146765000001</v>
      </c>
      <c r="Q74" s="661"/>
    </row>
    <row r="75" spans="1:17" x14ac:dyDescent="0.3">
      <c r="A75" s="1182"/>
      <c r="B75" s="663" t="s">
        <v>1690</v>
      </c>
      <c r="C75" s="663">
        <v>15</v>
      </c>
      <c r="D75" s="661">
        <f t="shared" si="1"/>
        <v>105.03</v>
      </c>
      <c r="E75" s="661">
        <f t="shared" si="1"/>
        <v>107.66999999999999</v>
      </c>
      <c r="F75" s="661">
        <f t="shared" si="2"/>
        <v>112.7124</v>
      </c>
      <c r="G75" s="661">
        <f t="shared" si="2"/>
        <v>118.34802000000001</v>
      </c>
      <c r="H75" s="661">
        <f t="shared" si="2"/>
        <v>124.265421</v>
      </c>
      <c r="I75" s="661">
        <f t="shared" si="2"/>
        <v>130.47869205000001</v>
      </c>
      <c r="J75" s="661">
        <f t="shared" si="2"/>
        <v>137.00262665250003</v>
      </c>
      <c r="K75" s="661">
        <f t="shared" si="2"/>
        <v>137.00262665250003</v>
      </c>
      <c r="L75" s="661">
        <f t="shared" si="2"/>
        <v>137.00262665250003</v>
      </c>
      <c r="M75" s="661">
        <f t="shared" si="2"/>
        <v>137.00262665250003</v>
      </c>
      <c r="N75" s="661">
        <f t="shared" si="2"/>
        <v>137.00262665250003</v>
      </c>
      <c r="O75" s="661">
        <f t="shared" si="2"/>
        <v>137.00262665250003</v>
      </c>
      <c r="Q75" s="661"/>
    </row>
    <row r="76" spans="1:17" x14ac:dyDescent="0.3">
      <c r="A76" s="1182"/>
      <c r="B76" s="663" t="s">
        <v>1690</v>
      </c>
      <c r="C76" s="663">
        <v>16</v>
      </c>
      <c r="D76" s="661">
        <f t="shared" si="1"/>
        <v>112.25999999999999</v>
      </c>
      <c r="E76" s="661">
        <f t="shared" si="1"/>
        <v>115.1</v>
      </c>
      <c r="F76" s="661">
        <f t="shared" si="2"/>
        <v>120.52080000000001</v>
      </c>
      <c r="G76" s="661">
        <f t="shared" si="2"/>
        <v>126.54684000000002</v>
      </c>
      <c r="H76" s="661">
        <f t="shared" si="2"/>
        <v>132.87418200000002</v>
      </c>
      <c r="I76" s="661">
        <f t="shared" si="2"/>
        <v>139.51789110000001</v>
      </c>
      <c r="J76" s="661">
        <f t="shared" si="2"/>
        <v>146.49378565500004</v>
      </c>
      <c r="K76" s="661">
        <f t="shared" si="2"/>
        <v>146.49378565500004</v>
      </c>
      <c r="L76" s="661">
        <f t="shared" si="2"/>
        <v>146.49378565500004</v>
      </c>
      <c r="M76" s="661">
        <f t="shared" si="2"/>
        <v>146.49378565500004</v>
      </c>
      <c r="N76" s="661">
        <f t="shared" si="2"/>
        <v>146.49378565500004</v>
      </c>
      <c r="O76" s="661">
        <f t="shared" si="2"/>
        <v>146.49378565500004</v>
      </c>
      <c r="Q76" s="661"/>
    </row>
    <row r="77" spans="1:17" x14ac:dyDescent="0.3">
      <c r="A77" s="1182"/>
      <c r="B77" s="663" t="s">
        <v>1690</v>
      </c>
      <c r="C77" s="663">
        <v>17</v>
      </c>
      <c r="D77" s="661">
        <f t="shared" si="1"/>
        <v>119.49000000000001</v>
      </c>
      <c r="E77" s="661">
        <f t="shared" si="1"/>
        <v>122.53</v>
      </c>
      <c r="F77" s="661">
        <f t="shared" si="2"/>
        <v>128.32920000000001</v>
      </c>
      <c r="G77" s="661">
        <f t="shared" si="2"/>
        <v>134.74565999999999</v>
      </c>
      <c r="H77" s="661">
        <f t="shared" si="2"/>
        <v>141.48294300000003</v>
      </c>
      <c r="I77" s="661">
        <f t="shared" si="2"/>
        <v>148.55709014999999</v>
      </c>
      <c r="J77" s="661">
        <f t="shared" si="2"/>
        <v>155.98494465750002</v>
      </c>
      <c r="K77" s="661">
        <f t="shared" si="2"/>
        <v>155.98494465750002</v>
      </c>
      <c r="L77" s="661">
        <f t="shared" si="2"/>
        <v>155.98494465750002</v>
      </c>
      <c r="M77" s="661">
        <f t="shared" si="2"/>
        <v>155.98494465750002</v>
      </c>
      <c r="N77" s="661">
        <f t="shared" si="2"/>
        <v>155.98494465750002</v>
      </c>
      <c r="O77" s="661">
        <f t="shared" si="2"/>
        <v>155.98494465750002</v>
      </c>
      <c r="Q77" s="661"/>
    </row>
    <row r="78" spans="1:17" x14ac:dyDescent="0.3">
      <c r="A78" s="1182"/>
      <c r="B78" s="663" t="s">
        <v>1690</v>
      </c>
      <c r="C78" s="663">
        <v>18</v>
      </c>
      <c r="D78" s="661">
        <f t="shared" si="1"/>
        <v>126.72</v>
      </c>
      <c r="E78" s="661">
        <f t="shared" si="1"/>
        <v>129.96</v>
      </c>
      <c r="F78" s="661">
        <f t="shared" si="2"/>
        <v>136.13760000000002</v>
      </c>
      <c r="G78" s="661">
        <f t="shared" si="2"/>
        <v>142.94448</v>
      </c>
      <c r="H78" s="661">
        <f t="shared" si="2"/>
        <v>150.09170400000002</v>
      </c>
      <c r="I78" s="661">
        <f t="shared" si="2"/>
        <v>157.59628920000003</v>
      </c>
      <c r="J78" s="661">
        <f t="shared" si="2"/>
        <v>165.47610366000004</v>
      </c>
      <c r="K78" s="661">
        <f t="shared" si="2"/>
        <v>165.47610366000004</v>
      </c>
      <c r="L78" s="661">
        <f t="shared" si="2"/>
        <v>165.47610366000004</v>
      </c>
      <c r="M78" s="661">
        <f t="shared" si="2"/>
        <v>165.47610366000004</v>
      </c>
      <c r="N78" s="661">
        <f t="shared" si="2"/>
        <v>165.47610366000004</v>
      </c>
      <c r="O78" s="661">
        <f t="shared" si="2"/>
        <v>165.47610366000004</v>
      </c>
      <c r="Q78" s="661"/>
    </row>
    <row r="79" spans="1:17" x14ac:dyDescent="0.3">
      <c r="A79" s="1182"/>
      <c r="B79" s="663" t="s">
        <v>1690</v>
      </c>
      <c r="C79" s="663">
        <v>19</v>
      </c>
      <c r="D79" s="661">
        <f t="shared" si="1"/>
        <v>135.34</v>
      </c>
      <c r="E79" s="661">
        <f t="shared" si="1"/>
        <v>138.81</v>
      </c>
      <c r="F79" s="661">
        <f t="shared" si="2"/>
        <v>145.44720000000001</v>
      </c>
      <c r="G79" s="661">
        <f t="shared" si="2"/>
        <v>152.71956</v>
      </c>
      <c r="H79" s="661">
        <f t="shared" si="2"/>
        <v>160.35553800000002</v>
      </c>
      <c r="I79" s="661">
        <f t="shared" si="2"/>
        <v>168.37331490000003</v>
      </c>
      <c r="J79" s="661">
        <f t="shared" si="2"/>
        <v>176.79198064500002</v>
      </c>
      <c r="K79" s="661">
        <f t="shared" si="2"/>
        <v>176.79198064500002</v>
      </c>
      <c r="L79" s="661">
        <f t="shared" si="2"/>
        <v>176.79198064500002</v>
      </c>
      <c r="M79" s="661">
        <f t="shared" si="2"/>
        <v>176.79198064500002</v>
      </c>
      <c r="N79" s="661">
        <f t="shared" si="2"/>
        <v>176.79198064500002</v>
      </c>
      <c r="O79" s="661">
        <f t="shared" si="2"/>
        <v>176.79198064500002</v>
      </c>
      <c r="Q79" s="661"/>
    </row>
    <row r="80" spans="1:17" x14ac:dyDescent="0.3">
      <c r="A80" s="1182"/>
      <c r="B80" s="663" t="s">
        <v>1690</v>
      </c>
      <c r="C80" s="663">
        <v>20</v>
      </c>
      <c r="D80" s="661">
        <f t="shared" si="1"/>
        <v>143.96</v>
      </c>
      <c r="E80" s="661">
        <f t="shared" si="1"/>
        <v>147.66</v>
      </c>
      <c r="F80" s="661">
        <f t="shared" si="2"/>
        <v>154.7568</v>
      </c>
      <c r="G80" s="661">
        <f t="shared" si="2"/>
        <v>162.49464</v>
      </c>
      <c r="H80" s="661">
        <f t="shared" si="2"/>
        <v>170.61937200000003</v>
      </c>
      <c r="I80" s="661">
        <f t="shared" si="2"/>
        <v>179.15034060000002</v>
      </c>
      <c r="J80" s="661">
        <f t="shared" si="2"/>
        <v>188.10785763000004</v>
      </c>
      <c r="K80" s="661">
        <f t="shared" si="2"/>
        <v>188.10785763000004</v>
      </c>
      <c r="L80" s="661">
        <f t="shared" si="2"/>
        <v>188.10785763000004</v>
      </c>
      <c r="M80" s="661">
        <f t="shared" si="2"/>
        <v>188.10785763000004</v>
      </c>
      <c r="N80" s="661">
        <f t="shared" si="2"/>
        <v>188.10785763000004</v>
      </c>
      <c r="O80" s="661">
        <f t="shared" si="2"/>
        <v>188.10785763000004</v>
      </c>
      <c r="Q80" s="661"/>
    </row>
    <row r="81" spans="1:17" x14ac:dyDescent="0.3">
      <c r="A81" s="1182"/>
      <c r="B81" s="663" t="s">
        <v>1690</v>
      </c>
      <c r="C81" s="663">
        <v>21</v>
      </c>
      <c r="D81" s="661">
        <f t="shared" si="1"/>
        <v>152.57999999999998</v>
      </c>
      <c r="E81" s="661">
        <f t="shared" si="1"/>
        <v>156.51</v>
      </c>
      <c r="F81" s="661">
        <f t="shared" si="2"/>
        <v>164.06640000000002</v>
      </c>
      <c r="G81" s="661">
        <f t="shared" si="2"/>
        <v>172.26972000000001</v>
      </c>
      <c r="H81" s="661">
        <f t="shared" si="2"/>
        <v>180.88320600000003</v>
      </c>
      <c r="I81" s="661">
        <f t="shared" si="2"/>
        <v>189.92736630000005</v>
      </c>
      <c r="J81" s="661">
        <f t="shared" si="2"/>
        <v>199.42373461500003</v>
      </c>
      <c r="K81" s="661">
        <f t="shared" si="2"/>
        <v>199.42373461500003</v>
      </c>
      <c r="L81" s="661">
        <f t="shared" si="2"/>
        <v>199.42373461500003</v>
      </c>
      <c r="M81" s="661">
        <f t="shared" si="2"/>
        <v>199.42373461500003</v>
      </c>
      <c r="N81" s="661">
        <f t="shared" si="2"/>
        <v>199.42373461500003</v>
      </c>
      <c r="O81" s="661">
        <f t="shared" si="2"/>
        <v>199.42373461500003</v>
      </c>
      <c r="Q81" s="661"/>
    </row>
    <row r="82" spans="1:17" x14ac:dyDescent="0.3">
      <c r="A82" s="1182"/>
      <c r="B82" s="663" t="s">
        <v>1690</v>
      </c>
      <c r="C82" s="663">
        <v>22</v>
      </c>
      <c r="D82" s="661">
        <f t="shared" si="1"/>
        <v>161.19999999999999</v>
      </c>
      <c r="E82" s="661">
        <f t="shared" si="1"/>
        <v>165.36</v>
      </c>
      <c r="F82" s="661">
        <f t="shared" si="2"/>
        <v>173.376</v>
      </c>
      <c r="G82" s="661">
        <f t="shared" si="2"/>
        <v>182.04480000000001</v>
      </c>
      <c r="H82" s="661">
        <f t="shared" si="2"/>
        <v>191.14704000000003</v>
      </c>
      <c r="I82" s="661">
        <f t="shared" si="2"/>
        <v>200.70439200000004</v>
      </c>
      <c r="J82" s="661">
        <f t="shared" si="2"/>
        <v>210.73961160000005</v>
      </c>
      <c r="K82" s="661">
        <f t="shared" si="2"/>
        <v>210.73961160000005</v>
      </c>
      <c r="L82" s="661">
        <f t="shared" si="2"/>
        <v>210.73961160000005</v>
      </c>
      <c r="M82" s="661">
        <f t="shared" si="2"/>
        <v>210.73961160000005</v>
      </c>
      <c r="N82" s="661">
        <f t="shared" si="2"/>
        <v>210.73961160000005</v>
      </c>
      <c r="O82" s="661">
        <f t="shared" si="2"/>
        <v>210.73961160000005</v>
      </c>
      <c r="Q82" s="661"/>
    </row>
    <row r="83" spans="1:17" x14ac:dyDescent="0.3">
      <c r="A83" s="1182"/>
      <c r="B83" s="663" t="s">
        <v>1690</v>
      </c>
      <c r="C83" s="663">
        <v>23</v>
      </c>
      <c r="D83" s="661">
        <f t="shared" si="1"/>
        <v>169.82</v>
      </c>
      <c r="E83" s="661">
        <f t="shared" si="1"/>
        <v>174.21</v>
      </c>
      <c r="F83" s="661">
        <f t="shared" si="2"/>
        <v>182.68560000000002</v>
      </c>
      <c r="G83" s="661">
        <f t="shared" si="2"/>
        <v>191.81988000000001</v>
      </c>
      <c r="H83" s="661">
        <f t="shared" si="2"/>
        <v>201.41087400000004</v>
      </c>
      <c r="I83" s="661">
        <f t="shared" si="2"/>
        <v>211.48141770000004</v>
      </c>
      <c r="J83" s="661">
        <f t="shared" si="2"/>
        <v>222.05548858500003</v>
      </c>
      <c r="K83" s="661">
        <f t="shared" si="2"/>
        <v>222.05548858500003</v>
      </c>
      <c r="L83" s="661">
        <f t="shared" si="2"/>
        <v>222.05548858500003</v>
      </c>
      <c r="M83" s="661">
        <f t="shared" si="2"/>
        <v>222.05548858500003</v>
      </c>
      <c r="N83" s="661">
        <f t="shared" si="2"/>
        <v>222.05548858500003</v>
      </c>
      <c r="O83" s="661">
        <f t="shared" si="2"/>
        <v>222.05548858500003</v>
      </c>
      <c r="Q83" s="661"/>
    </row>
    <row r="84" spans="1:17" x14ac:dyDescent="0.3">
      <c r="A84" s="1182"/>
      <c r="B84" s="663" t="s">
        <v>1690</v>
      </c>
      <c r="C84" s="663">
        <v>24</v>
      </c>
      <c r="D84" s="661">
        <f t="shared" si="1"/>
        <v>178.44</v>
      </c>
      <c r="E84" s="661">
        <f t="shared" si="1"/>
        <v>183.06</v>
      </c>
      <c r="F84" s="661">
        <f t="shared" si="2"/>
        <v>191.99520000000001</v>
      </c>
      <c r="G84" s="661">
        <f t="shared" si="2"/>
        <v>201.59496000000001</v>
      </c>
      <c r="H84" s="661">
        <f t="shared" si="2"/>
        <v>211.67470800000001</v>
      </c>
      <c r="I84" s="661">
        <f t="shared" si="2"/>
        <v>222.25844340000003</v>
      </c>
      <c r="J84" s="661">
        <f t="shared" si="2"/>
        <v>233.37136557000002</v>
      </c>
      <c r="K84" s="661">
        <f t="shared" si="2"/>
        <v>233.37136557000002</v>
      </c>
      <c r="L84" s="661">
        <f t="shared" si="2"/>
        <v>233.37136557000002</v>
      </c>
      <c r="M84" s="661">
        <f t="shared" si="2"/>
        <v>233.37136557000002</v>
      </c>
      <c r="N84" s="661">
        <f t="shared" si="2"/>
        <v>233.37136557000002</v>
      </c>
      <c r="O84" s="661">
        <f t="shared" si="2"/>
        <v>233.37136557000002</v>
      </c>
      <c r="Q84" s="661"/>
    </row>
    <row r="85" spans="1:17" x14ac:dyDescent="0.3">
      <c r="A85" s="1182"/>
      <c r="B85" s="663" t="s">
        <v>1690</v>
      </c>
      <c r="C85" s="663">
        <v>25</v>
      </c>
      <c r="D85" s="661">
        <f t="shared" si="1"/>
        <v>187.06</v>
      </c>
      <c r="E85" s="661">
        <f t="shared" si="1"/>
        <v>191.91</v>
      </c>
      <c r="F85" s="661">
        <f t="shared" si="2"/>
        <v>201.3048</v>
      </c>
      <c r="G85" s="661">
        <f t="shared" si="2"/>
        <v>211.37004000000002</v>
      </c>
      <c r="H85" s="661">
        <f t="shared" si="2"/>
        <v>221.93854200000004</v>
      </c>
      <c r="I85" s="661">
        <f t="shared" si="2"/>
        <v>233.03546910000003</v>
      </c>
      <c r="J85" s="661">
        <f t="shared" si="2"/>
        <v>244.68724255500004</v>
      </c>
      <c r="K85" s="661">
        <f t="shared" si="2"/>
        <v>244.68724255500004</v>
      </c>
      <c r="L85" s="661">
        <f t="shared" si="2"/>
        <v>244.68724255500004</v>
      </c>
      <c r="M85" s="661">
        <f t="shared" si="2"/>
        <v>244.68724255500004</v>
      </c>
      <c r="N85" s="661">
        <f t="shared" si="2"/>
        <v>244.68724255500004</v>
      </c>
      <c r="O85" s="661">
        <f t="shared" si="2"/>
        <v>244.68724255500004</v>
      </c>
      <c r="Q85" s="661"/>
    </row>
    <row r="86" spans="1:17" x14ac:dyDescent="0.3">
      <c r="A86" s="1182"/>
      <c r="B86" s="663" t="s">
        <v>1690</v>
      </c>
      <c r="C86" s="663">
        <v>26</v>
      </c>
      <c r="D86" s="661">
        <f t="shared" si="1"/>
        <v>195.68</v>
      </c>
      <c r="E86" s="661">
        <f t="shared" si="1"/>
        <v>200.76</v>
      </c>
      <c r="F86" s="661">
        <f t="shared" si="2"/>
        <v>210.61439999999999</v>
      </c>
      <c r="G86" s="661">
        <f t="shared" si="2"/>
        <v>221.14512000000002</v>
      </c>
      <c r="H86" s="661">
        <f t="shared" si="2"/>
        <v>232.20237600000002</v>
      </c>
      <c r="I86" s="661">
        <f t="shared" si="2"/>
        <v>243.81249480000005</v>
      </c>
      <c r="J86" s="661">
        <f t="shared" si="2"/>
        <v>256.00311954000006</v>
      </c>
      <c r="K86" s="661">
        <f t="shared" si="2"/>
        <v>256.00311954000006</v>
      </c>
      <c r="L86" s="661">
        <f t="shared" si="2"/>
        <v>256.00311954000006</v>
      </c>
      <c r="M86" s="661">
        <f t="shared" si="2"/>
        <v>256.00311954000006</v>
      </c>
      <c r="N86" s="661">
        <f t="shared" si="2"/>
        <v>256.00311954000006</v>
      </c>
      <c r="O86" s="661">
        <f t="shared" si="2"/>
        <v>256.00311954000006</v>
      </c>
      <c r="Q86" s="661"/>
    </row>
    <row r="87" spans="1:17" x14ac:dyDescent="0.3">
      <c r="A87" s="1182"/>
      <c r="B87" s="663" t="s">
        <v>1690</v>
      </c>
      <c r="C87" s="663">
        <v>27</v>
      </c>
      <c r="D87" s="661">
        <f t="shared" si="1"/>
        <v>204.3</v>
      </c>
      <c r="E87" s="661">
        <f t="shared" si="1"/>
        <v>209.61</v>
      </c>
      <c r="F87" s="661">
        <f t="shared" si="2"/>
        <v>219.92400000000001</v>
      </c>
      <c r="G87" s="661">
        <f t="shared" si="2"/>
        <v>230.92020000000002</v>
      </c>
      <c r="H87" s="661">
        <f t="shared" si="2"/>
        <v>242.46621000000005</v>
      </c>
      <c r="I87" s="661">
        <f t="shared" si="2"/>
        <v>254.58952050000002</v>
      </c>
      <c r="J87" s="661">
        <f t="shared" si="2"/>
        <v>267.31899652500005</v>
      </c>
      <c r="K87" s="661">
        <f t="shared" si="2"/>
        <v>267.31899652500005</v>
      </c>
      <c r="L87" s="661">
        <f t="shared" si="2"/>
        <v>267.31899652500005</v>
      </c>
      <c r="M87" s="661">
        <f t="shared" si="2"/>
        <v>267.31899652500005</v>
      </c>
      <c r="N87" s="661">
        <f t="shared" si="2"/>
        <v>267.31899652500005</v>
      </c>
      <c r="O87" s="661">
        <f t="shared" si="2"/>
        <v>267.31899652500005</v>
      </c>
      <c r="Q87" s="661"/>
    </row>
    <row r="88" spans="1:17" x14ac:dyDescent="0.3">
      <c r="A88" s="1182"/>
      <c r="B88" s="663" t="s">
        <v>1690</v>
      </c>
      <c r="C88" s="663">
        <v>28</v>
      </c>
      <c r="D88" s="661">
        <f t="shared" si="1"/>
        <v>212.92</v>
      </c>
      <c r="E88" s="661">
        <f t="shared" si="1"/>
        <v>218.46</v>
      </c>
      <c r="F88" s="661">
        <f t="shared" si="2"/>
        <v>229.23360000000002</v>
      </c>
      <c r="G88" s="661">
        <f t="shared" si="2"/>
        <v>240.69528000000003</v>
      </c>
      <c r="H88" s="661">
        <f t="shared" si="2"/>
        <v>252.73004400000002</v>
      </c>
      <c r="I88" s="661">
        <f t="shared" si="2"/>
        <v>265.36654620000007</v>
      </c>
      <c r="J88" s="661">
        <f t="shared" si="2"/>
        <v>278.63487351000003</v>
      </c>
      <c r="K88" s="661">
        <f t="shared" si="2"/>
        <v>278.63487351000003</v>
      </c>
      <c r="L88" s="661">
        <f t="shared" si="2"/>
        <v>278.63487351000003</v>
      </c>
      <c r="M88" s="661">
        <f t="shared" si="2"/>
        <v>278.63487351000003</v>
      </c>
      <c r="N88" s="661">
        <f t="shared" si="2"/>
        <v>278.63487351000003</v>
      </c>
      <c r="O88" s="661">
        <f t="shared" si="2"/>
        <v>278.63487351000003</v>
      </c>
      <c r="Q88" s="661"/>
    </row>
    <row r="89" spans="1:17" x14ac:dyDescent="0.3">
      <c r="A89" s="1182"/>
      <c r="B89" s="663" t="s">
        <v>1690</v>
      </c>
      <c r="C89" s="663">
        <v>29</v>
      </c>
      <c r="D89" s="661">
        <f t="shared" si="1"/>
        <v>221.54</v>
      </c>
      <c r="E89" s="661">
        <f t="shared" si="1"/>
        <v>227.31</v>
      </c>
      <c r="F89" s="661">
        <f t="shared" ref="F89:O104" si="3">IF($B89=$A$64,F$9+IF($C89&gt;$A$21,$A$19*F$11+($A$20-$A$19)*F$12+($C89-$A$21)*F$13,IF($C89&gt;$A$19,$A$19*F$11+($C89-$A$19)*F$12,$C89*F$11)),F$17+IF($C89&gt;$A$21,$A$19*F$19+($A$20-$A$19)*F$20+($C89-$A$21)*F$21,IF($C89&gt;$A$19,$A$19*F$19+($C89-$A$19)*F$20,$C89*F$19)))</f>
        <v>238.54320000000001</v>
      </c>
      <c r="G89" s="661">
        <f t="shared" si="3"/>
        <v>250.47036000000003</v>
      </c>
      <c r="H89" s="661">
        <f t="shared" si="3"/>
        <v>262.99387800000005</v>
      </c>
      <c r="I89" s="661">
        <f t="shared" si="3"/>
        <v>276.1435719000001</v>
      </c>
      <c r="J89" s="661">
        <f t="shared" si="3"/>
        <v>289.95075049500008</v>
      </c>
      <c r="K89" s="661">
        <f t="shared" si="3"/>
        <v>289.95075049500008</v>
      </c>
      <c r="L89" s="661">
        <f t="shared" si="3"/>
        <v>289.95075049500008</v>
      </c>
      <c r="M89" s="661">
        <f t="shared" si="3"/>
        <v>289.95075049500008</v>
      </c>
      <c r="N89" s="661">
        <f t="shared" si="3"/>
        <v>289.95075049500008</v>
      </c>
      <c r="O89" s="661">
        <f t="shared" si="3"/>
        <v>289.95075049500008</v>
      </c>
      <c r="Q89" s="661"/>
    </row>
    <row r="90" spans="1:17" x14ac:dyDescent="0.3">
      <c r="A90" s="1182"/>
      <c r="B90" s="663" t="s">
        <v>1690</v>
      </c>
      <c r="C90" s="663">
        <v>30</v>
      </c>
      <c r="D90" s="661">
        <f t="shared" si="1"/>
        <v>230.16</v>
      </c>
      <c r="E90" s="661">
        <f t="shared" si="1"/>
        <v>236.16</v>
      </c>
      <c r="F90" s="661">
        <f t="shared" si="3"/>
        <v>247.8528</v>
      </c>
      <c r="G90" s="661">
        <f t="shared" si="3"/>
        <v>260.24544000000003</v>
      </c>
      <c r="H90" s="661">
        <f t="shared" si="3"/>
        <v>273.25771200000003</v>
      </c>
      <c r="I90" s="661">
        <f t="shared" si="3"/>
        <v>286.92059760000006</v>
      </c>
      <c r="J90" s="661">
        <f t="shared" si="3"/>
        <v>301.26662748000001</v>
      </c>
      <c r="K90" s="661">
        <f t="shared" si="3"/>
        <v>301.26662748000001</v>
      </c>
      <c r="L90" s="661">
        <f t="shared" si="3"/>
        <v>301.26662748000001</v>
      </c>
      <c r="M90" s="661">
        <f t="shared" si="3"/>
        <v>301.26662748000001</v>
      </c>
      <c r="N90" s="661">
        <f t="shared" si="3"/>
        <v>301.26662748000001</v>
      </c>
      <c r="O90" s="661">
        <f t="shared" si="3"/>
        <v>301.26662748000001</v>
      </c>
      <c r="Q90" s="661"/>
    </row>
    <row r="91" spans="1:17" x14ac:dyDescent="0.3">
      <c r="A91" s="1182"/>
      <c r="B91" s="663" t="s">
        <v>1690</v>
      </c>
      <c r="C91" s="663">
        <v>31</v>
      </c>
      <c r="D91" s="661">
        <f t="shared" si="1"/>
        <v>238.77999999999997</v>
      </c>
      <c r="E91" s="661">
        <f t="shared" si="1"/>
        <v>245.01</v>
      </c>
      <c r="F91" s="661">
        <f t="shared" si="3"/>
        <v>257.16239999999999</v>
      </c>
      <c r="G91" s="661">
        <f t="shared" si="3"/>
        <v>270.02051999999998</v>
      </c>
      <c r="H91" s="661">
        <f t="shared" si="3"/>
        <v>283.52154600000006</v>
      </c>
      <c r="I91" s="661">
        <f t="shared" si="3"/>
        <v>297.69762330000003</v>
      </c>
      <c r="J91" s="661">
        <f t="shared" si="3"/>
        <v>312.58250446500006</v>
      </c>
      <c r="K91" s="661">
        <f t="shared" si="3"/>
        <v>312.58250446500006</v>
      </c>
      <c r="L91" s="661">
        <f t="shared" si="3"/>
        <v>312.58250446500006</v>
      </c>
      <c r="M91" s="661">
        <f t="shared" si="3"/>
        <v>312.58250446500006</v>
      </c>
      <c r="N91" s="661">
        <f t="shared" si="3"/>
        <v>312.58250446500006</v>
      </c>
      <c r="O91" s="661">
        <f t="shared" si="3"/>
        <v>312.58250446500006</v>
      </c>
      <c r="Q91" s="661"/>
    </row>
    <row r="92" spans="1:17" x14ac:dyDescent="0.3">
      <c r="A92" s="1182"/>
      <c r="B92" s="663" t="s">
        <v>1690</v>
      </c>
      <c r="C92" s="663">
        <v>32</v>
      </c>
      <c r="D92" s="661">
        <f t="shared" si="1"/>
        <v>247.39999999999998</v>
      </c>
      <c r="E92" s="661">
        <f t="shared" si="1"/>
        <v>253.86</v>
      </c>
      <c r="F92" s="661">
        <f t="shared" si="3"/>
        <v>266.47199999999998</v>
      </c>
      <c r="G92" s="661">
        <f t="shared" si="3"/>
        <v>279.79559999999998</v>
      </c>
      <c r="H92" s="661">
        <f t="shared" si="3"/>
        <v>293.78538000000003</v>
      </c>
      <c r="I92" s="661">
        <f t="shared" si="3"/>
        <v>308.47464900000011</v>
      </c>
      <c r="J92" s="661">
        <f t="shared" si="3"/>
        <v>323.89838145000004</v>
      </c>
      <c r="K92" s="661">
        <f t="shared" si="3"/>
        <v>323.89838145000004</v>
      </c>
      <c r="L92" s="661">
        <f t="shared" si="3"/>
        <v>323.89838145000004</v>
      </c>
      <c r="M92" s="661">
        <f t="shared" si="3"/>
        <v>323.89838145000004</v>
      </c>
      <c r="N92" s="661">
        <f t="shared" si="3"/>
        <v>323.89838145000004</v>
      </c>
      <c r="O92" s="661">
        <f t="shared" si="3"/>
        <v>323.89838145000004</v>
      </c>
      <c r="Q92" s="661"/>
    </row>
    <row r="93" spans="1:17" x14ac:dyDescent="0.3">
      <c r="A93" s="1182"/>
      <c r="B93" s="663" t="s">
        <v>1690</v>
      </c>
      <c r="C93" s="663">
        <v>33</v>
      </c>
      <c r="D93" s="661">
        <f t="shared" si="1"/>
        <v>256.02</v>
      </c>
      <c r="E93" s="661">
        <f t="shared" si="1"/>
        <v>262.71000000000004</v>
      </c>
      <c r="F93" s="661">
        <f t="shared" si="3"/>
        <v>275.78160000000003</v>
      </c>
      <c r="G93" s="661">
        <f t="shared" si="3"/>
        <v>289.57067999999998</v>
      </c>
      <c r="H93" s="661">
        <f t="shared" si="3"/>
        <v>304.04921400000001</v>
      </c>
      <c r="I93" s="661">
        <f t="shared" si="3"/>
        <v>319.25167470000008</v>
      </c>
      <c r="J93" s="661">
        <f t="shared" si="3"/>
        <v>335.21425843500003</v>
      </c>
      <c r="K93" s="661">
        <f t="shared" si="3"/>
        <v>335.21425843500003</v>
      </c>
      <c r="L93" s="661">
        <f t="shared" si="3"/>
        <v>335.21425843500003</v>
      </c>
      <c r="M93" s="661">
        <f t="shared" si="3"/>
        <v>335.21425843500003</v>
      </c>
      <c r="N93" s="661">
        <f t="shared" si="3"/>
        <v>335.21425843500003</v>
      </c>
      <c r="O93" s="661">
        <f t="shared" si="3"/>
        <v>335.21425843500003</v>
      </c>
      <c r="Q93" s="661"/>
    </row>
    <row r="94" spans="1:17" x14ac:dyDescent="0.3">
      <c r="A94" s="1182"/>
      <c r="B94" s="663" t="s">
        <v>1690</v>
      </c>
      <c r="C94" s="663">
        <v>34</v>
      </c>
      <c r="D94" s="661">
        <f t="shared" si="1"/>
        <v>264.64</v>
      </c>
      <c r="E94" s="661">
        <f t="shared" si="1"/>
        <v>271.56</v>
      </c>
      <c r="F94" s="661">
        <f t="shared" si="3"/>
        <v>285.09120000000001</v>
      </c>
      <c r="G94" s="661">
        <f t="shared" si="3"/>
        <v>299.34575999999998</v>
      </c>
      <c r="H94" s="661">
        <f t="shared" si="3"/>
        <v>314.31304800000004</v>
      </c>
      <c r="I94" s="661">
        <f t="shared" si="3"/>
        <v>330.02870040000005</v>
      </c>
      <c r="J94" s="661">
        <f t="shared" si="3"/>
        <v>346.53013542000008</v>
      </c>
      <c r="K94" s="661">
        <f t="shared" si="3"/>
        <v>346.53013542000008</v>
      </c>
      <c r="L94" s="661">
        <f t="shared" si="3"/>
        <v>346.53013542000008</v>
      </c>
      <c r="M94" s="661">
        <f t="shared" si="3"/>
        <v>346.53013542000008</v>
      </c>
      <c r="N94" s="661">
        <f t="shared" si="3"/>
        <v>346.53013542000008</v>
      </c>
      <c r="O94" s="661">
        <f t="shared" si="3"/>
        <v>346.53013542000008</v>
      </c>
      <c r="Q94" s="661"/>
    </row>
    <row r="95" spans="1:17" x14ac:dyDescent="0.3">
      <c r="A95" s="1182"/>
      <c r="B95" s="663" t="s">
        <v>1690</v>
      </c>
      <c r="C95" s="663">
        <v>35</v>
      </c>
      <c r="D95" s="661">
        <f t="shared" si="1"/>
        <v>273.26</v>
      </c>
      <c r="E95" s="661">
        <f t="shared" si="1"/>
        <v>280.40999999999997</v>
      </c>
      <c r="F95" s="661">
        <f t="shared" si="3"/>
        <v>294.4008</v>
      </c>
      <c r="G95" s="661">
        <f t="shared" si="3"/>
        <v>309.12083999999999</v>
      </c>
      <c r="H95" s="661">
        <f t="shared" si="3"/>
        <v>324.57688200000007</v>
      </c>
      <c r="I95" s="661">
        <f t="shared" si="3"/>
        <v>340.80572610000007</v>
      </c>
      <c r="J95" s="661">
        <f t="shared" si="3"/>
        <v>357.84601240500001</v>
      </c>
      <c r="K95" s="661">
        <f t="shared" si="3"/>
        <v>357.84601240500001</v>
      </c>
      <c r="L95" s="661">
        <f t="shared" si="3"/>
        <v>357.84601240500001</v>
      </c>
      <c r="M95" s="661">
        <f t="shared" si="3"/>
        <v>357.84601240500001</v>
      </c>
      <c r="N95" s="661">
        <f t="shared" si="3"/>
        <v>357.84601240500001</v>
      </c>
      <c r="O95" s="661">
        <f t="shared" si="3"/>
        <v>357.84601240500001</v>
      </c>
      <c r="Q95" s="661"/>
    </row>
    <row r="96" spans="1:17" x14ac:dyDescent="0.3">
      <c r="A96" s="1182"/>
      <c r="B96" s="663" t="s">
        <v>1690</v>
      </c>
      <c r="C96" s="663">
        <v>36</v>
      </c>
      <c r="D96" s="661">
        <f t="shared" si="1"/>
        <v>281.88</v>
      </c>
      <c r="E96" s="661">
        <f t="shared" si="1"/>
        <v>289.26</v>
      </c>
      <c r="F96" s="661">
        <f t="shared" si="3"/>
        <v>303.71039999999999</v>
      </c>
      <c r="G96" s="661">
        <f t="shared" si="3"/>
        <v>318.89591999999999</v>
      </c>
      <c r="H96" s="661">
        <f t="shared" si="3"/>
        <v>334.84071600000004</v>
      </c>
      <c r="I96" s="661">
        <f t="shared" si="3"/>
        <v>351.5827518000001</v>
      </c>
      <c r="J96" s="661">
        <f t="shared" si="3"/>
        <v>369.16188939000006</v>
      </c>
      <c r="K96" s="661">
        <f t="shared" si="3"/>
        <v>369.16188939000006</v>
      </c>
      <c r="L96" s="661">
        <f t="shared" si="3"/>
        <v>369.16188939000006</v>
      </c>
      <c r="M96" s="661">
        <f t="shared" si="3"/>
        <v>369.16188939000006</v>
      </c>
      <c r="N96" s="661">
        <f t="shared" si="3"/>
        <v>369.16188939000006</v>
      </c>
      <c r="O96" s="661">
        <f t="shared" si="3"/>
        <v>369.16188939000006</v>
      </c>
      <c r="Q96" s="661"/>
    </row>
    <row r="97" spans="1:17" x14ac:dyDescent="0.3">
      <c r="A97" s="1182"/>
      <c r="B97" s="663" t="s">
        <v>1690</v>
      </c>
      <c r="C97" s="663">
        <v>37</v>
      </c>
      <c r="D97" s="661">
        <f t="shared" si="1"/>
        <v>290.5</v>
      </c>
      <c r="E97" s="661">
        <f t="shared" si="1"/>
        <v>298.11</v>
      </c>
      <c r="F97" s="661">
        <f t="shared" si="3"/>
        <v>313.02</v>
      </c>
      <c r="G97" s="661">
        <f t="shared" si="3"/>
        <v>328.67099999999999</v>
      </c>
      <c r="H97" s="661">
        <f t="shared" si="3"/>
        <v>345.10455000000002</v>
      </c>
      <c r="I97" s="661">
        <f t="shared" si="3"/>
        <v>362.35977750000006</v>
      </c>
      <c r="J97" s="661">
        <f t="shared" si="3"/>
        <v>380.47776637500004</v>
      </c>
      <c r="K97" s="661">
        <f t="shared" si="3"/>
        <v>380.47776637500004</v>
      </c>
      <c r="L97" s="661">
        <f t="shared" si="3"/>
        <v>380.47776637500004</v>
      </c>
      <c r="M97" s="661">
        <f t="shared" si="3"/>
        <v>380.47776637500004</v>
      </c>
      <c r="N97" s="661">
        <f t="shared" si="3"/>
        <v>380.47776637500004</v>
      </c>
      <c r="O97" s="661">
        <f t="shared" si="3"/>
        <v>380.47776637500004</v>
      </c>
      <c r="Q97" s="661"/>
    </row>
    <row r="98" spans="1:17" x14ac:dyDescent="0.3">
      <c r="A98" s="1182"/>
      <c r="B98" s="663" t="s">
        <v>1690</v>
      </c>
      <c r="C98" s="663">
        <v>38</v>
      </c>
      <c r="D98" s="661">
        <f t="shared" si="1"/>
        <v>299.12</v>
      </c>
      <c r="E98" s="661">
        <f t="shared" si="1"/>
        <v>306.96000000000004</v>
      </c>
      <c r="F98" s="661">
        <f t="shared" si="3"/>
        <v>322.32960000000003</v>
      </c>
      <c r="G98" s="661">
        <f t="shared" si="3"/>
        <v>338.44607999999999</v>
      </c>
      <c r="H98" s="661">
        <f t="shared" si="3"/>
        <v>355.36838400000005</v>
      </c>
      <c r="I98" s="661">
        <f t="shared" si="3"/>
        <v>373.13680320000009</v>
      </c>
      <c r="J98" s="661">
        <f t="shared" si="3"/>
        <v>391.79364336000003</v>
      </c>
      <c r="K98" s="661">
        <f t="shared" si="3"/>
        <v>391.79364336000003</v>
      </c>
      <c r="L98" s="661">
        <f t="shared" si="3"/>
        <v>391.79364336000003</v>
      </c>
      <c r="M98" s="661">
        <f t="shared" si="3"/>
        <v>391.79364336000003</v>
      </c>
      <c r="N98" s="661">
        <f t="shared" si="3"/>
        <v>391.79364336000003</v>
      </c>
      <c r="O98" s="661">
        <f t="shared" si="3"/>
        <v>391.79364336000003</v>
      </c>
      <c r="Q98" s="661"/>
    </row>
    <row r="99" spans="1:17" x14ac:dyDescent="0.3">
      <c r="A99" s="1182"/>
      <c r="B99" s="663" t="s">
        <v>1690</v>
      </c>
      <c r="C99" s="663">
        <v>39</v>
      </c>
      <c r="D99" s="661">
        <f t="shared" si="1"/>
        <v>307.74</v>
      </c>
      <c r="E99" s="661">
        <f t="shared" si="1"/>
        <v>315.81</v>
      </c>
      <c r="F99" s="661">
        <f t="shared" si="3"/>
        <v>331.63920000000002</v>
      </c>
      <c r="G99" s="661">
        <f t="shared" si="3"/>
        <v>348.22116</v>
      </c>
      <c r="H99" s="661">
        <f t="shared" si="3"/>
        <v>365.63221800000008</v>
      </c>
      <c r="I99" s="661">
        <f t="shared" si="3"/>
        <v>383.91382890000011</v>
      </c>
      <c r="J99" s="661">
        <f t="shared" si="3"/>
        <v>403.10952034500008</v>
      </c>
      <c r="K99" s="661">
        <f t="shared" si="3"/>
        <v>403.10952034500008</v>
      </c>
      <c r="L99" s="661">
        <f t="shared" si="3"/>
        <v>403.10952034500008</v>
      </c>
      <c r="M99" s="661">
        <f t="shared" si="3"/>
        <v>403.10952034500008</v>
      </c>
      <c r="N99" s="661">
        <f t="shared" si="3"/>
        <v>403.10952034500008</v>
      </c>
      <c r="O99" s="661">
        <f t="shared" si="3"/>
        <v>403.10952034500008</v>
      </c>
      <c r="Q99" s="661"/>
    </row>
    <row r="100" spans="1:17" x14ac:dyDescent="0.3">
      <c r="A100" s="1182"/>
      <c r="B100" s="663" t="s">
        <v>1690</v>
      </c>
      <c r="C100" s="663">
        <v>40</v>
      </c>
      <c r="D100" s="661">
        <f t="shared" si="1"/>
        <v>316.36</v>
      </c>
      <c r="E100" s="661">
        <f t="shared" si="1"/>
        <v>324.65999999999997</v>
      </c>
      <c r="F100" s="661">
        <f t="shared" si="3"/>
        <v>340.94880000000001</v>
      </c>
      <c r="G100" s="661">
        <f t="shared" si="3"/>
        <v>357.99624</v>
      </c>
      <c r="H100" s="661">
        <f t="shared" si="3"/>
        <v>375.89605200000005</v>
      </c>
      <c r="I100" s="661">
        <f t="shared" si="3"/>
        <v>394.69085460000008</v>
      </c>
      <c r="J100" s="661">
        <f t="shared" si="3"/>
        <v>414.42539733000007</v>
      </c>
      <c r="K100" s="661">
        <f t="shared" si="3"/>
        <v>414.42539733000007</v>
      </c>
      <c r="L100" s="661">
        <f t="shared" si="3"/>
        <v>414.42539733000007</v>
      </c>
      <c r="M100" s="661">
        <f t="shared" si="3"/>
        <v>414.42539733000007</v>
      </c>
      <c r="N100" s="661">
        <f t="shared" si="3"/>
        <v>414.42539733000007</v>
      </c>
      <c r="O100" s="661">
        <f t="shared" si="3"/>
        <v>414.42539733000007</v>
      </c>
      <c r="Q100" s="661"/>
    </row>
    <row r="101" spans="1:17" x14ac:dyDescent="0.3">
      <c r="A101" s="1182"/>
      <c r="B101" s="663" t="s">
        <v>1690</v>
      </c>
      <c r="C101" s="663">
        <v>41</v>
      </c>
      <c r="D101" s="661">
        <f t="shared" si="1"/>
        <v>324.98</v>
      </c>
      <c r="E101" s="661">
        <f t="shared" si="1"/>
        <v>333.51</v>
      </c>
      <c r="F101" s="661">
        <f t="shared" si="3"/>
        <v>350.25839999999999</v>
      </c>
      <c r="G101" s="661">
        <f t="shared" si="3"/>
        <v>367.77132</v>
      </c>
      <c r="H101" s="661">
        <f t="shared" si="3"/>
        <v>386.15988600000003</v>
      </c>
      <c r="I101" s="661">
        <f t="shared" si="3"/>
        <v>405.46788030000005</v>
      </c>
      <c r="J101" s="661">
        <f t="shared" si="3"/>
        <v>425.74127431500006</v>
      </c>
      <c r="K101" s="661">
        <f t="shared" si="3"/>
        <v>425.74127431500006</v>
      </c>
      <c r="L101" s="661">
        <f t="shared" si="3"/>
        <v>425.74127431500006</v>
      </c>
      <c r="M101" s="661">
        <f t="shared" si="3"/>
        <v>425.74127431500006</v>
      </c>
      <c r="N101" s="661">
        <f t="shared" si="3"/>
        <v>425.74127431500006</v>
      </c>
      <c r="O101" s="661">
        <f t="shared" si="3"/>
        <v>425.74127431500006</v>
      </c>
      <c r="Q101" s="661"/>
    </row>
    <row r="102" spans="1:17" x14ac:dyDescent="0.3">
      <c r="A102" s="1182"/>
      <c r="B102" s="663" t="s">
        <v>1690</v>
      </c>
      <c r="C102" s="663">
        <v>42</v>
      </c>
      <c r="D102" s="661">
        <f t="shared" si="1"/>
        <v>333.6</v>
      </c>
      <c r="E102" s="661">
        <f t="shared" si="1"/>
        <v>342.36</v>
      </c>
      <c r="F102" s="661">
        <f t="shared" si="3"/>
        <v>359.56799999999998</v>
      </c>
      <c r="G102" s="661">
        <f t="shared" si="3"/>
        <v>377.54640000000001</v>
      </c>
      <c r="H102" s="661">
        <f t="shared" si="3"/>
        <v>396.42372</v>
      </c>
      <c r="I102" s="661">
        <f t="shared" si="3"/>
        <v>416.24490600000007</v>
      </c>
      <c r="J102" s="661">
        <f t="shared" si="3"/>
        <v>437.05715130000004</v>
      </c>
      <c r="K102" s="661">
        <f t="shared" si="3"/>
        <v>437.05715130000004</v>
      </c>
      <c r="L102" s="661">
        <f t="shared" si="3"/>
        <v>437.05715130000004</v>
      </c>
      <c r="M102" s="661">
        <f t="shared" si="3"/>
        <v>437.05715130000004</v>
      </c>
      <c r="N102" s="661">
        <f t="shared" si="3"/>
        <v>437.05715130000004</v>
      </c>
      <c r="O102" s="661">
        <f t="shared" si="3"/>
        <v>437.05715130000004</v>
      </c>
      <c r="Q102" s="661"/>
    </row>
    <row r="103" spans="1:17" x14ac:dyDescent="0.3">
      <c r="A103" s="1182"/>
      <c r="B103" s="663" t="s">
        <v>1690</v>
      </c>
      <c r="C103" s="663">
        <v>43</v>
      </c>
      <c r="D103" s="661">
        <f t="shared" si="1"/>
        <v>342.21999999999997</v>
      </c>
      <c r="E103" s="661">
        <f t="shared" si="1"/>
        <v>351.21000000000004</v>
      </c>
      <c r="F103" s="661">
        <f t="shared" si="3"/>
        <v>368.87759999999997</v>
      </c>
      <c r="G103" s="661">
        <f t="shared" si="3"/>
        <v>387.32148000000001</v>
      </c>
      <c r="H103" s="661">
        <f t="shared" si="3"/>
        <v>406.68755400000009</v>
      </c>
      <c r="I103" s="661">
        <f t="shared" si="3"/>
        <v>427.0219317000001</v>
      </c>
      <c r="J103" s="661">
        <f t="shared" si="3"/>
        <v>448.37302828500003</v>
      </c>
      <c r="K103" s="661">
        <f t="shared" si="3"/>
        <v>448.37302828500003</v>
      </c>
      <c r="L103" s="661">
        <f t="shared" si="3"/>
        <v>448.37302828500003</v>
      </c>
      <c r="M103" s="661">
        <f t="shared" si="3"/>
        <v>448.37302828500003</v>
      </c>
      <c r="N103" s="661">
        <f t="shared" si="3"/>
        <v>448.37302828500003</v>
      </c>
      <c r="O103" s="661">
        <f t="shared" si="3"/>
        <v>448.37302828500003</v>
      </c>
      <c r="Q103" s="661"/>
    </row>
    <row r="104" spans="1:17" x14ac:dyDescent="0.3">
      <c r="A104" s="1182"/>
      <c r="B104" s="663" t="s">
        <v>1690</v>
      </c>
      <c r="C104" s="663">
        <v>44</v>
      </c>
      <c r="D104" s="661">
        <f t="shared" si="1"/>
        <v>350.84</v>
      </c>
      <c r="E104" s="661">
        <f t="shared" ref="E104:E160" si="4">IF($B104=$A$64,E$9+IF($C104&gt;$A$21,$A$19*E$11+($A$20-$A$19)*E$12+($C104-$A$21)*E$13,IF($C104&gt;$A$19,$A$19*E$11+($C104-$A$19)*E$12,$C104*E$11)),E$17+IF($C104&gt;$A$21,$A$19*E$19+($A$20-$A$19)*E$20+($C104-$A$21)*E$21,IF($C104&gt;$A$19,$A$19*E$19+($C104-$A$19)*E$20,$C104*E$19)))</f>
        <v>360.06</v>
      </c>
      <c r="F104" s="661">
        <f t="shared" si="3"/>
        <v>378.18720000000002</v>
      </c>
      <c r="G104" s="661">
        <f t="shared" si="3"/>
        <v>397.09656000000001</v>
      </c>
      <c r="H104" s="661">
        <f t="shared" si="3"/>
        <v>416.95138800000007</v>
      </c>
      <c r="I104" s="661">
        <f t="shared" si="3"/>
        <v>437.79895740000006</v>
      </c>
      <c r="J104" s="661">
        <f t="shared" si="3"/>
        <v>459.68890527000008</v>
      </c>
      <c r="K104" s="661">
        <f t="shared" si="3"/>
        <v>459.68890527000008</v>
      </c>
      <c r="L104" s="661">
        <f t="shared" si="3"/>
        <v>459.68890527000008</v>
      </c>
      <c r="M104" s="661">
        <f t="shared" si="3"/>
        <v>459.68890527000008</v>
      </c>
      <c r="N104" s="661">
        <f t="shared" si="3"/>
        <v>459.68890527000008</v>
      </c>
      <c r="O104" s="661">
        <f t="shared" si="3"/>
        <v>459.68890527000008</v>
      </c>
      <c r="Q104" s="661"/>
    </row>
    <row r="105" spans="1:17" x14ac:dyDescent="0.3">
      <c r="A105" s="1182"/>
      <c r="B105" s="663" t="s">
        <v>1690</v>
      </c>
      <c r="C105" s="663">
        <v>45</v>
      </c>
      <c r="D105" s="661">
        <f t="shared" si="1"/>
        <v>359.46</v>
      </c>
      <c r="E105" s="661">
        <f t="shared" si="4"/>
        <v>368.90999999999997</v>
      </c>
      <c r="F105" s="661">
        <f t="shared" ref="F105:O120" si="5">IF($B105=$A$64,F$9+IF($C105&gt;$A$21,$A$19*F$11+($A$20-$A$19)*F$12+($C105-$A$21)*F$13,IF($C105&gt;$A$19,$A$19*F$11+($C105-$A$19)*F$12,$C105*F$11)),F$17+IF($C105&gt;$A$21,$A$19*F$19+($A$20-$A$19)*F$20+($C105-$A$21)*F$21,IF($C105&gt;$A$19,$A$19*F$19+($C105-$A$19)*F$20,$C105*F$19)))</f>
        <v>387.49680000000001</v>
      </c>
      <c r="G105" s="661">
        <f t="shared" si="5"/>
        <v>406.87164000000001</v>
      </c>
      <c r="H105" s="661">
        <f t="shared" si="5"/>
        <v>427.21522200000004</v>
      </c>
      <c r="I105" s="661">
        <f t="shared" si="5"/>
        <v>448.57598310000009</v>
      </c>
      <c r="J105" s="661">
        <f t="shared" si="5"/>
        <v>471.00478225500007</v>
      </c>
      <c r="K105" s="661">
        <f t="shared" si="5"/>
        <v>471.00478225500007</v>
      </c>
      <c r="L105" s="661">
        <f t="shared" si="5"/>
        <v>471.00478225500007</v>
      </c>
      <c r="M105" s="661">
        <f t="shared" si="5"/>
        <v>471.00478225500007</v>
      </c>
      <c r="N105" s="661">
        <f t="shared" si="5"/>
        <v>471.00478225500007</v>
      </c>
      <c r="O105" s="661">
        <f t="shared" si="5"/>
        <v>471.00478225500007</v>
      </c>
      <c r="Q105" s="661"/>
    </row>
    <row r="106" spans="1:17" x14ac:dyDescent="0.3">
      <c r="A106" s="1182"/>
      <c r="B106" s="663" t="s">
        <v>1690</v>
      </c>
      <c r="C106" s="663">
        <v>46</v>
      </c>
      <c r="D106" s="661">
        <f t="shared" si="1"/>
        <v>368.08</v>
      </c>
      <c r="E106" s="661">
        <f t="shared" si="4"/>
        <v>377.76</v>
      </c>
      <c r="F106" s="661">
        <f t="shared" si="5"/>
        <v>396.8064</v>
      </c>
      <c r="G106" s="661">
        <f t="shared" si="5"/>
        <v>416.64672000000002</v>
      </c>
      <c r="H106" s="661">
        <f t="shared" si="5"/>
        <v>437.47905600000001</v>
      </c>
      <c r="I106" s="661">
        <f t="shared" si="5"/>
        <v>459.35300880000011</v>
      </c>
      <c r="J106" s="661">
        <f t="shared" si="5"/>
        <v>482.32065924000005</v>
      </c>
      <c r="K106" s="661">
        <f t="shared" si="5"/>
        <v>482.32065924000005</v>
      </c>
      <c r="L106" s="661">
        <f t="shared" si="5"/>
        <v>482.32065924000005</v>
      </c>
      <c r="M106" s="661">
        <f t="shared" si="5"/>
        <v>482.32065924000005</v>
      </c>
      <c r="N106" s="661">
        <f t="shared" si="5"/>
        <v>482.32065924000005</v>
      </c>
      <c r="O106" s="661">
        <f t="shared" si="5"/>
        <v>482.32065924000005</v>
      </c>
      <c r="Q106" s="661"/>
    </row>
    <row r="107" spans="1:17" x14ac:dyDescent="0.3">
      <c r="A107" s="1182"/>
      <c r="B107" s="663" t="s">
        <v>1690</v>
      </c>
      <c r="C107" s="663">
        <v>47</v>
      </c>
      <c r="D107" s="661">
        <f t="shared" si="1"/>
        <v>376.7</v>
      </c>
      <c r="E107" s="661">
        <f t="shared" si="4"/>
        <v>386.61</v>
      </c>
      <c r="F107" s="661">
        <f t="shared" si="5"/>
        <v>406.11599999999999</v>
      </c>
      <c r="G107" s="661">
        <f t="shared" si="5"/>
        <v>426.42180000000002</v>
      </c>
      <c r="H107" s="661">
        <f t="shared" si="5"/>
        <v>447.7428900000001</v>
      </c>
      <c r="I107" s="661">
        <f t="shared" si="5"/>
        <v>470.13003450000008</v>
      </c>
      <c r="J107" s="661">
        <f t="shared" si="5"/>
        <v>493.63653622500004</v>
      </c>
      <c r="K107" s="661">
        <f t="shared" si="5"/>
        <v>493.63653622500004</v>
      </c>
      <c r="L107" s="661">
        <f t="shared" si="5"/>
        <v>493.63653622500004</v>
      </c>
      <c r="M107" s="661">
        <f t="shared" si="5"/>
        <v>493.63653622500004</v>
      </c>
      <c r="N107" s="661">
        <f t="shared" si="5"/>
        <v>493.63653622500004</v>
      </c>
      <c r="O107" s="661">
        <f t="shared" si="5"/>
        <v>493.63653622500004</v>
      </c>
      <c r="Q107" s="661"/>
    </row>
    <row r="108" spans="1:17" x14ac:dyDescent="0.3">
      <c r="A108" s="1182"/>
      <c r="B108" s="663" t="s">
        <v>1690</v>
      </c>
      <c r="C108" s="663">
        <v>48</v>
      </c>
      <c r="D108" s="661">
        <f t="shared" si="1"/>
        <v>385.31999999999994</v>
      </c>
      <c r="E108" s="661">
        <f t="shared" si="4"/>
        <v>395.46000000000004</v>
      </c>
      <c r="F108" s="661">
        <f t="shared" si="5"/>
        <v>415.42560000000003</v>
      </c>
      <c r="G108" s="661">
        <f t="shared" si="5"/>
        <v>436.19688000000002</v>
      </c>
      <c r="H108" s="661">
        <f t="shared" si="5"/>
        <v>458.00672400000008</v>
      </c>
      <c r="I108" s="661">
        <f t="shared" si="5"/>
        <v>480.9070602000001</v>
      </c>
      <c r="J108" s="661">
        <f t="shared" si="5"/>
        <v>504.95241321000009</v>
      </c>
      <c r="K108" s="661">
        <f t="shared" si="5"/>
        <v>504.95241321000009</v>
      </c>
      <c r="L108" s="661">
        <f t="shared" si="5"/>
        <v>504.95241321000009</v>
      </c>
      <c r="M108" s="661">
        <f t="shared" si="5"/>
        <v>504.95241321000009</v>
      </c>
      <c r="N108" s="661">
        <f t="shared" si="5"/>
        <v>504.95241321000009</v>
      </c>
      <c r="O108" s="661">
        <f t="shared" si="5"/>
        <v>504.95241321000009</v>
      </c>
      <c r="Q108" s="661"/>
    </row>
    <row r="109" spans="1:17" x14ac:dyDescent="0.3">
      <c r="A109" s="1182"/>
      <c r="B109" s="663" t="s">
        <v>1690</v>
      </c>
      <c r="C109" s="663">
        <v>49</v>
      </c>
      <c r="D109" s="661">
        <f t="shared" si="1"/>
        <v>393.93999999999994</v>
      </c>
      <c r="E109" s="661">
        <f t="shared" si="4"/>
        <v>404.30999999999995</v>
      </c>
      <c r="F109" s="661">
        <f t="shared" si="5"/>
        <v>424.73520000000002</v>
      </c>
      <c r="G109" s="661">
        <f t="shared" si="5"/>
        <v>445.97196000000002</v>
      </c>
      <c r="H109" s="661">
        <f t="shared" si="5"/>
        <v>468.27055800000005</v>
      </c>
      <c r="I109" s="661">
        <f t="shared" si="5"/>
        <v>491.68408590000007</v>
      </c>
      <c r="J109" s="661">
        <f t="shared" si="5"/>
        <v>516.26829019500008</v>
      </c>
      <c r="K109" s="661">
        <f t="shared" si="5"/>
        <v>516.26829019500008</v>
      </c>
      <c r="L109" s="661">
        <f t="shared" si="5"/>
        <v>516.26829019500008</v>
      </c>
      <c r="M109" s="661">
        <f t="shared" si="5"/>
        <v>516.26829019500008</v>
      </c>
      <c r="N109" s="661">
        <f t="shared" si="5"/>
        <v>516.26829019500008</v>
      </c>
      <c r="O109" s="661">
        <f t="shared" si="5"/>
        <v>516.26829019500008</v>
      </c>
      <c r="Q109" s="661"/>
    </row>
    <row r="110" spans="1:17" x14ac:dyDescent="0.3">
      <c r="A110" s="1182"/>
      <c r="B110" s="663" t="s">
        <v>1690</v>
      </c>
      <c r="C110" s="663">
        <v>50</v>
      </c>
      <c r="D110" s="661">
        <f t="shared" si="1"/>
        <v>402.55999999999995</v>
      </c>
      <c r="E110" s="661">
        <f t="shared" si="4"/>
        <v>413.15999999999997</v>
      </c>
      <c r="F110" s="661">
        <f t="shared" si="5"/>
        <v>434.04480000000001</v>
      </c>
      <c r="G110" s="661">
        <f t="shared" si="5"/>
        <v>455.74704000000003</v>
      </c>
      <c r="H110" s="661">
        <f t="shared" si="5"/>
        <v>478.53439200000003</v>
      </c>
      <c r="I110" s="661">
        <f t="shared" si="5"/>
        <v>502.46111160000009</v>
      </c>
      <c r="J110" s="661">
        <f t="shared" si="5"/>
        <v>527.58416718000001</v>
      </c>
      <c r="K110" s="661">
        <f t="shared" si="5"/>
        <v>527.58416718000001</v>
      </c>
      <c r="L110" s="661">
        <f t="shared" si="5"/>
        <v>527.58416718000001</v>
      </c>
      <c r="M110" s="661">
        <f t="shared" si="5"/>
        <v>527.58416718000001</v>
      </c>
      <c r="N110" s="661">
        <f t="shared" si="5"/>
        <v>527.58416718000001</v>
      </c>
      <c r="O110" s="661">
        <f t="shared" si="5"/>
        <v>527.58416718000001</v>
      </c>
      <c r="Q110" s="661"/>
    </row>
    <row r="111" spans="1:17" x14ac:dyDescent="0.3">
      <c r="A111" s="1182"/>
      <c r="B111" s="663" t="s">
        <v>1690</v>
      </c>
      <c r="C111" s="663">
        <v>51</v>
      </c>
      <c r="D111" s="661">
        <f t="shared" si="1"/>
        <v>411.17999999999995</v>
      </c>
      <c r="E111" s="661">
        <f t="shared" si="4"/>
        <v>422.01</v>
      </c>
      <c r="F111" s="661">
        <f t="shared" si="5"/>
        <v>443.3544</v>
      </c>
      <c r="G111" s="661">
        <f t="shared" si="5"/>
        <v>465.52212000000003</v>
      </c>
      <c r="H111" s="661">
        <f t="shared" si="5"/>
        <v>488.798226</v>
      </c>
      <c r="I111" s="661">
        <f t="shared" si="5"/>
        <v>513.23813730000006</v>
      </c>
      <c r="J111" s="661">
        <f t="shared" si="5"/>
        <v>538.90004416500005</v>
      </c>
      <c r="K111" s="661">
        <f t="shared" si="5"/>
        <v>538.90004416500005</v>
      </c>
      <c r="L111" s="661">
        <f t="shared" si="5"/>
        <v>538.90004416500005</v>
      </c>
      <c r="M111" s="661">
        <f t="shared" si="5"/>
        <v>538.90004416500005</v>
      </c>
      <c r="N111" s="661">
        <f t="shared" si="5"/>
        <v>538.90004416500005</v>
      </c>
      <c r="O111" s="661">
        <f t="shared" si="5"/>
        <v>538.90004416500005</v>
      </c>
      <c r="Q111" s="661"/>
    </row>
    <row r="112" spans="1:17" x14ac:dyDescent="0.3">
      <c r="A112" s="1182"/>
      <c r="B112" s="663" t="s">
        <v>1690</v>
      </c>
      <c r="C112" s="663">
        <v>52</v>
      </c>
      <c r="D112" s="661">
        <f t="shared" si="1"/>
        <v>419.79999999999995</v>
      </c>
      <c r="E112" s="661">
        <f t="shared" si="4"/>
        <v>430.86</v>
      </c>
      <c r="F112" s="661">
        <f t="shared" si="5"/>
        <v>452.66399999999999</v>
      </c>
      <c r="G112" s="661">
        <f t="shared" si="5"/>
        <v>475.29720000000003</v>
      </c>
      <c r="H112" s="661">
        <f t="shared" si="5"/>
        <v>499.06206000000009</v>
      </c>
      <c r="I112" s="661">
        <f t="shared" si="5"/>
        <v>524.01516300000003</v>
      </c>
      <c r="J112" s="661">
        <f t="shared" si="5"/>
        <v>550.2159211500001</v>
      </c>
      <c r="K112" s="661">
        <f t="shared" si="5"/>
        <v>550.2159211500001</v>
      </c>
      <c r="L112" s="661">
        <f t="shared" si="5"/>
        <v>550.2159211500001</v>
      </c>
      <c r="M112" s="661">
        <f t="shared" si="5"/>
        <v>550.2159211500001</v>
      </c>
      <c r="N112" s="661">
        <f t="shared" si="5"/>
        <v>550.2159211500001</v>
      </c>
      <c r="O112" s="661">
        <f t="shared" si="5"/>
        <v>550.2159211500001</v>
      </c>
      <c r="Q112" s="661"/>
    </row>
    <row r="113" spans="1:17" x14ac:dyDescent="0.3">
      <c r="A113" s="1182"/>
      <c r="B113" s="663" t="s">
        <v>1690</v>
      </c>
      <c r="C113" s="663">
        <v>53</v>
      </c>
      <c r="D113" s="661">
        <f t="shared" si="1"/>
        <v>428.41999999999996</v>
      </c>
      <c r="E113" s="661">
        <f t="shared" si="4"/>
        <v>439.71000000000004</v>
      </c>
      <c r="F113" s="661">
        <f t="shared" si="5"/>
        <v>461.97360000000003</v>
      </c>
      <c r="G113" s="661">
        <f t="shared" si="5"/>
        <v>485.07228000000003</v>
      </c>
      <c r="H113" s="661">
        <f t="shared" si="5"/>
        <v>509.32589400000006</v>
      </c>
      <c r="I113" s="661">
        <f t="shared" si="5"/>
        <v>534.79218870000011</v>
      </c>
      <c r="J113" s="661">
        <f t="shared" si="5"/>
        <v>561.53179813500003</v>
      </c>
      <c r="K113" s="661">
        <f t="shared" si="5"/>
        <v>561.53179813500003</v>
      </c>
      <c r="L113" s="661">
        <f t="shared" si="5"/>
        <v>561.53179813500003</v>
      </c>
      <c r="M113" s="661">
        <f t="shared" si="5"/>
        <v>561.53179813500003</v>
      </c>
      <c r="N113" s="661">
        <f t="shared" si="5"/>
        <v>561.53179813500003</v>
      </c>
      <c r="O113" s="661">
        <f t="shared" si="5"/>
        <v>561.53179813500003</v>
      </c>
      <c r="Q113" s="661"/>
    </row>
    <row r="114" spans="1:17" x14ac:dyDescent="0.3">
      <c r="A114" s="1182"/>
      <c r="B114" s="663" t="s">
        <v>1690</v>
      </c>
      <c r="C114" s="663">
        <v>54</v>
      </c>
      <c r="D114" s="661">
        <f t="shared" si="1"/>
        <v>437.03999999999996</v>
      </c>
      <c r="E114" s="661">
        <f t="shared" si="4"/>
        <v>448.55999999999995</v>
      </c>
      <c r="F114" s="661">
        <f t="shared" si="5"/>
        <v>471.28320000000002</v>
      </c>
      <c r="G114" s="661">
        <f t="shared" si="5"/>
        <v>494.84736000000004</v>
      </c>
      <c r="H114" s="661">
        <f t="shared" si="5"/>
        <v>519.58972800000004</v>
      </c>
      <c r="I114" s="661">
        <f t="shared" si="5"/>
        <v>545.56921440000008</v>
      </c>
      <c r="J114" s="661">
        <f t="shared" si="5"/>
        <v>572.84767512000008</v>
      </c>
      <c r="K114" s="661">
        <f t="shared" si="5"/>
        <v>572.84767512000008</v>
      </c>
      <c r="L114" s="661">
        <f t="shared" si="5"/>
        <v>572.84767512000008</v>
      </c>
      <c r="M114" s="661">
        <f t="shared" si="5"/>
        <v>572.84767512000008</v>
      </c>
      <c r="N114" s="661">
        <f t="shared" si="5"/>
        <v>572.84767512000008</v>
      </c>
      <c r="O114" s="661">
        <f t="shared" si="5"/>
        <v>572.84767512000008</v>
      </c>
      <c r="Q114" s="661"/>
    </row>
    <row r="115" spans="1:17" x14ac:dyDescent="0.3">
      <c r="A115" s="1182"/>
      <c r="B115" s="663" t="s">
        <v>1690</v>
      </c>
      <c r="C115" s="663">
        <v>55</v>
      </c>
      <c r="D115" s="661">
        <f t="shared" si="1"/>
        <v>445.65999999999997</v>
      </c>
      <c r="E115" s="661">
        <f t="shared" si="4"/>
        <v>457.40999999999997</v>
      </c>
      <c r="F115" s="661">
        <f t="shared" si="5"/>
        <v>480.59280000000001</v>
      </c>
      <c r="G115" s="661">
        <f t="shared" si="5"/>
        <v>504.62244000000004</v>
      </c>
      <c r="H115" s="661">
        <f t="shared" si="5"/>
        <v>529.85356200000001</v>
      </c>
      <c r="I115" s="661">
        <f t="shared" si="5"/>
        <v>556.34624010000016</v>
      </c>
      <c r="J115" s="661">
        <f t="shared" si="5"/>
        <v>584.16355210500012</v>
      </c>
      <c r="K115" s="661">
        <f t="shared" si="5"/>
        <v>584.16355210500012</v>
      </c>
      <c r="L115" s="661">
        <f t="shared" si="5"/>
        <v>584.16355210500012</v>
      </c>
      <c r="M115" s="661">
        <f t="shared" si="5"/>
        <v>584.16355210500012</v>
      </c>
      <c r="N115" s="661">
        <f t="shared" si="5"/>
        <v>584.16355210500012</v>
      </c>
      <c r="O115" s="661">
        <f t="shared" si="5"/>
        <v>584.16355210500012</v>
      </c>
      <c r="Q115" s="661"/>
    </row>
    <row r="116" spans="1:17" x14ac:dyDescent="0.3">
      <c r="A116" s="1182"/>
      <c r="B116" s="663" t="s">
        <v>1690</v>
      </c>
      <c r="C116" s="663">
        <v>56</v>
      </c>
      <c r="D116" s="661">
        <f t="shared" si="1"/>
        <v>454.28</v>
      </c>
      <c r="E116" s="661">
        <f t="shared" si="4"/>
        <v>466.26</v>
      </c>
      <c r="F116" s="661">
        <f t="shared" si="5"/>
        <v>489.9024</v>
      </c>
      <c r="G116" s="661">
        <f t="shared" si="5"/>
        <v>514.3975200000001</v>
      </c>
      <c r="H116" s="661">
        <f t="shared" si="5"/>
        <v>540.1173960000001</v>
      </c>
      <c r="I116" s="661">
        <f t="shared" si="5"/>
        <v>567.12326580000013</v>
      </c>
      <c r="J116" s="661">
        <f t="shared" si="5"/>
        <v>595.47942909000005</v>
      </c>
      <c r="K116" s="661">
        <f t="shared" si="5"/>
        <v>595.47942909000005</v>
      </c>
      <c r="L116" s="661">
        <f t="shared" si="5"/>
        <v>595.47942909000005</v>
      </c>
      <c r="M116" s="661">
        <f t="shared" si="5"/>
        <v>595.47942909000005</v>
      </c>
      <c r="N116" s="661">
        <f t="shared" si="5"/>
        <v>595.47942909000005</v>
      </c>
      <c r="O116" s="661">
        <f t="shared" si="5"/>
        <v>595.47942909000005</v>
      </c>
      <c r="Q116" s="661"/>
    </row>
    <row r="117" spans="1:17" x14ac:dyDescent="0.3">
      <c r="A117" s="1182"/>
      <c r="B117" s="663" t="s">
        <v>1690</v>
      </c>
      <c r="C117" s="663">
        <v>57</v>
      </c>
      <c r="D117" s="661">
        <f t="shared" si="1"/>
        <v>462.9</v>
      </c>
      <c r="E117" s="661">
        <f t="shared" si="4"/>
        <v>475.11</v>
      </c>
      <c r="F117" s="661">
        <f t="shared" si="5"/>
        <v>499.21199999999999</v>
      </c>
      <c r="G117" s="661">
        <f t="shared" si="5"/>
        <v>524.1726000000001</v>
      </c>
      <c r="H117" s="661">
        <f t="shared" si="5"/>
        <v>550.38123000000007</v>
      </c>
      <c r="I117" s="661">
        <f t="shared" si="5"/>
        <v>577.90029150000009</v>
      </c>
      <c r="J117" s="661">
        <f t="shared" si="5"/>
        <v>606.7953060750001</v>
      </c>
      <c r="K117" s="661">
        <f t="shared" si="5"/>
        <v>606.7953060750001</v>
      </c>
      <c r="L117" s="661">
        <f t="shared" si="5"/>
        <v>606.7953060750001</v>
      </c>
      <c r="M117" s="661">
        <f t="shared" si="5"/>
        <v>606.7953060750001</v>
      </c>
      <c r="N117" s="661">
        <f t="shared" si="5"/>
        <v>606.7953060750001</v>
      </c>
      <c r="O117" s="661">
        <f t="shared" si="5"/>
        <v>606.7953060750001</v>
      </c>
      <c r="Q117" s="661"/>
    </row>
    <row r="118" spans="1:17" x14ac:dyDescent="0.3">
      <c r="A118" s="1182"/>
      <c r="B118" s="663" t="s">
        <v>1690</v>
      </c>
      <c r="C118" s="663">
        <v>58</v>
      </c>
      <c r="D118" s="661">
        <f t="shared" si="1"/>
        <v>471.52</v>
      </c>
      <c r="E118" s="661">
        <f t="shared" si="4"/>
        <v>483.96000000000004</v>
      </c>
      <c r="F118" s="661">
        <f t="shared" si="5"/>
        <v>508.52160000000003</v>
      </c>
      <c r="G118" s="661">
        <f t="shared" si="5"/>
        <v>533.9476800000001</v>
      </c>
      <c r="H118" s="661">
        <f t="shared" si="5"/>
        <v>560.64506400000005</v>
      </c>
      <c r="I118" s="661">
        <f t="shared" si="5"/>
        <v>588.67731720000006</v>
      </c>
      <c r="J118" s="661">
        <f t="shared" si="5"/>
        <v>618.11118306000014</v>
      </c>
      <c r="K118" s="661">
        <f t="shared" si="5"/>
        <v>618.11118306000014</v>
      </c>
      <c r="L118" s="661">
        <f t="shared" si="5"/>
        <v>618.11118306000014</v>
      </c>
      <c r="M118" s="661">
        <f t="shared" si="5"/>
        <v>618.11118306000014</v>
      </c>
      <c r="N118" s="661">
        <f t="shared" si="5"/>
        <v>618.11118306000014</v>
      </c>
      <c r="O118" s="661">
        <f t="shared" si="5"/>
        <v>618.11118306000014</v>
      </c>
      <c r="Q118" s="661"/>
    </row>
    <row r="119" spans="1:17" x14ac:dyDescent="0.3">
      <c r="A119" s="1182"/>
      <c r="B119" s="663" t="s">
        <v>1690</v>
      </c>
      <c r="C119" s="663">
        <v>59</v>
      </c>
      <c r="D119" s="661">
        <f t="shared" si="1"/>
        <v>480.14</v>
      </c>
      <c r="E119" s="661">
        <f t="shared" si="4"/>
        <v>492.80999999999995</v>
      </c>
      <c r="F119" s="661">
        <f t="shared" si="5"/>
        <v>517.83120000000008</v>
      </c>
      <c r="G119" s="661">
        <f t="shared" si="5"/>
        <v>543.72276000000011</v>
      </c>
      <c r="H119" s="661">
        <f t="shared" si="5"/>
        <v>570.90889800000002</v>
      </c>
      <c r="I119" s="661">
        <f t="shared" si="5"/>
        <v>599.45434290000003</v>
      </c>
      <c r="J119" s="661">
        <f t="shared" si="5"/>
        <v>629.42706004500008</v>
      </c>
      <c r="K119" s="661">
        <f t="shared" si="5"/>
        <v>629.42706004500008</v>
      </c>
      <c r="L119" s="661">
        <f t="shared" si="5"/>
        <v>629.42706004500008</v>
      </c>
      <c r="M119" s="661">
        <f t="shared" si="5"/>
        <v>629.42706004500008</v>
      </c>
      <c r="N119" s="661">
        <f t="shared" si="5"/>
        <v>629.42706004500008</v>
      </c>
      <c r="O119" s="661">
        <f t="shared" si="5"/>
        <v>629.42706004500008</v>
      </c>
      <c r="Q119" s="661"/>
    </row>
    <row r="120" spans="1:17" x14ac:dyDescent="0.3">
      <c r="A120" s="1182"/>
      <c r="B120" s="663" t="s">
        <v>1690</v>
      </c>
      <c r="C120" s="663">
        <v>60</v>
      </c>
      <c r="D120" s="661">
        <f t="shared" si="1"/>
        <v>488.76</v>
      </c>
      <c r="E120" s="661">
        <f t="shared" si="4"/>
        <v>501.65999999999997</v>
      </c>
      <c r="F120" s="661">
        <f t="shared" si="5"/>
        <v>527.14080000000001</v>
      </c>
      <c r="G120" s="661">
        <f t="shared" si="5"/>
        <v>553.49784000000011</v>
      </c>
      <c r="H120" s="661">
        <f t="shared" si="5"/>
        <v>581.17273200000011</v>
      </c>
      <c r="I120" s="661">
        <f t="shared" si="5"/>
        <v>610.23136860000011</v>
      </c>
      <c r="J120" s="661">
        <f t="shared" si="5"/>
        <v>640.74293703000001</v>
      </c>
      <c r="K120" s="661">
        <f t="shared" si="5"/>
        <v>640.74293703000001</v>
      </c>
      <c r="L120" s="661">
        <f t="shared" si="5"/>
        <v>640.74293703000001</v>
      </c>
      <c r="M120" s="661">
        <f t="shared" si="5"/>
        <v>640.74293703000001</v>
      </c>
      <c r="N120" s="661">
        <f t="shared" si="5"/>
        <v>640.74293703000001</v>
      </c>
      <c r="O120" s="661">
        <f t="shared" si="5"/>
        <v>640.74293703000001</v>
      </c>
      <c r="Q120" s="661"/>
    </row>
    <row r="121" spans="1:17" x14ac:dyDescent="0.3">
      <c r="A121" s="1182"/>
      <c r="B121" s="663" t="s">
        <v>1690</v>
      </c>
      <c r="C121" s="663">
        <v>61</v>
      </c>
      <c r="D121" s="661">
        <f t="shared" si="1"/>
        <v>497.38</v>
      </c>
      <c r="E121" s="661">
        <f t="shared" si="4"/>
        <v>510.51</v>
      </c>
      <c r="F121" s="661">
        <f t="shared" ref="F121:O136" si="6">IF($B121=$A$64,F$9+IF($C121&gt;$A$21,$A$19*F$11+($A$20-$A$19)*F$12+($C121-$A$21)*F$13,IF($C121&gt;$A$19,$A$19*F$11+($C121-$A$19)*F$12,$C121*F$11)),F$17+IF($C121&gt;$A$21,$A$19*F$19+($A$20-$A$19)*F$20+($C121-$A$21)*F$21,IF($C121&gt;$A$19,$A$19*F$19+($C121-$A$19)*F$20,$C121*F$19)))</f>
        <v>536.45039999999995</v>
      </c>
      <c r="G121" s="661">
        <f t="shared" si="6"/>
        <v>563.27292000000011</v>
      </c>
      <c r="H121" s="661">
        <f t="shared" si="6"/>
        <v>591.43656600000008</v>
      </c>
      <c r="I121" s="661">
        <f t="shared" si="6"/>
        <v>621.00839430000019</v>
      </c>
      <c r="J121" s="661">
        <f t="shared" si="6"/>
        <v>652.05881401500005</v>
      </c>
      <c r="K121" s="661">
        <f t="shared" si="6"/>
        <v>652.05881401500005</v>
      </c>
      <c r="L121" s="661">
        <f t="shared" si="6"/>
        <v>652.05881401500005</v>
      </c>
      <c r="M121" s="661">
        <f t="shared" si="6"/>
        <v>652.05881401500005</v>
      </c>
      <c r="N121" s="661">
        <f t="shared" si="6"/>
        <v>652.05881401500005</v>
      </c>
      <c r="O121" s="661">
        <f t="shared" si="6"/>
        <v>652.05881401500005</v>
      </c>
      <c r="Q121" s="661"/>
    </row>
    <row r="122" spans="1:17" x14ac:dyDescent="0.3">
      <c r="A122" s="1182"/>
      <c r="B122" s="663" t="s">
        <v>1690</v>
      </c>
      <c r="C122" s="663">
        <v>62</v>
      </c>
      <c r="D122" s="661">
        <f t="shared" si="1"/>
        <v>506</v>
      </c>
      <c r="E122" s="661">
        <f t="shared" si="4"/>
        <v>519.36</v>
      </c>
      <c r="F122" s="661">
        <f t="shared" si="6"/>
        <v>545.76</v>
      </c>
      <c r="G122" s="661">
        <f t="shared" si="6"/>
        <v>573.04800000000012</v>
      </c>
      <c r="H122" s="661">
        <f t="shared" si="6"/>
        <v>601.70040000000006</v>
      </c>
      <c r="I122" s="661">
        <f t="shared" si="6"/>
        <v>631.78542000000016</v>
      </c>
      <c r="J122" s="661">
        <f t="shared" si="6"/>
        <v>663.3746910000001</v>
      </c>
      <c r="K122" s="661">
        <f t="shared" si="6"/>
        <v>663.3746910000001</v>
      </c>
      <c r="L122" s="661">
        <f t="shared" si="6"/>
        <v>663.3746910000001</v>
      </c>
      <c r="M122" s="661">
        <f t="shared" si="6"/>
        <v>663.3746910000001</v>
      </c>
      <c r="N122" s="661">
        <f t="shared" si="6"/>
        <v>663.3746910000001</v>
      </c>
      <c r="O122" s="661">
        <f t="shared" si="6"/>
        <v>663.3746910000001</v>
      </c>
      <c r="Q122" s="661"/>
    </row>
    <row r="123" spans="1:17" x14ac:dyDescent="0.3">
      <c r="A123" s="1182"/>
      <c r="B123" s="663" t="s">
        <v>1690</v>
      </c>
      <c r="C123" s="663">
        <v>63</v>
      </c>
      <c r="D123" s="661">
        <f t="shared" si="1"/>
        <v>514.62</v>
      </c>
      <c r="E123" s="661">
        <f t="shared" si="4"/>
        <v>528.21</v>
      </c>
      <c r="F123" s="661">
        <f t="shared" si="6"/>
        <v>555.06959999999992</v>
      </c>
      <c r="G123" s="661">
        <f t="shared" si="6"/>
        <v>582.82308000000012</v>
      </c>
      <c r="H123" s="661">
        <f t="shared" si="6"/>
        <v>611.96423400000003</v>
      </c>
      <c r="I123" s="661">
        <f t="shared" si="6"/>
        <v>642.56244570000013</v>
      </c>
      <c r="J123" s="661">
        <f t="shared" si="6"/>
        <v>674.69056798500003</v>
      </c>
      <c r="K123" s="661">
        <f t="shared" si="6"/>
        <v>674.69056798500003</v>
      </c>
      <c r="L123" s="661">
        <f t="shared" si="6"/>
        <v>674.69056798500003</v>
      </c>
      <c r="M123" s="661">
        <f t="shared" si="6"/>
        <v>674.69056798500003</v>
      </c>
      <c r="N123" s="661">
        <f t="shared" si="6"/>
        <v>674.69056798500003</v>
      </c>
      <c r="O123" s="661">
        <f t="shared" si="6"/>
        <v>674.69056798500003</v>
      </c>
      <c r="Q123" s="661"/>
    </row>
    <row r="124" spans="1:17" x14ac:dyDescent="0.3">
      <c r="A124" s="1182"/>
      <c r="B124" s="663" t="s">
        <v>1690</v>
      </c>
      <c r="C124" s="663">
        <v>64</v>
      </c>
      <c r="D124" s="661">
        <f t="shared" si="1"/>
        <v>523.24</v>
      </c>
      <c r="E124" s="661">
        <f t="shared" si="4"/>
        <v>537.05999999999995</v>
      </c>
      <c r="F124" s="661">
        <f t="shared" si="6"/>
        <v>564.37919999999997</v>
      </c>
      <c r="G124" s="661">
        <f t="shared" si="6"/>
        <v>592.59816000000012</v>
      </c>
      <c r="H124" s="661">
        <f t="shared" si="6"/>
        <v>622.22806800000012</v>
      </c>
      <c r="I124" s="661">
        <f t="shared" si="6"/>
        <v>653.33947140000009</v>
      </c>
      <c r="J124" s="661">
        <f t="shared" si="6"/>
        <v>686.00644497000008</v>
      </c>
      <c r="K124" s="661">
        <f t="shared" si="6"/>
        <v>686.00644497000008</v>
      </c>
      <c r="L124" s="661">
        <f t="shared" si="6"/>
        <v>686.00644497000008</v>
      </c>
      <c r="M124" s="661">
        <f t="shared" si="6"/>
        <v>686.00644497000008</v>
      </c>
      <c r="N124" s="661">
        <f t="shared" si="6"/>
        <v>686.00644497000008</v>
      </c>
      <c r="O124" s="661">
        <f t="shared" si="6"/>
        <v>686.00644497000008</v>
      </c>
      <c r="Q124" s="661"/>
    </row>
    <row r="125" spans="1:17" x14ac:dyDescent="0.3">
      <c r="A125" s="1182"/>
      <c r="B125" s="663" t="s">
        <v>1690</v>
      </c>
      <c r="C125" s="663">
        <v>65</v>
      </c>
      <c r="D125" s="661">
        <f t="shared" si="1"/>
        <v>531.86</v>
      </c>
      <c r="E125" s="661">
        <f t="shared" si="4"/>
        <v>545.91</v>
      </c>
      <c r="F125" s="661">
        <f t="shared" si="6"/>
        <v>573.68880000000001</v>
      </c>
      <c r="G125" s="661">
        <f t="shared" si="6"/>
        <v>602.37324000000012</v>
      </c>
      <c r="H125" s="661">
        <f t="shared" si="6"/>
        <v>632.4919020000001</v>
      </c>
      <c r="I125" s="661">
        <f t="shared" si="6"/>
        <v>664.11649710000006</v>
      </c>
      <c r="J125" s="661">
        <f t="shared" si="6"/>
        <v>697.32232195500012</v>
      </c>
      <c r="K125" s="661">
        <f t="shared" si="6"/>
        <v>697.32232195500012</v>
      </c>
      <c r="L125" s="661">
        <f t="shared" si="6"/>
        <v>697.32232195500012</v>
      </c>
      <c r="M125" s="661">
        <f t="shared" si="6"/>
        <v>697.32232195500012</v>
      </c>
      <c r="N125" s="661">
        <f t="shared" si="6"/>
        <v>697.32232195500012</v>
      </c>
      <c r="O125" s="661">
        <f t="shared" si="6"/>
        <v>697.32232195500012</v>
      </c>
      <c r="Q125" s="661"/>
    </row>
    <row r="126" spans="1:17" x14ac:dyDescent="0.3">
      <c r="A126" s="1182"/>
      <c r="B126" s="663" t="s">
        <v>1690</v>
      </c>
      <c r="C126" s="663">
        <v>66</v>
      </c>
      <c r="D126" s="661">
        <f t="shared" si="1"/>
        <v>540.48</v>
      </c>
      <c r="E126" s="661">
        <f t="shared" si="4"/>
        <v>554.76</v>
      </c>
      <c r="F126" s="661">
        <f t="shared" si="6"/>
        <v>582.99839999999995</v>
      </c>
      <c r="G126" s="661">
        <f t="shared" si="6"/>
        <v>612.14832000000001</v>
      </c>
      <c r="H126" s="661">
        <f t="shared" si="6"/>
        <v>642.75573600000007</v>
      </c>
      <c r="I126" s="661">
        <f t="shared" si="6"/>
        <v>674.89352280000003</v>
      </c>
      <c r="J126" s="661">
        <f t="shared" si="6"/>
        <v>708.63819894000005</v>
      </c>
      <c r="K126" s="661">
        <f t="shared" si="6"/>
        <v>708.63819894000005</v>
      </c>
      <c r="L126" s="661">
        <f t="shared" si="6"/>
        <v>708.63819894000005</v>
      </c>
      <c r="M126" s="661">
        <f t="shared" si="6"/>
        <v>708.63819894000005</v>
      </c>
      <c r="N126" s="661">
        <f t="shared" si="6"/>
        <v>708.63819894000005</v>
      </c>
      <c r="O126" s="661">
        <f t="shared" si="6"/>
        <v>708.63819894000005</v>
      </c>
      <c r="Q126" s="661"/>
    </row>
    <row r="127" spans="1:17" x14ac:dyDescent="0.3">
      <c r="A127" s="1182"/>
      <c r="B127" s="663" t="s">
        <v>1690</v>
      </c>
      <c r="C127" s="663">
        <v>67</v>
      </c>
      <c r="D127" s="661">
        <f t="shared" si="1"/>
        <v>549.09999999999991</v>
      </c>
      <c r="E127" s="661">
        <f t="shared" si="4"/>
        <v>563.61</v>
      </c>
      <c r="F127" s="661">
        <f t="shared" si="6"/>
        <v>592.30799999999999</v>
      </c>
      <c r="G127" s="661">
        <f t="shared" si="6"/>
        <v>621.92340000000013</v>
      </c>
      <c r="H127" s="661">
        <f t="shared" si="6"/>
        <v>653.01957000000004</v>
      </c>
      <c r="I127" s="661">
        <f t="shared" si="6"/>
        <v>685.67054850000022</v>
      </c>
      <c r="J127" s="661">
        <f t="shared" si="6"/>
        <v>719.9540759250001</v>
      </c>
      <c r="K127" s="661">
        <f t="shared" si="6"/>
        <v>719.9540759250001</v>
      </c>
      <c r="L127" s="661">
        <f t="shared" si="6"/>
        <v>719.9540759250001</v>
      </c>
      <c r="M127" s="661">
        <f t="shared" si="6"/>
        <v>719.9540759250001</v>
      </c>
      <c r="N127" s="661">
        <f t="shared" si="6"/>
        <v>719.9540759250001</v>
      </c>
      <c r="O127" s="661">
        <f t="shared" si="6"/>
        <v>719.9540759250001</v>
      </c>
      <c r="Q127" s="661"/>
    </row>
    <row r="128" spans="1:17" x14ac:dyDescent="0.3">
      <c r="A128" s="1182"/>
      <c r="B128" s="663" t="s">
        <v>1690</v>
      </c>
      <c r="C128" s="663">
        <v>68</v>
      </c>
      <c r="D128" s="661">
        <f t="shared" si="1"/>
        <v>557.71999999999991</v>
      </c>
      <c r="E128" s="661">
        <f t="shared" si="4"/>
        <v>572.46</v>
      </c>
      <c r="F128" s="661">
        <f t="shared" si="6"/>
        <v>601.61759999999992</v>
      </c>
      <c r="G128" s="661">
        <f t="shared" si="6"/>
        <v>631.69848000000002</v>
      </c>
      <c r="H128" s="661">
        <f t="shared" si="6"/>
        <v>663.28340400000013</v>
      </c>
      <c r="I128" s="661">
        <f t="shared" si="6"/>
        <v>696.44757420000019</v>
      </c>
      <c r="J128" s="661">
        <f t="shared" si="6"/>
        <v>731.26995291000003</v>
      </c>
      <c r="K128" s="661">
        <f t="shared" si="6"/>
        <v>731.26995291000003</v>
      </c>
      <c r="L128" s="661">
        <f t="shared" si="6"/>
        <v>731.26995291000003</v>
      </c>
      <c r="M128" s="661">
        <f t="shared" si="6"/>
        <v>731.26995291000003</v>
      </c>
      <c r="N128" s="661">
        <f t="shared" si="6"/>
        <v>731.26995291000003</v>
      </c>
      <c r="O128" s="661">
        <f t="shared" si="6"/>
        <v>731.26995291000003</v>
      </c>
      <c r="Q128" s="661"/>
    </row>
    <row r="129" spans="1:17" x14ac:dyDescent="0.3">
      <c r="A129" s="1182"/>
      <c r="B129" s="663" t="s">
        <v>1690</v>
      </c>
      <c r="C129" s="663">
        <v>69</v>
      </c>
      <c r="D129" s="661">
        <f t="shared" si="1"/>
        <v>566.33999999999992</v>
      </c>
      <c r="E129" s="661">
        <f t="shared" si="4"/>
        <v>581.30999999999995</v>
      </c>
      <c r="F129" s="661">
        <f t="shared" si="6"/>
        <v>610.92719999999997</v>
      </c>
      <c r="G129" s="661">
        <f t="shared" si="6"/>
        <v>641.47356000000013</v>
      </c>
      <c r="H129" s="661">
        <f t="shared" si="6"/>
        <v>673.54723800000011</v>
      </c>
      <c r="I129" s="661">
        <f t="shared" si="6"/>
        <v>707.22459990000016</v>
      </c>
      <c r="J129" s="661">
        <f t="shared" si="6"/>
        <v>742.58582989500007</v>
      </c>
      <c r="K129" s="661">
        <f t="shared" si="6"/>
        <v>742.58582989500007</v>
      </c>
      <c r="L129" s="661">
        <f t="shared" si="6"/>
        <v>742.58582989500007</v>
      </c>
      <c r="M129" s="661">
        <f t="shared" si="6"/>
        <v>742.58582989500007</v>
      </c>
      <c r="N129" s="661">
        <f t="shared" si="6"/>
        <v>742.58582989500007</v>
      </c>
      <c r="O129" s="661">
        <f t="shared" si="6"/>
        <v>742.58582989500007</v>
      </c>
      <c r="Q129" s="661"/>
    </row>
    <row r="130" spans="1:17" x14ac:dyDescent="0.3">
      <c r="A130" s="1182"/>
      <c r="B130" s="663" t="s">
        <v>1690</v>
      </c>
      <c r="C130" s="663">
        <v>70</v>
      </c>
      <c r="D130" s="661">
        <f t="shared" si="1"/>
        <v>574.95999999999992</v>
      </c>
      <c r="E130" s="661">
        <f t="shared" si="4"/>
        <v>590.16</v>
      </c>
      <c r="F130" s="661">
        <f t="shared" si="6"/>
        <v>620.23680000000002</v>
      </c>
      <c r="G130" s="661">
        <f t="shared" si="6"/>
        <v>651.24864000000002</v>
      </c>
      <c r="H130" s="661">
        <f t="shared" si="6"/>
        <v>683.81107200000008</v>
      </c>
      <c r="I130" s="661">
        <f t="shared" si="6"/>
        <v>718.00162560000012</v>
      </c>
      <c r="J130" s="661">
        <f t="shared" si="6"/>
        <v>753.90170688000012</v>
      </c>
      <c r="K130" s="661">
        <f t="shared" si="6"/>
        <v>753.90170688000012</v>
      </c>
      <c r="L130" s="661">
        <f t="shared" si="6"/>
        <v>753.90170688000012</v>
      </c>
      <c r="M130" s="661">
        <f t="shared" si="6"/>
        <v>753.90170688000012</v>
      </c>
      <c r="N130" s="661">
        <f t="shared" si="6"/>
        <v>753.90170688000012</v>
      </c>
      <c r="O130" s="661">
        <f t="shared" si="6"/>
        <v>753.90170688000012</v>
      </c>
      <c r="Q130" s="661"/>
    </row>
    <row r="131" spans="1:17" x14ac:dyDescent="0.3">
      <c r="A131" s="1182"/>
      <c r="B131" s="663" t="s">
        <v>1690</v>
      </c>
      <c r="C131" s="663">
        <v>71</v>
      </c>
      <c r="D131" s="661">
        <f t="shared" si="1"/>
        <v>583.57999999999993</v>
      </c>
      <c r="E131" s="661">
        <f t="shared" si="4"/>
        <v>599.01</v>
      </c>
      <c r="F131" s="661">
        <f t="shared" si="6"/>
        <v>629.54639999999995</v>
      </c>
      <c r="G131" s="661">
        <f t="shared" si="6"/>
        <v>661.02372000000014</v>
      </c>
      <c r="H131" s="661">
        <f t="shared" si="6"/>
        <v>694.07490600000006</v>
      </c>
      <c r="I131" s="661">
        <f t="shared" si="6"/>
        <v>728.77865130000009</v>
      </c>
      <c r="J131" s="661">
        <f t="shared" si="6"/>
        <v>765.21758386500005</v>
      </c>
      <c r="K131" s="661">
        <f t="shared" si="6"/>
        <v>765.21758386500005</v>
      </c>
      <c r="L131" s="661">
        <f t="shared" si="6"/>
        <v>765.21758386500005</v>
      </c>
      <c r="M131" s="661">
        <f t="shared" si="6"/>
        <v>765.21758386500005</v>
      </c>
      <c r="N131" s="661">
        <f t="shared" si="6"/>
        <v>765.21758386500005</v>
      </c>
      <c r="O131" s="661">
        <f t="shared" si="6"/>
        <v>765.21758386500005</v>
      </c>
      <c r="Q131" s="661"/>
    </row>
    <row r="132" spans="1:17" x14ac:dyDescent="0.3">
      <c r="A132" s="1182"/>
      <c r="B132" s="663" t="s">
        <v>1690</v>
      </c>
      <c r="C132" s="663">
        <v>72</v>
      </c>
      <c r="D132" s="661">
        <f t="shared" si="1"/>
        <v>592.19999999999993</v>
      </c>
      <c r="E132" s="661">
        <f t="shared" si="4"/>
        <v>607.86</v>
      </c>
      <c r="F132" s="661">
        <f t="shared" si="6"/>
        <v>638.85599999999999</v>
      </c>
      <c r="G132" s="661">
        <f t="shared" si="6"/>
        <v>670.79880000000003</v>
      </c>
      <c r="H132" s="661">
        <f t="shared" si="6"/>
        <v>704.33874000000014</v>
      </c>
      <c r="I132" s="661">
        <f t="shared" si="6"/>
        <v>739.55567700000006</v>
      </c>
      <c r="J132" s="661">
        <f t="shared" si="6"/>
        <v>776.5334608500001</v>
      </c>
      <c r="K132" s="661">
        <f t="shared" si="6"/>
        <v>776.5334608500001</v>
      </c>
      <c r="L132" s="661">
        <f t="shared" si="6"/>
        <v>776.5334608500001</v>
      </c>
      <c r="M132" s="661">
        <f t="shared" si="6"/>
        <v>776.5334608500001</v>
      </c>
      <c r="N132" s="661">
        <f t="shared" si="6"/>
        <v>776.5334608500001</v>
      </c>
      <c r="O132" s="661">
        <f t="shared" si="6"/>
        <v>776.5334608500001</v>
      </c>
      <c r="Q132" s="661"/>
    </row>
    <row r="133" spans="1:17" x14ac:dyDescent="0.3">
      <c r="A133" s="1182"/>
      <c r="B133" s="663" t="s">
        <v>1690</v>
      </c>
      <c r="C133" s="663">
        <v>73</v>
      </c>
      <c r="D133" s="661">
        <f t="shared" si="1"/>
        <v>600.81999999999994</v>
      </c>
      <c r="E133" s="661">
        <f t="shared" si="4"/>
        <v>616.71</v>
      </c>
      <c r="F133" s="661">
        <f t="shared" si="6"/>
        <v>648.16560000000004</v>
      </c>
      <c r="G133" s="661">
        <f t="shared" si="6"/>
        <v>680.57388000000014</v>
      </c>
      <c r="H133" s="661">
        <f t="shared" si="6"/>
        <v>714.60257400000012</v>
      </c>
      <c r="I133" s="661">
        <f t="shared" si="6"/>
        <v>750.33270270000003</v>
      </c>
      <c r="J133" s="661">
        <f t="shared" si="6"/>
        <v>787.84933783500014</v>
      </c>
      <c r="K133" s="661">
        <f t="shared" si="6"/>
        <v>787.84933783500014</v>
      </c>
      <c r="L133" s="661">
        <f t="shared" si="6"/>
        <v>787.84933783500014</v>
      </c>
      <c r="M133" s="661">
        <f t="shared" si="6"/>
        <v>787.84933783500014</v>
      </c>
      <c r="N133" s="661">
        <f t="shared" si="6"/>
        <v>787.84933783500014</v>
      </c>
      <c r="O133" s="661">
        <f t="shared" si="6"/>
        <v>787.84933783500014</v>
      </c>
      <c r="Q133" s="661"/>
    </row>
    <row r="134" spans="1:17" x14ac:dyDescent="0.3">
      <c r="A134" s="1182"/>
      <c r="B134" s="663" t="s">
        <v>1690</v>
      </c>
      <c r="C134" s="663">
        <v>74</v>
      </c>
      <c r="D134" s="661">
        <f t="shared" si="1"/>
        <v>609.43999999999994</v>
      </c>
      <c r="E134" s="661">
        <f t="shared" si="4"/>
        <v>625.55999999999995</v>
      </c>
      <c r="F134" s="661">
        <f t="shared" si="6"/>
        <v>657.47519999999997</v>
      </c>
      <c r="G134" s="661">
        <f t="shared" si="6"/>
        <v>690.34896000000003</v>
      </c>
      <c r="H134" s="661">
        <f t="shared" si="6"/>
        <v>724.86640800000009</v>
      </c>
      <c r="I134" s="661">
        <f t="shared" si="6"/>
        <v>761.10972840000022</v>
      </c>
      <c r="J134" s="661">
        <f t="shared" si="6"/>
        <v>799.16521482000007</v>
      </c>
      <c r="K134" s="661">
        <f t="shared" si="6"/>
        <v>799.16521482000007</v>
      </c>
      <c r="L134" s="661">
        <f t="shared" si="6"/>
        <v>799.16521482000007</v>
      </c>
      <c r="M134" s="661">
        <f t="shared" si="6"/>
        <v>799.16521482000007</v>
      </c>
      <c r="N134" s="661">
        <f t="shared" si="6"/>
        <v>799.16521482000007</v>
      </c>
      <c r="O134" s="661">
        <f t="shared" si="6"/>
        <v>799.16521482000007</v>
      </c>
      <c r="Q134" s="661"/>
    </row>
    <row r="135" spans="1:17" x14ac:dyDescent="0.3">
      <c r="A135" s="1182"/>
      <c r="B135" s="663" t="s">
        <v>1690</v>
      </c>
      <c r="C135" s="663">
        <v>75</v>
      </c>
      <c r="D135" s="661">
        <f t="shared" si="1"/>
        <v>618.05999999999995</v>
      </c>
      <c r="E135" s="661">
        <f t="shared" si="4"/>
        <v>634.41</v>
      </c>
      <c r="F135" s="661">
        <f t="shared" si="6"/>
        <v>666.78480000000002</v>
      </c>
      <c r="G135" s="661">
        <f t="shared" si="6"/>
        <v>700.12404000000015</v>
      </c>
      <c r="H135" s="661">
        <f t="shared" si="6"/>
        <v>735.13024200000007</v>
      </c>
      <c r="I135" s="661">
        <f t="shared" si="6"/>
        <v>771.88675410000019</v>
      </c>
      <c r="J135" s="661">
        <f t="shared" si="6"/>
        <v>810.48109180500012</v>
      </c>
      <c r="K135" s="661">
        <f t="shared" si="6"/>
        <v>810.48109180500012</v>
      </c>
      <c r="L135" s="661">
        <f t="shared" si="6"/>
        <v>810.48109180500012</v>
      </c>
      <c r="M135" s="661">
        <f t="shared" si="6"/>
        <v>810.48109180500012</v>
      </c>
      <c r="N135" s="661">
        <f t="shared" si="6"/>
        <v>810.48109180500012</v>
      </c>
      <c r="O135" s="661">
        <f t="shared" si="6"/>
        <v>810.48109180500012</v>
      </c>
      <c r="Q135" s="661"/>
    </row>
    <row r="136" spans="1:17" x14ac:dyDescent="0.3">
      <c r="A136" s="1182"/>
      <c r="B136" s="663" t="s">
        <v>1690</v>
      </c>
      <c r="C136" s="663">
        <v>76</v>
      </c>
      <c r="D136" s="661">
        <f t="shared" si="1"/>
        <v>626.67999999999995</v>
      </c>
      <c r="E136" s="661">
        <f t="shared" si="4"/>
        <v>643.26</v>
      </c>
      <c r="F136" s="661">
        <f t="shared" si="6"/>
        <v>676.09439999999995</v>
      </c>
      <c r="G136" s="661">
        <f t="shared" si="6"/>
        <v>709.89912000000004</v>
      </c>
      <c r="H136" s="661">
        <f t="shared" si="6"/>
        <v>745.39407600000015</v>
      </c>
      <c r="I136" s="661">
        <f t="shared" si="6"/>
        <v>782.66377980000016</v>
      </c>
      <c r="J136" s="661">
        <f t="shared" si="6"/>
        <v>821.79696879000005</v>
      </c>
      <c r="K136" s="661">
        <f t="shared" si="6"/>
        <v>821.79696879000005</v>
      </c>
      <c r="L136" s="661">
        <f t="shared" si="6"/>
        <v>821.79696879000005</v>
      </c>
      <c r="M136" s="661">
        <f t="shared" si="6"/>
        <v>821.79696879000005</v>
      </c>
      <c r="N136" s="661">
        <f t="shared" si="6"/>
        <v>821.79696879000005</v>
      </c>
      <c r="O136" s="661">
        <f t="shared" si="6"/>
        <v>821.79696879000005</v>
      </c>
      <c r="Q136" s="661"/>
    </row>
    <row r="137" spans="1:17" x14ac:dyDescent="0.3">
      <c r="A137" s="1182"/>
      <c r="B137" s="663" t="s">
        <v>1690</v>
      </c>
      <c r="C137" s="663">
        <v>77</v>
      </c>
      <c r="D137" s="661">
        <f t="shared" si="1"/>
        <v>635.29999999999995</v>
      </c>
      <c r="E137" s="661">
        <f t="shared" si="4"/>
        <v>652.11</v>
      </c>
      <c r="F137" s="661">
        <f t="shared" ref="F137:O152" si="7">IF($B137=$A$64,F$9+IF($C137&gt;$A$21,$A$19*F$11+($A$20-$A$19)*F$12+($C137-$A$21)*F$13,IF($C137&gt;$A$19,$A$19*F$11+($C137-$A$19)*F$12,$C137*F$11)),F$17+IF($C137&gt;$A$21,$A$19*F$19+($A$20-$A$19)*F$20+($C137-$A$21)*F$21,IF($C137&gt;$A$19,$A$19*F$19+($C137-$A$19)*F$20,$C137*F$19)))</f>
        <v>685.404</v>
      </c>
      <c r="G137" s="661">
        <f t="shared" si="7"/>
        <v>719.67420000000016</v>
      </c>
      <c r="H137" s="661">
        <f t="shared" si="7"/>
        <v>755.65791000000013</v>
      </c>
      <c r="I137" s="661">
        <f t="shared" si="7"/>
        <v>793.44080550000012</v>
      </c>
      <c r="J137" s="661">
        <f t="shared" si="7"/>
        <v>833.1128457750001</v>
      </c>
      <c r="K137" s="661">
        <f t="shared" si="7"/>
        <v>833.1128457750001</v>
      </c>
      <c r="L137" s="661">
        <f t="shared" si="7"/>
        <v>833.1128457750001</v>
      </c>
      <c r="M137" s="661">
        <f t="shared" si="7"/>
        <v>833.1128457750001</v>
      </c>
      <c r="N137" s="661">
        <f t="shared" si="7"/>
        <v>833.1128457750001</v>
      </c>
      <c r="O137" s="661">
        <f t="shared" si="7"/>
        <v>833.1128457750001</v>
      </c>
      <c r="Q137" s="661"/>
    </row>
    <row r="138" spans="1:17" x14ac:dyDescent="0.3">
      <c r="A138" s="1182"/>
      <c r="B138" s="663" t="s">
        <v>1690</v>
      </c>
      <c r="C138" s="663">
        <v>78</v>
      </c>
      <c r="D138" s="661">
        <f t="shared" si="1"/>
        <v>643.91999999999996</v>
      </c>
      <c r="E138" s="661">
        <f t="shared" si="4"/>
        <v>660.96</v>
      </c>
      <c r="F138" s="661">
        <f t="shared" si="7"/>
        <v>694.71360000000004</v>
      </c>
      <c r="G138" s="661">
        <f t="shared" si="7"/>
        <v>729.44928000000004</v>
      </c>
      <c r="H138" s="661">
        <f t="shared" si="7"/>
        <v>765.9217440000001</v>
      </c>
      <c r="I138" s="661">
        <f t="shared" si="7"/>
        <v>804.21783120000009</v>
      </c>
      <c r="J138" s="661">
        <f t="shared" si="7"/>
        <v>844.42872276000014</v>
      </c>
      <c r="K138" s="661">
        <f t="shared" si="7"/>
        <v>844.42872276000014</v>
      </c>
      <c r="L138" s="661">
        <f t="shared" si="7"/>
        <v>844.42872276000014</v>
      </c>
      <c r="M138" s="661">
        <f t="shared" si="7"/>
        <v>844.42872276000014</v>
      </c>
      <c r="N138" s="661">
        <f t="shared" si="7"/>
        <v>844.42872276000014</v>
      </c>
      <c r="O138" s="661">
        <f t="shared" si="7"/>
        <v>844.42872276000014</v>
      </c>
      <c r="Q138" s="661"/>
    </row>
    <row r="139" spans="1:17" x14ac:dyDescent="0.3">
      <c r="A139" s="1182"/>
      <c r="B139" s="663" t="s">
        <v>1690</v>
      </c>
      <c r="C139" s="663">
        <v>79</v>
      </c>
      <c r="D139" s="661">
        <f t="shared" si="1"/>
        <v>652.54</v>
      </c>
      <c r="E139" s="661">
        <f t="shared" si="4"/>
        <v>669.81000000000006</v>
      </c>
      <c r="F139" s="661">
        <f t="shared" si="7"/>
        <v>704.02319999999997</v>
      </c>
      <c r="G139" s="661">
        <f t="shared" si="7"/>
        <v>739.22436000000016</v>
      </c>
      <c r="H139" s="661">
        <f t="shared" si="7"/>
        <v>776.18557800000008</v>
      </c>
      <c r="I139" s="661">
        <f t="shared" si="7"/>
        <v>814.99485690000006</v>
      </c>
      <c r="J139" s="661">
        <f t="shared" si="7"/>
        <v>855.74459974500007</v>
      </c>
      <c r="K139" s="661">
        <f t="shared" si="7"/>
        <v>855.74459974500007</v>
      </c>
      <c r="L139" s="661">
        <f t="shared" si="7"/>
        <v>855.74459974500007</v>
      </c>
      <c r="M139" s="661">
        <f t="shared" si="7"/>
        <v>855.74459974500007</v>
      </c>
      <c r="N139" s="661">
        <f t="shared" si="7"/>
        <v>855.74459974500007</v>
      </c>
      <c r="O139" s="661">
        <f t="shared" si="7"/>
        <v>855.74459974500007</v>
      </c>
      <c r="Q139" s="661"/>
    </row>
    <row r="140" spans="1:17" x14ac:dyDescent="0.3">
      <c r="A140" s="1182"/>
      <c r="B140" s="663" t="s">
        <v>1690</v>
      </c>
      <c r="C140" s="663">
        <v>80</v>
      </c>
      <c r="D140" s="661">
        <f t="shared" si="1"/>
        <v>661.16</v>
      </c>
      <c r="E140" s="661">
        <f t="shared" si="4"/>
        <v>678.66</v>
      </c>
      <c r="F140" s="661">
        <f t="shared" si="7"/>
        <v>713.33280000000002</v>
      </c>
      <c r="G140" s="661">
        <f t="shared" si="7"/>
        <v>748.99944000000005</v>
      </c>
      <c r="H140" s="661">
        <f t="shared" si="7"/>
        <v>786.44941200000017</v>
      </c>
      <c r="I140" s="661">
        <f t="shared" si="7"/>
        <v>825.77188260000003</v>
      </c>
      <c r="J140" s="661">
        <f t="shared" si="7"/>
        <v>867.06047673000012</v>
      </c>
      <c r="K140" s="661">
        <f t="shared" si="7"/>
        <v>867.06047673000012</v>
      </c>
      <c r="L140" s="661">
        <f t="shared" si="7"/>
        <v>867.06047673000012</v>
      </c>
      <c r="M140" s="661">
        <f t="shared" si="7"/>
        <v>867.06047673000012</v>
      </c>
      <c r="N140" s="661">
        <f t="shared" si="7"/>
        <v>867.06047673000012</v>
      </c>
      <c r="O140" s="661">
        <f t="shared" si="7"/>
        <v>867.06047673000012</v>
      </c>
      <c r="Q140" s="661"/>
    </row>
    <row r="141" spans="1:17" x14ac:dyDescent="0.3">
      <c r="A141" s="1182"/>
      <c r="B141" s="663" t="s">
        <v>1690</v>
      </c>
      <c r="C141" s="663">
        <v>81</v>
      </c>
      <c r="D141" s="661">
        <f t="shared" si="1"/>
        <v>669.78</v>
      </c>
      <c r="E141" s="661">
        <f t="shared" si="4"/>
        <v>687.51</v>
      </c>
      <c r="F141" s="661">
        <f t="shared" si="7"/>
        <v>722.64239999999995</v>
      </c>
      <c r="G141" s="661">
        <f t="shared" si="7"/>
        <v>758.77452000000017</v>
      </c>
      <c r="H141" s="661">
        <f t="shared" si="7"/>
        <v>796.71324600000014</v>
      </c>
      <c r="I141" s="661">
        <f t="shared" si="7"/>
        <v>836.54890830000022</v>
      </c>
      <c r="J141" s="661">
        <f t="shared" si="7"/>
        <v>878.37635371500005</v>
      </c>
      <c r="K141" s="661">
        <f t="shared" si="7"/>
        <v>878.37635371500005</v>
      </c>
      <c r="L141" s="661">
        <f t="shared" si="7"/>
        <v>878.37635371500005</v>
      </c>
      <c r="M141" s="661">
        <f t="shared" si="7"/>
        <v>878.37635371500005</v>
      </c>
      <c r="N141" s="661">
        <f t="shared" si="7"/>
        <v>878.37635371500005</v>
      </c>
      <c r="O141" s="661">
        <f t="shared" si="7"/>
        <v>878.37635371500005</v>
      </c>
      <c r="Q141" s="661"/>
    </row>
    <row r="142" spans="1:17" x14ac:dyDescent="0.3">
      <c r="A142" s="1182"/>
      <c r="B142" s="663" t="s">
        <v>1690</v>
      </c>
      <c r="C142" s="663">
        <v>82</v>
      </c>
      <c r="D142" s="661">
        <f t="shared" si="1"/>
        <v>678.4</v>
      </c>
      <c r="E142" s="661">
        <f t="shared" si="4"/>
        <v>696.36</v>
      </c>
      <c r="F142" s="661">
        <f t="shared" si="7"/>
        <v>731.952</v>
      </c>
      <c r="G142" s="661">
        <f t="shared" si="7"/>
        <v>768.54960000000005</v>
      </c>
      <c r="H142" s="661">
        <f t="shared" si="7"/>
        <v>806.97708000000011</v>
      </c>
      <c r="I142" s="661">
        <f t="shared" si="7"/>
        <v>847.32593400000019</v>
      </c>
      <c r="J142" s="661">
        <f t="shared" si="7"/>
        <v>889.6922307000001</v>
      </c>
      <c r="K142" s="661">
        <f t="shared" si="7"/>
        <v>889.6922307000001</v>
      </c>
      <c r="L142" s="661">
        <f t="shared" si="7"/>
        <v>889.6922307000001</v>
      </c>
      <c r="M142" s="661">
        <f t="shared" si="7"/>
        <v>889.6922307000001</v>
      </c>
      <c r="N142" s="661">
        <f t="shared" si="7"/>
        <v>889.6922307000001</v>
      </c>
      <c r="O142" s="661">
        <f t="shared" si="7"/>
        <v>889.6922307000001</v>
      </c>
      <c r="Q142" s="661"/>
    </row>
    <row r="143" spans="1:17" x14ac:dyDescent="0.3">
      <c r="A143" s="1182"/>
      <c r="B143" s="663" t="s">
        <v>1690</v>
      </c>
      <c r="C143" s="663">
        <v>83</v>
      </c>
      <c r="D143" s="661">
        <f t="shared" si="1"/>
        <v>687.02</v>
      </c>
      <c r="E143" s="661">
        <f t="shared" si="4"/>
        <v>705.21</v>
      </c>
      <c r="F143" s="661">
        <f t="shared" si="7"/>
        <v>741.26160000000004</v>
      </c>
      <c r="G143" s="661">
        <f t="shared" si="7"/>
        <v>778.32468000000017</v>
      </c>
      <c r="H143" s="661">
        <f t="shared" si="7"/>
        <v>817.24091400000009</v>
      </c>
      <c r="I143" s="661">
        <f t="shared" si="7"/>
        <v>858.10295970000016</v>
      </c>
      <c r="J143" s="661">
        <f t="shared" si="7"/>
        <v>901.00810768500014</v>
      </c>
      <c r="K143" s="661">
        <f t="shared" si="7"/>
        <v>901.00810768500014</v>
      </c>
      <c r="L143" s="661">
        <f t="shared" si="7"/>
        <v>901.00810768500014</v>
      </c>
      <c r="M143" s="661">
        <f t="shared" si="7"/>
        <v>901.00810768500014</v>
      </c>
      <c r="N143" s="661">
        <f t="shared" si="7"/>
        <v>901.00810768500014</v>
      </c>
      <c r="O143" s="661">
        <f t="shared" si="7"/>
        <v>901.00810768500014</v>
      </c>
      <c r="Q143" s="661"/>
    </row>
    <row r="144" spans="1:17" x14ac:dyDescent="0.3">
      <c r="A144" s="1182"/>
      <c r="B144" s="663" t="s">
        <v>1690</v>
      </c>
      <c r="C144" s="663">
        <v>84</v>
      </c>
      <c r="D144" s="661">
        <f t="shared" si="1"/>
        <v>695.64</v>
      </c>
      <c r="E144" s="661">
        <f t="shared" si="4"/>
        <v>714.06000000000006</v>
      </c>
      <c r="F144" s="661">
        <f t="shared" si="7"/>
        <v>750.57119999999998</v>
      </c>
      <c r="G144" s="661">
        <f t="shared" si="7"/>
        <v>788.09976000000006</v>
      </c>
      <c r="H144" s="661">
        <f t="shared" si="7"/>
        <v>827.50474800000006</v>
      </c>
      <c r="I144" s="661">
        <f t="shared" si="7"/>
        <v>868.87998540000012</v>
      </c>
      <c r="J144" s="661">
        <f t="shared" si="7"/>
        <v>912.32398467000007</v>
      </c>
      <c r="K144" s="661">
        <f t="shared" si="7"/>
        <v>912.32398467000007</v>
      </c>
      <c r="L144" s="661">
        <f t="shared" si="7"/>
        <v>912.32398467000007</v>
      </c>
      <c r="M144" s="661">
        <f t="shared" si="7"/>
        <v>912.32398467000007</v>
      </c>
      <c r="N144" s="661">
        <f t="shared" si="7"/>
        <v>912.32398467000007</v>
      </c>
      <c r="O144" s="661">
        <f t="shared" si="7"/>
        <v>912.32398467000007</v>
      </c>
      <c r="Q144" s="661"/>
    </row>
    <row r="145" spans="1:17" x14ac:dyDescent="0.3">
      <c r="A145" s="1182"/>
      <c r="B145" s="663" t="s">
        <v>1690</v>
      </c>
      <c r="C145" s="663">
        <v>85</v>
      </c>
      <c r="D145" s="661">
        <f t="shared" si="1"/>
        <v>704.26</v>
      </c>
      <c r="E145" s="661">
        <f t="shared" si="4"/>
        <v>722.91</v>
      </c>
      <c r="F145" s="661">
        <f t="shared" si="7"/>
        <v>759.88080000000002</v>
      </c>
      <c r="G145" s="661">
        <f t="shared" si="7"/>
        <v>797.87484000000018</v>
      </c>
      <c r="H145" s="661">
        <f t="shared" si="7"/>
        <v>837.76858200000015</v>
      </c>
      <c r="I145" s="661">
        <f t="shared" si="7"/>
        <v>879.65701110000009</v>
      </c>
      <c r="J145" s="661">
        <f t="shared" si="7"/>
        <v>923.63986165500012</v>
      </c>
      <c r="K145" s="661">
        <f t="shared" si="7"/>
        <v>923.63986165500012</v>
      </c>
      <c r="L145" s="661">
        <f t="shared" si="7"/>
        <v>923.63986165500012</v>
      </c>
      <c r="M145" s="661">
        <f t="shared" si="7"/>
        <v>923.63986165500012</v>
      </c>
      <c r="N145" s="661">
        <f t="shared" si="7"/>
        <v>923.63986165500012</v>
      </c>
      <c r="O145" s="661">
        <f t="shared" si="7"/>
        <v>923.63986165500012</v>
      </c>
      <c r="Q145" s="661"/>
    </row>
    <row r="146" spans="1:17" x14ac:dyDescent="0.3">
      <c r="A146" s="1182"/>
      <c r="B146" s="663" t="s">
        <v>1690</v>
      </c>
      <c r="C146" s="663">
        <v>86</v>
      </c>
      <c r="D146" s="661">
        <f t="shared" si="1"/>
        <v>712.88</v>
      </c>
      <c r="E146" s="661">
        <f t="shared" si="4"/>
        <v>731.76</v>
      </c>
      <c r="F146" s="661">
        <f t="shared" si="7"/>
        <v>769.19039999999995</v>
      </c>
      <c r="G146" s="661">
        <f t="shared" si="7"/>
        <v>807.64992000000007</v>
      </c>
      <c r="H146" s="661">
        <f t="shared" si="7"/>
        <v>848.03241600000013</v>
      </c>
      <c r="I146" s="661">
        <f t="shared" si="7"/>
        <v>890.43403680000006</v>
      </c>
      <c r="J146" s="661">
        <f t="shared" si="7"/>
        <v>934.95573864000005</v>
      </c>
      <c r="K146" s="661">
        <f t="shared" si="7"/>
        <v>934.95573864000005</v>
      </c>
      <c r="L146" s="661">
        <f t="shared" si="7"/>
        <v>934.95573864000005</v>
      </c>
      <c r="M146" s="661">
        <f t="shared" si="7"/>
        <v>934.95573864000005</v>
      </c>
      <c r="N146" s="661">
        <f t="shared" si="7"/>
        <v>934.95573864000005</v>
      </c>
      <c r="O146" s="661">
        <f t="shared" si="7"/>
        <v>934.95573864000005</v>
      </c>
      <c r="Q146" s="661"/>
    </row>
    <row r="147" spans="1:17" x14ac:dyDescent="0.3">
      <c r="A147" s="1182"/>
      <c r="B147" s="663" t="s">
        <v>1690</v>
      </c>
      <c r="C147" s="663">
        <v>87</v>
      </c>
      <c r="D147" s="661">
        <f t="shared" si="1"/>
        <v>721.5</v>
      </c>
      <c r="E147" s="661">
        <f t="shared" si="4"/>
        <v>740.61</v>
      </c>
      <c r="F147" s="661">
        <f t="shared" si="7"/>
        <v>778.5</v>
      </c>
      <c r="G147" s="661">
        <f t="shared" si="7"/>
        <v>817.42500000000018</v>
      </c>
      <c r="H147" s="661">
        <f t="shared" si="7"/>
        <v>858.2962500000001</v>
      </c>
      <c r="I147" s="661">
        <f t="shared" si="7"/>
        <v>901.21106250000003</v>
      </c>
      <c r="J147" s="661">
        <f t="shared" si="7"/>
        <v>946.27161562500009</v>
      </c>
      <c r="K147" s="661">
        <f t="shared" si="7"/>
        <v>946.27161562500009</v>
      </c>
      <c r="L147" s="661">
        <f t="shared" si="7"/>
        <v>946.27161562500009</v>
      </c>
      <c r="M147" s="661">
        <f t="shared" si="7"/>
        <v>946.27161562500009</v>
      </c>
      <c r="N147" s="661">
        <f t="shared" si="7"/>
        <v>946.27161562500009</v>
      </c>
      <c r="O147" s="661">
        <f t="shared" si="7"/>
        <v>946.27161562500009</v>
      </c>
      <c r="Q147" s="661"/>
    </row>
    <row r="148" spans="1:17" x14ac:dyDescent="0.3">
      <c r="A148" s="1182"/>
      <c r="B148" s="663" t="s">
        <v>1690</v>
      </c>
      <c r="C148" s="663">
        <v>88</v>
      </c>
      <c r="D148" s="661">
        <f t="shared" si="1"/>
        <v>730.12</v>
      </c>
      <c r="E148" s="661">
        <f t="shared" si="4"/>
        <v>749.46</v>
      </c>
      <c r="F148" s="661">
        <f t="shared" si="7"/>
        <v>787.80960000000005</v>
      </c>
      <c r="G148" s="661">
        <f t="shared" si="7"/>
        <v>827.20008000000007</v>
      </c>
      <c r="H148" s="661">
        <f t="shared" si="7"/>
        <v>868.56008400000007</v>
      </c>
      <c r="I148" s="661">
        <f t="shared" si="7"/>
        <v>911.98808820000022</v>
      </c>
      <c r="J148" s="661">
        <f t="shared" si="7"/>
        <v>957.58749261000014</v>
      </c>
      <c r="K148" s="661">
        <f t="shared" si="7"/>
        <v>957.58749261000014</v>
      </c>
      <c r="L148" s="661">
        <f t="shared" si="7"/>
        <v>957.58749261000014</v>
      </c>
      <c r="M148" s="661">
        <f t="shared" si="7"/>
        <v>957.58749261000014</v>
      </c>
      <c r="N148" s="661">
        <f t="shared" si="7"/>
        <v>957.58749261000014</v>
      </c>
      <c r="O148" s="661">
        <f t="shared" si="7"/>
        <v>957.58749261000014</v>
      </c>
      <c r="Q148" s="661"/>
    </row>
    <row r="149" spans="1:17" x14ac:dyDescent="0.3">
      <c r="A149" s="1182"/>
      <c r="B149" s="663" t="s">
        <v>1690</v>
      </c>
      <c r="C149" s="663">
        <v>89</v>
      </c>
      <c r="D149" s="661">
        <f t="shared" si="1"/>
        <v>738.74</v>
      </c>
      <c r="E149" s="661">
        <f t="shared" si="4"/>
        <v>758.31000000000006</v>
      </c>
      <c r="F149" s="661">
        <f t="shared" si="7"/>
        <v>797.11919999999998</v>
      </c>
      <c r="G149" s="661">
        <f t="shared" si="7"/>
        <v>836.97516000000019</v>
      </c>
      <c r="H149" s="661">
        <f t="shared" si="7"/>
        <v>878.82391800000016</v>
      </c>
      <c r="I149" s="661">
        <f t="shared" si="7"/>
        <v>922.76511390000019</v>
      </c>
      <c r="J149" s="661">
        <f t="shared" si="7"/>
        <v>968.90336959500007</v>
      </c>
      <c r="K149" s="661">
        <f t="shared" si="7"/>
        <v>968.90336959500007</v>
      </c>
      <c r="L149" s="661">
        <f t="shared" si="7"/>
        <v>968.90336959500007</v>
      </c>
      <c r="M149" s="661">
        <f t="shared" si="7"/>
        <v>968.90336959500007</v>
      </c>
      <c r="N149" s="661">
        <f t="shared" si="7"/>
        <v>968.90336959500007</v>
      </c>
      <c r="O149" s="661">
        <f t="shared" si="7"/>
        <v>968.90336959500007</v>
      </c>
      <c r="Q149" s="661"/>
    </row>
    <row r="150" spans="1:17" x14ac:dyDescent="0.3">
      <c r="A150" s="1182"/>
      <c r="B150" s="663" t="s">
        <v>1690</v>
      </c>
      <c r="C150" s="663">
        <v>90</v>
      </c>
      <c r="D150" s="661">
        <f t="shared" si="1"/>
        <v>747.36</v>
      </c>
      <c r="E150" s="661">
        <f t="shared" si="4"/>
        <v>767.16</v>
      </c>
      <c r="F150" s="661">
        <f t="shared" si="7"/>
        <v>806.42880000000002</v>
      </c>
      <c r="G150" s="661">
        <f t="shared" si="7"/>
        <v>846.75024000000008</v>
      </c>
      <c r="H150" s="661">
        <f t="shared" si="7"/>
        <v>889.08775200000014</v>
      </c>
      <c r="I150" s="661">
        <f t="shared" si="7"/>
        <v>933.54213960000016</v>
      </c>
      <c r="J150" s="661">
        <f t="shared" si="7"/>
        <v>980.21924658000012</v>
      </c>
      <c r="K150" s="661">
        <f t="shared" si="7"/>
        <v>980.21924658000012</v>
      </c>
      <c r="L150" s="661">
        <f t="shared" si="7"/>
        <v>980.21924658000012</v>
      </c>
      <c r="M150" s="661">
        <f t="shared" si="7"/>
        <v>980.21924658000012</v>
      </c>
      <c r="N150" s="661">
        <f t="shared" si="7"/>
        <v>980.21924658000012</v>
      </c>
      <c r="O150" s="661">
        <f t="shared" si="7"/>
        <v>980.21924658000012</v>
      </c>
      <c r="Q150" s="661"/>
    </row>
    <row r="151" spans="1:17" x14ac:dyDescent="0.3">
      <c r="A151" s="1182"/>
      <c r="B151" s="663" t="s">
        <v>1690</v>
      </c>
      <c r="C151" s="663">
        <v>91</v>
      </c>
      <c r="D151" s="661">
        <f t="shared" si="1"/>
        <v>755.98</v>
      </c>
      <c r="E151" s="661">
        <f t="shared" si="4"/>
        <v>776.01</v>
      </c>
      <c r="F151" s="661">
        <f t="shared" si="7"/>
        <v>815.73839999999996</v>
      </c>
      <c r="G151" s="661">
        <f t="shared" si="7"/>
        <v>856.52532000000019</v>
      </c>
      <c r="H151" s="661">
        <f t="shared" si="7"/>
        <v>899.35158600000011</v>
      </c>
      <c r="I151" s="661">
        <f t="shared" si="7"/>
        <v>944.31916530000012</v>
      </c>
      <c r="J151" s="661">
        <f t="shared" si="7"/>
        <v>991.53512356500005</v>
      </c>
      <c r="K151" s="661">
        <f t="shared" si="7"/>
        <v>991.53512356500005</v>
      </c>
      <c r="L151" s="661">
        <f t="shared" si="7"/>
        <v>991.53512356500005</v>
      </c>
      <c r="M151" s="661">
        <f t="shared" si="7"/>
        <v>991.53512356500005</v>
      </c>
      <c r="N151" s="661">
        <f t="shared" si="7"/>
        <v>991.53512356500005</v>
      </c>
      <c r="O151" s="661">
        <f t="shared" si="7"/>
        <v>991.53512356500005</v>
      </c>
      <c r="Q151" s="661"/>
    </row>
    <row r="152" spans="1:17" x14ac:dyDescent="0.3">
      <c r="A152" s="1182"/>
      <c r="B152" s="663" t="s">
        <v>1690</v>
      </c>
      <c r="C152" s="663">
        <v>92</v>
      </c>
      <c r="D152" s="661">
        <f t="shared" si="1"/>
        <v>764.6</v>
      </c>
      <c r="E152" s="661">
        <f t="shared" si="4"/>
        <v>784.86</v>
      </c>
      <c r="F152" s="661">
        <f t="shared" si="7"/>
        <v>825.048</v>
      </c>
      <c r="G152" s="661">
        <f t="shared" si="7"/>
        <v>866.30040000000008</v>
      </c>
      <c r="H152" s="661">
        <f t="shared" si="7"/>
        <v>909.61542000000009</v>
      </c>
      <c r="I152" s="661">
        <f t="shared" si="7"/>
        <v>955.09619100000009</v>
      </c>
      <c r="J152" s="661">
        <f t="shared" si="7"/>
        <v>1002.8510005500001</v>
      </c>
      <c r="K152" s="661">
        <f t="shared" si="7"/>
        <v>1002.8510005500001</v>
      </c>
      <c r="L152" s="661">
        <f t="shared" si="7"/>
        <v>1002.8510005500001</v>
      </c>
      <c r="M152" s="661">
        <f t="shared" si="7"/>
        <v>1002.8510005500001</v>
      </c>
      <c r="N152" s="661">
        <f t="shared" si="7"/>
        <v>1002.8510005500001</v>
      </c>
      <c r="O152" s="661">
        <f t="shared" si="7"/>
        <v>1002.8510005500001</v>
      </c>
      <c r="Q152" s="661"/>
    </row>
    <row r="153" spans="1:17" x14ac:dyDescent="0.3">
      <c r="A153" s="1182"/>
      <c r="B153" s="663" t="s">
        <v>1690</v>
      </c>
      <c r="C153" s="663">
        <v>93</v>
      </c>
      <c r="D153" s="661">
        <f t="shared" si="1"/>
        <v>773.21999999999991</v>
      </c>
      <c r="E153" s="661">
        <f t="shared" si="4"/>
        <v>793.71</v>
      </c>
      <c r="F153" s="661">
        <f t="shared" ref="F153:O160" si="8">IF($B153=$A$64,F$9+IF($C153&gt;$A$21,$A$19*F$11+($A$20-$A$19)*F$12+($C153-$A$21)*F$13,IF($C153&gt;$A$19,$A$19*F$11+($C153-$A$19)*F$12,$C153*F$11)),F$17+IF($C153&gt;$A$21,$A$19*F$19+($A$20-$A$19)*F$20+($C153-$A$21)*F$21,IF($C153&gt;$A$19,$A$19*F$19+($C153-$A$19)*F$20,$C153*F$19)))</f>
        <v>834.35760000000005</v>
      </c>
      <c r="G153" s="661">
        <f t="shared" si="8"/>
        <v>876.0754800000002</v>
      </c>
      <c r="H153" s="661">
        <f t="shared" si="8"/>
        <v>919.87925400000017</v>
      </c>
      <c r="I153" s="661">
        <f t="shared" si="8"/>
        <v>965.87321670000006</v>
      </c>
      <c r="J153" s="661">
        <f t="shared" si="8"/>
        <v>1014.1668775350001</v>
      </c>
      <c r="K153" s="661">
        <f t="shared" si="8"/>
        <v>1014.1668775350001</v>
      </c>
      <c r="L153" s="661">
        <f t="shared" si="8"/>
        <v>1014.1668775350001</v>
      </c>
      <c r="M153" s="661">
        <f t="shared" si="8"/>
        <v>1014.1668775350001</v>
      </c>
      <c r="N153" s="661">
        <f t="shared" si="8"/>
        <v>1014.1668775350001</v>
      </c>
      <c r="O153" s="661">
        <f t="shared" si="8"/>
        <v>1014.1668775350001</v>
      </c>
      <c r="Q153" s="661"/>
    </row>
    <row r="154" spans="1:17" x14ac:dyDescent="0.3">
      <c r="A154" s="1182"/>
      <c r="B154" s="663" t="s">
        <v>1690</v>
      </c>
      <c r="C154" s="663">
        <v>94</v>
      </c>
      <c r="D154" s="661">
        <f t="shared" si="1"/>
        <v>781.83999999999992</v>
      </c>
      <c r="E154" s="661">
        <f t="shared" si="4"/>
        <v>802.56000000000006</v>
      </c>
      <c r="F154" s="661">
        <f t="shared" si="8"/>
        <v>843.66719999999998</v>
      </c>
      <c r="G154" s="661">
        <f t="shared" si="8"/>
        <v>885.85056000000009</v>
      </c>
      <c r="H154" s="661">
        <f t="shared" si="8"/>
        <v>930.14308800000015</v>
      </c>
      <c r="I154" s="661">
        <f t="shared" si="8"/>
        <v>976.65024240000025</v>
      </c>
      <c r="J154" s="661">
        <f t="shared" si="8"/>
        <v>1025.4827545200001</v>
      </c>
      <c r="K154" s="661">
        <f t="shared" si="8"/>
        <v>1025.4827545200001</v>
      </c>
      <c r="L154" s="661">
        <f t="shared" si="8"/>
        <v>1025.4827545200001</v>
      </c>
      <c r="M154" s="661">
        <f t="shared" si="8"/>
        <v>1025.4827545200001</v>
      </c>
      <c r="N154" s="661">
        <f t="shared" si="8"/>
        <v>1025.4827545200001</v>
      </c>
      <c r="O154" s="661">
        <f t="shared" si="8"/>
        <v>1025.4827545200001</v>
      </c>
      <c r="Q154" s="661"/>
    </row>
    <row r="155" spans="1:17" x14ac:dyDescent="0.3">
      <c r="A155" s="1182"/>
      <c r="B155" s="663" t="s">
        <v>1690</v>
      </c>
      <c r="C155" s="663">
        <v>95</v>
      </c>
      <c r="D155" s="661">
        <f t="shared" si="1"/>
        <v>790.45999999999992</v>
      </c>
      <c r="E155" s="661">
        <f t="shared" si="4"/>
        <v>811.41</v>
      </c>
      <c r="F155" s="661">
        <f t="shared" si="8"/>
        <v>852.97680000000003</v>
      </c>
      <c r="G155" s="661">
        <f t="shared" si="8"/>
        <v>895.6256400000002</v>
      </c>
      <c r="H155" s="661">
        <f t="shared" si="8"/>
        <v>940.40692200000012</v>
      </c>
      <c r="I155" s="661">
        <f t="shared" si="8"/>
        <v>987.42726810000022</v>
      </c>
      <c r="J155" s="661">
        <f t="shared" si="8"/>
        <v>1036.798631505</v>
      </c>
      <c r="K155" s="661">
        <f t="shared" si="8"/>
        <v>1036.798631505</v>
      </c>
      <c r="L155" s="661">
        <f t="shared" si="8"/>
        <v>1036.798631505</v>
      </c>
      <c r="M155" s="661">
        <f t="shared" si="8"/>
        <v>1036.798631505</v>
      </c>
      <c r="N155" s="661">
        <f t="shared" si="8"/>
        <v>1036.798631505</v>
      </c>
      <c r="O155" s="661">
        <f t="shared" si="8"/>
        <v>1036.798631505</v>
      </c>
      <c r="Q155" s="661"/>
    </row>
    <row r="156" spans="1:17" x14ac:dyDescent="0.3">
      <c r="A156" s="1182"/>
      <c r="B156" s="663" t="s">
        <v>1690</v>
      </c>
      <c r="C156" s="663">
        <v>96</v>
      </c>
      <c r="D156" s="661">
        <f t="shared" si="1"/>
        <v>799.07999999999993</v>
      </c>
      <c r="E156" s="661">
        <f t="shared" si="4"/>
        <v>820.26</v>
      </c>
      <c r="F156" s="661">
        <f t="shared" si="8"/>
        <v>862.28639999999996</v>
      </c>
      <c r="G156" s="661">
        <f t="shared" si="8"/>
        <v>905.40072000000009</v>
      </c>
      <c r="H156" s="661">
        <f t="shared" si="8"/>
        <v>950.6707560000001</v>
      </c>
      <c r="I156" s="661">
        <f t="shared" si="8"/>
        <v>998.20429380000019</v>
      </c>
      <c r="J156" s="661">
        <f t="shared" si="8"/>
        <v>1048.1145084899999</v>
      </c>
      <c r="K156" s="661">
        <f t="shared" si="8"/>
        <v>1048.1145084899999</v>
      </c>
      <c r="L156" s="661">
        <f t="shared" si="8"/>
        <v>1048.1145084899999</v>
      </c>
      <c r="M156" s="661">
        <f t="shared" si="8"/>
        <v>1048.1145084899999</v>
      </c>
      <c r="N156" s="661">
        <f t="shared" si="8"/>
        <v>1048.1145084899999</v>
      </c>
      <c r="O156" s="661">
        <f t="shared" si="8"/>
        <v>1048.1145084899999</v>
      </c>
      <c r="Q156" s="661"/>
    </row>
    <row r="157" spans="1:17" x14ac:dyDescent="0.3">
      <c r="A157" s="1182"/>
      <c r="B157" s="663" t="s">
        <v>1690</v>
      </c>
      <c r="C157" s="663">
        <v>97</v>
      </c>
      <c r="D157" s="661">
        <f t="shared" si="1"/>
        <v>807.69999999999993</v>
      </c>
      <c r="E157" s="661">
        <f t="shared" si="4"/>
        <v>829.11</v>
      </c>
      <c r="F157" s="661">
        <f t="shared" si="8"/>
        <v>871.596</v>
      </c>
      <c r="G157" s="661">
        <f t="shared" si="8"/>
        <v>915.17580000000021</v>
      </c>
      <c r="H157" s="661">
        <f t="shared" si="8"/>
        <v>960.93459000000018</v>
      </c>
      <c r="I157" s="661">
        <f t="shared" si="8"/>
        <v>1008.9813195000002</v>
      </c>
      <c r="J157" s="661">
        <f t="shared" si="8"/>
        <v>1059.4303854750001</v>
      </c>
      <c r="K157" s="661">
        <f t="shared" si="8"/>
        <v>1059.4303854750001</v>
      </c>
      <c r="L157" s="661">
        <f t="shared" si="8"/>
        <v>1059.4303854750001</v>
      </c>
      <c r="M157" s="661">
        <f t="shared" si="8"/>
        <v>1059.4303854750001</v>
      </c>
      <c r="N157" s="661">
        <f t="shared" si="8"/>
        <v>1059.4303854750001</v>
      </c>
      <c r="O157" s="661">
        <f t="shared" si="8"/>
        <v>1059.4303854750001</v>
      </c>
      <c r="Q157" s="661"/>
    </row>
    <row r="158" spans="1:17" x14ac:dyDescent="0.3">
      <c r="A158" s="1182"/>
      <c r="B158" s="663" t="s">
        <v>1690</v>
      </c>
      <c r="C158" s="663">
        <v>98</v>
      </c>
      <c r="D158" s="661">
        <f t="shared" si="1"/>
        <v>816.31999999999994</v>
      </c>
      <c r="E158" s="661">
        <f t="shared" si="4"/>
        <v>837.96</v>
      </c>
      <c r="F158" s="661">
        <f t="shared" si="8"/>
        <v>880.90560000000005</v>
      </c>
      <c r="G158" s="661">
        <f t="shared" si="8"/>
        <v>924.9508800000001</v>
      </c>
      <c r="H158" s="661">
        <f t="shared" si="8"/>
        <v>971.19842400000016</v>
      </c>
      <c r="I158" s="661">
        <f t="shared" si="8"/>
        <v>1019.7583452000001</v>
      </c>
      <c r="J158" s="661">
        <f t="shared" si="8"/>
        <v>1070.74626246</v>
      </c>
      <c r="K158" s="661">
        <f t="shared" si="8"/>
        <v>1070.74626246</v>
      </c>
      <c r="L158" s="661">
        <f t="shared" si="8"/>
        <v>1070.74626246</v>
      </c>
      <c r="M158" s="661">
        <f t="shared" si="8"/>
        <v>1070.74626246</v>
      </c>
      <c r="N158" s="661">
        <f t="shared" si="8"/>
        <v>1070.74626246</v>
      </c>
      <c r="O158" s="661">
        <f t="shared" si="8"/>
        <v>1070.74626246</v>
      </c>
      <c r="Q158" s="661"/>
    </row>
    <row r="159" spans="1:17" x14ac:dyDescent="0.3">
      <c r="A159" s="1182"/>
      <c r="B159" s="663" t="s">
        <v>1690</v>
      </c>
      <c r="C159" s="663">
        <v>99</v>
      </c>
      <c r="D159" s="661">
        <f t="shared" si="1"/>
        <v>824.93999999999994</v>
      </c>
      <c r="E159" s="661">
        <f t="shared" si="4"/>
        <v>846.81000000000006</v>
      </c>
      <c r="F159" s="661">
        <f t="shared" si="8"/>
        <v>890.21519999999998</v>
      </c>
      <c r="G159" s="661">
        <f t="shared" si="8"/>
        <v>934.72596000000021</v>
      </c>
      <c r="H159" s="661">
        <f t="shared" si="8"/>
        <v>981.46225800000013</v>
      </c>
      <c r="I159" s="661">
        <f t="shared" si="8"/>
        <v>1030.5353709000001</v>
      </c>
      <c r="J159" s="661">
        <f t="shared" si="8"/>
        <v>1082.062139445</v>
      </c>
      <c r="K159" s="661">
        <f t="shared" si="8"/>
        <v>1082.062139445</v>
      </c>
      <c r="L159" s="661">
        <f t="shared" si="8"/>
        <v>1082.062139445</v>
      </c>
      <c r="M159" s="661">
        <f t="shared" si="8"/>
        <v>1082.062139445</v>
      </c>
      <c r="N159" s="661">
        <f t="shared" si="8"/>
        <v>1082.062139445</v>
      </c>
      <c r="O159" s="661">
        <f t="shared" si="8"/>
        <v>1082.062139445</v>
      </c>
      <c r="Q159" s="661"/>
    </row>
    <row r="160" spans="1:17" x14ac:dyDescent="0.3">
      <c r="A160" s="1182" t="s">
        <v>1845</v>
      </c>
      <c r="B160" s="663" t="s">
        <v>1690</v>
      </c>
      <c r="C160" s="663">
        <v>100</v>
      </c>
      <c r="D160" s="661">
        <f t="shared" si="1"/>
        <v>833.56</v>
      </c>
      <c r="E160" s="661">
        <f t="shared" si="4"/>
        <v>855.66</v>
      </c>
      <c r="F160" s="661">
        <f t="shared" si="8"/>
        <v>899.52480000000003</v>
      </c>
      <c r="G160" s="661">
        <f t="shared" si="8"/>
        <v>944.5010400000001</v>
      </c>
      <c r="H160" s="661">
        <f t="shared" si="8"/>
        <v>991.72609200000011</v>
      </c>
      <c r="I160" s="661">
        <f t="shared" si="8"/>
        <v>1041.3123966000001</v>
      </c>
      <c r="J160" s="661">
        <f t="shared" si="8"/>
        <v>1093.3780164300001</v>
      </c>
      <c r="K160" s="661">
        <f t="shared" si="8"/>
        <v>1093.3780164300001</v>
      </c>
      <c r="L160" s="661">
        <f t="shared" si="8"/>
        <v>1093.3780164300001</v>
      </c>
      <c r="M160" s="661">
        <f t="shared" si="8"/>
        <v>1093.3780164300001</v>
      </c>
      <c r="N160" s="661">
        <f t="shared" si="8"/>
        <v>1093.3780164300001</v>
      </c>
      <c r="O160" s="661">
        <f t="shared" si="8"/>
        <v>1093.3780164300001</v>
      </c>
      <c r="Q160" s="661"/>
    </row>
    <row r="161" spans="2:17" x14ac:dyDescent="0.3">
      <c r="D161" s="661"/>
      <c r="E161" s="661"/>
      <c r="Q161" s="661"/>
    </row>
    <row r="162" spans="2:17" x14ac:dyDescent="0.3">
      <c r="F162" s="661"/>
      <c r="Q162" s="661"/>
    </row>
    <row r="163" spans="2:17" x14ac:dyDescent="0.3">
      <c r="B163" s="963"/>
      <c r="C163" s="966" t="s">
        <v>1969</v>
      </c>
      <c r="F163" s="661"/>
      <c r="Q163" s="661"/>
    </row>
    <row r="164" spans="2:17" x14ac:dyDescent="0.3">
      <c r="B164" s="964" t="str">
        <f>B61</f>
        <v>Incorporated</v>
      </c>
      <c r="C164" s="964">
        <f>C61</f>
        <v>1</v>
      </c>
      <c r="D164" s="1268">
        <f>D61</f>
        <v>14.85</v>
      </c>
      <c r="E164" s="665">
        <f>E61</f>
        <v>15.01</v>
      </c>
      <c r="F164" s="1184">
        <f>IF($B164=$A$64,F$27+IF($C164&gt;$B$32,$B$30*F$29+($B$31-$B$30)*F$30+($B$32-$B$31)*F$31+($C164-$B$32)*F$32,IF($C164&gt;$B$31,$B$30*F$29+($B$31-$B$30)*F$30+($C164-$B$31)*F$31,IF($C164&gt;$B$30,$B$30*F$29+($C164-$B$30)*F$30,$C164*F$29))),F$35+IF($C164&gt;$B$40,$B$38*F$37+($B$39-$B$38)*F$38+($B$40-$B$39)*F$39+($C164-$B$40)*F$40,IF($C164&gt;$B$39,$B$38*F$37+($B$39-$B$38)*F$38+($C164-$B$39)*F$39,IF($C164&gt;$B$38,$B$38*F$37+($C164-$B$38)*F$38,$C164*F$37))))</f>
        <v>14.658758958739497</v>
      </c>
      <c r="G164" s="1184">
        <f t="shared" ref="G164:O164" si="9">IF($B164=$A$64,G$27+IF($C164&gt;$B$32,$B$30*G$29+($B$31-$B$30)*G$30+($B$32-$B$31)*G$31+($C164-$B$32)*G$32,IF($C164&gt;$B$31,$B$30*G$29+($B$31-$B$30)*G$30+($C164-$B$31)*G$31,IF($C164&gt;$B$30,$B$30*G$29+($C164-$B$30)*G$30,$C164*G$29))),G$35+IF($C164&gt;$B$40,$B$38*G$37+($B$39-$B$38)*G$38+($B$40-$B$39)*G$39+($C164-$B$40)*G$40,IF($C164&gt;$B$39,$B$38*G$37+($B$39-$B$38)*G$38+($C164-$B$39)*G$39,IF($C164&gt;$B$38,$B$38*G$37+($C164-$B$38)*G$38,$C164*G$37))))</f>
        <v>15.507016293604117</v>
      </c>
      <c r="H164" s="1184">
        <f t="shared" si="9"/>
        <v>16.282188423616539</v>
      </c>
      <c r="I164" s="1184">
        <f t="shared" si="9"/>
        <v>17.096111847940207</v>
      </c>
      <c r="J164" s="1184">
        <f t="shared" si="9"/>
        <v>17.950723824793464</v>
      </c>
      <c r="K164" s="1184">
        <f t="shared" si="9"/>
        <v>17.950723824793464</v>
      </c>
      <c r="L164" s="1184">
        <f t="shared" si="9"/>
        <v>17.95072382479346</v>
      </c>
      <c r="M164" s="1184">
        <f t="shared" si="9"/>
        <v>17.95072382479346</v>
      </c>
      <c r="N164" s="1184">
        <f t="shared" si="9"/>
        <v>17.950723824793464</v>
      </c>
      <c r="O164" s="1184">
        <f t="shared" si="9"/>
        <v>17.950723824793464</v>
      </c>
      <c r="Q164" s="661"/>
    </row>
    <row r="165" spans="2:17" x14ac:dyDescent="0.3">
      <c r="B165" s="964" t="str">
        <f>B62</f>
        <v>Incorporated</v>
      </c>
      <c r="C165" s="964">
        <f t="shared" ref="C165:E228" si="10">C62</f>
        <v>2</v>
      </c>
      <c r="D165" s="1268">
        <f t="shared" si="10"/>
        <v>20.7</v>
      </c>
      <c r="E165" s="665">
        <f t="shared" si="10"/>
        <v>21.02</v>
      </c>
      <c r="F165" s="1184">
        <f t="shared" ref="F165:O228" si="11">IF($B165=$A$64,F$27+IF($C165&gt;$B$32,$B$30*F$29+($B$31-$B$30)*F$30+($B$32-$B$31)*F$31+($C165-$B$32)*F$32,IF($C165&gt;$B$31,$B$30*F$29+($B$31-$B$30)*F$30+($C165-$B$31)*F$31,IF($C165&gt;$B$30,$B$30*F$29+($C165-$B$30)*F$30,$C165*F$29))),F$35+IF($C165&gt;$B$40,$B$38*F$37+($B$39-$B$38)*F$38+($B$40-$B$39)*F$39+($C165-$B$40)*F$40,IF($C165&gt;$B$39,$B$38*F$37+($B$39-$B$38)*F$38+($C165-$B$39)*F$39,IF($C165&gt;$B$38,$B$38*F$37+($C165-$B$38)*F$38,$C165*F$37))))</f>
        <v>20.317517917478995</v>
      </c>
      <c r="G165" s="1184">
        <f t="shared" si="11"/>
        <v>21.522475708847054</v>
      </c>
      <c r="H165" s="1184">
        <f t="shared" si="11"/>
        <v>22.598431181997022</v>
      </c>
      <c r="I165" s="1184">
        <f t="shared" si="11"/>
        <v>23.72817754452312</v>
      </c>
      <c r="J165" s="1184">
        <f t="shared" si="11"/>
        <v>24.914404052441807</v>
      </c>
      <c r="K165" s="1184">
        <f t="shared" si="11"/>
        <v>24.91440405244181</v>
      </c>
      <c r="L165" s="1184">
        <f t="shared" si="11"/>
        <v>24.914404052441803</v>
      </c>
      <c r="M165" s="1184">
        <f t="shared" si="11"/>
        <v>24.914404052441803</v>
      </c>
      <c r="N165" s="1184">
        <f t="shared" si="11"/>
        <v>24.91440405244181</v>
      </c>
      <c r="O165" s="1184">
        <f t="shared" si="11"/>
        <v>24.914404052441807</v>
      </c>
      <c r="Q165" s="661"/>
    </row>
    <row r="166" spans="2:17" x14ac:dyDescent="0.3">
      <c r="B166" s="964" t="str">
        <f>B63</f>
        <v>Incorporated</v>
      </c>
      <c r="C166" s="964">
        <f t="shared" si="10"/>
        <v>3</v>
      </c>
      <c r="D166" s="1268">
        <f t="shared" si="10"/>
        <v>26.549999999999997</v>
      </c>
      <c r="E166" s="665">
        <f t="shared" si="10"/>
        <v>27.03</v>
      </c>
      <c r="F166" s="1184">
        <f t="shared" si="11"/>
        <v>25.976276876218492</v>
      </c>
      <c r="G166" s="1184">
        <f t="shared" si="11"/>
        <v>27.537935124089991</v>
      </c>
      <c r="H166" s="1184">
        <f t="shared" si="11"/>
        <v>28.914673940377508</v>
      </c>
      <c r="I166" s="1184">
        <f t="shared" si="11"/>
        <v>30.360243241106033</v>
      </c>
      <c r="J166" s="1184">
        <f t="shared" si="11"/>
        <v>31.87808428009015</v>
      </c>
      <c r="K166" s="1184">
        <f t="shared" si="11"/>
        <v>31.878084280090157</v>
      </c>
      <c r="L166" s="1184">
        <f t="shared" si="11"/>
        <v>31.87808428009015</v>
      </c>
      <c r="M166" s="1184">
        <f t="shared" si="11"/>
        <v>31.87808428009015</v>
      </c>
      <c r="N166" s="1184">
        <f t="shared" si="11"/>
        <v>31.878084280090153</v>
      </c>
      <c r="O166" s="1184">
        <f t="shared" si="11"/>
        <v>31.87808428009015</v>
      </c>
      <c r="Q166" s="661"/>
    </row>
    <row r="167" spans="2:17" x14ac:dyDescent="0.3">
      <c r="B167" s="964" t="str">
        <f>B64</f>
        <v>Incorporated</v>
      </c>
      <c r="C167" s="964">
        <f t="shared" si="10"/>
        <v>4</v>
      </c>
      <c r="D167" s="1268">
        <f t="shared" si="10"/>
        <v>32.4</v>
      </c>
      <c r="E167" s="665">
        <f t="shared" si="10"/>
        <v>33.04</v>
      </c>
      <c r="F167" s="1184">
        <f t="shared" si="11"/>
        <v>31.635035834957989</v>
      </c>
      <c r="G167" s="1184">
        <f t="shared" si="11"/>
        <v>33.553394539332928</v>
      </c>
      <c r="H167" s="1184">
        <f t="shared" si="11"/>
        <v>35.230916698757994</v>
      </c>
      <c r="I167" s="1184">
        <f t="shared" si="11"/>
        <v>36.992308937688946</v>
      </c>
      <c r="J167" s="1184">
        <f t="shared" si="11"/>
        <v>38.841764507738496</v>
      </c>
      <c r="K167" s="1184">
        <f t="shared" si="11"/>
        <v>38.841764507738503</v>
      </c>
      <c r="L167" s="1184">
        <f t="shared" si="11"/>
        <v>38.841764507738489</v>
      </c>
      <c r="M167" s="1184">
        <f t="shared" si="11"/>
        <v>38.841764507738489</v>
      </c>
      <c r="N167" s="1184">
        <f t="shared" si="11"/>
        <v>38.841764507738503</v>
      </c>
      <c r="O167" s="1184">
        <f t="shared" si="11"/>
        <v>38.841764507738496</v>
      </c>
      <c r="Q167" s="661"/>
    </row>
    <row r="168" spans="2:17" x14ac:dyDescent="0.3">
      <c r="B168" s="964" t="str">
        <f t="shared" ref="B168:B231" si="12">B65</f>
        <v>Incorporated</v>
      </c>
      <c r="C168" s="964">
        <f t="shared" si="10"/>
        <v>5</v>
      </c>
      <c r="D168" s="1268">
        <f t="shared" si="10"/>
        <v>38.25</v>
      </c>
      <c r="E168" s="665">
        <f t="shared" si="10"/>
        <v>39.049999999999997</v>
      </c>
      <c r="F168" s="1184">
        <f t="shared" si="11"/>
        <v>37.293794793697487</v>
      </c>
      <c r="G168" s="1184">
        <f t="shared" si="11"/>
        <v>39.568853954575864</v>
      </c>
      <c r="H168" s="1184">
        <f t="shared" si="11"/>
        <v>41.547159457138477</v>
      </c>
      <c r="I168" s="1184">
        <f t="shared" si="11"/>
        <v>43.624374634271859</v>
      </c>
      <c r="J168" s="1184">
        <f t="shared" si="11"/>
        <v>45.805444735386843</v>
      </c>
      <c r="K168" s="1184">
        <f t="shared" si="11"/>
        <v>45.80544473538685</v>
      </c>
      <c r="L168" s="1184">
        <f t="shared" si="11"/>
        <v>45.805444735386835</v>
      </c>
      <c r="M168" s="1184">
        <f t="shared" si="11"/>
        <v>45.805444735386835</v>
      </c>
      <c r="N168" s="1184">
        <f t="shared" si="11"/>
        <v>45.805444735386843</v>
      </c>
      <c r="O168" s="1184">
        <f t="shared" si="11"/>
        <v>45.805444735386843</v>
      </c>
      <c r="Q168" s="661"/>
    </row>
    <row r="169" spans="2:17" x14ac:dyDescent="0.3">
      <c r="B169" s="964" t="str">
        <f t="shared" si="12"/>
        <v>Incorporated</v>
      </c>
      <c r="C169" s="964">
        <f t="shared" si="10"/>
        <v>6</v>
      </c>
      <c r="D169" s="1268">
        <f t="shared" si="10"/>
        <v>44.099999999999994</v>
      </c>
      <c r="E169" s="665">
        <f t="shared" si="10"/>
        <v>45.06</v>
      </c>
      <c r="F169" s="1184">
        <f t="shared" si="11"/>
        <v>42.952553752436984</v>
      </c>
      <c r="G169" s="1184">
        <f t="shared" si="11"/>
        <v>45.584313369818794</v>
      </c>
      <c r="H169" s="1184">
        <f t="shared" si="11"/>
        <v>47.86340221551896</v>
      </c>
      <c r="I169" s="1184">
        <f t="shared" si="11"/>
        <v>50.256440330854772</v>
      </c>
      <c r="J169" s="1184">
        <f t="shared" si="11"/>
        <v>52.769124963035182</v>
      </c>
      <c r="K169" s="1184">
        <f t="shared" si="11"/>
        <v>52.769124963035196</v>
      </c>
      <c r="L169" s="1184">
        <f t="shared" si="11"/>
        <v>52.769124963035182</v>
      </c>
      <c r="M169" s="1184">
        <f t="shared" si="11"/>
        <v>52.769124963035182</v>
      </c>
      <c r="N169" s="1184">
        <f t="shared" si="11"/>
        <v>52.769124963035189</v>
      </c>
      <c r="O169" s="1184">
        <f t="shared" si="11"/>
        <v>52.769124963035182</v>
      </c>
      <c r="Q169" s="661"/>
    </row>
    <row r="170" spans="2:17" x14ac:dyDescent="0.3">
      <c r="B170" s="964" t="str">
        <f t="shared" si="12"/>
        <v>Incorporated</v>
      </c>
      <c r="C170" s="964">
        <f t="shared" si="10"/>
        <v>7</v>
      </c>
      <c r="D170" s="1268">
        <f t="shared" si="10"/>
        <v>49.949999999999996</v>
      </c>
      <c r="E170" s="665">
        <f t="shared" si="10"/>
        <v>51.07</v>
      </c>
      <c r="F170" s="1184">
        <f t="shared" si="11"/>
        <v>48.611312711176481</v>
      </c>
      <c r="G170" s="1184">
        <f t="shared" si="11"/>
        <v>51.599772785061731</v>
      </c>
      <c r="H170" s="1184">
        <f t="shared" si="11"/>
        <v>54.179644973899457</v>
      </c>
      <c r="I170" s="1184">
        <f t="shared" si="11"/>
        <v>56.888506027437685</v>
      </c>
      <c r="J170" s="1184">
        <f t="shared" si="11"/>
        <v>59.732805190683528</v>
      </c>
      <c r="K170" s="1184">
        <f t="shared" si="11"/>
        <v>59.732805190683543</v>
      </c>
      <c r="L170" s="1184">
        <f t="shared" si="11"/>
        <v>59.732805190683521</v>
      </c>
      <c r="M170" s="1184">
        <f t="shared" si="11"/>
        <v>59.732805190683521</v>
      </c>
      <c r="N170" s="1184">
        <f t="shared" si="11"/>
        <v>59.732805190683536</v>
      </c>
      <c r="O170" s="1184">
        <f t="shared" si="11"/>
        <v>59.732805190683528</v>
      </c>
      <c r="Q170" s="661"/>
    </row>
    <row r="171" spans="2:17" x14ac:dyDescent="0.3">
      <c r="B171" s="964" t="str">
        <f t="shared" si="12"/>
        <v>Incorporated</v>
      </c>
      <c r="C171" s="964">
        <f t="shared" si="10"/>
        <v>8</v>
      </c>
      <c r="D171" s="1268">
        <f t="shared" si="10"/>
        <v>55.8</v>
      </c>
      <c r="E171" s="665">
        <f t="shared" si="10"/>
        <v>57.08</v>
      </c>
      <c r="F171" s="1184">
        <f t="shared" si="11"/>
        <v>55.684761409600853</v>
      </c>
      <c r="G171" s="1184">
        <f t="shared" si="11"/>
        <v>59.1190970541154</v>
      </c>
      <c r="H171" s="1184">
        <f t="shared" si="11"/>
        <v>62.074948421875064</v>
      </c>
      <c r="I171" s="1184">
        <f t="shared" si="11"/>
        <v>65.178588148166327</v>
      </c>
      <c r="J171" s="1184">
        <f t="shared" si="11"/>
        <v>68.437405475243963</v>
      </c>
      <c r="K171" s="1184">
        <f t="shared" si="11"/>
        <v>68.437405475243978</v>
      </c>
      <c r="L171" s="1184">
        <f t="shared" si="11"/>
        <v>68.437405475243949</v>
      </c>
      <c r="M171" s="1184">
        <f t="shared" si="11"/>
        <v>68.437405475243949</v>
      </c>
      <c r="N171" s="1184">
        <f t="shared" si="11"/>
        <v>68.437405475243963</v>
      </c>
      <c r="O171" s="1184">
        <f t="shared" si="11"/>
        <v>68.437405475243963</v>
      </c>
      <c r="Q171" s="661"/>
    </row>
    <row r="172" spans="2:17" x14ac:dyDescent="0.3">
      <c r="B172" s="964" t="str">
        <f t="shared" si="12"/>
        <v>Incorporated</v>
      </c>
      <c r="C172" s="964">
        <f t="shared" si="10"/>
        <v>9</v>
      </c>
      <c r="D172" s="1268">
        <f t="shared" si="10"/>
        <v>61.65</v>
      </c>
      <c r="E172" s="665">
        <f t="shared" si="10"/>
        <v>63.089999999999996</v>
      </c>
      <c r="F172" s="1184">
        <f t="shared" si="11"/>
        <v>62.758210108025224</v>
      </c>
      <c r="G172" s="1184">
        <f t="shared" si="11"/>
        <v>66.638421323169069</v>
      </c>
      <c r="H172" s="1184">
        <f t="shared" si="11"/>
        <v>69.970251869850671</v>
      </c>
      <c r="I172" s="1184">
        <f t="shared" si="11"/>
        <v>73.468670268894968</v>
      </c>
      <c r="J172" s="1184">
        <f t="shared" si="11"/>
        <v>77.142005759804391</v>
      </c>
      <c r="K172" s="1184">
        <f t="shared" si="11"/>
        <v>77.142005759804405</v>
      </c>
      <c r="L172" s="1184">
        <f t="shared" si="11"/>
        <v>77.142005759804377</v>
      </c>
      <c r="M172" s="1184">
        <f t="shared" si="11"/>
        <v>77.142005759804377</v>
      </c>
      <c r="N172" s="1184">
        <f t="shared" si="11"/>
        <v>77.142005759804391</v>
      </c>
      <c r="O172" s="1184">
        <f t="shared" si="11"/>
        <v>77.142005759804391</v>
      </c>
      <c r="Q172" s="661"/>
    </row>
    <row r="173" spans="2:17" x14ac:dyDescent="0.3">
      <c r="B173" s="964" t="str">
        <f t="shared" si="12"/>
        <v>Incorporated</v>
      </c>
      <c r="C173" s="964">
        <f t="shared" si="10"/>
        <v>10</v>
      </c>
      <c r="D173" s="1268">
        <f t="shared" si="10"/>
        <v>68.88</v>
      </c>
      <c r="E173" s="665">
        <f t="shared" si="10"/>
        <v>70.52</v>
      </c>
      <c r="F173" s="1184">
        <f t="shared" si="11"/>
        <v>69.831658806449596</v>
      </c>
      <c r="G173" s="1184">
        <f t="shared" si="11"/>
        <v>74.157745592222739</v>
      </c>
      <c r="H173" s="1184">
        <f t="shared" si="11"/>
        <v>77.865555317826264</v>
      </c>
      <c r="I173" s="1184">
        <f t="shared" si="11"/>
        <v>81.758752389623609</v>
      </c>
      <c r="J173" s="1184">
        <f t="shared" si="11"/>
        <v>85.846606044364819</v>
      </c>
      <c r="K173" s="1184">
        <f t="shared" si="11"/>
        <v>85.846606044364847</v>
      </c>
      <c r="L173" s="1184">
        <f t="shared" si="11"/>
        <v>85.846606044364819</v>
      </c>
      <c r="M173" s="1184">
        <f t="shared" si="11"/>
        <v>85.846606044364819</v>
      </c>
      <c r="N173" s="1184">
        <f t="shared" si="11"/>
        <v>85.846606044364833</v>
      </c>
      <c r="O173" s="1184">
        <f t="shared" si="11"/>
        <v>85.846606044364819</v>
      </c>
    </row>
    <row r="174" spans="2:17" x14ac:dyDescent="0.3">
      <c r="B174" s="964" t="str">
        <f t="shared" si="12"/>
        <v>Incorporated</v>
      </c>
      <c r="C174" s="964">
        <f t="shared" si="10"/>
        <v>11</v>
      </c>
      <c r="D174" s="1268">
        <f t="shared" si="10"/>
        <v>76.11</v>
      </c>
      <c r="E174" s="665">
        <f t="shared" si="10"/>
        <v>77.949999999999989</v>
      </c>
      <c r="F174" s="1184">
        <f t="shared" si="11"/>
        <v>76.905107504873968</v>
      </c>
      <c r="G174" s="1184">
        <f t="shared" si="11"/>
        <v>81.677069861276408</v>
      </c>
      <c r="H174" s="1184">
        <f t="shared" si="11"/>
        <v>85.760858765801871</v>
      </c>
      <c r="I174" s="1184">
        <f t="shared" si="11"/>
        <v>90.048834510352251</v>
      </c>
      <c r="J174" s="1184">
        <f t="shared" si="11"/>
        <v>94.551206328925247</v>
      </c>
      <c r="K174" s="1184">
        <f t="shared" si="11"/>
        <v>94.551206328925275</v>
      </c>
      <c r="L174" s="1184">
        <f t="shared" si="11"/>
        <v>94.551206328925247</v>
      </c>
      <c r="M174" s="1184">
        <f t="shared" si="11"/>
        <v>94.551206328925247</v>
      </c>
      <c r="N174" s="1184">
        <f t="shared" si="11"/>
        <v>94.551206328925261</v>
      </c>
      <c r="O174" s="1184">
        <f t="shared" si="11"/>
        <v>94.551206328925247</v>
      </c>
    </row>
    <row r="175" spans="2:17" x14ac:dyDescent="0.3">
      <c r="B175" s="964" t="str">
        <f t="shared" si="12"/>
        <v>Incorporated</v>
      </c>
      <c r="C175" s="964">
        <f t="shared" si="10"/>
        <v>12</v>
      </c>
      <c r="D175" s="1268">
        <f t="shared" si="10"/>
        <v>83.34</v>
      </c>
      <c r="E175" s="665">
        <f t="shared" si="10"/>
        <v>85.38</v>
      </c>
      <c r="F175" s="1184">
        <f t="shared" si="11"/>
        <v>83.978556203298339</v>
      </c>
      <c r="G175" s="1184">
        <f t="shared" si="11"/>
        <v>89.196394130330091</v>
      </c>
      <c r="H175" s="1184">
        <f t="shared" si="11"/>
        <v>93.656162213777478</v>
      </c>
      <c r="I175" s="1184">
        <f t="shared" si="11"/>
        <v>98.338916631080892</v>
      </c>
      <c r="J175" s="1184">
        <f t="shared" si="11"/>
        <v>103.25580661348567</v>
      </c>
      <c r="K175" s="1184">
        <f t="shared" si="11"/>
        <v>103.2558066134857</v>
      </c>
      <c r="L175" s="1184">
        <f t="shared" si="11"/>
        <v>103.25580661348567</v>
      </c>
      <c r="M175" s="1184">
        <f t="shared" si="11"/>
        <v>103.25580661348567</v>
      </c>
      <c r="N175" s="1184">
        <f t="shared" si="11"/>
        <v>103.25580661348569</v>
      </c>
      <c r="O175" s="1184">
        <f t="shared" si="11"/>
        <v>103.25580661348567</v>
      </c>
    </row>
    <row r="176" spans="2:17" x14ac:dyDescent="0.3">
      <c r="B176" s="964" t="str">
        <f t="shared" si="12"/>
        <v>Incorporated</v>
      </c>
      <c r="C176" s="964">
        <f t="shared" si="10"/>
        <v>13</v>
      </c>
      <c r="D176" s="1268">
        <f t="shared" si="10"/>
        <v>90.57</v>
      </c>
      <c r="E176" s="665">
        <f t="shared" si="10"/>
        <v>92.81</v>
      </c>
      <c r="F176" s="1184">
        <f t="shared" si="11"/>
        <v>92.466694641407585</v>
      </c>
      <c r="G176" s="1184">
        <f t="shared" si="11"/>
        <v>98.2195832531945</v>
      </c>
      <c r="H176" s="1184">
        <f t="shared" si="11"/>
        <v>103.13052635134821</v>
      </c>
      <c r="I176" s="1184">
        <f t="shared" si="11"/>
        <v>108.28701517595526</v>
      </c>
      <c r="J176" s="1184">
        <f t="shared" si="11"/>
        <v>113.70132695495819</v>
      </c>
      <c r="K176" s="1184">
        <f t="shared" si="11"/>
        <v>113.70132695495822</v>
      </c>
      <c r="L176" s="1184">
        <f t="shared" si="11"/>
        <v>113.70132695495819</v>
      </c>
      <c r="M176" s="1184">
        <f t="shared" si="11"/>
        <v>113.70132695495819</v>
      </c>
      <c r="N176" s="1184">
        <f t="shared" si="11"/>
        <v>113.7013269549582</v>
      </c>
      <c r="O176" s="1184">
        <f t="shared" si="11"/>
        <v>113.70132695495819</v>
      </c>
    </row>
    <row r="177" spans="2:15" x14ac:dyDescent="0.3">
      <c r="B177" s="964" t="str">
        <f t="shared" si="12"/>
        <v>Incorporated</v>
      </c>
      <c r="C177" s="964">
        <f t="shared" si="10"/>
        <v>14</v>
      </c>
      <c r="D177" s="1268">
        <f t="shared" si="10"/>
        <v>97.800000000000011</v>
      </c>
      <c r="E177" s="665">
        <f t="shared" si="10"/>
        <v>100.24</v>
      </c>
      <c r="F177" s="1184">
        <f t="shared" si="11"/>
        <v>100.95483307951683</v>
      </c>
      <c r="G177" s="1184">
        <f t="shared" si="11"/>
        <v>107.24277237605889</v>
      </c>
      <c r="H177" s="1184">
        <f t="shared" si="11"/>
        <v>112.60489048891894</v>
      </c>
      <c r="I177" s="1184">
        <f t="shared" si="11"/>
        <v>118.23511372082963</v>
      </c>
      <c r="J177" s="1184">
        <f t="shared" si="11"/>
        <v>124.14684729643071</v>
      </c>
      <c r="K177" s="1184">
        <f t="shared" si="11"/>
        <v>124.14684729643074</v>
      </c>
      <c r="L177" s="1184">
        <f t="shared" si="11"/>
        <v>124.14684729643071</v>
      </c>
      <c r="M177" s="1184">
        <f t="shared" si="11"/>
        <v>124.14684729643071</v>
      </c>
      <c r="N177" s="1184">
        <f t="shared" si="11"/>
        <v>124.14684729643072</v>
      </c>
      <c r="O177" s="1184">
        <f t="shared" si="11"/>
        <v>124.14684729643071</v>
      </c>
    </row>
    <row r="178" spans="2:15" x14ac:dyDescent="0.3">
      <c r="B178" s="964" t="str">
        <f t="shared" si="12"/>
        <v>Incorporated</v>
      </c>
      <c r="C178" s="964">
        <f t="shared" si="10"/>
        <v>15</v>
      </c>
      <c r="D178" s="1268">
        <f t="shared" si="10"/>
        <v>105.03</v>
      </c>
      <c r="E178" s="665">
        <f t="shared" si="10"/>
        <v>107.66999999999999</v>
      </c>
      <c r="F178" s="1184">
        <f t="shared" si="11"/>
        <v>109.44297151762608</v>
      </c>
      <c r="G178" s="1184">
        <f t="shared" si="11"/>
        <v>116.2659614989233</v>
      </c>
      <c r="H178" s="1184">
        <f t="shared" si="11"/>
        <v>122.07925462648966</v>
      </c>
      <c r="I178" s="1184">
        <f t="shared" si="11"/>
        <v>128.18321226570399</v>
      </c>
      <c r="J178" s="1184">
        <f t="shared" si="11"/>
        <v>134.59236763790324</v>
      </c>
      <c r="K178" s="1184">
        <f t="shared" si="11"/>
        <v>134.59236763790327</v>
      </c>
      <c r="L178" s="1184">
        <f t="shared" si="11"/>
        <v>134.59236763790324</v>
      </c>
      <c r="M178" s="1184">
        <f t="shared" si="11"/>
        <v>134.59236763790324</v>
      </c>
      <c r="N178" s="1184">
        <f t="shared" si="11"/>
        <v>134.59236763790324</v>
      </c>
      <c r="O178" s="1184">
        <f t="shared" si="11"/>
        <v>134.59236763790324</v>
      </c>
    </row>
    <row r="179" spans="2:15" x14ac:dyDescent="0.3">
      <c r="B179" s="964" t="str">
        <f t="shared" si="12"/>
        <v>Incorporated</v>
      </c>
      <c r="C179" s="964">
        <f t="shared" si="10"/>
        <v>16</v>
      </c>
      <c r="D179" s="1268">
        <f t="shared" si="10"/>
        <v>112.25999999999999</v>
      </c>
      <c r="E179" s="665">
        <f t="shared" si="10"/>
        <v>115.1</v>
      </c>
      <c r="F179" s="1184">
        <f t="shared" si="11"/>
        <v>117.93110995573532</v>
      </c>
      <c r="G179" s="1184">
        <f t="shared" si="11"/>
        <v>125.2891506217877</v>
      </c>
      <c r="H179" s="1184">
        <f t="shared" si="11"/>
        <v>131.55361876406039</v>
      </c>
      <c r="I179" s="1184">
        <f t="shared" si="11"/>
        <v>138.13131081057836</v>
      </c>
      <c r="J179" s="1184">
        <f t="shared" si="11"/>
        <v>145.03788797937574</v>
      </c>
      <c r="K179" s="1184">
        <f t="shared" si="11"/>
        <v>145.03788797937577</v>
      </c>
      <c r="L179" s="1184">
        <f t="shared" si="11"/>
        <v>145.03788797937574</v>
      </c>
      <c r="M179" s="1184">
        <f t="shared" si="11"/>
        <v>145.03788797937574</v>
      </c>
      <c r="N179" s="1184">
        <f t="shared" si="11"/>
        <v>145.03788797937577</v>
      </c>
      <c r="O179" s="1184">
        <f t="shared" si="11"/>
        <v>145.03788797937574</v>
      </c>
    </row>
    <row r="180" spans="2:15" x14ac:dyDescent="0.3">
      <c r="B180" s="964" t="str">
        <f t="shared" si="12"/>
        <v>Incorporated</v>
      </c>
      <c r="C180" s="964">
        <f t="shared" si="10"/>
        <v>17</v>
      </c>
      <c r="D180" s="1268">
        <f t="shared" si="10"/>
        <v>119.49000000000001</v>
      </c>
      <c r="E180" s="665">
        <f t="shared" si="10"/>
        <v>122.53</v>
      </c>
      <c r="F180" s="1184">
        <f t="shared" si="11"/>
        <v>126.41924839384457</v>
      </c>
      <c r="G180" s="1184">
        <f t="shared" si="11"/>
        <v>134.31233974465212</v>
      </c>
      <c r="H180" s="1184">
        <f t="shared" si="11"/>
        <v>141.02798290163113</v>
      </c>
      <c r="I180" s="1184">
        <f t="shared" si="11"/>
        <v>148.07940935545273</v>
      </c>
      <c r="J180" s="1184">
        <f t="shared" si="11"/>
        <v>155.48340832084827</v>
      </c>
      <c r="K180" s="1184">
        <f t="shared" si="11"/>
        <v>155.4834083208483</v>
      </c>
      <c r="L180" s="1184">
        <f t="shared" si="11"/>
        <v>155.48340832084827</v>
      </c>
      <c r="M180" s="1184">
        <f t="shared" si="11"/>
        <v>155.48340832084827</v>
      </c>
      <c r="N180" s="1184">
        <f t="shared" si="11"/>
        <v>155.48340832084827</v>
      </c>
      <c r="O180" s="1184">
        <f t="shared" si="11"/>
        <v>155.48340832084827</v>
      </c>
    </row>
    <row r="181" spans="2:15" x14ac:dyDescent="0.3">
      <c r="B181" s="964" t="str">
        <f t="shared" si="12"/>
        <v>Incorporated</v>
      </c>
      <c r="C181" s="964">
        <f t="shared" si="10"/>
        <v>18</v>
      </c>
      <c r="D181" s="1268">
        <f t="shared" si="10"/>
        <v>126.72</v>
      </c>
      <c r="E181" s="665">
        <f t="shared" si="10"/>
        <v>129.96</v>
      </c>
      <c r="F181" s="1184">
        <f t="shared" si="11"/>
        <v>134.90738683195383</v>
      </c>
      <c r="G181" s="1184">
        <f t="shared" si="11"/>
        <v>143.33552886751653</v>
      </c>
      <c r="H181" s="1184">
        <f t="shared" si="11"/>
        <v>150.50234703920185</v>
      </c>
      <c r="I181" s="1184">
        <f t="shared" si="11"/>
        <v>158.02750790032709</v>
      </c>
      <c r="J181" s="1184">
        <f t="shared" si="11"/>
        <v>165.92892866232077</v>
      </c>
      <c r="K181" s="1184">
        <f t="shared" si="11"/>
        <v>165.92892866232083</v>
      </c>
      <c r="L181" s="1184">
        <f t="shared" si="11"/>
        <v>165.92892866232077</v>
      </c>
      <c r="M181" s="1184">
        <f t="shared" si="11"/>
        <v>165.92892866232077</v>
      </c>
      <c r="N181" s="1184">
        <f t="shared" si="11"/>
        <v>165.9289286623208</v>
      </c>
      <c r="O181" s="1184">
        <f t="shared" si="11"/>
        <v>165.92892866232077</v>
      </c>
    </row>
    <row r="182" spans="2:15" x14ac:dyDescent="0.3">
      <c r="B182" s="964" t="str">
        <f t="shared" si="12"/>
        <v>Incorporated</v>
      </c>
      <c r="C182" s="964">
        <f t="shared" si="10"/>
        <v>19</v>
      </c>
      <c r="D182" s="1268">
        <f t="shared" si="10"/>
        <v>135.34</v>
      </c>
      <c r="E182" s="665">
        <f t="shared" si="10"/>
        <v>138.81</v>
      </c>
      <c r="F182" s="1184">
        <f t="shared" si="11"/>
        <v>143.39552527006305</v>
      </c>
      <c r="G182" s="1184">
        <f t="shared" si="11"/>
        <v>152.35871799038094</v>
      </c>
      <c r="H182" s="1184">
        <f t="shared" si="11"/>
        <v>159.9767111767726</v>
      </c>
      <c r="I182" s="1184">
        <f t="shared" si="11"/>
        <v>167.97560644520146</v>
      </c>
      <c r="J182" s="1184">
        <f t="shared" si="11"/>
        <v>176.37444900379327</v>
      </c>
      <c r="K182" s="1184">
        <f t="shared" si="11"/>
        <v>176.37444900379333</v>
      </c>
      <c r="L182" s="1184">
        <f t="shared" si="11"/>
        <v>176.37444900379327</v>
      </c>
      <c r="M182" s="1184">
        <f t="shared" si="11"/>
        <v>176.37444900379327</v>
      </c>
      <c r="N182" s="1184">
        <f t="shared" si="11"/>
        <v>176.37444900379333</v>
      </c>
      <c r="O182" s="1184">
        <f t="shared" si="11"/>
        <v>176.37444900379327</v>
      </c>
    </row>
    <row r="183" spans="2:15" x14ac:dyDescent="0.3">
      <c r="B183" s="964" t="str">
        <f t="shared" si="12"/>
        <v>Incorporated</v>
      </c>
      <c r="C183" s="964">
        <f t="shared" si="10"/>
        <v>20</v>
      </c>
      <c r="D183" s="1268">
        <f t="shared" si="10"/>
        <v>143.96</v>
      </c>
      <c r="E183" s="665">
        <f t="shared" si="10"/>
        <v>147.66</v>
      </c>
      <c r="F183" s="1184">
        <f t="shared" si="11"/>
        <v>151.88366370817232</v>
      </c>
      <c r="G183" s="1184">
        <f t="shared" si="11"/>
        <v>161.38190711324532</v>
      </c>
      <c r="H183" s="1184">
        <f t="shared" si="11"/>
        <v>169.45107531434331</v>
      </c>
      <c r="I183" s="1184">
        <f t="shared" si="11"/>
        <v>177.92370499007583</v>
      </c>
      <c r="J183" s="1184">
        <f t="shared" si="11"/>
        <v>186.8199693452658</v>
      </c>
      <c r="K183" s="1184">
        <f t="shared" si="11"/>
        <v>186.81996934526586</v>
      </c>
      <c r="L183" s="1184">
        <f t="shared" si="11"/>
        <v>186.8199693452658</v>
      </c>
      <c r="M183" s="1184">
        <f t="shared" si="11"/>
        <v>186.8199693452658</v>
      </c>
      <c r="N183" s="1184">
        <f t="shared" si="11"/>
        <v>186.81996934526583</v>
      </c>
      <c r="O183" s="1184">
        <f t="shared" si="11"/>
        <v>186.8199693452658</v>
      </c>
    </row>
    <row r="184" spans="2:15" x14ac:dyDescent="0.3">
      <c r="B184" s="964" t="str">
        <f t="shared" si="12"/>
        <v>Incorporated</v>
      </c>
      <c r="C184" s="964">
        <f t="shared" si="10"/>
        <v>21</v>
      </c>
      <c r="D184" s="1268">
        <f t="shared" si="10"/>
        <v>152.57999999999998</v>
      </c>
      <c r="E184" s="665">
        <f t="shared" si="10"/>
        <v>156.51</v>
      </c>
      <c r="F184" s="1184">
        <f t="shared" si="11"/>
        <v>160.37180214628154</v>
      </c>
      <c r="G184" s="1184">
        <f t="shared" si="11"/>
        <v>170.40509623610976</v>
      </c>
      <c r="H184" s="1184">
        <f t="shared" si="11"/>
        <v>178.92543945191403</v>
      </c>
      <c r="I184" s="1184">
        <f t="shared" si="11"/>
        <v>187.8718035349502</v>
      </c>
      <c r="J184" s="1184">
        <f t="shared" si="11"/>
        <v>197.26548968673833</v>
      </c>
      <c r="K184" s="1184">
        <f t="shared" si="11"/>
        <v>197.26548968673839</v>
      </c>
      <c r="L184" s="1184">
        <f t="shared" si="11"/>
        <v>197.26548968673833</v>
      </c>
      <c r="M184" s="1184">
        <f t="shared" si="11"/>
        <v>197.26548968673833</v>
      </c>
      <c r="N184" s="1184">
        <f t="shared" si="11"/>
        <v>197.26548968673833</v>
      </c>
      <c r="O184" s="1184">
        <f t="shared" si="11"/>
        <v>197.26548968673833</v>
      </c>
    </row>
    <row r="185" spans="2:15" x14ac:dyDescent="0.3">
      <c r="B185" s="964" t="str">
        <f t="shared" si="12"/>
        <v>Incorporated</v>
      </c>
      <c r="C185" s="964">
        <f t="shared" si="10"/>
        <v>22</v>
      </c>
      <c r="D185" s="1268">
        <f t="shared" si="10"/>
        <v>161.19999999999999</v>
      </c>
      <c r="E185" s="665">
        <f t="shared" si="10"/>
        <v>165.36</v>
      </c>
      <c r="F185" s="1184">
        <f t="shared" si="11"/>
        <v>168.85994058439081</v>
      </c>
      <c r="G185" s="1184">
        <f t="shared" si="11"/>
        <v>179.42828535897414</v>
      </c>
      <c r="H185" s="1184">
        <f t="shared" si="11"/>
        <v>188.39980358948478</v>
      </c>
      <c r="I185" s="1184">
        <f t="shared" si="11"/>
        <v>197.81990207982457</v>
      </c>
      <c r="J185" s="1184">
        <f t="shared" si="11"/>
        <v>207.71101002821084</v>
      </c>
      <c r="K185" s="1184">
        <f t="shared" si="11"/>
        <v>207.71101002821089</v>
      </c>
      <c r="L185" s="1184">
        <f t="shared" si="11"/>
        <v>207.71101002821084</v>
      </c>
      <c r="M185" s="1184">
        <f t="shared" si="11"/>
        <v>207.71101002821084</v>
      </c>
      <c r="N185" s="1184">
        <f t="shared" si="11"/>
        <v>207.71101002821086</v>
      </c>
      <c r="O185" s="1184">
        <f t="shared" si="11"/>
        <v>207.71101002821084</v>
      </c>
    </row>
    <row r="186" spans="2:15" x14ac:dyDescent="0.3">
      <c r="B186" s="964" t="str">
        <f t="shared" si="12"/>
        <v>Incorporated</v>
      </c>
      <c r="C186" s="964">
        <f t="shared" si="10"/>
        <v>23</v>
      </c>
      <c r="D186" s="1268">
        <f t="shared" si="10"/>
        <v>169.82</v>
      </c>
      <c r="E186" s="665">
        <f t="shared" si="10"/>
        <v>174.21</v>
      </c>
      <c r="F186" s="1184">
        <f t="shared" si="11"/>
        <v>178.76276876218492</v>
      </c>
      <c r="G186" s="1184">
        <f t="shared" si="11"/>
        <v>189.95533933564928</v>
      </c>
      <c r="H186" s="1184">
        <f t="shared" si="11"/>
        <v>199.45322841665063</v>
      </c>
      <c r="I186" s="1184">
        <f t="shared" ref="G186:O201" si="13">IF($B186=$A$64,I$27+IF($C186&gt;$B$32,$B$30*I$29+($B$31-$B$30)*I$30+($B$32-$B$31)*I$31+($C186-$B$32)*I$32,IF($C186&gt;$B$31,$B$30*I$29+($B$31-$B$30)*I$30+($C186-$B$31)*I$31,IF($C186&gt;$B$30,$B$30*I$29+($C186-$B$30)*I$30,$C186*I$29))),I$35+IF($C186&gt;$B$40,$B$38*I$37+($B$39-$B$38)*I$38+($B$40-$B$39)*I$39+($C186-$B$40)*I$40,IF($C186&gt;$B$39,$B$38*I$37+($B$39-$B$38)*I$38+($C186-$B$39)*I$39,IF($C186&gt;$B$38,$B$38*I$37+($C186-$B$38)*I$38,$C186*I$37))))</f>
        <v>209.42601704884467</v>
      </c>
      <c r="J186" s="1184">
        <f t="shared" si="13"/>
        <v>219.89745042659544</v>
      </c>
      <c r="K186" s="1184">
        <f t="shared" si="13"/>
        <v>219.8974504265955</v>
      </c>
      <c r="L186" s="1184">
        <f t="shared" si="13"/>
        <v>219.89745042659544</v>
      </c>
      <c r="M186" s="1184">
        <f t="shared" si="13"/>
        <v>219.89745042659544</v>
      </c>
      <c r="N186" s="1184">
        <f t="shared" si="13"/>
        <v>219.89745042659547</v>
      </c>
      <c r="O186" s="1184">
        <f t="shared" si="13"/>
        <v>219.89745042659544</v>
      </c>
    </row>
    <row r="187" spans="2:15" x14ac:dyDescent="0.3">
      <c r="B187" s="964" t="str">
        <f t="shared" si="12"/>
        <v>Incorporated</v>
      </c>
      <c r="C187" s="964">
        <f t="shared" si="10"/>
        <v>24</v>
      </c>
      <c r="D187" s="1268">
        <f t="shared" si="10"/>
        <v>178.44</v>
      </c>
      <c r="E187" s="665">
        <f t="shared" si="10"/>
        <v>183.06</v>
      </c>
      <c r="F187" s="1184">
        <f t="shared" si="11"/>
        <v>188.66559693997905</v>
      </c>
      <c r="G187" s="1184">
        <f t="shared" si="13"/>
        <v>200.4823933123244</v>
      </c>
      <c r="H187" s="1184">
        <f t="shared" si="13"/>
        <v>210.50665324381649</v>
      </c>
      <c r="I187" s="1184">
        <f t="shared" si="13"/>
        <v>221.03213201786477</v>
      </c>
      <c r="J187" s="1184">
        <f t="shared" si="13"/>
        <v>232.08389082498005</v>
      </c>
      <c r="K187" s="1184">
        <f t="shared" si="13"/>
        <v>232.0838908249801</v>
      </c>
      <c r="L187" s="1184">
        <f t="shared" si="13"/>
        <v>232.08389082498005</v>
      </c>
      <c r="M187" s="1184">
        <f t="shared" si="13"/>
        <v>232.08389082498005</v>
      </c>
      <c r="N187" s="1184">
        <f t="shared" si="13"/>
        <v>232.08389082498007</v>
      </c>
      <c r="O187" s="1184">
        <f t="shared" si="13"/>
        <v>232.08389082498005</v>
      </c>
    </row>
    <row r="188" spans="2:15" x14ac:dyDescent="0.3">
      <c r="B188" s="964" t="str">
        <f t="shared" si="12"/>
        <v>Incorporated</v>
      </c>
      <c r="C188" s="964">
        <f t="shared" si="10"/>
        <v>25</v>
      </c>
      <c r="D188" s="1268">
        <f t="shared" si="10"/>
        <v>187.06</v>
      </c>
      <c r="E188" s="665">
        <f t="shared" si="10"/>
        <v>191.91</v>
      </c>
      <c r="F188" s="1184">
        <f t="shared" si="11"/>
        <v>198.56842511777319</v>
      </c>
      <c r="G188" s="1184">
        <f t="shared" si="13"/>
        <v>211.00944728899955</v>
      </c>
      <c r="H188" s="1184">
        <f t="shared" si="13"/>
        <v>221.56007807098234</v>
      </c>
      <c r="I188" s="1184">
        <f t="shared" si="13"/>
        <v>232.63824698688487</v>
      </c>
      <c r="J188" s="1184">
        <f t="shared" si="13"/>
        <v>244.27033122336465</v>
      </c>
      <c r="K188" s="1184">
        <f t="shared" si="13"/>
        <v>244.27033122336471</v>
      </c>
      <c r="L188" s="1184">
        <f t="shared" si="13"/>
        <v>244.27033122336465</v>
      </c>
      <c r="M188" s="1184">
        <f t="shared" si="13"/>
        <v>244.27033122336465</v>
      </c>
      <c r="N188" s="1184">
        <f t="shared" si="13"/>
        <v>244.27033122336468</v>
      </c>
      <c r="O188" s="1184">
        <f t="shared" si="13"/>
        <v>244.27033122336465</v>
      </c>
    </row>
    <row r="189" spans="2:15" x14ac:dyDescent="0.3">
      <c r="B189" s="964" t="str">
        <f t="shared" si="12"/>
        <v>Incorporated</v>
      </c>
      <c r="C189" s="964">
        <f t="shared" si="10"/>
        <v>26</v>
      </c>
      <c r="D189" s="1268">
        <f t="shared" si="10"/>
        <v>195.68</v>
      </c>
      <c r="E189" s="665">
        <f t="shared" si="10"/>
        <v>200.76</v>
      </c>
      <c r="F189" s="1184">
        <f t="shared" si="11"/>
        <v>208.47125329556729</v>
      </c>
      <c r="G189" s="1184">
        <f t="shared" si="13"/>
        <v>221.53650126567467</v>
      </c>
      <c r="H189" s="1184">
        <f t="shared" si="13"/>
        <v>232.61350289814817</v>
      </c>
      <c r="I189" s="1184">
        <f t="shared" si="13"/>
        <v>244.24436195590496</v>
      </c>
      <c r="J189" s="1184">
        <f t="shared" si="13"/>
        <v>256.45677162174923</v>
      </c>
      <c r="K189" s="1184">
        <f t="shared" si="13"/>
        <v>256.45677162174934</v>
      </c>
      <c r="L189" s="1184">
        <f t="shared" si="13"/>
        <v>256.45677162174923</v>
      </c>
      <c r="M189" s="1184">
        <f t="shared" si="13"/>
        <v>256.45677162174923</v>
      </c>
      <c r="N189" s="1184">
        <f t="shared" si="13"/>
        <v>256.45677162174928</v>
      </c>
      <c r="O189" s="1184">
        <f t="shared" si="13"/>
        <v>256.45677162174923</v>
      </c>
    </row>
    <row r="190" spans="2:15" x14ac:dyDescent="0.3">
      <c r="B190" s="964" t="str">
        <f t="shared" si="12"/>
        <v>Incorporated</v>
      </c>
      <c r="C190" s="964">
        <f t="shared" si="10"/>
        <v>27</v>
      </c>
      <c r="D190" s="1268">
        <f t="shared" si="10"/>
        <v>204.3</v>
      </c>
      <c r="E190" s="665">
        <f t="shared" si="10"/>
        <v>209.61</v>
      </c>
      <c r="F190" s="1184">
        <f t="shared" si="11"/>
        <v>218.3740814733614</v>
      </c>
      <c r="G190" s="1184">
        <f t="shared" si="13"/>
        <v>232.06355524234982</v>
      </c>
      <c r="H190" s="1184">
        <f t="shared" si="13"/>
        <v>243.66692772531403</v>
      </c>
      <c r="I190" s="1184">
        <f t="shared" si="13"/>
        <v>255.85047692492506</v>
      </c>
      <c r="J190" s="1184">
        <f t="shared" si="13"/>
        <v>268.64321202013389</v>
      </c>
      <c r="K190" s="1184">
        <f t="shared" si="13"/>
        <v>268.64321202013389</v>
      </c>
      <c r="L190" s="1184">
        <f t="shared" si="13"/>
        <v>268.64321202013389</v>
      </c>
      <c r="M190" s="1184">
        <f t="shared" si="13"/>
        <v>268.64321202013389</v>
      </c>
      <c r="N190" s="1184">
        <f t="shared" si="13"/>
        <v>268.64321202013389</v>
      </c>
      <c r="O190" s="1184">
        <f t="shared" si="13"/>
        <v>268.64321202013389</v>
      </c>
    </row>
    <row r="191" spans="2:15" x14ac:dyDescent="0.3">
      <c r="B191" s="964" t="str">
        <f t="shared" si="12"/>
        <v>Incorporated</v>
      </c>
      <c r="C191" s="964">
        <f t="shared" si="10"/>
        <v>28</v>
      </c>
      <c r="D191" s="1268">
        <f t="shared" si="10"/>
        <v>212.92</v>
      </c>
      <c r="E191" s="665">
        <f t="shared" si="10"/>
        <v>218.46</v>
      </c>
      <c r="F191" s="1184">
        <f t="shared" si="11"/>
        <v>228.27690965115553</v>
      </c>
      <c r="G191" s="1184">
        <f t="shared" si="13"/>
        <v>242.59060921902497</v>
      </c>
      <c r="H191" s="1184">
        <f t="shared" si="13"/>
        <v>254.72035255247988</v>
      </c>
      <c r="I191" s="1184">
        <f t="shared" si="13"/>
        <v>267.45659189394519</v>
      </c>
      <c r="J191" s="1184">
        <f t="shared" si="13"/>
        <v>280.82965241851844</v>
      </c>
      <c r="K191" s="1184">
        <f t="shared" si="13"/>
        <v>280.82965241851855</v>
      </c>
      <c r="L191" s="1184">
        <f t="shared" si="13"/>
        <v>280.82965241851844</v>
      </c>
      <c r="M191" s="1184">
        <f t="shared" si="13"/>
        <v>280.82965241851844</v>
      </c>
      <c r="N191" s="1184">
        <f t="shared" si="13"/>
        <v>280.82965241851844</v>
      </c>
      <c r="O191" s="1184">
        <f t="shared" si="13"/>
        <v>280.82965241851844</v>
      </c>
    </row>
    <row r="192" spans="2:15" x14ac:dyDescent="0.3">
      <c r="B192" s="964" t="str">
        <f t="shared" si="12"/>
        <v>Incorporated</v>
      </c>
      <c r="C192" s="964">
        <f t="shared" si="10"/>
        <v>29</v>
      </c>
      <c r="D192" s="1268">
        <f t="shared" si="10"/>
        <v>221.54</v>
      </c>
      <c r="E192" s="665">
        <f t="shared" si="10"/>
        <v>227.31</v>
      </c>
      <c r="F192" s="1184">
        <f t="shared" si="11"/>
        <v>238.17973782894967</v>
      </c>
      <c r="G192" s="1184">
        <f t="shared" si="13"/>
        <v>253.11766319570009</v>
      </c>
      <c r="H192" s="1184">
        <f t="shared" si="13"/>
        <v>265.77377737964571</v>
      </c>
      <c r="I192" s="1184">
        <f t="shared" si="13"/>
        <v>279.06270686296529</v>
      </c>
      <c r="J192" s="1184">
        <f t="shared" si="13"/>
        <v>293.0160928169031</v>
      </c>
      <c r="K192" s="1184">
        <f t="shared" si="13"/>
        <v>293.0160928169031</v>
      </c>
      <c r="L192" s="1184">
        <f t="shared" si="13"/>
        <v>293.01609281690298</v>
      </c>
      <c r="M192" s="1184">
        <f t="shared" si="13"/>
        <v>293.01609281690298</v>
      </c>
      <c r="N192" s="1184">
        <f t="shared" si="13"/>
        <v>293.0160928169031</v>
      </c>
      <c r="O192" s="1184">
        <f t="shared" si="13"/>
        <v>293.0160928169031</v>
      </c>
    </row>
    <row r="193" spans="2:15" x14ac:dyDescent="0.3">
      <c r="B193" s="964" t="str">
        <f t="shared" si="12"/>
        <v>Incorporated</v>
      </c>
      <c r="C193" s="964">
        <f t="shared" si="10"/>
        <v>30</v>
      </c>
      <c r="D193" s="1268">
        <f t="shared" si="10"/>
        <v>230.16</v>
      </c>
      <c r="E193" s="665">
        <f t="shared" si="10"/>
        <v>236.16</v>
      </c>
      <c r="F193" s="1184">
        <f t="shared" si="11"/>
        <v>248.08256600674378</v>
      </c>
      <c r="G193" s="1184">
        <f t="shared" si="13"/>
        <v>263.64471717237524</v>
      </c>
      <c r="H193" s="1184">
        <f t="shared" si="13"/>
        <v>276.82720220681159</v>
      </c>
      <c r="I193" s="1184">
        <f t="shared" si="13"/>
        <v>290.66882183198538</v>
      </c>
      <c r="J193" s="1184">
        <f t="shared" si="13"/>
        <v>305.20253321528764</v>
      </c>
      <c r="K193" s="1184">
        <f t="shared" si="13"/>
        <v>305.20253321528776</v>
      </c>
      <c r="L193" s="1184">
        <f t="shared" si="13"/>
        <v>305.20253321528764</v>
      </c>
      <c r="M193" s="1184">
        <f t="shared" si="13"/>
        <v>305.20253321528764</v>
      </c>
      <c r="N193" s="1184">
        <f t="shared" si="13"/>
        <v>305.20253321528764</v>
      </c>
      <c r="O193" s="1184">
        <f t="shared" si="13"/>
        <v>305.20253321528764</v>
      </c>
    </row>
    <row r="194" spans="2:15" x14ac:dyDescent="0.3">
      <c r="B194" s="964" t="str">
        <f t="shared" si="12"/>
        <v>Incorporated</v>
      </c>
      <c r="C194" s="964">
        <f t="shared" si="10"/>
        <v>31</v>
      </c>
      <c r="D194" s="1268">
        <f t="shared" si="10"/>
        <v>238.77999999999997</v>
      </c>
      <c r="E194" s="665">
        <f t="shared" si="10"/>
        <v>245.01</v>
      </c>
      <c r="F194" s="1184">
        <f t="shared" si="11"/>
        <v>257.98539418453788</v>
      </c>
      <c r="G194" s="1184">
        <f t="shared" si="13"/>
        <v>274.17177114905036</v>
      </c>
      <c r="H194" s="1184">
        <f t="shared" si="13"/>
        <v>287.88062703397742</v>
      </c>
      <c r="I194" s="1184">
        <f t="shared" si="13"/>
        <v>302.27493680100548</v>
      </c>
      <c r="J194" s="1184">
        <f t="shared" si="13"/>
        <v>317.38897361367231</v>
      </c>
      <c r="K194" s="1184">
        <f t="shared" si="13"/>
        <v>317.38897361367231</v>
      </c>
      <c r="L194" s="1184">
        <f t="shared" si="13"/>
        <v>317.38897361367219</v>
      </c>
      <c r="M194" s="1184">
        <f t="shared" si="13"/>
        <v>317.38897361367219</v>
      </c>
      <c r="N194" s="1184">
        <f t="shared" si="13"/>
        <v>317.38897361367231</v>
      </c>
      <c r="O194" s="1184">
        <f t="shared" si="13"/>
        <v>317.38897361367231</v>
      </c>
    </row>
    <row r="195" spans="2:15" x14ac:dyDescent="0.3">
      <c r="B195" s="964" t="str">
        <f t="shared" si="12"/>
        <v>Incorporated</v>
      </c>
      <c r="C195" s="964">
        <f t="shared" si="10"/>
        <v>32</v>
      </c>
      <c r="D195" s="1268">
        <f t="shared" si="10"/>
        <v>247.39999999999998</v>
      </c>
      <c r="E195" s="665">
        <f t="shared" si="10"/>
        <v>253.86</v>
      </c>
      <c r="F195" s="1184">
        <f t="shared" si="11"/>
        <v>267.88822236233204</v>
      </c>
      <c r="G195" s="1184">
        <f t="shared" si="13"/>
        <v>284.69882512572548</v>
      </c>
      <c r="H195" s="1184">
        <f t="shared" si="13"/>
        <v>298.9340518611433</v>
      </c>
      <c r="I195" s="1184">
        <f t="shared" si="13"/>
        <v>313.88105177002558</v>
      </c>
      <c r="J195" s="1184">
        <f t="shared" si="13"/>
        <v>329.57541401205685</v>
      </c>
      <c r="K195" s="1184">
        <f t="shared" si="13"/>
        <v>329.57541401205697</v>
      </c>
      <c r="L195" s="1184">
        <f t="shared" si="13"/>
        <v>329.57541401205685</v>
      </c>
      <c r="M195" s="1184">
        <f t="shared" si="13"/>
        <v>329.57541401205685</v>
      </c>
      <c r="N195" s="1184">
        <f t="shared" si="13"/>
        <v>329.57541401205685</v>
      </c>
      <c r="O195" s="1184">
        <f t="shared" si="13"/>
        <v>329.57541401205685</v>
      </c>
    </row>
    <row r="196" spans="2:15" x14ac:dyDescent="0.3">
      <c r="B196" s="964" t="str">
        <f t="shared" si="12"/>
        <v>Incorporated</v>
      </c>
      <c r="C196" s="964">
        <f t="shared" si="10"/>
        <v>33</v>
      </c>
      <c r="D196" s="1268">
        <f t="shared" si="10"/>
        <v>256.02</v>
      </c>
      <c r="E196" s="665">
        <f t="shared" si="10"/>
        <v>262.71000000000004</v>
      </c>
      <c r="F196" s="1184">
        <f t="shared" si="11"/>
        <v>277.79105054012615</v>
      </c>
      <c r="G196" s="1184">
        <f t="shared" si="13"/>
        <v>295.22587910240065</v>
      </c>
      <c r="H196" s="1184">
        <f t="shared" si="13"/>
        <v>309.98747668830913</v>
      </c>
      <c r="I196" s="1184">
        <f t="shared" si="13"/>
        <v>325.48716673904568</v>
      </c>
      <c r="J196" s="1184">
        <f t="shared" si="13"/>
        <v>341.7618544104414</v>
      </c>
      <c r="K196" s="1184">
        <f t="shared" si="13"/>
        <v>341.76185441044152</v>
      </c>
      <c r="L196" s="1184">
        <f t="shared" si="13"/>
        <v>341.7618544104414</v>
      </c>
      <c r="M196" s="1184">
        <f t="shared" si="13"/>
        <v>341.7618544104414</v>
      </c>
      <c r="N196" s="1184">
        <f t="shared" si="13"/>
        <v>341.76185441044152</v>
      </c>
      <c r="O196" s="1184">
        <f t="shared" si="13"/>
        <v>341.7618544104414</v>
      </c>
    </row>
    <row r="197" spans="2:15" x14ac:dyDescent="0.3">
      <c r="B197" s="964" t="str">
        <f t="shared" si="12"/>
        <v>Incorporated</v>
      </c>
      <c r="C197" s="964">
        <f t="shared" si="10"/>
        <v>34</v>
      </c>
      <c r="D197" s="1268">
        <f t="shared" si="10"/>
        <v>264.64</v>
      </c>
      <c r="E197" s="665">
        <f t="shared" si="10"/>
        <v>271.56</v>
      </c>
      <c r="F197" s="1184">
        <f t="shared" si="11"/>
        <v>287.69387871792026</v>
      </c>
      <c r="G197" s="1184">
        <f t="shared" si="13"/>
        <v>305.75293307907577</v>
      </c>
      <c r="H197" s="1184">
        <f t="shared" si="13"/>
        <v>321.04090151547496</v>
      </c>
      <c r="I197" s="1184">
        <f t="shared" si="13"/>
        <v>337.09328170806577</v>
      </c>
      <c r="J197" s="1184">
        <f t="shared" si="13"/>
        <v>353.94829480882606</v>
      </c>
      <c r="K197" s="1184">
        <f t="shared" si="13"/>
        <v>353.94829480882618</v>
      </c>
      <c r="L197" s="1184">
        <f t="shared" si="13"/>
        <v>353.94829480882606</v>
      </c>
      <c r="M197" s="1184">
        <f t="shared" si="13"/>
        <v>353.94829480882606</v>
      </c>
      <c r="N197" s="1184">
        <f t="shared" si="13"/>
        <v>353.94829480882606</v>
      </c>
      <c r="O197" s="1184">
        <f t="shared" si="13"/>
        <v>353.94829480882606</v>
      </c>
    </row>
    <row r="198" spans="2:15" x14ac:dyDescent="0.3">
      <c r="B198" s="964" t="str">
        <f t="shared" si="12"/>
        <v>Incorporated</v>
      </c>
      <c r="C198" s="964">
        <f t="shared" si="10"/>
        <v>35</v>
      </c>
      <c r="D198" s="1268">
        <f t="shared" si="10"/>
        <v>273.26</v>
      </c>
      <c r="E198" s="665">
        <f t="shared" si="10"/>
        <v>280.40999999999997</v>
      </c>
      <c r="F198" s="1184">
        <f t="shared" si="11"/>
        <v>297.59670689571436</v>
      </c>
      <c r="G198" s="1184">
        <f t="shared" si="13"/>
        <v>316.27998705575089</v>
      </c>
      <c r="H198" s="1184">
        <f t="shared" si="13"/>
        <v>332.09432634264084</v>
      </c>
      <c r="I198" s="1184">
        <f t="shared" si="13"/>
        <v>348.69939667708587</v>
      </c>
      <c r="J198" s="1184">
        <f t="shared" si="13"/>
        <v>366.13473520721061</v>
      </c>
      <c r="K198" s="1184">
        <f t="shared" si="13"/>
        <v>366.13473520721072</v>
      </c>
      <c r="L198" s="1184">
        <f t="shared" si="13"/>
        <v>366.13473520721061</v>
      </c>
      <c r="M198" s="1184">
        <f t="shared" si="13"/>
        <v>366.13473520721061</v>
      </c>
      <c r="N198" s="1184">
        <f t="shared" si="13"/>
        <v>366.13473520721072</v>
      </c>
      <c r="O198" s="1184">
        <f t="shared" si="13"/>
        <v>366.13473520721061</v>
      </c>
    </row>
    <row r="199" spans="2:15" x14ac:dyDescent="0.3">
      <c r="B199" s="964" t="str">
        <f t="shared" si="12"/>
        <v>Incorporated</v>
      </c>
      <c r="C199" s="964">
        <f t="shared" si="10"/>
        <v>36</v>
      </c>
      <c r="D199" s="1268">
        <f t="shared" si="10"/>
        <v>281.88</v>
      </c>
      <c r="E199" s="665">
        <f t="shared" si="10"/>
        <v>289.26</v>
      </c>
      <c r="F199" s="1184">
        <f t="shared" si="11"/>
        <v>307.49953507350847</v>
      </c>
      <c r="G199" s="1184">
        <f t="shared" si="13"/>
        <v>326.80704103242601</v>
      </c>
      <c r="H199" s="1184">
        <f t="shared" si="13"/>
        <v>343.14775116980667</v>
      </c>
      <c r="I199" s="1184">
        <f t="shared" si="13"/>
        <v>360.30551164610597</v>
      </c>
      <c r="J199" s="1184">
        <f t="shared" si="13"/>
        <v>378.32117560559527</v>
      </c>
      <c r="K199" s="1184">
        <f t="shared" si="13"/>
        <v>378.32117560559539</v>
      </c>
      <c r="L199" s="1184">
        <f t="shared" si="13"/>
        <v>378.32117560559527</v>
      </c>
      <c r="M199" s="1184">
        <f t="shared" si="13"/>
        <v>378.32117560559527</v>
      </c>
      <c r="N199" s="1184">
        <f t="shared" si="13"/>
        <v>378.32117560559527</v>
      </c>
      <c r="O199" s="1184">
        <f t="shared" si="13"/>
        <v>378.32117560559527</v>
      </c>
    </row>
    <row r="200" spans="2:15" x14ac:dyDescent="0.3">
      <c r="B200" s="964" t="str">
        <f t="shared" si="12"/>
        <v>Incorporated</v>
      </c>
      <c r="C200" s="964">
        <f t="shared" si="10"/>
        <v>37</v>
      </c>
      <c r="D200" s="1268">
        <f t="shared" si="10"/>
        <v>290.5</v>
      </c>
      <c r="E200" s="665">
        <f t="shared" si="10"/>
        <v>298.11</v>
      </c>
      <c r="F200" s="1184">
        <f t="shared" si="11"/>
        <v>317.40236325130263</v>
      </c>
      <c r="G200" s="1184">
        <f t="shared" si="13"/>
        <v>337.33409500910113</v>
      </c>
      <c r="H200" s="1184">
        <f t="shared" si="13"/>
        <v>354.20117599697255</v>
      </c>
      <c r="I200" s="1184">
        <f t="shared" si="13"/>
        <v>371.91162661512607</v>
      </c>
      <c r="J200" s="1184">
        <f t="shared" si="13"/>
        <v>390.50761600397982</v>
      </c>
      <c r="K200" s="1184">
        <f t="shared" si="13"/>
        <v>390.50761600397993</v>
      </c>
      <c r="L200" s="1184">
        <f t="shared" si="13"/>
        <v>390.50761600397982</v>
      </c>
      <c r="M200" s="1184">
        <f t="shared" si="13"/>
        <v>390.50761600397982</v>
      </c>
      <c r="N200" s="1184">
        <f t="shared" si="13"/>
        <v>390.50761600397993</v>
      </c>
      <c r="O200" s="1184">
        <f t="shared" si="13"/>
        <v>390.50761600397982</v>
      </c>
    </row>
    <row r="201" spans="2:15" x14ac:dyDescent="0.3">
      <c r="B201" s="964" t="str">
        <f t="shared" si="12"/>
        <v>Incorporated</v>
      </c>
      <c r="C201" s="964">
        <f t="shared" si="10"/>
        <v>38</v>
      </c>
      <c r="D201" s="1268">
        <f t="shared" si="10"/>
        <v>299.12</v>
      </c>
      <c r="E201" s="665">
        <f t="shared" si="10"/>
        <v>306.96000000000004</v>
      </c>
      <c r="F201" s="1184">
        <f t="shared" si="11"/>
        <v>327.30519142909674</v>
      </c>
      <c r="G201" s="1184">
        <f t="shared" si="13"/>
        <v>347.86114898577631</v>
      </c>
      <c r="H201" s="1184">
        <f t="shared" si="13"/>
        <v>365.25460082413838</v>
      </c>
      <c r="I201" s="1184">
        <f t="shared" si="13"/>
        <v>383.51774158414617</v>
      </c>
      <c r="J201" s="1184">
        <f t="shared" si="13"/>
        <v>402.69405640236448</v>
      </c>
      <c r="K201" s="1184">
        <f t="shared" si="13"/>
        <v>402.69405640236459</v>
      </c>
      <c r="L201" s="1184">
        <f t="shared" si="13"/>
        <v>402.69405640236448</v>
      </c>
      <c r="M201" s="1184">
        <f t="shared" si="13"/>
        <v>402.69405640236448</v>
      </c>
      <c r="N201" s="1184">
        <f t="shared" si="13"/>
        <v>402.69405640236448</v>
      </c>
      <c r="O201" s="1184">
        <f t="shared" si="13"/>
        <v>402.69405640236448</v>
      </c>
    </row>
    <row r="202" spans="2:15" x14ac:dyDescent="0.3">
      <c r="B202" s="964" t="str">
        <f t="shared" si="12"/>
        <v>Incorporated</v>
      </c>
      <c r="C202" s="964">
        <f t="shared" si="10"/>
        <v>39</v>
      </c>
      <c r="D202" s="1268">
        <f t="shared" si="10"/>
        <v>307.74</v>
      </c>
      <c r="E202" s="665">
        <f t="shared" si="10"/>
        <v>315.81</v>
      </c>
      <c r="F202" s="1184">
        <f t="shared" si="11"/>
        <v>337.20801960689084</v>
      </c>
      <c r="G202" s="1184">
        <f t="shared" ref="G202:O217" si="14">IF($B202=$A$64,G$27+IF($C202&gt;$B$32,$B$30*G$29+($B$31-$B$30)*G$30+($B$32-$B$31)*G$31+($C202-$B$32)*G$32,IF($C202&gt;$B$31,$B$30*G$29+($B$31-$B$30)*G$30+($C202-$B$31)*G$31,IF($C202&gt;$B$30,$B$30*G$29+($C202-$B$30)*G$30,$C202*G$29))),G$35+IF($C202&gt;$B$40,$B$38*G$37+($B$39-$B$38)*G$38+($B$40-$B$39)*G$39+($C202-$B$40)*G$40,IF($C202&gt;$B$39,$B$38*G$37+($B$39-$B$38)*G$38+($C202-$B$39)*G$39,IF($C202&gt;$B$38,$B$38*G$37+($C202-$B$38)*G$38,$C202*G$37))))</f>
        <v>358.38820296245149</v>
      </c>
      <c r="H202" s="1184">
        <f t="shared" si="14"/>
        <v>376.30802565130421</v>
      </c>
      <c r="I202" s="1184">
        <f t="shared" si="14"/>
        <v>395.12385655316626</v>
      </c>
      <c r="J202" s="1184">
        <f t="shared" si="14"/>
        <v>414.88049680074903</v>
      </c>
      <c r="K202" s="1184">
        <f t="shared" si="14"/>
        <v>414.88049680074914</v>
      </c>
      <c r="L202" s="1184">
        <f t="shared" si="14"/>
        <v>414.88049680074903</v>
      </c>
      <c r="M202" s="1184">
        <f t="shared" si="14"/>
        <v>414.88049680074903</v>
      </c>
      <c r="N202" s="1184">
        <f t="shared" si="14"/>
        <v>414.88049680074914</v>
      </c>
      <c r="O202" s="1184">
        <f t="shared" si="14"/>
        <v>414.88049680074903</v>
      </c>
    </row>
    <row r="203" spans="2:15" x14ac:dyDescent="0.3">
      <c r="B203" s="964" t="str">
        <f t="shared" si="12"/>
        <v>Incorporated</v>
      </c>
      <c r="C203" s="964">
        <f t="shared" si="10"/>
        <v>40</v>
      </c>
      <c r="D203" s="1268">
        <f t="shared" si="10"/>
        <v>316.36</v>
      </c>
      <c r="E203" s="665">
        <f t="shared" si="10"/>
        <v>324.65999999999997</v>
      </c>
      <c r="F203" s="1184">
        <f t="shared" si="11"/>
        <v>347.11084778468501</v>
      </c>
      <c r="G203" s="1184">
        <f t="shared" si="14"/>
        <v>368.91525693912661</v>
      </c>
      <c r="H203" s="1184">
        <f t="shared" si="14"/>
        <v>387.36145047847009</v>
      </c>
      <c r="I203" s="1184">
        <f t="shared" si="14"/>
        <v>406.72997152218636</v>
      </c>
      <c r="J203" s="1184">
        <f t="shared" si="14"/>
        <v>427.06693719913369</v>
      </c>
      <c r="K203" s="1184">
        <f t="shared" si="14"/>
        <v>427.0669371991338</v>
      </c>
      <c r="L203" s="1184">
        <f t="shared" si="14"/>
        <v>427.06693719913369</v>
      </c>
      <c r="M203" s="1184">
        <f t="shared" si="14"/>
        <v>427.06693719913369</v>
      </c>
      <c r="N203" s="1184">
        <f t="shared" si="14"/>
        <v>427.06693719913369</v>
      </c>
      <c r="O203" s="1184">
        <f t="shared" si="14"/>
        <v>427.06693719913369</v>
      </c>
    </row>
    <row r="204" spans="2:15" x14ac:dyDescent="0.3">
      <c r="B204" s="964" t="str">
        <f t="shared" si="12"/>
        <v>Incorporated</v>
      </c>
      <c r="C204" s="964">
        <f t="shared" si="10"/>
        <v>41</v>
      </c>
      <c r="D204" s="1268">
        <f t="shared" si="10"/>
        <v>324.98</v>
      </c>
      <c r="E204" s="665">
        <f t="shared" si="10"/>
        <v>333.51</v>
      </c>
      <c r="F204" s="1184">
        <f t="shared" si="11"/>
        <v>357.01367596247911</v>
      </c>
      <c r="G204" s="1184">
        <f t="shared" si="14"/>
        <v>379.44231091580173</v>
      </c>
      <c r="H204" s="1184">
        <f t="shared" si="14"/>
        <v>398.41487530563592</v>
      </c>
      <c r="I204" s="1184">
        <f t="shared" si="14"/>
        <v>418.33608649120646</v>
      </c>
      <c r="J204" s="1184">
        <f t="shared" si="14"/>
        <v>439.25337759751824</v>
      </c>
      <c r="K204" s="1184">
        <f t="shared" si="14"/>
        <v>439.25337759751835</v>
      </c>
      <c r="L204" s="1184">
        <f t="shared" si="14"/>
        <v>439.25337759751824</v>
      </c>
      <c r="M204" s="1184">
        <f t="shared" si="14"/>
        <v>439.25337759751824</v>
      </c>
      <c r="N204" s="1184">
        <f t="shared" si="14"/>
        <v>439.25337759751835</v>
      </c>
      <c r="O204" s="1184">
        <f t="shared" si="14"/>
        <v>439.25337759751824</v>
      </c>
    </row>
    <row r="205" spans="2:15" x14ac:dyDescent="0.3">
      <c r="B205" s="964" t="str">
        <f t="shared" si="12"/>
        <v>Incorporated</v>
      </c>
      <c r="C205" s="964">
        <f t="shared" si="10"/>
        <v>42</v>
      </c>
      <c r="D205" s="1268">
        <f t="shared" si="10"/>
        <v>333.6</v>
      </c>
      <c r="E205" s="665">
        <f t="shared" si="10"/>
        <v>342.36</v>
      </c>
      <c r="F205" s="1184">
        <f t="shared" si="11"/>
        <v>366.91650414027322</v>
      </c>
      <c r="G205" s="1184">
        <f t="shared" si="14"/>
        <v>389.96936489247685</v>
      </c>
      <c r="H205" s="1184">
        <f t="shared" si="14"/>
        <v>409.4683001328018</v>
      </c>
      <c r="I205" s="1184">
        <f t="shared" si="14"/>
        <v>429.94220146022656</v>
      </c>
      <c r="J205" s="1184">
        <f t="shared" si="14"/>
        <v>451.4398179959029</v>
      </c>
      <c r="K205" s="1184">
        <f t="shared" si="14"/>
        <v>451.43981799590301</v>
      </c>
      <c r="L205" s="1184">
        <f t="shared" si="14"/>
        <v>451.4398179959029</v>
      </c>
      <c r="M205" s="1184">
        <f t="shared" si="14"/>
        <v>451.4398179959029</v>
      </c>
      <c r="N205" s="1184">
        <f t="shared" si="14"/>
        <v>451.4398179959029</v>
      </c>
      <c r="O205" s="1184">
        <f t="shared" si="14"/>
        <v>451.4398179959029</v>
      </c>
    </row>
    <row r="206" spans="2:15" x14ac:dyDescent="0.3">
      <c r="B206" s="964" t="str">
        <f t="shared" si="12"/>
        <v>Incorporated</v>
      </c>
      <c r="C206" s="964">
        <f t="shared" si="10"/>
        <v>43</v>
      </c>
      <c r="D206" s="1268">
        <f t="shared" si="10"/>
        <v>342.21999999999997</v>
      </c>
      <c r="E206" s="665">
        <f t="shared" si="10"/>
        <v>351.21000000000004</v>
      </c>
      <c r="F206" s="1184">
        <f t="shared" si="11"/>
        <v>376.81933231806732</v>
      </c>
      <c r="G206" s="1184">
        <f t="shared" si="14"/>
        <v>400.49641886915197</v>
      </c>
      <c r="H206" s="1184">
        <f t="shared" si="14"/>
        <v>420.52172495996763</v>
      </c>
      <c r="I206" s="1184">
        <f t="shared" si="14"/>
        <v>441.54831642924665</v>
      </c>
      <c r="J206" s="1184">
        <f t="shared" si="14"/>
        <v>463.62625839428745</v>
      </c>
      <c r="K206" s="1184">
        <f t="shared" si="14"/>
        <v>463.62625839428756</v>
      </c>
      <c r="L206" s="1184">
        <f t="shared" si="14"/>
        <v>463.62625839428745</v>
      </c>
      <c r="M206" s="1184">
        <f t="shared" si="14"/>
        <v>463.62625839428745</v>
      </c>
      <c r="N206" s="1184">
        <f t="shared" si="14"/>
        <v>463.62625839428756</v>
      </c>
      <c r="O206" s="1184">
        <f t="shared" si="14"/>
        <v>463.62625839428745</v>
      </c>
    </row>
    <row r="207" spans="2:15" x14ac:dyDescent="0.3">
      <c r="B207" s="964" t="str">
        <f t="shared" si="12"/>
        <v>Incorporated</v>
      </c>
      <c r="C207" s="964">
        <f t="shared" si="10"/>
        <v>44</v>
      </c>
      <c r="D207" s="1268">
        <f t="shared" si="10"/>
        <v>350.84</v>
      </c>
      <c r="E207" s="665">
        <f t="shared" si="10"/>
        <v>360.06</v>
      </c>
      <c r="F207" s="1184">
        <f t="shared" si="11"/>
        <v>386.72216049586143</v>
      </c>
      <c r="G207" s="1184">
        <f t="shared" si="14"/>
        <v>411.02347284582714</v>
      </c>
      <c r="H207" s="1184">
        <f t="shared" si="14"/>
        <v>431.57514978713345</v>
      </c>
      <c r="I207" s="1184">
        <f t="shared" si="14"/>
        <v>453.15443139826675</v>
      </c>
      <c r="J207" s="1184">
        <f t="shared" si="14"/>
        <v>475.81269879267211</v>
      </c>
      <c r="K207" s="1184">
        <f t="shared" si="14"/>
        <v>475.81269879267222</v>
      </c>
      <c r="L207" s="1184">
        <f t="shared" si="14"/>
        <v>475.81269879267211</v>
      </c>
      <c r="M207" s="1184">
        <f t="shared" si="14"/>
        <v>475.81269879267211</v>
      </c>
      <c r="N207" s="1184">
        <f t="shared" si="14"/>
        <v>475.81269879267211</v>
      </c>
      <c r="O207" s="1184">
        <f t="shared" si="14"/>
        <v>475.81269879267211</v>
      </c>
    </row>
    <row r="208" spans="2:15" x14ac:dyDescent="0.3">
      <c r="B208" s="964" t="str">
        <f t="shared" si="12"/>
        <v>Incorporated</v>
      </c>
      <c r="C208" s="964">
        <f t="shared" si="10"/>
        <v>45</v>
      </c>
      <c r="D208" s="1268">
        <f t="shared" si="10"/>
        <v>359.46</v>
      </c>
      <c r="E208" s="665">
        <f t="shared" si="10"/>
        <v>368.90999999999997</v>
      </c>
      <c r="F208" s="1184">
        <f t="shared" si="11"/>
        <v>396.62498867365559</v>
      </c>
      <c r="G208" s="1184">
        <f t="shared" si="14"/>
        <v>421.55052682250226</v>
      </c>
      <c r="H208" s="1184">
        <f t="shared" si="14"/>
        <v>442.62857461429934</v>
      </c>
      <c r="I208" s="1184">
        <f t="shared" si="14"/>
        <v>464.76054636728685</v>
      </c>
      <c r="J208" s="1184">
        <f t="shared" si="14"/>
        <v>487.99913919105666</v>
      </c>
      <c r="K208" s="1184">
        <f t="shared" si="14"/>
        <v>487.99913919105688</v>
      </c>
      <c r="L208" s="1184">
        <f t="shared" si="14"/>
        <v>487.99913919105666</v>
      </c>
      <c r="M208" s="1184">
        <f t="shared" si="14"/>
        <v>487.99913919105666</v>
      </c>
      <c r="N208" s="1184">
        <f t="shared" si="14"/>
        <v>487.99913919105677</v>
      </c>
      <c r="O208" s="1184">
        <f t="shared" si="14"/>
        <v>487.99913919105666</v>
      </c>
    </row>
    <row r="209" spans="2:15" x14ac:dyDescent="0.3">
      <c r="B209" s="964" t="str">
        <f t="shared" si="12"/>
        <v>Incorporated</v>
      </c>
      <c r="C209" s="964">
        <f t="shared" si="10"/>
        <v>46</v>
      </c>
      <c r="D209" s="1268">
        <f t="shared" si="10"/>
        <v>368.08</v>
      </c>
      <c r="E209" s="665">
        <f t="shared" si="10"/>
        <v>377.76</v>
      </c>
      <c r="F209" s="1184">
        <f t="shared" si="11"/>
        <v>406.5278168514497</v>
      </c>
      <c r="G209" s="1184">
        <f t="shared" si="14"/>
        <v>432.07758079917744</v>
      </c>
      <c r="H209" s="1184">
        <f t="shared" si="14"/>
        <v>453.68199944146522</v>
      </c>
      <c r="I209" s="1184">
        <f t="shared" si="14"/>
        <v>476.36666133630695</v>
      </c>
      <c r="J209" s="1184">
        <f t="shared" si="14"/>
        <v>500.18557958944132</v>
      </c>
      <c r="K209" s="1184">
        <f t="shared" si="14"/>
        <v>500.18557958944143</v>
      </c>
      <c r="L209" s="1184">
        <f t="shared" si="14"/>
        <v>500.1855795894412</v>
      </c>
      <c r="M209" s="1184">
        <f t="shared" si="14"/>
        <v>500.1855795894412</v>
      </c>
      <c r="N209" s="1184">
        <f t="shared" si="14"/>
        <v>500.18557958944132</v>
      </c>
      <c r="O209" s="1184">
        <f t="shared" si="14"/>
        <v>500.18557958944132</v>
      </c>
    </row>
    <row r="210" spans="2:15" x14ac:dyDescent="0.3">
      <c r="B210" s="964" t="str">
        <f t="shared" si="12"/>
        <v>Incorporated</v>
      </c>
      <c r="C210" s="964">
        <f t="shared" si="10"/>
        <v>47</v>
      </c>
      <c r="D210" s="1268">
        <f t="shared" si="10"/>
        <v>376.7</v>
      </c>
      <c r="E210" s="665">
        <f t="shared" si="10"/>
        <v>386.61</v>
      </c>
      <c r="F210" s="1184">
        <f t="shared" si="11"/>
        <v>416.43064502924381</v>
      </c>
      <c r="G210" s="1184">
        <f t="shared" si="14"/>
        <v>442.60463477585256</v>
      </c>
      <c r="H210" s="1184">
        <f t="shared" si="14"/>
        <v>464.73542426863105</v>
      </c>
      <c r="I210" s="1184">
        <f t="shared" si="14"/>
        <v>487.97277630532705</v>
      </c>
      <c r="J210" s="1184">
        <f t="shared" si="14"/>
        <v>512.37201998782587</v>
      </c>
      <c r="K210" s="1184">
        <f t="shared" si="14"/>
        <v>512.37201998782609</v>
      </c>
      <c r="L210" s="1184">
        <f t="shared" si="14"/>
        <v>512.37201998782587</v>
      </c>
      <c r="M210" s="1184">
        <f t="shared" si="14"/>
        <v>512.37201998782587</v>
      </c>
      <c r="N210" s="1184">
        <f t="shared" si="14"/>
        <v>512.37201998782598</v>
      </c>
      <c r="O210" s="1184">
        <f t="shared" si="14"/>
        <v>512.37201998782587</v>
      </c>
    </row>
    <row r="211" spans="2:15" x14ac:dyDescent="0.3">
      <c r="B211" s="964" t="str">
        <f t="shared" si="12"/>
        <v>Incorporated</v>
      </c>
      <c r="C211" s="964">
        <f t="shared" si="10"/>
        <v>48</v>
      </c>
      <c r="D211" s="1268">
        <f t="shared" si="10"/>
        <v>385.31999999999994</v>
      </c>
      <c r="E211" s="665">
        <f t="shared" si="10"/>
        <v>395.46000000000004</v>
      </c>
      <c r="F211" s="1184">
        <f t="shared" si="11"/>
        <v>426.33347320703791</v>
      </c>
      <c r="G211" s="1184">
        <f t="shared" si="14"/>
        <v>453.13168875252768</v>
      </c>
      <c r="H211" s="1184">
        <f t="shared" si="14"/>
        <v>475.78884909579688</v>
      </c>
      <c r="I211" s="1184">
        <f t="shared" si="14"/>
        <v>499.57889127434714</v>
      </c>
      <c r="J211" s="1184">
        <f t="shared" si="14"/>
        <v>524.55846038621041</v>
      </c>
      <c r="K211" s="1184">
        <f t="shared" si="14"/>
        <v>524.55846038621064</v>
      </c>
      <c r="L211" s="1184">
        <f t="shared" si="14"/>
        <v>524.55846038621041</v>
      </c>
      <c r="M211" s="1184">
        <f t="shared" si="14"/>
        <v>524.55846038621041</v>
      </c>
      <c r="N211" s="1184">
        <f t="shared" si="14"/>
        <v>524.55846038621053</v>
      </c>
      <c r="O211" s="1184">
        <f t="shared" si="14"/>
        <v>524.55846038621041</v>
      </c>
    </row>
    <row r="212" spans="2:15" x14ac:dyDescent="0.3">
      <c r="B212" s="964" t="str">
        <f t="shared" si="12"/>
        <v>Incorporated</v>
      </c>
      <c r="C212" s="964">
        <f t="shared" si="10"/>
        <v>49</v>
      </c>
      <c r="D212" s="1268">
        <f t="shared" si="10"/>
        <v>393.93999999999994</v>
      </c>
      <c r="E212" s="665">
        <f t="shared" si="10"/>
        <v>404.30999999999995</v>
      </c>
      <c r="F212" s="1184">
        <f t="shared" si="11"/>
        <v>436.23630138483207</v>
      </c>
      <c r="G212" s="1184">
        <f t="shared" si="14"/>
        <v>463.6587427292028</v>
      </c>
      <c r="H212" s="1184">
        <f t="shared" si="14"/>
        <v>486.8422739229627</v>
      </c>
      <c r="I212" s="1184">
        <f t="shared" si="14"/>
        <v>511.18500624336724</v>
      </c>
      <c r="J212" s="1184">
        <f t="shared" si="14"/>
        <v>536.74490078459507</v>
      </c>
      <c r="K212" s="1184">
        <f t="shared" si="14"/>
        <v>536.74490078459519</v>
      </c>
      <c r="L212" s="1184">
        <f t="shared" si="14"/>
        <v>536.74490078459496</v>
      </c>
      <c r="M212" s="1184">
        <f t="shared" si="14"/>
        <v>536.74490078459496</v>
      </c>
      <c r="N212" s="1184">
        <f t="shared" si="14"/>
        <v>536.74490078459519</v>
      </c>
      <c r="O212" s="1184">
        <f t="shared" si="14"/>
        <v>536.74490078459507</v>
      </c>
    </row>
    <row r="213" spans="2:15" x14ac:dyDescent="0.3">
      <c r="B213" s="964" t="str">
        <f t="shared" si="12"/>
        <v>Incorporated</v>
      </c>
      <c r="C213" s="964">
        <f t="shared" si="10"/>
        <v>50</v>
      </c>
      <c r="D213" s="1268">
        <f t="shared" si="10"/>
        <v>402.55999999999995</v>
      </c>
      <c r="E213" s="665">
        <f t="shared" si="10"/>
        <v>413.15999999999997</v>
      </c>
      <c r="F213" s="1184">
        <f t="shared" si="11"/>
        <v>446.13912956262618</v>
      </c>
      <c r="G213" s="1184">
        <f t="shared" si="14"/>
        <v>474.18579670587798</v>
      </c>
      <c r="H213" s="1184">
        <f t="shared" si="14"/>
        <v>497.89569875012853</v>
      </c>
      <c r="I213" s="1184">
        <f t="shared" si="14"/>
        <v>522.79112121238722</v>
      </c>
      <c r="J213" s="1184">
        <f t="shared" si="14"/>
        <v>548.93134118297974</v>
      </c>
      <c r="K213" s="1184">
        <f t="shared" si="14"/>
        <v>548.93134118297985</v>
      </c>
      <c r="L213" s="1184">
        <f t="shared" si="14"/>
        <v>548.93134118297962</v>
      </c>
      <c r="M213" s="1184">
        <f t="shared" si="14"/>
        <v>548.93134118297962</v>
      </c>
      <c r="N213" s="1184">
        <f t="shared" si="14"/>
        <v>548.93134118297974</v>
      </c>
      <c r="O213" s="1184">
        <f t="shared" si="14"/>
        <v>548.93134118297974</v>
      </c>
    </row>
    <row r="214" spans="2:15" x14ac:dyDescent="0.3">
      <c r="B214" s="964" t="str">
        <f t="shared" si="12"/>
        <v>Incorporated</v>
      </c>
      <c r="C214" s="964">
        <f t="shared" si="10"/>
        <v>51</v>
      </c>
      <c r="D214" s="1268">
        <f t="shared" si="10"/>
        <v>411.17999999999995</v>
      </c>
      <c r="E214" s="665">
        <f t="shared" si="10"/>
        <v>422.01</v>
      </c>
      <c r="F214" s="1184">
        <f t="shared" si="11"/>
        <v>456.04195774042029</v>
      </c>
      <c r="G214" s="1184">
        <f t="shared" si="14"/>
        <v>484.7128506825531</v>
      </c>
      <c r="H214" s="1184">
        <f t="shared" si="14"/>
        <v>508.94912357729447</v>
      </c>
      <c r="I214" s="1184">
        <f t="shared" si="14"/>
        <v>534.39723618140738</v>
      </c>
      <c r="J214" s="1184">
        <f t="shared" si="14"/>
        <v>561.11778158136428</v>
      </c>
      <c r="K214" s="1184">
        <f t="shared" si="14"/>
        <v>561.11778158136451</v>
      </c>
      <c r="L214" s="1184">
        <f t="shared" si="14"/>
        <v>561.11778158136428</v>
      </c>
      <c r="M214" s="1184">
        <f t="shared" si="14"/>
        <v>561.11778158136428</v>
      </c>
      <c r="N214" s="1184">
        <f t="shared" si="14"/>
        <v>561.1177815813644</v>
      </c>
      <c r="O214" s="1184">
        <f t="shared" si="14"/>
        <v>561.11778158136428</v>
      </c>
    </row>
    <row r="215" spans="2:15" x14ac:dyDescent="0.3">
      <c r="B215" s="964" t="str">
        <f t="shared" si="12"/>
        <v>Incorporated</v>
      </c>
      <c r="C215" s="964">
        <f t="shared" si="10"/>
        <v>52</v>
      </c>
      <c r="D215" s="1268">
        <f t="shared" si="10"/>
        <v>419.79999999999995</v>
      </c>
      <c r="E215" s="665">
        <f t="shared" si="10"/>
        <v>430.86</v>
      </c>
      <c r="F215" s="1184">
        <f t="shared" si="11"/>
        <v>465.94478591821445</v>
      </c>
      <c r="G215" s="1184">
        <f t="shared" si="14"/>
        <v>495.23990465922822</v>
      </c>
      <c r="H215" s="1184">
        <f t="shared" si="14"/>
        <v>520.0025484044603</v>
      </c>
      <c r="I215" s="1184">
        <f t="shared" si="14"/>
        <v>546.00335115042753</v>
      </c>
      <c r="J215" s="1184">
        <f t="shared" si="14"/>
        <v>573.30422197974883</v>
      </c>
      <c r="K215" s="1184">
        <f t="shared" si="14"/>
        <v>573.30422197974906</v>
      </c>
      <c r="L215" s="1184">
        <f t="shared" si="14"/>
        <v>573.30422197974883</v>
      </c>
      <c r="M215" s="1184">
        <f t="shared" si="14"/>
        <v>573.30422197974883</v>
      </c>
      <c r="N215" s="1184">
        <f t="shared" si="14"/>
        <v>573.30422197974895</v>
      </c>
      <c r="O215" s="1184">
        <f t="shared" si="14"/>
        <v>573.30422197974883</v>
      </c>
    </row>
    <row r="216" spans="2:15" x14ac:dyDescent="0.3">
      <c r="B216" s="964" t="str">
        <f t="shared" si="12"/>
        <v>Incorporated</v>
      </c>
      <c r="C216" s="964">
        <f t="shared" si="10"/>
        <v>53</v>
      </c>
      <c r="D216" s="1268">
        <f t="shared" si="10"/>
        <v>428.41999999999996</v>
      </c>
      <c r="E216" s="665">
        <f t="shared" si="10"/>
        <v>439.71000000000004</v>
      </c>
      <c r="F216" s="1184">
        <f t="shared" si="11"/>
        <v>475.84761409600856</v>
      </c>
      <c r="G216" s="1184">
        <f t="shared" si="14"/>
        <v>505.76695863590339</v>
      </c>
      <c r="H216" s="1184">
        <f t="shared" si="14"/>
        <v>531.05597323162613</v>
      </c>
      <c r="I216" s="1184">
        <f t="shared" si="14"/>
        <v>557.60946611944757</v>
      </c>
      <c r="J216" s="1184">
        <f t="shared" si="14"/>
        <v>585.49066237813349</v>
      </c>
      <c r="K216" s="1184">
        <f t="shared" si="14"/>
        <v>585.49066237813361</v>
      </c>
      <c r="L216" s="1184">
        <f t="shared" si="14"/>
        <v>585.49066237813338</v>
      </c>
      <c r="M216" s="1184">
        <f t="shared" si="14"/>
        <v>585.49066237813338</v>
      </c>
      <c r="N216" s="1184">
        <f t="shared" si="14"/>
        <v>585.49066237813361</v>
      </c>
      <c r="O216" s="1184">
        <f t="shared" si="14"/>
        <v>585.49066237813349</v>
      </c>
    </row>
    <row r="217" spans="2:15" x14ac:dyDescent="0.3">
      <c r="B217" s="964" t="str">
        <f t="shared" si="12"/>
        <v>Incorporated</v>
      </c>
      <c r="C217" s="964">
        <f t="shared" si="10"/>
        <v>54</v>
      </c>
      <c r="D217" s="1268">
        <f t="shared" si="10"/>
        <v>437.03999999999996</v>
      </c>
      <c r="E217" s="665">
        <f t="shared" si="10"/>
        <v>448.55999999999995</v>
      </c>
      <c r="F217" s="1184">
        <f t="shared" si="11"/>
        <v>485.75044227380266</v>
      </c>
      <c r="G217" s="1184">
        <f t="shared" si="14"/>
        <v>516.29401261257851</v>
      </c>
      <c r="H217" s="1184">
        <f t="shared" si="14"/>
        <v>542.10939805879195</v>
      </c>
      <c r="I217" s="1184">
        <f t="shared" si="14"/>
        <v>569.21558108846762</v>
      </c>
      <c r="J217" s="1184">
        <f t="shared" si="14"/>
        <v>597.67710277651815</v>
      </c>
      <c r="K217" s="1184">
        <f t="shared" si="14"/>
        <v>597.67710277651827</v>
      </c>
      <c r="L217" s="1184">
        <f t="shared" si="14"/>
        <v>597.67710277651804</v>
      </c>
      <c r="M217" s="1184">
        <f t="shared" si="14"/>
        <v>597.67710277651804</v>
      </c>
      <c r="N217" s="1184">
        <f t="shared" si="14"/>
        <v>597.67710277651815</v>
      </c>
      <c r="O217" s="1184">
        <f t="shared" si="14"/>
        <v>597.67710277651815</v>
      </c>
    </row>
    <row r="218" spans="2:15" x14ac:dyDescent="0.3">
      <c r="B218" s="964" t="str">
        <f t="shared" si="12"/>
        <v>Incorporated</v>
      </c>
      <c r="C218" s="964">
        <f t="shared" si="10"/>
        <v>55</v>
      </c>
      <c r="D218" s="1268">
        <f t="shared" si="10"/>
        <v>445.65999999999997</v>
      </c>
      <c r="E218" s="665">
        <f t="shared" si="10"/>
        <v>457.40999999999997</v>
      </c>
      <c r="F218" s="1184">
        <f t="shared" si="11"/>
        <v>495.65327045159677</v>
      </c>
      <c r="G218" s="1184">
        <f t="shared" ref="G218:O228" si="15">IF($B218=$A$64,G$27+IF($C218&gt;$B$32,$B$30*G$29+($B$31-$B$30)*G$30+($B$32-$B$31)*G$31+($C218-$B$32)*G$32,IF($C218&gt;$B$31,$B$30*G$29+($B$31-$B$30)*G$30+($C218-$B$31)*G$31,IF($C218&gt;$B$30,$B$30*G$29+($C218-$B$30)*G$30,$C218*G$29))),G$35+IF($C218&gt;$B$40,$B$38*G$37+($B$39-$B$38)*G$38+($B$40-$B$39)*G$39+($C218-$B$40)*G$40,IF($C218&gt;$B$39,$B$38*G$37+($B$39-$B$38)*G$38+($C218-$B$39)*G$39,IF($C218&gt;$B$38,$B$38*G$37+($C218-$B$38)*G$38,$C218*G$37))))</f>
        <v>526.82106658925363</v>
      </c>
      <c r="H218" s="1184">
        <f t="shared" si="15"/>
        <v>553.16282288595778</v>
      </c>
      <c r="I218" s="1184">
        <f t="shared" si="15"/>
        <v>580.82169605748777</v>
      </c>
      <c r="J218" s="1184">
        <f t="shared" si="15"/>
        <v>609.8635431749027</v>
      </c>
      <c r="K218" s="1184">
        <f t="shared" si="15"/>
        <v>609.86354317490293</v>
      </c>
      <c r="L218" s="1184">
        <f t="shared" si="15"/>
        <v>609.8635431749027</v>
      </c>
      <c r="M218" s="1184">
        <f t="shared" si="15"/>
        <v>609.8635431749027</v>
      </c>
      <c r="N218" s="1184">
        <f t="shared" si="15"/>
        <v>609.86354317490282</v>
      </c>
      <c r="O218" s="1184">
        <f t="shared" si="15"/>
        <v>609.8635431749027</v>
      </c>
    </row>
    <row r="219" spans="2:15" x14ac:dyDescent="0.3">
      <c r="B219" s="964" t="str">
        <f t="shared" si="12"/>
        <v>Incorporated</v>
      </c>
      <c r="C219" s="964">
        <f t="shared" si="10"/>
        <v>56</v>
      </c>
      <c r="D219" s="1268">
        <f t="shared" si="10"/>
        <v>454.28</v>
      </c>
      <c r="E219" s="665">
        <f t="shared" si="10"/>
        <v>466.26</v>
      </c>
      <c r="F219" s="1184">
        <f t="shared" si="11"/>
        <v>505.55609862939087</v>
      </c>
      <c r="G219" s="1184">
        <f t="shared" si="15"/>
        <v>537.34812056592875</v>
      </c>
      <c r="H219" s="1184">
        <f t="shared" si="15"/>
        <v>564.21624771312372</v>
      </c>
      <c r="I219" s="1184">
        <f t="shared" si="15"/>
        <v>592.42781102650792</v>
      </c>
      <c r="J219" s="1184">
        <f t="shared" si="15"/>
        <v>622.04998357328725</v>
      </c>
      <c r="K219" s="1184">
        <f t="shared" si="15"/>
        <v>622.04998357328748</v>
      </c>
      <c r="L219" s="1184">
        <f t="shared" si="15"/>
        <v>622.04998357328725</v>
      </c>
      <c r="M219" s="1184">
        <f t="shared" si="15"/>
        <v>622.04998357328725</v>
      </c>
      <c r="N219" s="1184">
        <f t="shared" si="15"/>
        <v>622.04998357328736</v>
      </c>
      <c r="O219" s="1184">
        <f t="shared" si="15"/>
        <v>622.04998357328725</v>
      </c>
    </row>
    <row r="220" spans="2:15" x14ac:dyDescent="0.3">
      <c r="B220" s="964" t="str">
        <f t="shared" si="12"/>
        <v>Incorporated</v>
      </c>
      <c r="C220" s="964">
        <f t="shared" si="10"/>
        <v>57</v>
      </c>
      <c r="D220" s="1268">
        <f t="shared" si="10"/>
        <v>462.9</v>
      </c>
      <c r="E220" s="665">
        <f t="shared" si="10"/>
        <v>475.11</v>
      </c>
      <c r="F220" s="1184">
        <f t="shared" si="11"/>
        <v>515.45892680718498</v>
      </c>
      <c r="G220" s="1184">
        <f t="shared" si="15"/>
        <v>547.87517454260399</v>
      </c>
      <c r="H220" s="1184">
        <f t="shared" si="15"/>
        <v>575.26967254028955</v>
      </c>
      <c r="I220" s="1184">
        <f t="shared" si="15"/>
        <v>604.03392599552797</v>
      </c>
      <c r="J220" s="1184">
        <f t="shared" si="15"/>
        <v>634.23642397167191</v>
      </c>
      <c r="K220" s="1184">
        <f t="shared" si="15"/>
        <v>634.23642397167202</v>
      </c>
      <c r="L220" s="1184">
        <f t="shared" si="15"/>
        <v>634.2364239716718</v>
      </c>
      <c r="M220" s="1184">
        <f t="shared" si="15"/>
        <v>634.2364239716718</v>
      </c>
      <c r="N220" s="1184">
        <f t="shared" si="15"/>
        <v>634.23642397167202</v>
      </c>
      <c r="O220" s="1184">
        <f t="shared" si="15"/>
        <v>634.23642397167191</v>
      </c>
    </row>
    <row r="221" spans="2:15" x14ac:dyDescent="0.3">
      <c r="B221" s="964" t="str">
        <f t="shared" si="12"/>
        <v>Incorporated</v>
      </c>
      <c r="C221" s="964">
        <f t="shared" si="10"/>
        <v>58</v>
      </c>
      <c r="D221" s="1268">
        <f t="shared" si="10"/>
        <v>471.52</v>
      </c>
      <c r="E221" s="665">
        <f t="shared" si="10"/>
        <v>483.96000000000004</v>
      </c>
      <c r="F221" s="1184">
        <f t="shared" si="11"/>
        <v>525.36175498497914</v>
      </c>
      <c r="G221" s="1184">
        <f t="shared" si="15"/>
        <v>558.40222851927899</v>
      </c>
      <c r="H221" s="1184">
        <f t="shared" si="15"/>
        <v>586.32309736745538</v>
      </c>
      <c r="I221" s="1184">
        <f t="shared" si="15"/>
        <v>615.64004096454801</v>
      </c>
      <c r="J221" s="1184">
        <f t="shared" si="15"/>
        <v>646.42286437005657</v>
      </c>
      <c r="K221" s="1184">
        <f t="shared" si="15"/>
        <v>646.42286437005669</v>
      </c>
      <c r="L221" s="1184">
        <f t="shared" si="15"/>
        <v>646.42286437005646</v>
      </c>
      <c r="M221" s="1184">
        <f t="shared" si="15"/>
        <v>646.42286437005646</v>
      </c>
      <c r="N221" s="1184">
        <f t="shared" si="15"/>
        <v>646.42286437005657</v>
      </c>
      <c r="O221" s="1184">
        <f t="shared" si="15"/>
        <v>646.42286437005657</v>
      </c>
    </row>
    <row r="222" spans="2:15" x14ac:dyDescent="0.3">
      <c r="B222" s="964" t="str">
        <f t="shared" si="12"/>
        <v>Incorporated</v>
      </c>
      <c r="C222" s="964">
        <f t="shared" si="10"/>
        <v>59</v>
      </c>
      <c r="D222" s="1268">
        <f t="shared" si="10"/>
        <v>480.14</v>
      </c>
      <c r="E222" s="665">
        <f t="shared" si="10"/>
        <v>492.80999999999995</v>
      </c>
      <c r="F222" s="1184">
        <f t="shared" si="11"/>
        <v>535.26458316277331</v>
      </c>
      <c r="G222" s="1184">
        <f t="shared" si="15"/>
        <v>568.92928249595423</v>
      </c>
      <c r="H222" s="1184">
        <f t="shared" si="15"/>
        <v>597.3765221946212</v>
      </c>
      <c r="I222" s="1184">
        <f t="shared" si="15"/>
        <v>627.24615593356816</v>
      </c>
      <c r="J222" s="1184">
        <f t="shared" si="15"/>
        <v>658.60930476844112</v>
      </c>
      <c r="K222" s="1184">
        <f t="shared" si="15"/>
        <v>658.60930476844135</v>
      </c>
      <c r="L222" s="1184">
        <f t="shared" si="15"/>
        <v>658.60930476844112</v>
      </c>
      <c r="M222" s="1184">
        <f t="shared" si="15"/>
        <v>658.60930476844112</v>
      </c>
      <c r="N222" s="1184">
        <f t="shared" si="15"/>
        <v>658.60930476844123</v>
      </c>
      <c r="O222" s="1184">
        <f t="shared" si="15"/>
        <v>658.60930476844112</v>
      </c>
    </row>
    <row r="223" spans="2:15" x14ac:dyDescent="0.3">
      <c r="B223" s="964" t="str">
        <f t="shared" si="12"/>
        <v>Incorporated</v>
      </c>
      <c r="C223" s="964">
        <f t="shared" si="10"/>
        <v>60</v>
      </c>
      <c r="D223" s="1268">
        <f t="shared" si="10"/>
        <v>488.76</v>
      </c>
      <c r="E223" s="665">
        <f t="shared" si="10"/>
        <v>501.65999999999997</v>
      </c>
      <c r="F223" s="1184">
        <f t="shared" si="11"/>
        <v>545.16741134056747</v>
      </c>
      <c r="G223" s="1184">
        <f t="shared" si="15"/>
        <v>579.45633647262935</v>
      </c>
      <c r="H223" s="1184">
        <f t="shared" si="15"/>
        <v>608.42994702178703</v>
      </c>
      <c r="I223" s="1184">
        <f t="shared" si="15"/>
        <v>638.85227090258832</v>
      </c>
      <c r="J223" s="1184">
        <f t="shared" si="15"/>
        <v>670.79574516682567</v>
      </c>
      <c r="K223" s="1184">
        <f t="shared" si="15"/>
        <v>670.7957451668259</v>
      </c>
      <c r="L223" s="1184">
        <f t="shared" si="15"/>
        <v>670.79574516682567</v>
      </c>
      <c r="M223" s="1184">
        <f t="shared" si="15"/>
        <v>670.79574516682567</v>
      </c>
      <c r="N223" s="1184">
        <f t="shared" si="15"/>
        <v>670.79574516682578</v>
      </c>
      <c r="O223" s="1184">
        <f t="shared" si="15"/>
        <v>670.79574516682567</v>
      </c>
    </row>
    <row r="224" spans="2:15" x14ac:dyDescent="0.3">
      <c r="B224" s="964" t="str">
        <f t="shared" si="12"/>
        <v>Incorporated</v>
      </c>
      <c r="C224" s="964">
        <f t="shared" si="10"/>
        <v>61</v>
      </c>
      <c r="D224" s="1268">
        <f t="shared" si="10"/>
        <v>497.38</v>
      </c>
      <c r="E224" s="665">
        <f t="shared" si="10"/>
        <v>510.51</v>
      </c>
      <c r="F224" s="1184">
        <f t="shared" si="11"/>
        <v>555.07023951836152</v>
      </c>
      <c r="G224" s="1184">
        <f t="shared" si="15"/>
        <v>589.98339044930447</v>
      </c>
      <c r="H224" s="1184">
        <f t="shared" si="15"/>
        <v>619.48337184895297</v>
      </c>
      <c r="I224" s="1184">
        <f t="shared" si="15"/>
        <v>650.45838587160836</v>
      </c>
      <c r="J224" s="1184">
        <f t="shared" si="15"/>
        <v>682.98218556521033</v>
      </c>
      <c r="K224" s="1184">
        <f t="shared" si="15"/>
        <v>682.98218556521044</v>
      </c>
      <c r="L224" s="1184">
        <f t="shared" si="15"/>
        <v>682.98218556521022</v>
      </c>
      <c r="M224" s="1184">
        <f t="shared" si="15"/>
        <v>682.98218556521022</v>
      </c>
      <c r="N224" s="1184">
        <f t="shared" si="15"/>
        <v>682.98218556521044</v>
      </c>
      <c r="O224" s="1184">
        <f t="shared" si="15"/>
        <v>682.98218556521033</v>
      </c>
    </row>
    <row r="225" spans="2:15" x14ac:dyDescent="0.3">
      <c r="B225" s="964" t="str">
        <f t="shared" si="12"/>
        <v>Incorporated</v>
      </c>
      <c r="C225" s="964">
        <f t="shared" si="10"/>
        <v>62</v>
      </c>
      <c r="D225" s="1268">
        <f t="shared" si="10"/>
        <v>506</v>
      </c>
      <c r="E225" s="665">
        <f t="shared" si="10"/>
        <v>519.36</v>
      </c>
      <c r="F225" s="1184">
        <f t="shared" si="11"/>
        <v>564.97306769615557</v>
      </c>
      <c r="G225" s="1184">
        <f t="shared" si="15"/>
        <v>600.51044442597959</v>
      </c>
      <c r="H225" s="1184">
        <f t="shared" si="15"/>
        <v>630.5367966761188</v>
      </c>
      <c r="I225" s="1184">
        <f t="shared" si="15"/>
        <v>662.0645008406284</v>
      </c>
      <c r="J225" s="1184">
        <f t="shared" si="15"/>
        <v>695.16862596359499</v>
      </c>
      <c r="K225" s="1184">
        <f t="shared" si="15"/>
        <v>695.1686259635951</v>
      </c>
      <c r="L225" s="1184">
        <f t="shared" si="15"/>
        <v>695.16862596359488</v>
      </c>
      <c r="M225" s="1184">
        <f t="shared" si="15"/>
        <v>695.16862596359488</v>
      </c>
      <c r="N225" s="1184">
        <f t="shared" si="15"/>
        <v>695.16862596359499</v>
      </c>
      <c r="O225" s="1184">
        <f t="shared" si="15"/>
        <v>695.16862596359499</v>
      </c>
    </row>
    <row r="226" spans="2:15" x14ac:dyDescent="0.3">
      <c r="B226" s="964" t="str">
        <f t="shared" si="12"/>
        <v>Incorporated</v>
      </c>
      <c r="C226" s="964">
        <f t="shared" si="10"/>
        <v>63</v>
      </c>
      <c r="D226" s="1268">
        <f t="shared" si="10"/>
        <v>514.62</v>
      </c>
      <c r="E226" s="665">
        <f t="shared" si="10"/>
        <v>528.21</v>
      </c>
      <c r="F226" s="1184">
        <f t="shared" si="11"/>
        <v>574.87589587394973</v>
      </c>
      <c r="G226" s="1184">
        <f t="shared" si="15"/>
        <v>611.03749840265471</v>
      </c>
      <c r="H226" s="1184">
        <f t="shared" si="15"/>
        <v>641.59022150328462</v>
      </c>
      <c r="I226" s="1184">
        <f t="shared" si="15"/>
        <v>673.67061580964855</v>
      </c>
      <c r="J226" s="1184">
        <f t="shared" si="15"/>
        <v>707.35506636197954</v>
      </c>
      <c r="K226" s="1184">
        <f t="shared" si="15"/>
        <v>707.35506636197977</v>
      </c>
      <c r="L226" s="1184">
        <f t="shared" si="15"/>
        <v>707.35506636197942</v>
      </c>
      <c r="M226" s="1184">
        <f t="shared" si="15"/>
        <v>707.35506636197942</v>
      </c>
      <c r="N226" s="1184">
        <f t="shared" si="15"/>
        <v>707.35506636197965</v>
      </c>
      <c r="O226" s="1184">
        <f t="shared" si="15"/>
        <v>707.35506636197954</v>
      </c>
    </row>
    <row r="227" spans="2:15" x14ac:dyDescent="0.3">
      <c r="B227" s="964" t="str">
        <f t="shared" si="12"/>
        <v>Incorporated</v>
      </c>
      <c r="C227" s="964">
        <f t="shared" si="10"/>
        <v>64</v>
      </c>
      <c r="D227" s="1268">
        <f t="shared" si="10"/>
        <v>523.24</v>
      </c>
      <c r="E227" s="665">
        <f t="shared" si="10"/>
        <v>537.05999999999995</v>
      </c>
      <c r="F227" s="1184">
        <f t="shared" si="11"/>
        <v>584.77872405174389</v>
      </c>
      <c r="G227" s="1184">
        <f t="shared" si="15"/>
        <v>621.56455237932994</v>
      </c>
      <c r="H227" s="1184">
        <f t="shared" si="15"/>
        <v>652.64364633045045</v>
      </c>
      <c r="I227" s="1184">
        <f t="shared" si="15"/>
        <v>685.27673077866871</v>
      </c>
      <c r="J227" s="1184">
        <f t="shared" si="15"/>
        <v>719.54150676036409</v>
      </c>
      <c r="K227" s="1184">
        <f t="shared" si="15"/>
        <v>719.54150676036431</v>
      </c>
      <c r="L227" s="1184">
        <f t="shared" si="15"/>
        <v>719.54150676036409</v>
      </c>
      <c r="M227" s="1184">
        <f t="shared" si="15"/>
        <v>719.54150676036409</v>
      </c>
      <c r="N227" s="1184">
        <f t="shared" si="15"/>
        <v>719.5415067603642</v>
      </c>
      <c r="O227" s="1184">
        <f t="shared" si="15"/>
        <v>719.54150676036409</v>
      </c>
    </row>
    <row r="228" spans="2:15" x14ac:dyDescent="0.3">
      <c r="B228" s="964" t="str">
        <f t="shared" si="12"/>
        <v>Incorporated</v>
      </c>
      <c r="C228" s="964">
        <f t="shared" si="10"/>
        <v>65</v>
      </c>
      <c r="D228" s="1268">
        <f t="shared" si="10"/>
        <v>531.86</v>
      </c>
      <c r="E228" s="665">
        <f t="shared" si="10"/>
        <v>545.91</v>
      </c>
      <c r="F228" s="1184">
        <f t="shared" si="11"/>
        <v>594.68155222953806</v>
      </c>
      <c r="G228" s="1184">
        <f t="shared" si="15"/>
        <v>632.09160635600495</v>
      </c>
      <c r="H228" s="1184">
        <f t="shared" si="15"/>
        <v>663.69707115761628</v>
      </c>
      <c r="I228" s="1184">
        <f t="shared" si="15"/>
        <v>696.88284574768875</v>
      </c>
      <c r="J228" s="1184">
        <f t="shared" si="15"/>
        <v>731.72794715874875</v>
      </c>
      <c r="K228" s="1184">
        <f t="shared" si="15"/>
        <v>731.72794715874886</v>
      </c>
      <c r="L228" s="1184">
        <f t="shared" si="15"/>
        <v>731.72794715874863</v>
      </c>
      <c r="M228" s="1184">
        <f t="shared" si="15"/>
        <v>731.72794715874863</v>
      </c>
      <c r="N228" s="1184">
        <f t="shared" si="15"/>
        <v>731.72794715874886</v>
      </c>
      <c r="O228" s="1184">
        <f t="shared" si="15"/>
        <v>731.72794715874875</v>
      </c>
    </row>
    <row r="229" spans="2:15" x14ac:dyDescent="0.3">
      <c r="B229" s="964" t="str">
        <f t="shared" si="12"/>
        <v>Incorporated</v>
      </c>
      <c r="C229" s="964">
        <f t="shared" ref="C229:E263" si="16">C126</f>
        <v>66</v>
      </c>
      <c r="D229" s="1268">
        <f t="shared" si="16"/>
        <v>540.48</v>
      </c>
      <c r="E229" s="665">
        <f t="shared" si="16"/>
        <v>554.76</v>
      </c>
      <c r="F229" s="1184">
        <f t="shared" ref="F229:O263" si="17">IF($B229=$A$64,F$27+IF($C229&gt;$B$32,$B$30*F$29+($B$31-$B$30)*F$30+($B$32-$B$31)*F$31+($C229-$B$32)*F$32,IF($C229&gt;$B$31,$B$30*F$29+($B$31-$B$30)*F$30+($C229-$B$31)*F$31,IF($C229&gt;$B$30,$B$30*F$29+($C229-$B$30)*F$30,$C229*F$29))),F$35+IF($C229&gt;$B$40,$B$38*F$37+($B$39-$B$38)*F$38+($B$40-$B$39)*F$39+($C229-$B$40)*F$40,IF($C229&gt;$B$39,$B$38*F$37+($B$39-$B$38)*F$38+($C229-$B$39)*F$39,IF($C229&gt;$B$38,$B$38*F$37+($C229-$B$38)*F$38,$C229*F$37))))</f>
        <v>604.58438040733211</v>
      </c>
      <c r="G229" s="1184">
        <f t="shared" si="17"/>
        <v>642.61866033268018</v>
      </c>
      <c r="H229" s="1184">
        <f t="shared" si="17"/>
        <v>674.75049598478222</v>
      </c>
      <c r="I229" s="1184">
        <f t="shared" si="17"/>
        <v>708.48896071670879</v>
      </c>
      <c r="J229" s="1184">
        <f t="shared" si="17"/>
        <v>743.9143875571333</v>
      </c>
      <c r="K229" s="1184">
        <f t="shared" si="17"/>
        <v>743.91438755713364</v>
      </c>
      <c r="L229" s="1184">
        <f t="shared" si="17"/>
        <v>743.9143875571333</v>
      </c>
      <c r="M229" s="1184">
        <f t="shared" si="17"/>
        <v>743.9143875571333</v>
      </c>
      <c r="N229" s="1184">
        <f t="shared" si="17"/>
        <v>743.91438755713341</v>
      </c>
      <c r="O229" s="1184">
        <f t="shared" si="17"/>
        <v>743.9143875571333</v>
      </c>
    </row>
    <row r="230" spans="2:15" x14ac:dyDescent="0.3">
      <c r="B230" s="964" t="str">
        <f t="shared" si="12"/>
        <v>Incorporated</v>
      </c>
      <c r="C230" s="964">
        <f t="shared" si="16"/>
        <v>67</v>
      </c>
      <c r="D230" s="1268">
        <f t="shared" si="16"/>
        <v>549.09999999999991</v>
      </c>
      <c r="E230" s="665">
        <f t="shared" si="16"/>
        <v>563.61</v>
      </c>
      <c r="F230" s="1184">
        <f t="shared" si="17"/>
        <v>614.48720858512615</v>
      </c>
      <c r="G230" s="1184">
        <f t="shared" si="17"/>
        <v>653.1457143093553</v>
      </c>
      <c r="H230" s="1184">
        <f t="shared" si="17"/>
        <v>685.80392081194805</v>
      </c>
      <c r="I230" s="1184">
        <f t="shared" si="17"/>
        <v>720.09507568572894</v>
      </c>
      <c r="J230" s="1184">
        <f t="shared" si="17"/>
        <v>756.10082795551796</v>
      </c>
      <c r="K230" s="1184">
        <f t="shared" si="17"/>
        <v>756.10082795551818</v>
      </c>
      <c r="L230" s="1184">
        <f t="shared" si="17"/>
        <v>756.10082795551784</v>
      </c>
      <c r="M230" s="1184">
        <f t="shared" si="17"/>
        <v>756.10082795551784</v>
      </c>
      <c r="N230" s="1184">
        <f t="shared" si="17"/>
        <v>756.10082795551796</v>
      </c>
      <c r="O230" s="1184">
        <f t="shared" si="17"/>
        <v>756.10082795551796</v>
      </c>
    </row>
    <row r="231" spans="2:15" x14ac:dyDescent="0.3">
      <c r="B231" s="964" t="str">
        <f t="shared" si="12"/>
        <v>Incorporated</v>
      </c>
      <c r="C231" s="964">
        <f t="shared" si="16"/>
        <v>68</v>
      </c>
      <c r="D231" s="1268">
        <f t="shared" si="16"/>
        <v>557.71999999999991</v>
      </c>
      <c r="E231" s="665">
        <f t="shared" si="16"/>
        <v>572.46</v>
      </c>
      <c r="F231" s="1184">
        <f t="shared" si="17"/>
        <v>624.39003676292032</v>
      </c>
      <c r="G231" s="1184">
        <f t="shared" si="17"/>
        <v>663.67276828603042</v>
      </c>
      <c r="H231" s="1184">
        <f t="shared" si="17"/>
        <v>696.85734563911387</v>
      </c>
      <c r="I231" s="1184">
        <f t="shared" si="17"/>
        <v>731.7011906547491</v>
      </c>
      <c r="J231" s="1184">
        <f t="shared" si="17"/>
        <v>768.2872683539025</v>
      </c>
      <c r="K231" s="1184">
        <f t="shared" si="17"/>
        <v>768.28726835390273</v>
      </c>
      <c r="L231" s="1184">
        <f t="shared" si="17"/>
        <v>768.2872683539025</v>
      </c>
      <c r="M231" s="1184">
        <f t="shared" si="17"/>
        <v>768.2872683539025</v>
      </c>
      <c r="N231" s="1184">
        <f t="shared" si="17"/>
        <v>768.28726835390262</v>
      </c>
      <c r="O231" s="1184">
        <f t="shared" si="17"/>
        <v>768.2872683539025</v>
      </c>
    </row>
    <row r="232" spans="2:15" x14ac:dyDescent="0.3">
      <c r="B232" s="964" t="str">
        <f t="shared" ref="B232:B263" si="18">B129</f>
        <v>Incorporated</v>
      </c>
      <c r="C232" s="964">
        <f t="shared" si="16"/>
        <v>69</v>
      </c>
      <c r="D232" s="1268">
        <f t="shared" si="16"/>
        <v>566.33999999999992</v>
      </c>
      <c r="E232" s="665">
        <f t="shared" si="16"/>
        <v>581.30999999999995</v>
      </c>
      <c r="F232" s="1184">
        <f t="shared" si="17"/>
        <v>634.29286494071448</v>
      </c>
      <c r="G232" s="1184">
        <f t="shared" si="17"/>
        <v>674.19982226270565</v>
      </c>
      <c r="H232" s="1184">
        <f t="shared" si="17"/>
        <v>707.91077046627981</v>
      </c>
      <c r="I232" s="1184">
        <f t="shared" si="17"/>
        <v>743.30730562376903</v>
      </c>
      <c r="J232" s="1184">
        <f t="shared" si="17"/>
        <v>780.47370875228717</v>
      </c>
      <c r="K232" s="1184">
        <f t="shared" si="17"/>
        <v>780.47370875228728</v>
      </c>
      <c r="L232" s="1184">
        <f t="shared" si="17"/>
        <v>780.47370875228705</v>
      </c>
      <c r="M232" s="1184">
        <f t="shared" si="17"/>
        <v>780.47370875228705</v>
      </c>
      <c r="N232" s="1184">
        <f t="shared" si="17"/>
        <v>780.47370875228728</v>
      </c>
      <c r="O232" s="1184">
        <f t="shared" si="17"/>
        <v>780.47370875228717</v>
      </c>
    </row>
    <row r="233" spans="2:15" x14ac:dyDescent="0.3">
      <c r="B233" s="964" t="str">
        <f t="shared" si="18"/>
        <v>Incorporated</v>
      </c>
      <c r="C233" s="964">
        <f t="shared" si="16"/>
        <v>70</v>
      </c>
      <c r="D233" s="1268">
        <f t="shared" si="16"/>
        <v>574.95999999999992</v>
      </c>
      <c r="E233" s="665">
        <f t="shared" si="16"/>
        <v>590.16</v>
      </c>
      <c r="F233" s="1184">
        <f t="shared" si="17"/>
        <v>644.19569311850864</v>
      </c>
      <c r="G233" s="1184">
        <f t="shared" si="17"/>
        <v>684.72687623938066</v>
      </c>
      <c r="H233" s="1184">
        <f t="shared" si="17"/>
        <v>718.96419529344564</v>
      </c>
      <c r="I233" s="1184">
        <f t="shared" si="17"/>
        <v>754.91342059278918</v>
      </c>
      <c r="J233" s="1184">
        <f t="shared" si="17"/>
        <v>792.66014915067171</v>
      </c>
      <c r="K233" s="1184">
        <f t="shared" si="17"/>
        <v>792.66014915067205</v>
      </c>
      <c r="L233" s="1184">
        <f t="shared" si="17"/>
        <v>792.6601491506716</v>
      </c>
      <c r="M233" s="1184">
        <f t="shared" si="17"/>
        <v>792.6601491506716</v>
      </c>
      <c r="N233" s="1184">
        <f t="shared" si="17"/>
        <v>792.66014915067183</v>
      </c>
      <c r="O233" s="1184">
        <f t="shared" si="17"/>
        <v>792.66014915067171</v>
      </c>
    </row>
    <row r="234" spans="2:15" x14ac:dyDescent="0.3">
      <c r="B234" s="964" t="str">
        <f t="shared" si="18"/>
        <v>Incorporated</v>
      </c>
      <c r="C234" s="964">
        <f t="shared" si="16"/>
        <v>71</v>
      </c>
      <c r="D234" s="1268">
        <f t="shared" si="16"/>
        <v>583.57999999999993</v>
      </c>
      <c r="E234" s="665">
        <f t="shared" si="16"/>
        <v>599.01</v>
      </c>
      <c r="F234" s="1184">
        <f t="shared" si="17"/>
        <v>654.09852129630269</v>
      </c>
      <c r="G234" s="1184">
        <f t="shared" si="17"/>
        <v>695.25393021605589</v>
      </c>
      <c r="H234" s="1184">
        <f t="shared" si="17"/>
        <v>730.01762012061147</v>
      </c>
      <c r="I234" s="1184">
        <f t="shared" si="17"/>
        <v>766.51953556180933</v>
      </c>
      <c r="J234" s="1184">
        <f t="shared" si="17"/>
        <v>804.84658954905638</v>
      </c>
      <c r="K234" s="1184">
        <f t="shared" si="17"/>
        <v>804.8465895490566</v>
      </c>
      <c r="L234" s="1184">
        <f t="shared" si="17"/>
        <v>804.84658954905626</v>
      </c>
      <c r="M234" s="1184">
        <f t="shared" si="17"/>
        <v>804.84658954905626</v>
      </c>
      <c r="N234" s="1184">
        <f t="shared" si="17"/>
        <v>804.84658954905638</v>
      </c>
      <c r="O234" s="1184">
        <f t="shared" si="17"/>
        <v>804.84658954905638</v>
      </c>
    </row>
    <row r="235" spans="2:15" x14ac:dyDescent="0.3">
      <c r="B235" s="964" t="str">
        <f t="shared" si="18"/>
        <v>Incorporated</v>
      </c>
      <c r="C235" s="964">
        <f t="shared" si="16"/>
        <v>72</v>
      </c>
      <c r="D235" s="1268">
        <f t="shared" si="16"/>
        <v>592.19999999999993</v>
      </c>
      <c r="E235" s="665">
        <f t="shared" si="16"/>
        <v>607.86</v>
      </c>
      <c r="F235" s="1184">
        <f t="shared" si="17"/>
        <v>664.00134947409674</v>
      </c>
      <c r="G235" s="1184">
        <f t="shared" si="17"/>
        <v>705.78098419273101</v>
      </c>
      <c r="H235" s="1184">
        <f t="shared" si="17"/>
        <v>741.0710449477773</v>
      </c>
      <c r="I235" s="1184">
        <f t="shared" si="17"/>
        <v>778.12565053082949</v>
      </c>
      <c r="J235" s="1184">
        <f t="shared" si="17"/>
        <v>817.03302994744092</v>
      </c>
      <c r="K235" s="1184">
        <f t="shared" si="17"/>
        <v>817.03302994744115</v>
      </c>
      <c r="L235" s="1184">
        <f t="shared" si="17"/>
        <v>817.03302994744081</v>
      </c>
      <c r="M235" s="1184">
        <f t="shared" si="17"/>
        <v>817.03302994744081</v>
      </c>
      <c r="N235" s="1184">
        <f t="shared" si="17"/>
        <v>817.03302994744104</v>
      </c>
      <c r="O235" s="1184">
        <f t="shared" si="17"/>
        <v>817.03302994744092</v>
      </c>
    </row>
    <row r="236" spans="2:15" x14ac:dyDescent="0.3">
      <c r="B236" s="964" t="str">
        <f t="shared" si="18"/>
        <v>Incorporated</v>
      </c>
      <c r="C236" s="964">
        <f t="shared" si="16"/>
        <v>73</v>
      </c>
      <c r="D236" s="1268">
        <f t="shared" si="16"/>
        <v>600.81999999999994</v>
      </c>
      <c r="E236" s="665">
        <f t="shared" si="16"/>
        <v>616.71</v>
      </c>
      <c r="F236" s="1184">
        <f t="shared" si="17"/>
        <v>673.9041776518909</v>
      </c>
      <c r="G236" s="1184">
        <f t="shared" si="17"/>
        <v>716.30803816940613</v>
      </c>
      <c r="H236" s="1184">
        <f t="shared" si="17"/>
        <v>752.12446977494312</v>
      </c>
      <c r="I236" s="1184">
        <f t="shared" si="17"/>
        <v>789.73176549984942</v>
      </c>
      <c r="J236" s="1184">
        <f t="shared" si="17"/>
        <v>829.21947034582558</v>
      </c>
      <c r="K236" s="1184">
        <f t="shared" si="17"/>
        <v>829.2194703458257</v>
      </c>
      <c r="L236" s="1184">
        <f t="shared" si="17"/>
        <v>829.21947034582547</v>
      </c>
      <c r="M236" s="1184">
        <f t="shared" si="17"/>
        <v>829.21947034582547</v>
      </c>
      <c r="N236" s="1184">
        <f t="shared" si="17"/>
        <v>829.2194703458257</v>
      </c>
      <c r="O236" s="1184">
        <f t="shared" si="17"/>
        <v>829.21947034582558</v>
      </c>
    </row>
    <row r="237" spans="2:15" x14ac:dyDescent="0.3">
      <c r="B237" s="964" t="str">
        <f t="shared" si="18"/>
        <v>Incorporated</v>
      </c>
      <c r="C237" s="964">
        <f t="shared" si="16"/>
        <v>74</v>
      </c>
      <c r="D237" s="1268">
        <f t="shared" si="16"/>
        <v>609.43999999999994</v>
      </c>
      <c r="E237" s="665">
        <f t="shared" si="16"/>
        <v>625.55999999999995</v>
      </c>
      <c r="F237" s="1184">
        <f t="shared" si="17"/>
        <v>683.80700582968507</v>
      </c>
      <c r="G237" s="1184">
        <f t="shared" si="17"/>
        <v>726.83509214608125</v>
      </c>
      <c r="H237" s="1184">
        <f t="shared" si="17"/>
        <v>763.17789460210906</v>
      </c>
      <c r="I237" s="1184">
        <f t="shared" si="17"/>
        <v>801.33788046886957</v>
      </c>
      <c r="J237" s="1184">
        <f t="shared" si="17"/>
        <v>841.40591074421013</v>
      </c>
      <c r="K237" s="1184">
        <f t="shared" si="17"/>
        <v>841.40591074421047</v>
      </c>
      <c r="L237" s="1184">
        <f t="shared" si="17"/>
        <v>841.40591074421002</v>
      </c>
      <c r="M237" s="1184">
        <f t="shared" si="17"/>
        <v>841.40591074421002</v>
      </c>
      <c r="N237" s="1184">
        <f t="shared" si="17"/>
        <v>841.40591074421025</v>
      </c>
      <c r="O237" s="1184">
        <f t="shared" si="17"/>
        <v>841.40591074421013</v>
      </c>
    </row>
    <row r="238" spans="2:15" x14ac:dyDescent="0.3">
      <c r="B238" s="964" t="str">
        <f t="shared" si="18"/>
        <v>Incorporated</v>
      </c>
      <c r="C238" s="964">
        <f t="shared" si="16"/>
        <v>75</v>
      </c>
      <c r="D238" s="1268">
        <f t="shared" si="16"/>
        <v>618.05999999999995</v>
      </c>
      <c r="E238" s="665">
        <f t="shared" si="16"/>
        <v>634.41</v>
      </c>
      <c r="F238" s="1184">
        <f t="shared" si="17"/>
        <v>693.70983400747923</v>
      </c>
      <c r="G238" s="1184">
        <f t="shared" si="17"/>
        <v>737.36214612275637</v>
      </c>
      <c r="H238" s="1184">
        <f t="shared" si="17"/>
        <v>774.23131942927489</v>
      </c>
      <c r="I238" s="1184">
        <f t="shared" si="17"/>
        <v>812.94399543788973</v>
      </c>
      <c r="J238" s="1184">
        <f t="shared" si="17"/>
        <v>853.59235114259479</v>
      </c>
      <c r="K238" s="1184">
        <f t="shared" si="17"/>
        <v>853.59235114259502</v>
      </c>
      <c r="L238" s="1184">
        <f t="shared" si="17"/>
        <v>853.59235114259468</v>
      </c>
      <c r="M238" s="1184">
        <f t="shared" si="17"/>
        <v>853.59235114259468</v>
      </c>
      <c r="N238" s="1184">
        <f t="shared" si="17"/>
        <v>853.59235114259479</v>
      </c>
      <c r="O238" s="1184">
        <f t="shared" si="17"/>
        <v>853.59235114259479</v>
      </c>
    </row>
    <row r="239" spans="2:15" x14ac:dyDescent="0.3">
      <c r="B239" s="964" t="str">
        <f t="shared" si="18"/>
        <v>Incorporated</v>
      </c>
      <c r="C239" s="964">
        <f t="shared" si="16"/>
        <v>76</v>
      </c>
      <c r="D239" s="1268">
        <f t="shared" si="16"/>
        <v>626.67999999999995</v>
      </c>
      <c r="E239" s="665">
        <f t="shared" si="16"/>
        <v>643.26</v>
      </c>
      <c r="F239" s="1184">
        <f t="shared" si="17"/>
        <v>703.61266218527339</v>
      </c>
      <c r="G239" s="1184">
        <f t="shared" si="17"/>
        <v>747.88920009943149</v>
      </c>
      <c r="H239" s="1184">
        <f t="shared" si="17"/>
        <v>785.28474425644072</v>
      </c>
      <c r="I239" s="1184">
        <f t="shared" si="17"/>
        <v>824.55011040690988</v>
      </c>
      <c r="J239" s="1184">
        <f t="shared" si="17"/>
        <v>865.77879154097934</v>
      </c>
      <c r="K239" s="1184">
        <f t="shared" si="17"/>
        <v>865.77879154097957</v>
      </c>
      <c r="L239" s="1184">
        <f t="shared" si="17"/>
        <v>865.77879154097923</v>
      </c>
      <c r="M239" s="1184">
        <f t="shared" si="17"/>
        <v>865.77879154097923</v>
      </c>
      <c r="N239" s="1184">
        <f t="shared" si="17"/>
        <v>865.77879154097946</v>
      </c>
      <c r="O239" s="1184">
        <f t="shared" si="17"/>
        <v>865.77879154097934</v>
      </c>
    </row>
    <row r="240" spans="2:15" x14ac:dyDescent="0.3">
      <c r="B240" s="964" t="str">
        <f t="shared" si="18"/>
        <v>Incorporated</v>
      </c>
      <c r="C240" s="964">
        <f t="shared" si="16"/>
        <v>77</v>
      </c>
      <c r="D240" s="1268">
        <f t="shared" si="16"/>
        <v>635.29999999999995</v>
      </c>
      <c r="E240" s="665">
        <f t="shared" si="16"/>
        <v>652.11</v>
      </c>
      <c r="F240" s="1184">
        <f t="shared" si="17"/>
        <v>713.51549036306733</v>
      </c>
      <c r="G240" s="1184">
        <f t="shared" si="17"/>
        <v>758.41625407610672</v>
      </c>
      <c r="H240" s="1184">
        <f t="shared" si="17"/>
        <v>796.33816908360654</v>
      </c>
      <c r="I240" s="1184">
        <f t="shared" si="17"/>
        <v>836.15622537592981</v>
      </c>
      <c r="J240" s="1184">
        <f t="shared" si="17"/>
        <v>877.965231939364</v>
      </c>
      <c r="K240" s="1184">
        <f t="shared" si="17"/>
        <v>877.96523193936412</v>
      </c>
      <c r="L240" s="1184">
        <f t="shared" si="17"/>
        <v>877.96523193936389</v>
      </c>
      <c r="M240" s="1184">
        <f t="shared" si="17"/>
        <v>877.96523193936389</v>
      </c>
      <c r="N240" s="1184">
        <f t="shared" si="17"/>
        <v>877.96523193936412</v>
      </c>
      <c r="O240" s="1184">
        <f t="shared" si="17"/>
        <v>877.965231939364</v>
      </c>
    </row>
    <row r="241" spans="2:15" x14ac:dyDescent="0.3">
      <c r="B241" s="964" t="str">
        <f t="shared" si="18"/>
        <v>Incorporated</v>
      </c>
      <c r="C241" s="964">
        <f t="shared" si="16"/>
        <v>78</v>
      </c>
      <c r="D241" s="1268">
        <f t="shared" si="16"/>
        <v>643.91999999999996</v>
      </c>
      <c r="E241" s="665">
        <f t="shared" si="16"/>
        <v>660.96</v>
      </c>
      <c r="F241" s="1184">
        <f t="shared" si="17"/>
        <v>723.41831854086149</v>
      </c>
      <c r="G241" s="1184">
        <f t="shared" si="17"/>
        <v>768.94330805278184</v>
      </c>
      <c r="H241" s="1184">
        <f t="shared" si="17"/>
        <v>807.39159391077237</v>
      </c>
      <c r="I241" s="1184">
        <f t="shared" si="17"/>
        <v>847.76234034494996</v>
      </c>
      <c r="J241" s="1184">
        <f t="shared" si="17"/>
        <v>890.15167233774855</v>
      </c>
      <c r="K241" s="1184">
        <f t="shared" si="17"/>
        <v>890.15167233774889</v>
      </c>
      <c r="L241" s="1184">
        <f t="shared" si="17"/>
        <v>890.15167233774844</v>
      </c>
      <c r="M241" s="1184">
        <f t="shared" si="17"/>
        <v>890.15167233774844</v>
      </c>
      <c r="N241" s="1184">
        <f t="shared" si="17"/>
        <v>890.15167233774866</v>
      </c>
      <c r="O241" s="1184">
        <f t="shared" si="17"/>
        <v>890.15167233774855</v>
      </c>
    </row>
    <row r="242" spans="2:15" x14ac:dyDescent="0.3">
      <c r="B242" s="964" t="str">
        <f t="shared" si="18"/>
        <v>Incorporated</v>
      </c>
      <c r="C242" s="964">
        <f t="shared" si="16"/>
        <v>79</v>
      </c>
      <c r="D242" s="1268">
        <f t="shared" si="16"/>
        <v>652.54</v>
      </c>
      <c r="E242" s="665">
        <f t="shared" si="16"/>
        <v>669.81000000000006</v>
      </c>
      <c r="F242" s="1184">
        <f t="shared" si="17"/>
        <v>733.32114671865565</v>
      </c>
      <c r="G242" s="1184">
        <f t="shared" si="17"/>
        <v>779.47036202945696</v>
      </c>
      <c r="H242" s="1184">
        <f t="shared" si="17"/>
        <v>818.44501873793831</v>
      </c>
      <c r="I242" s="1184">
        <f t="shared" si="17"/>
        <v>859.36845531397012</v>
      </c>
      <c r="J242" s="1184">
        <f t="shared" si="17"/>
        <v>902.33811273613321</v>
      </c>
      <c r="K242" s="1184">
        <f t="shared" si="17"/>
        <v>902.33811273613344</v>
      </c>
      <c r="L242" s="1184">
        <f t="shared" si="17"/>
        <v>902.3381127361331</v>
      </c>
      <c r="M242" s="1184">
        <f t="shared" si="17"/>
        <v>902.3381127361331</v>
      </c>
      <c r="N242" s="1184">
        <f t="shared" si="17"/>
        <v>902.33811273613321</v>
      </c>
      <c r="O242" s="1184">
        <f t="shared" si="17"/>
        <v>902.33811273613321</v>
      </c>
    </row>
    <row r="243" spans="2:15" x14ac:dyDescent="0.3">
      <c r="B243" s="964" t="str">
        <f t="shared" si="18"/>
        <v>Incorporated</v>
      </c>
      <c r="C243" s="964">
        <f t="shared" si="16"/>
        <v>80</v>
      </c>
      <c r="D243" s="1268">
        <f t="shared" si="16"/>
        <v>661.16</v>
      </c>
      <c r="E243" s="665">
        <f t="shared" si="16"/>
        <v>678.66</v>
      </c>
      <c r="F243" s="1184">
        <f t="shared" si="17"/>
        <v>743.22397489644982</v>
      </c>
      <c r="G243" s="1184">
        <f t="shared" si="17"/>
        <v>789.99741600613208</v>
      </c>
      <c r="H243" s="1184">
        <f t="shared" si="17"/>
        <v>829.49844356510414</v>
      </c>
      <c r="I243" s="1184">
        <f t="shared" si="17"/>
        <v>870.97457028299027</v>
      </c>
      <c r="J243" s="1184">
        <f t="shared" si="17"/>
        <v>914.52455313451776</v>
      </c>
      <c r="K243" s="1184">
        <f t="shared" si="17"/>
        <v>914.52455313451799</v>
      </c>
      <c r="L243" s="1184">
        <f t="shared" si="17"/>
        <v>914.52455313451765</v>
      </c>
      <c r="M243" s="1184">
        <f t="shared" si="17"/>
        <v>914.52455313451765</v>
      </c>
      <c r="N243" s="1184">
        <f t="shared" si="17"/>
        <v>914.52455313451787</v>
      </c>
      <c r="O243" s="1184">
        <f t="shared" si="17"/>
        <v>914.52455313451776</v>
      </c>
    </row>
    <row r="244" spans="2:15" x14ac:dyDescent="0.3">
      <c r="B244" s="964" t="str">
        <f t="shared" si="18"/>
        <v>Incorporated</v>
      </c>
      <c r="C244" s="964">
        <f t="shared" si="16"/>
        <v>81</v>
      </c>
      <c r="D244" s="1268">
        <f t="shared" si="16"/>
        <v>669.78</v>
      </c>
      <c r="E244" s="665">
        <f t="shared" si="16"/>
        <v>687.51</v>
      </c>
      <c r="F244" s="1184">
        <f t="shared" si="17"/>
        <v>753.12680307424398</v>
      </c>
      <c r="G244" s="1184">
        <f t="shared" si="17"/>
        <v>800.5244699828072</v>
      </c>
      <c r="H244" s="1184">
        <f t="shared" si="17"/>
        <v>840.55186839226997</v>
      </c>
      <c r="I244" s="1184">
        <f t="shared" si="17"/>
        <v>882.5806852520102</v>
      </c>
      <c r="J244" s="1184">
        <f t="shared" si="17"/>
        <v>926.71099353290242</v>
      </c>
      <c r="K244" s="1184">
        <f t="shared" si="17"/>
        <v>926.71099353290253</v>
      </c>
      <c r="L244" s="1184">
        <f t="shared" si="17"/>
        <v>926.71099353290231</v>
      </c>
      <c r="M244" s="1184">
        <f t="shared" si="17"/>
        <v>926.71099353290231</v>
      </c>
      <c r="N244" s="1184">
        <f t="shared" si="17"/>
        <v>926.71099353290253</v>
      </c>
      <c r="O244" s="1184">
        <f t="shared" si="17"/>
        <v>926.71099353290242</v>
      </c>
    </row>
    <row r="245" spans="2:15" x14ac:dyDescent="0.3">
      <c r="B245" s="964" t="str">
        <f t="shared" si="18"/>
        <v>Incorporated</v>
      </c>
      <c r="C245" s="964">
        <f t="shared" si="16"/>
        <v>82</v>
      </c>
      <c r="D245" s="1268">
        <f t="shared" si="16"/>
        <v>678.4</v>
      </c>
      <c r="E245" s="665">
        <f t="shared" si="16"/>
        <v>696.36</v>
      </c>
      <c r="F245" s="1184">
        <f t="shared" si="17"/>
        <v>763.02963125203814</v>
      </c>
      <c r="G245" s="1184">
        <f t="shared" si="17"/>
        <v>811.05152395948232</v>
      </c>
      <c r="H245" s="1184">
        <f t="shared" si="17"/>
        <v>851.60529321943579</v>
      </c>
      <c r="I245" s="1184">
        <f t="shared" si="17"/>
        <v>894.18680022103035</v>
      </c>
      <c r="J245" s="1184">
        <f t="shared" si="17"/>
        <v>938.89743393128697</v>
      </c>
      <c r="K245" s="1184">
        <f t="shared" si="17"/>
        <v>938.89743393128731</v>
      </c>
      <c r="L245" s="1184">
        <f t="shared" si="17"/>
        <v>938.89743393128686</v>
      </c>
      <c r="M245" s="1184">
        <f t="shared" si="17"/>
        <v>938.89743393128686</v>
      </c>
      <c r="N245" s="1184">
        <f t="shared" si="17"/>
        <v>938.89743393128708</v>
      </c>
      <c r="O245" s="1184">
        <f t="shared" si="17"/>
        <v>938.89743393128697</v>
      </c>
    </row>
    <row r="246" spans="2:15" x14ac:dyDescent="0.3">
      <c r="B246" s="964" t="str">
        <f t="shared" si="18"/>
        <v>Incorporated</v>
      </c>
      <c r="C246" s="964">
        <f t="shared" si="16"/>
        <v>83</v>
      </c>
      <c r="D246" s="1268">
        <f t="shared" si="16"/>
        <v>687.02</v>
      </c>
      <c r="E246" s="665">
        <f t="shared" si="16"/>
        <v>705.21</v>
      </c>
      <c r="F246" s="1184">
        <f t="shared" si="17"/>
        <v>772.93245942983208</v>
      </c>
      <c r="G246" s="1184">
        <f t="shared" si="17"/>
        <v>821.57857793615756</v>
      </c>
      <c r="H246" s="1184">
        <f t="shared" si="17"/>
        <v>862.65871804660162</v>
      </c>
      <c r="I246" s="1184">
        <f t="shared" si="17"/>
        <v>905.79291519005051</v>
      </c>
      <c r="J246" s="1184">
        <f t="shared" si="17"/>
        <v>951.08387432967163</v>
      </c>
      <c r="K246" s="1184">
        <f t="shared" si="17"/>
        <v>951.08387432967186</v>
      </c>
      <c r="L246" s="1184">
        <f t="shared" si="17"/>
        <v>951.08387432967152</v>
      </c>
      <c r="M246" s="1184">
        <f t="shared" si="17"/>
        <v>951.08387432967152</v>
      </c>
      <c r="N246" s="1184">
        <f t="shared" si="17"/>
        <v>951.08387432967163</v>
      </c>
      <c r="O246" s="1184">
        <f t="shared" si="17"/>
        <v>951.08387432967163</v>
      </c>
    </row>
    <row r="247" spans="2:15" x14ac:dyDescent="0.3">
      <c r="B247" s="964" t="str">
        <f t="shared" si="18"/>
        <v>Incorporated</v>
      </c>
      <c r="C247" s="964">
        <f t="shared" si="16"/>
        <v>84</v>
      </c>
      <c r="D247" s="1268">
        <f t="shared" si="16"/>
        <v>695.64</v>
      </c>
      <c r="E247" s="665">
        <f t="shared" si="16"/>
        <v>714.06000000000006</v>
      </c>
      <c r="F247" s="1184">
        <f t="shared" si="17"/>
        <v>782.83528760762624</v>
      </c>
      <c r="G247" s="1184">
        <f t="shared" si="17"/>
        <v>832.10563191283268</v>
      </c>
      <c r="H247" s="1184">
        <f t="shared" si="17"/>
        <v>873.71214287376756</v>
      </c>
      <c r="I247" s="1184">
        <f t="shared" si="17"/>
        <v>917.39903015907066</v>
      </c>
      <c r="J247" s="1184">
        <f t="shared" si="17"/>
        <v>963.27031472805618</v>
      </c>
      <c r="K247" s="1184">
        <f t="shared" si="17"/>
        <v>963.27031472805641</v>
      </c>
      <c r="L247" s="1184">
        <f t="shared" si="17"/>
        <v>963.27031472805606</v>
      </c>
      <c r="M247" s="1184">
        <f t="shared" si="17"/>
        <v>963.27031472805606</v>
      </c>
      <c r="N247" s="1184">
        <f t="shared" si="17"/>
        <v>963.27031472805629</v>
      </c>
      <c r="O247" s="1184">
        <f t="shared" si="17"/>
        <v>963.27031472805618</v>
      </c>
    </row>
    <row r="248" spans="2:15" x14ac:dyDescent="0.3">
      <c r="B248" s="964" t="str">
        <f t="shared" si="18"/>
        <v>Incorporated</v>
      </c>
      <c r="C248" s="964">
        <f t="shared" si="16"/>
        <v>85</v>
      </c>
      <c r="D248" s="1268">
        <f t="shared" si="16"/>
        <v>704.26</v>
      </c>
      <c r="E248" s="665">
        <f t="shared" si="16"/>
        <v>722.91</v>
      </c>
      <c r="F248" s="1184">
        <f t="shared" si="17"/>
        <v>792.7381157854204</v>
      </c>
      <c r="G248" s="1184">
        <f t="shared" si="17"/>
        <v>842.6326858895078</v>
      </c>
      <c r="H248" s="1184">
        <f t="shared" si="17"/>
        <v>884.76556770093339</v>
      </c>
      <c r="I248" s="1184">
        <f t="shared" si="17"/>
        <v>929.00514512809059</v>
      </c>
      <c r="J248" s="1184">
        <f t="shared" si="17"/>
        <v>975.45675512644084</v>
      </c>
      <c r="K248" s="1184">
        <f t="shared" si="17"/>
        <v>975.45675512644095</v>
      </c>
      <c r="L248" s="1184">
        <f t="shared" si="17"/>
        <v>975.45675512644073</v>
      </c>
      <c r="M248" s="1184">
        <f t="shared" si="17"/>
        <v>975.45675512644073</v>
      </c>
      <c r="N248" s="1184">
        <f t="shared" si="17"/>
        <v>975.45675512644095</v>
      </c>
      <c r="O248" s="1184">
        <f t="shared" si="17"/>
        <v>975.45675512644084</v>
      </c>
    </row>
    <row r="249" spans="2:15" x14ac:dyDescent="0.3">
      <c r="B249" s="964" t="str">
        <f t="shared" si="18"/>
        <v>Incorporated</v>
      </c>
      <c r="C249" s="964">
        <f t="shared" si="16"/>
        <v>86</v>
      </c>
      <c r="D249" s="1268">
        <f t="shared" si="16"/>
        <v>712.88</v>
      </c>
      <c r="E249" s="665">
        <f t="shared" si="16"/>
        <v>731.76</v>
      </c>
      <c r="F249" s="1184">
        <f t="shared" si="17"/>
        <v>802.64094396321457</v>
      </c>
      <c r="G249" s="1184">
        <f t="shared" si="17"/>
        <v>853.15973986618292</v>
      </c>
      <c r="H249" s="1184">
        <f t="shared" si="17"/>
        <v>895.81899252809922</v>
      </c>
      <c r="I249" s="1184">
        <f t="shared" si="17"/>
        <v>940.61126009711074</v>
      </c>
      <c r="J249" s="1184">
        <f t="shared" si="17"/>
        <v>987.64319552482539</v>
      </c>
      <c r="K249" s="1184">
        <f t="shared" si="17"/>
        <v>987.64319552482573</v>
      </c>
      <c r="L249" s="1184">
        <f t="shared" si="17"/>
        <v>987.64319552482527</v>
      </c>
      <c r="M249" s="1184">
        <f t="shared" si="17"/>
        <v>987.64319552482527</v>
      </c>
      <c r="N249" s="1184">
        <f t="shared" si="17"/>
        <v>987.6431955248255</v>
      </c>
      <c r="O249" s="1184">
        <f t="shared" si="17"/>
        <v>987.64319552482539</v>
      </c>
    </row>
    <row r="250" spans="2:15" x14ac:dyDescent="0.3">
      <c r="B250" s="964" t="str">
        <f t="shared" si="18"/>
        <v>Incorporated</v>
      </c>
      <c r="C250" s="964">
        <f t="shared" si="16"/>
        <v>87</v>
      </c>
      <c r="D250" s="1268">
        <f t="shared" si="16"/>
        <v>721.5</v>
      </c>
      <c r="E250" s="665">
        <f t="shared" si="16"/>
        <v>740.61</v>
      </c>
      <c r="F250" s="1184">
        <f t="shared" si="17"/>
        <v>812.54377214100873</v>
      </c>
      <c r="G250" s="1184">
        <f t="shared" si="17"/>
        <v>863.68679384285804</v>
      </c>
      <c r="H250" s="1184">
        <f t="shared" si="17"/>
        <v>906.87241735526504</v>
      </c>
      <c r="I250" s="1184">
        <f t="shared" si="17"/>
        <v>952.2173750661309</v>
      </c>
      <c r="J250" s="1184">
        <f t="shared" si="17"/>
        <v>999.82963592320993</v>
      </c>
      <c r="K250" s="1184">
        <f t="shared" si="17"/>
        <v>999.82963592321028</v>
      </c>
      <c r="L250" s="1184">
        <f t="shared" si="17"/>
        <v>999.82963592320982</v>
      </c>
      <c r="M250" s="1184">
        <f t="shared" si="17"/>
        <v>999.82963592320982</v>
      </c>
      <c r="N250" s="1184">
        <f t="shared" si="17"/>
        <v>999.82963592321005</v>
      </c>
      <c r="O250" s="1184">
        <f t="shared" si="17"/>
        <v>999.82963592320993</v>
      </c>
    </row>
    <row r="251" spans="2:15" x14ac:dyDescent="0.3">
      <c r="B251" s="964" t="str">
        <f t="shared" si="18"/>
        <v>Incorporated</v>
      </c>
      <c r="C251" s="964">
        <f t="shared" si="16"/>
        <v>88</v>
      </c>
      <c r="D251" s="1268">
        <f t="shared" si="16"/>
        <v>730.12</v>
      </c>
      <c r="E251" s="665">
        <f t="shared" si="16"/>
        <v>749.46</v>
      </c>
      <c r="F251" s="1184">
        <f t="shared" si="17"/>
        <v>822.44660031880267</v>
      </c>
      <c r="G251" s="1184">
        <f t="shared" si="17"/>
        <v>874.21384781953316</v>
      </c>
      <c r="H251" s="1184">
        <f t="shared" si="17"/>
        <v>917.92584218243087</v>
      </c>
      <c r="I251" s="1184">
        <f t="shared" si="17"/>
        <v>963.82349003515105</v>
      </c>
      <c r="J251" s="1184">
        <f t="shared" si="17"/>
        <v>1012.0160763215946</v>
      </c>
      <c r="K251" s="1184">
        <f t="shared" si="17"/>
        <v>1012.0160763215948</v>
      </c>
      <c r="L251" s="1184">
        <f t="shared" si="17"/>
        <v>1012.0160763215945</v>
      </c>
      <c r="M251" s="1184">
        <f t="shared" si="17"/>
        <v>1012.0160763215945</v>
      </c>
      <c r="N251" s="1184">
        <f t="shared" si="17"/>
        <v>1012.0160763215947</v>
      </c>
      <c r="O251" s="1184">
        <f t="shared" si="17"/>
        <v>1012.0160763215946</v>
      </c>
    </row>
    <row r="252" spans="2:15" x14ac:dyDescent="0.3">
      <c r="B252" s="964" t="str">
        <f t="shared" si="18"/>
        <v>Incorporated</v>
      </c>
      <c r="C252" s="964">
        <f t="shared" si="16"/>
        <v>89</v>
      </c>
      <c r="D252" s="1268">
        <f t="shared" si="16"/>
        <v>738.74</v>
      </c>
      <c r="E252" s="665">
        <f t="shared" si="16"/>
        <v>758.31000000000006</v>
      </c>
      <c r="F252" s="1184">
        <f t="shared" si="17"/>
        <v>832.34942849659683</v>
      </c>
      <c r="G252" s="1184">
        <f t="shared" si="17"/>
        <v>884.74090179620828</v>
      </c>
      <c r="H252" s="1184">
        <f t="shared" si="17"/>
        <v>928.97926700959681</v>
      </c>
      <c r="I252" s="1184">
        <f t="shared" si="17"/>
        <v>975.42960500417098</v>
      </c>
      <c r="J252" s="1184">
        <f t="shared" si="17"/>
        <v>1024.2025167199793</v>
      </c>
      <c r="K252" s="1184">
        <f t="shared" si="17"/>
        <v>1024.2025167199797</v>
      </c>
      <c r="L252" s="1184">
        <f t="shared" si="17"/>
        <v>1024.202516719979</v>
      </c>
      <c r="M252" s="1184">
        <f t="shared" si="17"/>
        <v>1024.202516719979</v>
      </c>
      <c r="N252" s="1184">
        <f t="shared" si="17"/>
        <v>1024.2025167199795</v>
      </c>
      <c r="O252" s="1184">
        <f t="shared" si="17"/>
        <v>1024.2025167199793</v>
      </c>
    </row>
    <row r="253" spans="2:15" x14ac:dyDescent="0.3">
      <c r="B253" s="964" t="str">
        <f t="shared" si="18"/>
        <v>Incorporated</v>
      </c>
      <c r="C253" s="964">
        <f t="shared" si="16"/>
        <v>90</v>
      </c>
      <c r="D253" s="1268">
        <f t="shared" si="16"/>
        <v>747.36</v>
      </c>
      <c r="E253" s="665">
        <f t="shared" si="16"/>
        <v>767.16</v>
      </c>
      <c r="F253" s="1184">
        <f t="shared" si="17"/>
        <v>842.25225667439099</v>
      </c>
      <c r="G253" s="1184">
        <f t="shared" si="17"/>
        <v>895.26795577288351</v>
      </c>
      <c r="H253" s="1184">
        <f t="shared" si="17"/>
        <v>940.03269183676264</v>
      </c>
      <c r="I253" s="1184">
        <f t="shared" si="17"/>
        <v>987.03571997319114</v>
      </c>
      <c r="J253" s="1184">
        <f t="shared" si="17"/>
        <v>1036.388957118364</v>
      </c>
      <c r="K253" s="1184">
        <f t="shared" ref="G253:O263" si="19">IF($B253=$A$64,K$27+IF($C253&gt;$B$32,$B$30*K$29+($B$31-$B$30)*K$30+($B$32-$B$31)*K$31+($C253-$B$32)*K$32,IF($C253&gt;$B$31,$B$30*K$29+($B$31-$B$30)*K$30+($C253-$B$31)*K$31,IF($C253&gt;$B$30,$B$30*K$29+($C253-$B$30)*K$30,$C253*K$29))),K$35+IF($C253&gt;$B$40,$B$38*K$37+($B$39-$B$38)*K$38+($B$40-$B$39)*K$39+($C253-$B$40)*K$40,IF($C253&gt;$B$39,$B$38*K$37+($B$39-$B$38)*K$38+($C253-$B$39)*K$39,IF($C253&gt;$B$38,$B$38*K$37+($C253-$B$38)*K$38,$C253*K$37))))</f>
        <v>1036.3889571183643</v>
      </c>
      <c r="L253" s="1184">
        <f t="shared" si="19"/>
        <v>1036.3889571183638</v>
      </c>
      <c r="M253" s="1184">
        <f t="shared" si="19"/>
        <v>1036.3889571183638</v>
      </c>
      <c r="N253" s="1184">
        <f t="shared" si="19"/>
        <v>1036.388957118364</v>
      </c>
      <c r="O253" s="1184">
        <f t="shared" si="19"/>
        <v>1036.388957118364</v>
      </c>
    </row>
    <row r="254" spans="2:15" x14ac:dyDescent="0.3">
      <c r="B254" s="964" t="str">
        <f t="shared" si="18"/>
        <v>Incorporated</v>
      </c>
      <c r="C254" s="964">
        <f t="shared" si="16"/>
        <v>91</v>
      </c>
      <c r="D254" s="1268">
        <f t="shared" si="16"/>
        <v>755.98</v>
      </c>
      <c r="E254" s="665">
        <f t="shared" si="16"/>
        <v>776.01</v>
      </c>
      <c r="F254" s="1184">
        <f t="shared" si="17"/>
        <v>852.15508485218515</v>
      </c>
      <c r="G254" s="1184">
        <f t="shared" si="19"/>
        <v>905.79500974955863</v>
      </c>
      <c r="H254" s="1184">
        <f t="shared" si="19"/>
        <v>951.08611666392846</v>
      </c>
      <c r="I254" s="1184">
        <f t="shared" si="19"/>
        <v>998.64183494221129</v>
      </c>
      <c r="J254" s="1184">
        <f t="shared" si="19"/>
        <v>1048.5753975167486</v>
      </c>
      <c r="K254" s="1184">
        <f t="shared" si="19"/>
        <v>1048.5753975167488</v>
      </c>
      <c r="L254" s="1184">
        <f t="shared" si="19"/>
        <v>1048.5753975167484</v>
      </c>
      <c r="M254" s="1184">
        <f t="shared" si="19"/>
        <v>1048.5753975167484</v>
      </c>
      <c r="N254" s="1184">
        <f t="shared" si="19"/>
        <v>1048.5753975167486</v>
      </c>
      <c r="O254" s="1184">
        <f t="shared" si="19"/>
        <v>1048.5753975167486</v>
      </c>
    </row>
    <row r="255" spans="2:15" x14ac:dyDescent="0.3">
      <c r="B255" s="964" t="str">
        <f t="shared" si="18"/>
        <v>Incorporated</v>
      </c>
      <c r="C255" s="964">
        <f t="shared" si="16"/>
        <v>92</v>
      </c>
      <c r="D255" s="1268">
        <f t="shared" si="16"/>
        <v>764.6</v>
      </c>
      <c r="E255" s="665">
        <f t="shared" si="16"/>
        <v>784.86</v>
      </c>
      <c r="F255" s="1184">
        <f t="shared" si="17"/>
        <v>862.05791302997932</v>
      </c>
      <c r="G255" s="1184">
        <f t="shared" si="19"/>
        <v>916.32206372623375</v>
      </c>
      <c r="H255" s="1184">
        <f t="shared" si="19"/>
        <v>962.13954149109429</v>
      </c>
      <c r="I255" s="1184">
        <f t="shared" si="19"/>
        <v>1010.2479499112314</v>
      </c>
      <c r="J255" s="1184">
        <f t="shared" si="19"/>
        <v>1060.7618379151331</v>
      </c>
      <c r="K255" s="1184">
        <f t="shared" si="19"/>
        <v>1060.7618379151334</v>
      </c>
      <c r="L255" s="1184">
        <f t="shared" si="19"/>
        <v>1060.7618379151331</v>
      </c>
      <c r="M255" s="1184">
        <f t="shared" si="19"/>
        <v>1060.7618379151331</v>
      </c>
      <c r="N255" s="1184">
        <f t="shared" si="19"/>
        <v>1060.7618379151334</v>
      </c>
      <c r="O255" s="1184">
        <f t="shared" si="19"/>
        <v>1060.7618379151331</v>
      </c>
    </row>
    <row r="256" spans="2:15" x14ac:dyDescent="0.3">
      <c r="B256" s="964" t="str">
        <f t="shared" si="18"/>
        <v>Incorporated</v>
      </c>
      <c r="C256" s="964">
        <f t="shared" si="16"/>
        <v>93</v>
      </c>
      <c r="D256" s="1268">
        <f t="shared" si="16"/>
        <v>773.21999999999991</v>
      </c>
      <c r="E256" s="665">
        <f t="shared" si="16"/>
        <v>793.71</v>
      </c>
      <c r="F256" s="1184">
        <f t="shared" si="17"/>
        <v>871.96074120777325</v>
      </c>
      <c r="G256" s="1184">
        <f t="shared" si="19"/>
        <v>926.84911770290887</v>
      </c>
      <c r="H256" s="1184">
        <f t="shared" si="19"/>
        <v>973.19296631826012</v>
      </c>
      <c r="I256" s="1184">
        <f t="shared" si="19"/>
        <v>1021.8540648802514</v>
      </c>
      <c r="J256" s="1184">
        <f t="shared" si="19"/>
        <v>1072.9482783135177</v>
      </c>
      <c r="K256" s="1184">
        <f t="shared" si="19"/>
        <v>1072.9482783135181</v>
      </c>
      <c r="L256" s="1184">
        <f t="shared" si="19"/>
        <v>1072.9482783135177</v>
      </c>
      <c r="M256" s="1184">
        <f t="shared" si="19"/>
        <v>1072.9482783135177</v>
      </c>
      <c r="N256" s="1184">
        <f t="shared" si="19"/>
        <v>1072.9482783135179</v>
      </c>
      <c r="O256" s="1184">
        <f t="shared" si="19"/>
        <v>1072.9482783135177</v>
      </c>
    </row>
    <row r="257" spans="2:15" x14ac:dyDescent="0.3">
      <c r="B257" s="964" t="str">
        <f t="shared" si="18"/>
        <v>Incorporated</v>
      </c>
      <c r="C257" s="964">
        <f t="shared" si="16"/>
        <v>94</v>
      </c>
      <c r="D257" s="1268">
        <f t="shared" si="16"/>
        <v>781.83999999999992</v>
      </c>
      <c r="E257" s="665">
        <f t="shared" si="16"/>
        <v>802.56000000000006</v>
      </c>
      <c r="F257" s="1184">
        <f t="shared" si="17"/>
        <v>881.86356938556742</v>
      </c>
      <c r="G257" s="1184">
        <f t="shared" si="19"/>
        <v>937.37617167958399</v>
      </c>
      <c r="H257" s="1184">
        <f t="shared" si="19"/>
        <v>984.24639114542606</v>
      </c>
      <c r="I257" s="1184">
        <f t="shared" si="19"/>
        <v>1033.4601798492715</v>
      </c>
      <c r="J257" s="1184">
        <f t="shared" si="19"/>
        <v>1085.1347187119022</v>
      </c>
      <c r="K257" s="1184">
        <f t="shared" si="19"/>
        <v>1085.1347187119027</v>
      </c>
      <c r="L257" s="1184">
        <f t="shared" si="19"/>
        <v>1085.1347187119022</v>
      </c>
      <c r="M257" s="1184">
        <f t="shared" si="19"/>
        <v>1085.1347187119022</v>
      </c>
      <c r="N257" s="1184">
        <f t="shared" si="19"/>
        <v>1085.1347187119025</v>
      </c>
      <c r="O257" s="1184">
        <f t="shared" si="19"/>
        <v>1085.1347187119022</v>
      </c>
    </row>
    <row r="258" spans="2:15" x14ac:dyDescent="0.3">
      <c r="B258" s="964" t="str">
        <f t="shared" si="18"/>
        <v>Incorporated</v>
      </c>
      <c r="C258" s="964">
        <f t="shared" si="16"/>
        <v>95</v>
      </c>
      <c r="D258" s="1268">
        <f t="shared" si="16"/>
        <v>790.45999999999992</v>
      </c>
      <c r="E258" s="665">
        <f t="shared" si="16"/>
        <v>811.41</v>
      </c>
      <c r="F258" s="1184">
        <f t="shared" si="17"/>
        <v>891.76639756336158</v>
      </c>
      <c r="G258" s="1184">
        <f t="shared" si="19"/>
        <v>947.90322565625911</v>
      </c>
      <c r="H258" s="1184">
        <f t="shared" si="19"/>
        <v>995.29981597259189</v>
      </c>
      <c r="I258" s="1184">
        <f t="shared" si="19"/>
        <v>1045.0662948182917</v>
      </c>
      <c r="J258" s="1184">
        <f t="shared" si="19"/>
        <v>1097.3211591102868</v>
      </c>
      <c r="K258" s="1184">
        <f t="shared" si="19"/>
        <v>1097.3211591102872</v>
      </c>
      <c r="L258" s="1184">
        <f t="shared" si="19"/>
        <v>1097.3211591102868</v>
      </c>
      <c r="M258" s="1184">
        <f t="shared" si="19"/>
        <v>1097.3211591102868</v>
      </c>
      <c r="N258" s="1184">
        <f t="shared" si="19"/>
        <v>1097.321159110287</v>
      </c>
      <c r="O258" s="1184">
        <f t="shared" si="19"/>
        <v>1097.3211591102868</v>
      </c>
    </row>
    <row r="259" spans="2:15" x14ac:dyDescent="0.3">
      <c r="B259" s="964" t="str">
        <f t="shared" si="18"/>
        <v>Incorporated</v>
      </c>
      <c r="C259" s="964">
        <f t="shared" si="16"/>
        <v>96</v>
      </c>
      <c r="D259" s="1268">
        <f t="shared" si="16"/>
        <v>799.07999999999993</v>
      </c>
      <c r="E259" s="665">
        <f t="shared" si="16"/>
        <v>820.26</v>
      </c>
      <c r="F259" s="1184">
        <f t="shared" si="17"/>
        <v>901.66922574115574</v>
      </c>
      <c r="G259" s="1184">
        <f t="shared" si="19"/>
        <v>958.43027963293434</v>
      </c>
      <c r="H259" s="1184">
        <f t="shared" si="19"/>
        <v>1006.3532407997577</v>
      </c>
      <c r="I259" s="1184">
        <f t="shared" si="19"/>
        <v>1056.6724097873118</v>
      </c>
      <c r="J259" s="1184">
        <f t="shared" si="19"/>
        <v>1109.5075995086715</v>
      </c>
      <c r="K259" s="1184">
        <f t="shared" si="19"/>
        <v>1109.5075995086718</v>
      </c>
      <c r="L259" s="1184">
        <f t="shared" si="19"/>
        <v>1109.5075995086713</v>
      </c>
      <c r="M259" s="1184">
        <f t="shared" si="19"/>
        <v>1109.5075995086713</v>
      </c>
      <c r="N259" s="1184">
        <f t="shared" si="19"/>
        <v>1109.5075995086718</v>
      </c>
      <c r="O259" s="1184">
        <f t="shared" si="19"/>
        <v>1109.5075995086715</v>
      </c>
    </row>
    <row r="260" spans="2:15" x14ac:dyDescent="0.3">
      <c r="B260" s="964" t="str">
        <f t="shared" si="18"/>
        <v>Incorporated</v>
      </c>
      <c r="C260" s="964">
        <f t="shared" si="16"/>
        <v>97</v>
      </c>
      <c r="D260" s="1268">
        <f t="shared" si="16"/>
        <v>807.69999999999993</v>
      </c>
      <c r="E260" s="665">
        <f t="shared" si="16"/>
        <v>829.11</v>
      </c>
      <c r="F260" s="1184">
        <f t="shared" si="17"/>
        <v>911.5720539189499</v>
      </c>
      <c r="G260" s="1184">
        <f t="shared" si="19"/>
        <v>968.95733360960946</v>
      </c>
      <c r="H260" s="1184">
        <f t="shared" si="19"/>
        <v>1017.4066656269235</v>
      </c>
      <c r="I260" s="1184">
        <f t="shared" si="19"/>
        <v>1068.2785247563318</v>
      </c>
      <c r="J260" s="1184">
        <f t="shared" si="19"/>
        <v>1121.6940399070561</v>
      </c>
      <c r="K260" s="1184">
        <f t="shared" si="19"/>
        <v>1121.6940399070565</v>
      </c>
      <c r="L260" s="1184">
        <f t="shared" si="19"/>
        <v>1121.6940399070559</v>
      </c>
      <c r="M260" s="1184">
        <f t="shared" si="19"/>
        <v>1121.6940399070559</v>
      </c>
      <c r="N260" s="1184">
        <f t="shared" si="19"/>
        <v>1121.6940399070563</v>
      </c>
      <c r="O260" s="1184">
        <f t="shared" si="19"/>
        <v>1121.6940399070561</v>
      </c>
    </row>
    <row r="261" spans="2:15" x14ac:dyDescent="0.3">
      <c r="B261" s="964" t="str">
        <f t="shared" si="18"/>
        <v>Incorporated</v>
      </c>
      <c r="C261" s="964">
        <f t="shared" si="16"/>
        <v>98</v>
      </c>
      <c r="D261" s="1268">
        <f t="shared" si="16"/>
        <v>816.31999999999994</v>
      </c>
      <c r="E261" s="665">
        <f t="shared" si="16"/>
        <v>837.96</v>
      </c>
      <c r="F261" s="1184">
        <f t="shared" si="17"/>
        <v>921.47488209674407</v>
      </c>
      <c r="G261" s="1184">
        <f t="shared" si="19"/>
        <v>979.48438758628458</v>
      </c>
      <c r="H261" s="1184">
        <f t="shared" si="19"/>
        <v>1028.4600904540894</v>
      </c>
      <c r="I261" s="1184">
        <f t="shared" si="19"/>
        <v>1079.8846397253519</v>
      </c>
      <c r="J261" s="1184">
        <f t="shared" si="19"/>
        <v>1133.8804803054409</v>
      </c>
      <c r="K261" s="1184">
        <f t="shared" si="19"/>
        <v>1133.8804803054411</v>
      </c>
      <c r="L261" s="1184">
        <f t="shared" si="19"/>
        <v>1133.8804803054406</v>
      </c>
      <c r="M261" s="1184">
        <f t="shared" si="19"/>
        <v>1133.8804803054406</v>
      </c>
      <c r="N261" s="1184">
        <f t="shared" si="19"/>
        <v>1133.8804803054409</v>
      </c>
      <c r="O261" s="1184">
        <f t="shared" si="19"/>
        <v>1133.8804803054409</v>
      </c>
    </row>
    <row r="262" spans="2:15" x14ac:dyDescent="0.3">
      <c r="B262" s="964" t="str">
        <f t="shared" si="18"/>
        <v>Incorporated</v>
      </c>
      <c r="C262" s="964">
        <f t="shared" si="16"/>
        <v>99</v>
      </c>
      <c r="D262" s="1268">
        <f t="shared" si="16"/>
        <v>824.93999999999994</v>
      </c>
      <c r="E262" s="665">
        <f t="shared" si="16"/>
        <v>846.81000000000006</v>
      </c>
      <c r="F262" s="1184">
        <f t="shared" si="17"/>
        <v>931.377710274538</v>
      </c>
      <c r="G262" s="1184">
        <f t="shared" si="19"/>
        <v>990.0114415629597</v>
      </c>
      <c r="H262" s="1184">
        <f t="shared" si="19"/>
        <v>1039.5135152812552</v>
      </c>
      <c r="I262" s="1184">
        <f t="shared" si="19"/>
        <v>1091.4907546943721</v>
      </c>
      <c r="J262" s="1184">
        <f t="shared" si="19"/>
        <v>1146.0669207038254</v>
      </c>
      <c r="K262" s="1184">
        <f t="shared" si="19"/>
        <v>1146.0669207038256</v>
      </c>
      <c r="L262" s="1184">
        <f t="shared" si="19"/>
        <v>1146.0669207038252</v>
      </c>
      <c r="M262" s="1184">
        <f t="shared" si="19"/>
        <v>1146.0669207038252</v>
      </c>
      <c r="N262" s="1184">
        <f t="shared" si="19"/>
        <v>1146.0669207038254</v>
      </c>
      <c r="O262" s="1184">
        <f t="shared" si="19"/>
        <v>1146.0669207038254</v>
      </c>
    </row>
    <row r="263" spans="2:15" x14ac:dyDescent="0.3">
      <c r="B263" s="964" t="str">
        <f t="shared" si="18"/>
        <v>Incorporated</v>
      </c>
      <c r="C263" s="964">
        <f t="shared" si="16"/>
        <v>100</v>
      </c>
      <c r="D263" s="1268">
        <f>D160</f>
        <v>833.56</v>
      </c>
      <c r="E263" s="665">
        <f t="shared" ref="E263" si="20">E160</f>
        <v>855.66</v>
      </c>
      <c r="F263" s="1184">
        <f t="shared" si="17"/>
        <v>941.28053845233217</v>
      </c>
      <c r="G263" s="1184">
        <f t="shared" si="19"/>
        <v>1000.5384955396348</v>
      </c>
      <c r="H263" s="1184">
        <f t="shared" si="19"/>
        <v>1050.566940108421</v>
      </c>
      <c r="I263" s="1184">
        <f t="shared" si="19"/>
        <v>1103.0968696633922</v>
      </c>
      <c r="J263" s="1184">
        <f t="shared" si="19"/>
        <v>1158.25336110221</v>
      </c>
      <c r="K263" s="1184">
        <f t="shared" si="19"/>
        <v>1158.2533611022102</v>
      </c>
      <c r="L263" s="1184">
        <f t="shared" si="19"/>
        <v>1158.25336110221</v>
      </c>
      <c r="M263" s="1184">
        <f t="shared" si="19"/>
        <v>1158.25336110221</v>
      </c>
      <c r="N263" s="1184">
        <f t="shared" si="19"/>
        <v>1158.2533611022102</v>
      </c>
      <c r="O263" s="1184">
        <f t="shared" si="19"/>
        <v>1158.25336110221</v>
      </c>
    </row>
    <row r="264" spans="2:15" x14ac:dyDescent="0.3">
      <c r="C264" s="657"/>
      <c r="F264" s="661"/>
    </row>
    <row r="265" spans="2:15" x14ac:dyDescent="0.3">
      <c r="F265" s="661"/>
    </row>
    <row r="266" spans="2:15" x14ac:dyDescent="0.3">
      <c r="C266" s="662" t="s">
        <v>1839</v>
      </c>
    </row>
    <row r="267" spans="2:15" x14ac:dyDescent="0.3">
      <c r="B267" s="657" t="str">
        <f>B164</f>
        <v>Incorporated</v>
      </c>
      <c r="C267" s="657">
        <f>C164</f>
        <v>1</v>
      </c>
      <c r="D267" s="661">
        <f>IF($B267=$A$64,$C267*D$46,$C267*D$49)</f>
        <v>0.84</v>
      </c>
      <c r="E267" s="661">
        <f t="shared" ref="D267:O366" si="21">IF($B267=$A$64,$C267*E$46,$C267*E$49)</f>
        <v>0.86</v>
      </c>
      <c r="F267" s="661">
        <f t="shared" si="21"/>
        <v>1.008</v>
      </c>
      <c r="G267" s="661">
        <f t="shared" si="21"/>
        <v>1.0584</v>
      </c>
      <c r="H267" s="661">
        <f>IF($B267=$A$64,$C267*H$46,$C267*H$49)</f>
        <v>1.1113200000000001</v>
      </c>
      <c r="I267" s="661">
        <f t="shared" si="21"/>
        <v>1.1668860000000001</v>
      </c>
      <c r="J267" s="661">
        <f t="shared" si="21"/>
        <v>1.2252303000000002</v>
      </c>
      <c r="K267" s="661">
        <f t="shared" si="21"/>
        <v>1.2252303000000002</v>
      </c>
      <c r="L267" s="661">
        <f t="shared" si="21"/>
        <v>1.2252303000000002</v>
      </c>
      <c r="M267" s="661">
        <f t="shared" si="21"/>
        <v>1.2252303000000002</v>
      </c>
      <c r="N267" s="661">
        <f t="shared" si="21"/>
        <v>1.2252303000000002</v>
      </c>
      <c r="O267" s="661">
        <f t="shared" si="21"/>
        <v>1.2252303000000002</v>
      </c>
    </row>
    <row r="268" spans="2:15" x14ac:dyDescent="0.3">
      <c r="B268" s="657" t="str">
        <f>B165</f>
        <v>Incorporated</v>
      </c>
      <c r="C268" s="657">
        <f t="shared" ref="C268:C331" si="22">C165</f>
        <v>2</v>
      </c>
      <c r="D268" s="661">
        <f t="shared" si="21"/>
        <v>1.68</v>
      </c>
      <c r="E268" s="661">
        <f>IF($B268=$A$64,$C268*E$46,$C268*E$49)</f>
        <v>1.72</v>
      </c>
      <c r="F268" s="661">
        <f>IF($B268=$A$64,$C268*F$46,$C268*F$49)</f>
        <v>2.016</v>
      </c>
      <c r="G268" s="661">
        <f t="shared" si="21"/>
        <v>2.1168</v>
      </c>
      <c r="H268" s="661">
        <f t="shared" si="21"/>
        <v>2.2226400000000002</v>
      </c>
      <c r="I268" s="661">
        <f t="shared" si="21"/>
        <v>2.3337720000000002</v>
      </c>
      <c r="J268" s="661">
        <f t="shared" si="21"/>
        <v>2.4504606000000004</v>
      </c>
      <c r="K268" s="661">
        <f t="shared" si="21"/>
        <v>2.4504606000000004</v>
      </c>
      <c r="L268" s="661">
        <f t="shared" si="21"/>
        <v>2.4504606000000004</v>
      </c>
      <c r="M268" s="661">
        <f t="shared" si="21"/>
        <v>2.4504606000000004</v>
      </c>
      <c r="N268" s="661">
        <f t="shared" si="21"/>
        <v>2.4504606000000004</v>
      </c>
      <c r="O268" s="661">
        <f t="shared" si="21"/>
        <v>2.4504606000000004</v>
      </c>
    </row>
    <row r="269" spans="2:15" x14ac:dyDescent="0.3">
      <c r="B269" s="657" t="str">
        <f>B166</f>
        <v>Incorporated</v>
      </c>
      <c r="C269" s="657">
        <f t="shared" si="22"/>
        <v>3</v>
      </c>
      <c r="D269" s="661">
        <f t="shared" si="21"/>
        <v>2.52</v>
      </c>
      <c r="E269" s="661">
        <f t="shared" si="21"/>
        <v>2.58</v>
      </c>
      <c r="F269" s="661">
        <f t="shared" si="21"/>
        <v>3.024</v>
      </c>
      <c r="G269" s="661">
        <f t="shared" si="21"/>
        <v>3.1752000000000002</v>
      </c>
      <c r="H269" s="661">
        <f t="shared" si="21"/>
        <v>3.3339600000000003</v>
      </c>
      <c r="I269" s="661">
        <f t="shared" si="21"/>
        <v>3.5006580000000005</v>
      </c>
      <c r="J269" s="661">
        <f t="shared" si="21"/>
        <v>3.6756909000000006</v>
      </c>
      <c r="K269" s="661">
        <f t="shared" si="21"/>
        <v>3.6756909000000006</v>
      </c>
      <c r="L269" s="661">
        <f t="shared" si="21"/>
        <v>3.6756909000000006</v>
      </c>
      <c r="M269" s="661">
        <f t="shared" si="21"/>
        <v>3.6756909000000006</v>
      </c>
      <c r="N269" s="661">
        <f t="shared" si="21"/>
        <v>3.6756909000000006</v>
      </c>
      <c r="O269" s="661">
        <f t="shared" si="21"/>
        <v>3.6756909000000006</v>
      </c>
    </row>
    <row r="270" spans="2:15" x14ac:dyDescent="0.3">
      <c r="B270" s="657" t="str">
        <f>B167</f>
        <v>Incorporated</v>
      </c>
      <c r="C270" s="657">
        <f t="shared" si="22"/>
        <v>4</v>
      </c>
      <c r="D270" s="661">
        <f t="shared" si="21"/>
        <v>3.36</v>
      </c>
      <c r="E270" s="661">
        <f t="shared" si="21"/>
        <v>3.44</v>
      </c>
      <c r="F270" s="661">
        <f t="shared" si="21"/>
        <v>4.032</v>
      </c>
      <c r="G270" s="661">
        <f t="shared" si="21"/>
        <v>4.2336</v>
      </c>
      <c r="H270" s="661">
        <f t="shared" si="21"/>
        <v>4.4452800000000003</v>
      </c>
      <c r="I270" s="661">
        <f t="shared" si="21"/>
        <v>4.6675440000000004</v>
      </c>
      <c r="J270" s="661">
        <f t="shared" si="21"/>
        <v>4.9009212000000009</v>
      </c>
      <c r="K270" s="661">
        <f t="shared" si="21"/>
        <v>4.9009212000000009</v>
      </c>
      <c r="L270" s="661">
        <f t="shared" si="21"/>
        <v>4.9009212000000009</v>
      </c>
      <c r="M270" s="661">
        <f t="shared" si="21"/>
        <v>4.9009212000000009</v>
      </c>
      <c r="N270" s="661">
        <f t="shared" si="21"/>
        <v>4.9009212000000009</v>
      </c>
      <c r="O270" s="661">
        <f t="shared" si="21"/>
        <v>4.9009212000000009</v>
      </c>
    </row>
    <row r="271" spans="2:15" x14ac:dyDescent="0.3">
      <c r="B271" s="657" t="str">
        <f t="shared" ref="B271:B334" si="23">B168</f>
        <v>Incorporated</v>
      </c>
      <c r="C271" s="657">
        <f t="shared" si="22"/>
        <v>5</v>
      </c>
      <c r="D271" s="661">
        <f t="shared" si="21"/>
        <v>4.2</v>
      </c>
      <c r="E271" s="661">
        <f t="shared" si="21"/>
        <v>4.3</v>
      </c>
      <c r="F271" s="661">
        <f t="shared" si="21"/>
        <v>5.04</v>
      </c>
      <c r="G271" s="661">
        <f t="shared" si="21"/>
        <v>5.2919999999999998</v>
      </c>
      <c r="H271" s="661">
        <f t="shared" si="21"/>
        <v>5.5566000000000004</v>
      </c>
      <c r="I271" s="661">
        <f t="shared" si="21"/>
        <v>5.8344300000000002</v>
      </c>
      <c r="J271" s="661">
        <f t="shared" si="21"/>
        <v>6.1261515000000006</v>
      </c>
      <c r="K271" s="661">
        <f t="shared" si="21"/>
        <v>6.1261515000000006</v>
      </c>
      <c r="L271" s="661">
        <f t="shared" si="21"/>
        <v>6.1261515000000006</v>
      </c>
      <c r="M271" s="661">
        <f t="shared" si="21"/>
        <v>6.1261515000000006</v>
      </c>
      <c r="N271" s="661">
        <f t="shared" si="21"/>
        <v>6.1261515000000006</v>
      </c>
      <c r="O271" s="661">
        <f t="shared" si="21"/>
        <v>6.1261515000000006</v>
      </c>
    </row>
    <row r="272" spans="2:15" x14ac:dyDescent="0.3">
      <c r="B272" s="657" t="str">
        <f t="shared" si="23"/>
        <v>Incorporated</v>
      </c>
      <c r="C272" s="657">
        <f t="shared" si="22"/>
        <v>6</v>
      </c>
      <c r="D272" s="661">
        <f t="shared" si="21"/>
        <v>5.04</v>
      </c>
      <c r="E272" s="661">
        <f t="shared" si="21"/>
        <v>5.16</v>
      </c>
      <c r="F272" s="661">
        <f t="shared" si="21"/>
        <v>6.048</v>
      </c>
      <c r="G272" s="661">
        <f t="shared" si="21"/>
        <v>6.3504000000000005</v>
      </c>
      <c r="H272" s="661">
        <f t="shared" si="21"/>
        <v>6.6679200000000005</v>
      </c>
      <c r="I272" s="661">
        <f t="shared" si="21"/>
        <v>7.001316000000001</v>
      </c>
      <c r="J272" s="661">
        <f t="shared" si="21"/>
        <v>7.3513818000000013</v>
      </c>
      <c r="K272" s="661">
        <f t="shared" si="21"/>
        <v>7.3513818000000013</v>
      </c>
      <c r="L272" s="661">
        <f t="shared" si="21"/>
        <v>7.3513818000000013</v>
      </c>
      <c r="M272" s="661">
        <f t="shared" si="21"/>
        <v>7.3513818000000013</v>
      </c>
      <c r="N272" s="661">
        <f t="shared" si="21"/>
        <v>7.3513818000000013</v>
      </c>
      <c r="O272" s="661">
        <f t="shared" si="21"/>
        <v>7.3513818000000013</v>
      </c>
    </row>
    <row r="273" spans="2:15" x14ac:dyDescent="0.3">
      <c r="B273" s="657" t="str">
        <f t="shared" si="23"/>
        <v>Incorporated</v>
      </c>
      <c r="C273" s="657">
        <f t="shared" si="22"/>
        <v>7</v>
      </c>
      <c r="D273" s="661">
        <f t="shared" si="21"/>
        <v>5.88</v>
      </c>
      <c r="E273" s="661">
        <f t="shared" si="21"/>
        <v>6.02</v>
      </c>
      <c r="F273" s="661">
        <f t="shared" si="21"/>
        <v>7.056</v>
      </c>
      <c r="G273" s="661">
        <f t="shared" si="21"/>
        <v>7.4088000000000003</v>
      </c>
      <c r="H273" s="661">
        <f t="shared" si="21"/>
        <v>7.7792400000000006</v>
      </c>
      <c r="I273" s="661">
        <f t="shared" si="21"/>
        <v>8.1682020000000009</v>
      </c>
      <c r="J273" s="661">
        <f t="shared" si="21"/>
        <v>8.576612100000002</v>
      </c>
      <c r="K273" s="661">
        <f t="shared" si="21"/>
        <v>8.576612100000002</v>
      </c>
      <c r="L273" s="661">
        <f t="shared" si="21"/>
        <v>8.576612100000002</v>
      </c>
      <c r="M273" s="661">
        <f t="shared" si="21"/>
        <v>8.576612100000002</v>
      </c>
      <c r="N273" s="661">
        <f t="shared" si="21"/>
        <v>8.576612100000002</v>
      </c>
      <c r="O273" s="661">
        <f t="shared" si="21"/>
        <v>8.576612100000002</v>
      </c>
    </row>
    <row r="274" spans="2:15" x14ac:dyDescent="0.3">
      <c r="B274" s="657" t="str">
        <f t="shared" si="23"/>
        <v>Incorporated</v>
      </c>
      <c r="C274" s="657">
        <f t="shared" si="22"/>
        <v>8</v>
      </c>
      <c r="D274" s="661">
        <f t="shared" si="21"/>
        <v>6.72</v>
      </c>
      <c r="E274" s="661">
        <f t="shared" si="21"/>
        <v>6.88</v>
      </c>
      <c r="F274" s="661">
        <f t="shared" si="21"/>
        <v>8.0640000000000001</v>
      </c>
      <c r="G274" s="661">
        <f t="shared" si="21"/>
        <v>8.4672000000000001</v>
      </c>
      <c r="H274" s="661">
        <f t="shared" si="21"/>
        <v>8.8905600000000007</v>
      </c>
      <c r="I274" s="661">
        <f t="shared" si="21"/>
        <v>9.3350880000000007</v>
      </c>
      <c r="J274" s="661">
        <f t="shared" si="21"/>
        <v>9.8018424000000017</v>
      </c>
      <c r="K274" s="661">
        <f t="shared" si="21"/>
        <v>9.8018424000000017</v>
      </c>
      <c r="L274" s="661">
        <f t="shared" si="21"/>
        <v>9.8018424000000017</v>
      </c>
      <c r="M274" s="661">
        <f t="shared" si="21"/>
        <v>9.8018424000000017</v>
      </c>
      <c r="N274" s="661">
        <f t="shared" si="21"/>
        <v>9.8018424000000017</v>
      </c>
      <c r="O274" s="661">
        <f t="shared" si="21"/>
        <v>9.8018424000000017</v>
      </c>
    </row>
    <row r="275" spans="2:15" x14ac:dyDescent="0.3">
      <c r="B275" s="657" t="str">
        <f t="shared" si="23"/>
        <v>Incorporated</v>
      </c>
      <c r="C275" s="657">
        <f t="shared" si="22"/>
        <v>9</v>
      </c>
      <c r="D275" s="661">
        <f t="shared" si="21"/>
        <v>7.56</v>
      </c>
      <c r="E275" s="661">
        <f t="shared" si="21"/>
        <v>7.74</v>
      </c>
      <c r="F275" s="661">
        <f t="shared" si="21"/>
        <v>9.0719999999999992</v>
      </c>
      <c r="G275" s="661">
        <f t="shared" si="21"/>
        <v>9.5256000000000007</v>
      </c>
      <c r="H275" s="661">
        <f t="shared" si="21"/>
        <v>10.00188</v>
      </c>
      <c r="I275" s="661">
        <f t="shared" si="21"/>
        <v>10.501974000000001</v>
      </c>
      <c r="J275" s="661">
        <f t="shared" si="21"/>
        <v>11.027072700000002</v>
      </c>
      <c r="K275" s="661">
        <f t="shared" si="21"/>
        <v>11.027072700000002</v>
      </c>
      <c r="L275" s="661">
        <f t="shared" si="21"/>
        <v>11.027072700000002</v>
      </c>
      <c r="M275" s="661">
        <f t="shared" si="21"/>
        <v>11.027072700000002</v>
      </c>
      <c r="N275" s="661">
        <f t="shared" si="21"/>
        <v>11.027072700000002</v>
      </c>
      <c r="O275" s="661">
        <f t="shared" si="21"/>
        <v>11.027072700000002</v>
      </c>
    </row>
    <row r="276" spans="2:15" x14ac:dyDescent="0.3">
      <c r="B276" s="657" t="str">
        <f t="shared" si="23"/>
        <v>Incorporated</v>
      </c>
      <c r="C276" s="657">
        <f t="shared" si="22"/>
        <v>10</v>
      </c>
      <c r="D276" s="661">
        <f t="shared" si="21"/>
        <v>8.4</v>
      </c>
      <c r="E276" s="661">
        <f t="shared" si="21"/>
        <v>8.6</v>
      </c>
      <c r="F276" s="661">
        <f t="shared" si="21"/>
        <v>10.08</v>
      </c>
      <c r="G276" s="661">
        <f t="shared" si="21"/>
        <v>10.584</v>
      </c>
      <c r="H276" s="661">
        <f t="shared" si="21"/>
        <v>11.113200000000001</v>
      </c>
      <c r="I276" s="661">
        <f t="shared" si="21"/>
        <v>11.66886</v>
      </c>
      <c r="J276" s="661">
        <f t="shared" si="21"/>
        <v>12.252303000000001</v>
      </c>
      <c r="K276" s="661">
        <f t="shared" si="21"/>
        <v>12.252303000000001</v>
      </c>
      <c r="L276" s="661">
        <f t="shared" si="21"/>
        <v>12.252303000000001</v>
      </c>
      <c r="M276" s="661">
        <f t="shared" si="21"/>
        <v>12.252303000000001</v>
      </c>
      <c r="N276" s="661">
        <f t="shared" si="21"/>
        <v>12.252303000000001</v>
      </c>
      <c r="O276" s="661">
        <f t="shared" si="21"/>
        <v>12.252303000000001</v>
      </c>
    </row>
    <row r="277" spans="2:15" x14ac:dyDescent="0.3">
      <c r="B277" s="657" t="str">
        <f t="shared" si="23"/>
        <v>Incorporated</v>
      </c>
      <c r="C277" s="657">
        <f t="shared" si="22"/>
        <v>11</v>
      </c>
      <c r="D277" s="661">
        <f t="shared" si="21"/>
        <v>9.24</v>
      </c>
      <c r="E277" s="661">
        <f t="shared" si="21"/>
        <v>9.4599999999999991</v>
      </c>
      <c r="F277" s="661">
        <f t="shared" si="21"/>
        <v>11.088000000000001</v>
      </c>
      <c r="G277" s="661">
        <f t="shared" si="21"/>
        <v>11.6424</v>
      </c>
      <c r="H277" s="661">
        <f t="shared" si="21"/>
        <v>12.224520000000002</v>
      </c>
      <c r="I277" s="661">
        <f t="shared" si="21"/>
        <v>12.835746</v>
      </c>
      <c r="J277" s="661">
        <f t="shared" si="21"/>
        <v>13.477533300000003</v>
      </c>
      <c r="K277" s="661">
        <f t="shared" si="21"/>
        <v>13.477533300000003</v>
      </c>
      <c r="L277" s="661">
        <f t="shared" si="21"/>
        <v>13.477533300000003</v>
      </c>
      <c r="M277" s="661">
        <f t="shared" si="21"/>
        <v>13.477533300000003</v>
      </c>
      <c r="N277" s="661">
        <f t="shared" si="21"/>
        <v>13.477533300000003</v>
      </c>
      <c r="O277" s="661">
        <f t="shared" si="21"/>
        <v>13.477533300000003</v>
      </c>
    </row>
    <row r="278" spans="2:15" x14ac:dyDescent="0.3">
      <c r="B278" s="657" t="str">
        <f t="shared" si="23"/>
        <v>Incorporated</v>
      </c>
      <c r="C278" s="657">
        <f t="shared" si="22"/>
        <v>12</v>
      </c>
      <c r="D278" s="661">
        <f t="shared" si="21"/>
        <v>10.08</v>
      </c>
      <c r="E278" s="661">
        <f t="shared" si="21"/>
        <v>10.32</v>
      </c>
      <c r="F278" s="661">
        <f t="shared" si="21"/>
        <v>12.096</v>
      </c>
      <c r="G278" s="661">
        <f t="shared" si="21"/>
        <v>12.700800000000001</v>
      </c>
      <c r="H278" s="661">
        <f t="shared" si="21"/>
        <v>13.335840000000001</v>
      </c>
      <c r="I278" s="661">
        <f t="shared" si="21"/>
        <v>14.002632000000002</v>
      </c>
      <c r="J278" s="661">
        <f t="shared" si="21"/>
        <v>14.702763600000003</v>
      </c>
      <c r="K278" s="661">
        <f t="shared" si="21"/>
        <v>14.702763600000003</v>
      </c>
      <c r="L278" s="661">
        <f t="shared" si="21"/>
        <v>14.702763600000003</v>
      </c>
      <c r="M278" s="661">
        <f t="shared" si="21"/>
        <v>14.702763600000003</v>
      </c>
      <c r="N278" s="661">
        <f t="shared" si="21"/>
        <v>14.702763600000003</v>
      </c>
      <c r="O278" s="661">
        <f t="shared" si="21"/>
        <v>14.702763600000003</v>
      </c>
    </row>
    <row r="279" spans="2:15" x14ac:dyDescent="0.3">
      <c r="B279" s="657" t="str">
        <f t="shared" si="23"/>
        <v>Incorporated</v>
      </c>
      <c r="C279" s="657">
        <f t="shared" si="22"/>
        <v>13</v>
      </c>
      <c r="D279" s="661">
        <f t="shared" si="21"/>
        <v>10.92</v>
      </c>
      <c r="E279" s="661">
        <f t="shared" si="21"/>
        <v>11.18</v>
      </c>
      <c r="F279" s="661">
        <f t="shared" si="21"/>
        <v>13.103999999999999</v>
      </c>
      <c r="G279" s="661">
        <f t="shared" si="21"/>
        <v>13.7592</v>
      </c>
      <c r="H279" s="661">
        <f t="shared" si="21"/>
        <v>14.44716</v>
      </c>
      <c r="I279" s="661">
        <f t="shared" si="21"/>
        <v>15.169518000000002</v>
      </c>
      <c r="J279" s="661">
        <f t="shared" si="21"/>
        <v>15.927993900000002</v>
      </c>
      <c r="K279" s="661">
        <f t="shared" si="21"/>
        <v>15.927993900000002</v>
      </c>
      <c r="L279" s="661">
        <f t="shared" si="21"/>
        <v>15.927993900000002</v>
      </c>
      <c r="M279" s="661">
        <f t="shared" si="21"/>
        <v>15.927993900000002</v>
      </c>
      <c r="N279" s="661">
        <f t="shared" si="21"/>
        <v>15.927993900000002</v>
      </c>
      <c r="O279" s="661">
        <f t="shared" si="21"/>
        <v>15.927993900000002</v>
      </c>
    </row>
    <row r="280" spans="2:15" x14ac:dyDescent="0.3">
      <c r="B280" s="657" t="str">
        <f t="shared" si="23"/>
        <v>Incorporated</v>
      </c>
      <c r="C280" s="657">
        <f t="shared" si="22"/>
        <v>14</v>
      </c>
      <c r="D280" s="661">
        <f t="shared" si="21"/>
        <v>11.76</v>
      </c>
      <c r="E280" s="661">
        <f t="shared" si="21"/>
        <v>12.04</v>
      </c>
      <c r="F280" s="661">
        <f t="shared" si="21"/>
        <v>14.112</v>
      </c>
      <c r="G280" s="661">
        <f t="shared" si="21"/>
        <v>14.817600000000001</v>
      </c>
      <c r="H280" s="661">
        <f t="shared" si="21"/>
        <v>15.558480000000001</v>
      </c>
      <c r="I280" s="661">
        <f t="shared" si="21"/>
        <v>16.336404000000002</v>
      </c>
      <c r="J280" s="661">
        <f t="shared" si="21"/>
        <v>17.153224200000004</v>
      </c>
      <c r="K280" s="661">
        <f t="shared" si="21"/>
        <v>17.153224200000004</v>
      </c>
      <c r="L280" s="661">
        <f t="shared" si="21"/>
        <v>17.153224200000004</v>
      </c>
      <c r="M280" s="661">
        <f t="shared" ref="E280:O295" si="24">IF($B280=$A$64,$C280*M$46,$C280*M$49)</f>
        <v>17.153224200000004</v>
      </c>
      <c r="N280" s="661">
        <f t="shared" si="24"/>
        <v>17.153224200000004</v>
      </c>
      <c r="O280" s="661">
        <f t="shared" si="24"/>
        <v>17.153224200000004</v>
      </c>
    </row>
    <row r="281" spans="2:15" x14ac:dyDescent="0.3">
      <c r="B281" s="657" t="str">
        <f t="shared" si="23"/>
        <v>Incorporated</v>
      </c>
      <c r="C281" s="657">
        <f t="shared" si="22"/>
        <v>15</v>
      </c>
      <c r="D281" s="661">
        <f t="shared" si="21"/>
        <v>12.6</v>
      </c>
      <c r="E281" s="661">
        <f t="shared" si="24"/>
        <v>12.9</v>
      </c>
      <c r="F281" s="661">
        <f t="shared" si="24"/>
        <v>15.120000000000001</v>
      </c>
      <c r="G281" s="661">
        <f t="shared" si="24"/>
        <v>15.875999999999999</v>
      </c>
      <c r="H281" s="661">
        <f t="shared" si="24"/>
        <v>16.669800000000002</v>
      </c>
      <c r="I281" s="661">
        <f t="shared" si="24"/>
        <v>17.50329</v>
      </c>
      <c r="J281" s="661">
        <f t="shared" si="24"/>
        <v>18.378454500000004</v>
      </c>
      <c r="K281" s="661">
        <f t="shared" si="24"/>
        <v>18.378454500000004</v>
      </c>
      <c r="L281" s="661">
        <f t="shared" si="24"/>
        <v>18.378454500000004</v>
      </c>
      <c r="M281" s="661">
        <f t="shared" si="24"/>
        <v>18.378454500000004</v>
      </c>
      <c r="N281" s="661">
        <f t="shared" si="24"/>
        <v>18.378454500000004</v>
      </c>
      <c r="O281" s="661">
        <f t="shared" si="24"/>
        <v>18.378454500000004</v>
      </c>
    </row>
    <row r="282" spans="2:15" x14ac:dyDescent="0.3">
      <c r="B282" s="657" t="str">
        <f t="shared" si="23"/>
        <v>Incorporated</v>
      </c>
      <c r="C282" s="657">
        <f t="shared" si="22"/>
        <v>16</v>
      </c>
      <c r="D282" s="661">
        <f t="shared" si="21"/>
        <v>13.44</v>
      </c>
      <c r="E282" s="661">
        <f t="shared" si="24"/>
        <v>13.76</v>
      </c>
      <c r="F282" s="661">
        <f t="shared" si="24"/>
        <v>16.128</v>
      </c>
      <c r="G282" s="661">
        <f t="shared" si="24"/>
        <v>16.9344</v>
      </c>
      <c r="H282" s="661">
        <f t="shared" si="24"/>
        <v>17.781120000000001</v>
      </c>
      <c r="I282" s="661">
        <f t="shared" si="24"/>
        <v>18.670176000000001</v>
      </c>
      <c r="J282" s="661">
        <f t="shared" si="24"/>
        <v>19.603684800000003</v>
      </c>
      <c r="K282" s="661">
        <f t="shared" si="24"/>
        <v>19.603684800000003</v>
      </c>
      <c r="L282" s="661">
        <f t="shared" si="24"/>
        <v>19.603684800000003</v>
      </c>
      <c r="M282" s="661">
        <f t="shared" si="24"/>
        <v>19.603684800000003</v>
      </c>
      <c r="N282" s="661">
        <f t="shared" si="24"/>
        <v>19.603684800000003</v>
      </c>
      <c r="O282" s="661">
        <f t="shared" si="24"/>
        <v>19.603684800000003</v>
      </c>
    </row>
    <row r="283" spans="2:15" x14ac:dyDescent="0.3">
      <c r="B283" s="657" t="str">
        <f t="shared" si="23"/>
        <v>Incorporated</v>
      </c>
      <c r="C283" s="657">
        <f t="shared" si="22"/>
        <v>17</v>
      </c>
      <c r="D283" s="661">
        <f t="shared" si="21"/>
        <v>14.28</v>
      </c>
      <c r="E283" s="661">
        <f t="shared" si="24"/>
        <v>14.62</v>
      </c>
      <c r="F283" s="661">
        <f t="shared" si="24"/>
        <v>17.135999999999999</v>
      </c>
      <c r="G283" s="661">
        <f t="shared" si="24"/>
        <v>17.992799999999999</v>
      </c>
      <c r="H283" s="661">
        <f t="shared" si="24"/>
        <v>18.892440000000001</v>
      </c>
      <c r="I283" s="661">
        <f t="shared" si="24"/>
        <v>19.837062000000003</v>
      </c>
      <c r="J283" s="661">
        <f t="shared" si="24"/>
        <v>20.828915100000003</v>
      </c>
      <c r="K283" s="661">
        <f t="shared" si="24"/>
        <v>20.828915100000003</v>
      </c>
      <c r="L283" s="661">
        <f t="shared" si="24"/>
        <v>20.828915100000003</v>
      </c>
      <c r="M283" s="661">
        <f t="shared" si="24"/>
        <v>20.828915100000003</v>
      </c>
      <c r="N283" s="661">
        <f t="shared" si="24"/>
        <v>20.828915100000003</v>
      </c>
      <c r="O283" s="661">
        <f t="shared" si="24"/>
        <v>20.828915100000003</v>
      </c>
    </row>
    <row r="284" spans="2:15" x14ac:dyDescent="0.3">
      <c r="B284" s="657" t="str">
        <f t="shared" si="23"/>
        <v>Incorporated</v>
      </c>
      <c r="C284" s="657">
        <f t="shared" si="22"/>
        <v>18</v>
      </c>
      <c r="D284" s="661">
        <f t="shared" si="21"/>
        <v>15.12</v>
      </c>
      <c r="E284" s="661">
        <f t="shared" si="24"/>
        <v>15.48</v>
      </c>
      <c r="F284" s="661">
        <f t="shared" si="24"/>
        <v>18.143999999999998</v>
      </c>
      <c r="G284" s="661">
        <f t="shared" si="24"/>
        <v>19.051200000000001</v>
      </c>
      <c r="H284" s="661">
        <f t="shared" si="24"/>
        <v>20.00376</v>
      </c>
      <c r="I284" s="661">
        <f t="shared" si="24"/>
        <v>21.003948000000001</v>
      </c>
      <c r="J284" s="661">
        <f t="shared" si="24"/>
        <v>22.054145400000003</v>
      </c>
      <c r="K284" s="661">
        <f t="shared" si="24"/>
        <v>22.054145400000003</v>
      </c>
      <c r="L284" s="661">
        <f t="shared" si="24"/>
        <v>22.054145400000003</v>
      </c>
      <c r="M284" s="661">
        <f t="shared" si="24"/>
        <v>22.054145400000003</v>
      </c>
      <c r="N284" s="661">
        <f t="shared" si="24"/>
        <v>22.054145400000003</v>
      </c>
      <c r="O284" s="661">
        <f t="shared" si="24"/>
        <v>22.054145400000003</v>
      </c>
    </row>
    <row r="285" spans="2:15" x14ac:dyDescent="0.3">
      <c r="B285" s="657" t="str">
        <f t="shared" si="23"/>
        <v>Incorporated</v>
      </c>
      <c r="C285" s="657">
        <f t="shared" si="22"/>
        <v>19</v>
      </c>
      <c r="D285" s="661">
        <f t="shared" si="21"/>
        <v>15.959999999999999</v>
      </c>
      <c r="E285" s="661">
        <f t="shared" si="24"/>
        <v>16.34</v>
      </c>
      <c r="F285" s="661">
        <f t="shared" si="24"/>
        <v>19.152000000000001</v>
      </c>
      <c r="G285" s="661">
        <f t="shared" si="24"/>
        <v>20.1096</v>
      </c>
      <c r="H285" s="661">
        <f t="shared" si="24"/>
        <v>21.115080000000003</v>
      </c>
      <c r="I285" s="661">
        <f t="shared" si="24"/>
        <v>22.170834000000003</v>
      </c>
      <c r="J285" s="661">
        <f t="shared" si="24"/>
        <v>23.279375700000003</v>
      </c>
      <c r="K285" s="661">
        <f t="shared" si="24"/>
        <v>23.279375700000003</v>
      </c>
      <c r="L285" s="661">
        <f t="shared" si="24"/>
        <v>23.279375700000003</v>
      </c>
      <c r="M285" s="661">
        <f t="shared" si="24"/>
        <v>23.279375700000003</v>
      </c>
      <c r="N285" s="661">
        <f t="shared" si="24"/>
        <v>23.279375700000003</v>
      </c>
      <c r="O285" s="661">
        <f t="shared" si="24"/>
        <v>23.279375700000003</v>
      </c>
    </row>
    <row r="286" spans="2:15" x14ac:dyDescent="0.3">
      <c r="B286" s="657" t="str">
        <f t="shared" si="23"/>
        <v>Incorporated</v>
      </c>
      <c r="C286" s="657">
        <f t="shared" si="22"/>
        <v>20</v>
      </c>
      <c r="D286" s="661">
        <f t="shared" si="21"/>
        <v>16.8</v>
      </c>
      <c r="E286" s="661">
        <f t="shared" si="24"/>
        <v>17.2</v>
      </c>
      <c r="F286" s="661">
        <f t="shared" si="24"/>
        <v>20.16</v>
      </c>
      <c r="G286" s="661">
        <f t="shared" si="24"/>
        <v>21.167999999999999</v>
      </c>
      <c r="H286" s="661">
        <f t="shared" si="24"/>
        <v>22.226400000000002</v>
      </c>
      <c r="I286" s="661">
        <f t="shared" si="24"/>
        <v>23.337720000000001</v>
      </c>
      <c r="J286" s="661">
        <f t="shared" si="24"/>
        <v>24.504606000000003</v>
      </c>
      <c r="K286" s="661">
        <f t="shared" si="24"/>
        <v>24.504606000000003</v>
      </c>
      <c r="L286" s="661">
        <f t="shared" si="24"/>
        <v>24.504606000000003</v>
      </c>
      <c r="M286" s="661">
        <f t="shared" si="24"/>
        <v>24.504606000000003</v>
      </c>
      <c r="N286" s="661">
        <f t="shared" si="24"/>
        <v>24.504606000000003</v>
      </c>
      <c r="O286" s="661">
        <f t="shared" si="24"/>
        <v>24.504606000000003</v>
      </c>
    </row>
    <row r="287" spans="2:15" x14ac:dyDescent="0.3">
      <c r="B287" s="657" t="str">
        <f t="shared" si="23"/>
        <v>Incorporated</v>
      </c>
      <c r="C287" s="657">
        <f t="shared" si="22"/>
        <v>21</v>
      </c>
      <c r="D287" s="661">
        <f t="shared" si="21"/>
        <v>17.64</v>
      </c>
      <c r="E287" s="661">
        <f t="shared" si="24"/>
        <v>18.059999999999999</v>
      </c>
      <c r="F287" s="661">
        <f t="shared" si="24"/>
        <v>21.167999999999999</v>
      </c>
      <c r="G287" s="661">
        <f t="shared" si="24"/>
        <v>22.226400000000002</v>
      </c>
      <c r="H287" s="661">
        <f t="shared" si="24"/>
        <v>23.337720000000001</v>
      </c>
      <c r="I287" s="661">
        <f t="shared" si="24"/>
        <v>24.504606000000003</v>
      </c>
      <c r="J287" s="661">
        <f t="shared" si="24"/>
        <v>25.729836300000006</v>
      </c>
      <c r="K287" s="661">
        <f t="shared" si="24"/>
        <v>25.729836300000006</v>
      </c>
      <c r="L287" s="661">
        <f t="shared" si="24"/>
        <v>25.729836300000006</v>
      </c>
      <c r="M287" s="661">
        <f t="shared" si="24"/>
        <v>25.729836300000006</v>
      </c>
      <c r="N287" s="661">
        <f t="shared" si="24"/>
        <v>25.729836300000006</v>
      </c>
      <c r="O287" s="661">
        <f t="shared" si="24"/>
        <v>25.729836300000006</v>
      </c>
    </row>
    <row r="288" spans="2:15" x14ac:dyDescent="0.3">
      <c r="B288" s="657" t="str">
        <f t="shared" si="23"/>
        <v>Incorporated</v>
      </c>
      <c r="C288" s="657">
        <f t="shared" si="22"/>
        <v>22</v>
      </c>
      <c r="D288" s="661">
        <f t="shared" si="21"/>
        <v>18.48</v>
      </c>
      <c r="E288" s="661">
        <f t="shared" si="24"/>
        <v>18.919999999999998</v>
      </c>
      <c r="F288" s="661">
        <f t="shared" si="24"/>
        <v>22.176000000000002</v>
      </c>
      <c r="G288" s="661">
        <f t="shared" si="24"/>
        <v>23.284800000000001</v>
      </c>
      <c r="H288" s="661">
        <f t="shared" si="24"/>
        <v>24.449040000000004</v>
      </c>
      <c r="I288" s="661">
        <f t="shared" si="24"/>
        <v>25.671492000000001</v>
      </c>
      <c r="J288" s="661">
        <f t="shared" si="24"/>
        <v>26.955066600000006</v>
      </c>
      <c r="K288" s="661">
        <f t="shared" si="24"/>
        <v>26.955066600000006</v>
      </c>
      <c r="L288" s="661">
        <f t="shared" si="24"/>
        <v>26.955066600000006</v>
      </c>
      <c r="M288" s="661">
        <f t="shared" si="24"/>
        <v>26.955066600000006</v>
      </c>
      <c r="N288" s="661">
        <f t="shared" si="24"/>
        <v>26.955066600000006</v>
      </c>
      <c r="O288" s="661">
        <f t="shared" si="24"/>
        <v>26.955066600000006</v>
      </c>
    </row>
    <row r="289" spans="2:15" x14ac:dyDescent="0.3">
      <c r="B289" s="657" t="str">
        <f t="shared" si="23"/>
        <v>Incorporated</v>
      </c>
      <c r="C289" s="657">
        <f t="shared" si="22"/>
        <v>23</v>
      </c>
      <c r="D289" s="661">
        <f t="shared" si="21"/>
        <v>19.32</v>
      </c>
      <c r="E289" s="661">
        <f t="shared" si="24"/>
        <v>19.78</v>
      </c>
      <c r="F289" s="661">
        <f t="shared" si="24"/>
        <v>23.184000000000001</v>
      </c>
      <c r="G289" s="661">
        <f t="shared" si="24"/>
        <v>24.3432</v>
      </c>
      <c r="H289" s="661">
        <f t="shared" si="24"/>
        <v>25.560360000000003</v>
      </c>
      <c r="I289" s="661">
        <f t="shared" si="24"/>
        <v>26.838378000000002</v>
      </c>
      <c r="J289" s="661">
        <f t="shared" si="24"/>
        <v>28.180296900000005</v>
      </c>
      <c r="K289" s="661">
        <f t="shared" si="24"/>
        <v>28.180296900000005</v>
      </c>
      <c r="L289" s="661">
        <f t="shared" si="24"/>
        <v>28.180296900000005</v>
      </c>
      <c r="M289" s="661">
        <f t="shared" si="24"/>
        <v>28.180296900000005</v>
      </c>
      <c r="N289" s="661">
        <f t="shared" si="24"/>
        <v>28.180296900000005</v>
      </c>
      <c r="O289" s="661">
        <f t="shared" si="24"/>
        <v>28.180296900000005</v>
      </c>
    </row>
    <row r="290" spans="2:15" x14ac:dyDescent="0.3">
      <c r="B290" s="657" t="str">
        <f t="shared" si="23"/>
        <v>Incorporated</v>
      </c>
      <c r="C290" s="657">
        <f t="shared" si="22"/>
        <v>24</v>
      </c>
      <c r="D290" s="661">
        <f t="shared" si="21"/>
        <v>20.16</v>
      </c>
      <c r="E290" s="661">
        <f t="shared" si="24"/>
        <v>20.64</v>
      </c>
      <c r="F290" s="661">
        <f t="shared" si="24"/>
        <v>24.192</v>
      </c>
      <c r="G290" s="661">
        <f t="shared" si="24"/>
        <v>25.401600000000002</v>
      </c>
      <c r="H290" s="661">
        <f t="shared" si="24"/>
        <v>26.671680000000002</v>
      </c>
      <c r="I290" s="661">
        <f t="shared" si="24"/>
        <v>28.005264000000004</v>
      </c>
      <c r="J290" s="661">
        <f t="shared" si="24"/>
        <v>29.405527200000005</v>
      </c>
      <c r="K290" s="661">
        <f t="shared" si="24"/>
        <v>29.405527200000005</v>
      </c>
      <c r="L290" s="661">
        <f t="shared" si="24"/>
        <v>29.405527200000005</v>
      </c>
      <c r="M290" s="661">
        <f t="shared" si="24"/>
        <v>29.405527200000005</v>
      </c>
      <c r="N290" s="661">
        <f t="shared" si="24"/>
        <v>29.405527200000005</v>
      </c>
      <c r="O290" s="661">
        <f t="shared" si="24"/>
        <v>29.405527200000005</v>
      </c>
    </row>
    <row r="291" spans="2:15" x14ac:dyDescent="0.3">
      <c r="B291" s="657" t="str">
        <f t="shared" si="23"/>
        <v>Incorporated</v>
      </c>
      <c r="C291" s="657">
        <f t="shared" si="22"/>
        <v>25</v>
      </c>
      <c r="D291" s="661">
        <f t="shared" si="21"/>
        <v>21</v>
      </c>
      <c r="E291" s="661">
        <f t="shared" si="24"/>
        <v>21.5</v>
      </c>
      <c r="F291" s="661">
        <f t="shared" si="24"/>
        <v>25.2</v>
      </c>
      <c r="G291" s="661">
        <f t="shared" si="24"/>
        <v>26.46</v>
      </c>
      <c r="H291" s="661">
        <f t="shared" si="24"/>
        <v>27.783000000000001</v>
      </c>
      <c r="I291" s="661">
        <f t="shared" si="24"/>
        <v>29.172150000000002</v>
      </c>
      <c r="J291" s="661">
        <f t="shared" si="24"/>
        <v>30.630757500000005</v>
      </c>
      <c r="K291" s="661">
        <f t="shared" si="24"/>
        <v>30.630757500000005</v>
      </c>
      <c r="L291" s="661">
        <f t="shared" si="24"/>
        <v>30.630757500000005</v>
      </c>
      <c r="M291" s="661">
        <f t="shared" si="24"/>
        <v>30.630757500000005</v>
      </c>
      <c r="N291" s="661">
        <f t="shared" si="24"/>
        <v>30.630757500000005</v>
      </c>
      <c r="O291" s="661">
        <f t="shared" si="24"/>
        <v>30.630757500000005</v>
      </c>
    </row>
    <row r="292" spans="2:15" x14ac:dyDescent="0.3">
      <c r="B292" s="657" t="str">
        <f t="shared" si="23"/>
        <v>Incorporated</v>
      </c>
      <c r="C292" s="657">
        <f t="shared" si="22"/>
        <v>26</v>
      </c>
      <c r="D292" s="661">
        <f t="shared" si="21"/>
        <v>21.84</v>
      </c>
      <c r="E292" s="661">
        <f t="shared" si="24"/>
        <v>22.36</v>
      </c>
      <c r="F292" s="661">
        <f t="shared" si="24"/>
        <v>26.207999999999998</v>
      </c>
      <c r="G292" s="661">
        <f t="shared" si="24"/>
        <v>27.5184</v>
      </c>
      <c r="H292" s="661">
        <f t="shared" si="24"/>
        <v>28.89432</v>
      </c>
      <c r="I292" s="661">
        <f t="shared" si="24"/>
        <v>30.339036000000004</v>
      </c>
      <c r="J292" s="661">
        <f t="shared" si="24"/>
        <v>31.855987800000005</v>
      </c>
      <c r="K292" s="661">
        <f t="shared" si="24"/>
        <v>31.855987800000005</v>
      </c>
      <c r="L292" s="661">
        <f t="shared" si="24"/>
        <v>31.855987800000005</v>
      </c>
      <c r="M292" s="661">
        <f t="shared" si="24"/>
        <v>31.855987800000005</v>
      </c>
      <c r="N292" s="661">
        <f t="shared" si="24"/>
        <v>31.855987800000005</v>
      </c>
      <c r="O292" s="661">
        <f t="shared" si="24"/>
        <v>31.855987800000005</v>
      </c>
    </row>
    <row r="293" spans="2:15" x14ac:dyDescent="0.3">
      <c r="B293" s="657" t="str">
        <f t="shared" si="23"/>
        <v>Incorporated</v>
      </c>
      <c r="C293" s="657">
        <f t="shared" si="22"/>
        <v>27</v>
      </c>
      <c r="D293" s="661">
        <f t="shared" si="21"/>
        <v>22.68</v>
      </c>
      <c r="E293" s="661">
        <f t="shared" si="24"/>
        <v>23.22</v>
      </c>
      <c r="F293" s="661">
        <f t="shared" si="24"/>
        <v>27.216000000000001</v>
      </c>
      <c r="G293" s="661">
        <f t="shared" si="24"/>
        <v>28.576799999999999</v>
      </c>
      <c r="H293" s="661">
        <f t="shared" si="24"/>
        <v>30.005640000000003</v>
      </c>
      <c r="I293" s="661">
        <f t="shared" si="24"/>
        <v>31.505922000000002</v>
      </c>
      <c r="J293" s="661">
        <f t="shared" si="24"/>
        <v>33.081218100000008</v>
      </c>
      <c r="K293" s="661">
        <f t="shared" si="24"/>
        <v>33.081218100000008</v>
      </c>
      <c r="L293" s="661">
        <f t="shared" si="24"/>
        <v>33.081218100000008</v>
      </c>
      <c r="M293" s="661">
        <f t="shared" si="24"/>
        <v>33.081218100000008</v>
      </c>
      <c r="N293" s="661">
        <f t="shared" si="24"/>
        <v>33.081218100000008</v>
      </c>
      <c r="O293" s="661">
        <f t="shared" si="24"/>
        <v>33.081218100000008</v>
      </c>
    </row>
    <row r="294" spans="2:15" x14ac:dyDescent="0.3">
      <c r="B294" s="657" t="str">
        <f t="shared" si="23"/>
        <v>Incorporated</v>
      </c>
      <c r="C294" s="657">
        <f t="shared" si="22"/>
        <v>28</v>
      </c>
      <c r="D294" s="661">
        <f t="shared" si="21"/>
        <v>23.52</v>
      </c>
      <c r="E294" s="661">
        <f t="shared" si="24"/>
        <v>24.08</v>
      </c>
      <c r="F294" s="661">
        <f t="shared" si="24"/>
        <v>28.224</v>
      </c>
      <c r="G294" s="661">
        <f t="shared" si="24"/>
        <v>29.635200000000001</v>
      </c>
      <c r="H294" s="661">
        <f t="shared" si="24"/>
        <v>31.116960000000002</v>
      </c>
      <c r="I294" s="661">
        <f t="shared" si="24"/>
        <v>32.672808000000003</v>
      </c>
      <c r="J294" s="661">
        <f t="shared" si="24"/>
        <v>34.306448400000008</v>
      </c>
      <c r="K294" s="661">
        <f t="shared" si="24"/>
        <v>34.306448400000008</v>
      </c>
      <c r="L294" s="661">
        <f t="shared" si="24"/>
        <v>34.306448400000008</v>
      </c>
      <c r="M294" s="661">
        <f t="shared" si="24"/>
        <v>34.306448400000008</v>
      </c>
      <c r="N294" s="661">
        <f t="shared" si="24"/>
        <v>34.306448400000008</v>
      </c>
      <c r="O294" s="661">
        <f t="shared" si="24"/>
        <v>34.306448400000008</v>
      </c>
    </row>
    <row r="295" spans="2:15" x14ac:dyDescent="0.3">
      <c r="B295" s="657" t="str">
        <f t="shared" si="23"/>
        <v>Incorporated</v>
      </c>
      <c r="C295" s="657">
        <f t="shared" si="22"/>
        <v>29</v>
      </c>
      <c r="D295" s="661">
        <f t="shared" si="21"/>
        <v>24.36</v>
      </c>
      <c r="E295" s="661">
        <f t="shared" si="24"/>
        <v>24.94</v>
      </c>
      <c r="F295" s="661">
        <f t="shared" si="24"/>
        <v>29.231999999999999</v>
      </c>
      <c r="G295" s="661">
        <f t="shared" si="24"/>
        <v>30.6936</v>
      </c>
      <c r="H295" s="661">
        <f t="shared" si="24"/>
        <v>32.228280000000005</v>
      </c>
      <c r="I295" s="661">
        <f t="shared" si="24"/>
        <v>33.839694000000001</v>
      </c>
      <c r="J295" s="661">
        <f t="shared" si="24"/>
        <v>35.531678700000008</v>
      </c>
      <c r="K295" s="661">
        <f t="shared" si="24"/>
        <v>35.531678700000008</v>
      </c>
      <c r="L295" s="661">
        <f t="shared" si="24"/>
        <v>35.531678700000008</v>
      </c>
      <c r="M295" s="661">
        <f t="shared" si="24"/>
        <v>35.531678700000008</v>
      </c>
      <c r="N295" s="661">
        <f t="shared" si="24"/>
        <v>35.531678700000008</v>
      </c>
      <c r="O295" s="661">
        <f t="shared" si="24"/>
        <v>35.531678700000008</v>
      </c>
    </row>
    <row r="296" spans="2:15" x14ac:dyDescent="0.3">
      <c r="B296" s="657" t="str">
        <f t="shared" si="23"/>
        <v>Incorporated</v>
      </c>
      <c r="C296" s="657">
        <f t="shared" si="22"/>
        <v>30</v>
      </c>
      <c r="D296" s="661">
        <f t="shared" si="21"/>
        <v>25.2</v>
      </c>
      <c r="E296" s="661">
        <f t="shared" ref="E296:O311" si="25">IF($B296=$A$64,$C296*E$46,$C296*E$49)</f>
        <v>25.8</v>
      </c>
      <c r="F296" s="661">
        <f t="shared" si="25"/>
        <v>30.240000000000002</v>
      </c>
      <c r="G296" s="661">
        <f t="shared" si="25"/>
        <v>31.751999999999999</v>
      </c>
      <c r="H296" s="661">
        <f t="shared" si="25"/>
        <v>33.339600000000004</v>
      </c>
      <c r="I296" s="661">
        <f t="shared" si="25"/>
        <v>35.00658</v>
      </c>
      <c r="J296" s="661">
        <f t="shared" si="25"/>
        <v>36.756909000000007</v>
      </c>
      <c r="K296" s="661">
        <f t="shared" si="25"/>
        <v>36.756909000000007</v>
      </c>
      <c r="L296" s="661">
        <f t="shared" si="25"/>
        <v>36.756909000000007</v>
      </c>
      <c r="M296" s="661">
        <f t="shared" si="25"/>
        <v>36.756909000000007</v>
      </c>
      <c r="N296" s="661">
        <f t="shared" si="25"/>
        <v>36.756909000000007</v>
      </c>
      <c r="O296" s="661">
        <f t="shared" si="25"/>
        <v>36.756909000000007</v>
      </c>
    </row>
    <row r="297" spans="2:15" x14ac:dyDescent="0.3">
      <c r="B297" s="657" t="str">
        <f t="shared" si="23"/>
        <v>Incorporated</v>
      </c>
      <c r="C297" s="657">
        <f t="shared" si="22"/>
        <v>31</v>
      </c>
      <c r="D297" s="661">
        <f t="shared" si="21"/>
        <v>26.04</v>
      </c>
      <c r="E297" s="661">
        <f t="shared" si="25"/>
        <v>26.66</v>
      </c>
      <c r="F297" s="661">
        <f t="shared" si="25"/>
        <v>31.248000000000001</v>
      </c>
      <c r="G297" s="661">
        <f t="shared" si="25"/>
        <v>32.810400000000001</v>
      </c>
      <c r="H297" s="661">
        <f t="shared" si="25"/>
        <v>34.450920000000004</v>
      </c>
      <c r="I297" s="661">
        <f t="shared" si="25"/>
        <v>36.173466000000005</v>
      </c>
      <c r="J297" s="661">
        <f t="shared" si="25"/>
        <v>37.982139300000007</v>
      </c>
      <c r="K297" s="661">
        <f t="shared" si="25"/>
        <v>37.982139300000007</v>
      </c>
      <c r="L297" s="661">
        <f t="shared" si="25"/>
        <v>37.982139300000007</v>
      </c>
      <c r="M297" s="661">
        <f t="shared" si="25"/>
        <v>37.982139300000007</v>
      </c>
      <c r="N297" s="661">
        <f t="shared" si="25"/>
        <v>37.982139300000007</v>
      </c>
      <c r="O297" s="661">
        <f t="shared" si="25"/>
        <v>37.982139300000007</v>
      </c>
    </row>
    <row r="298" spans="2:15" x14ac:dyDescent="0.3">
      <c r="B298" s="657" t="str">
        <f t="shared" si="23"/>
        <v>Incorporated</v>
      </c>
      <c r="C298" s="657">
        <f t="shared" si="22"/>
        <v>32</v>
      </c>
      <c r="D298" s="661">
        <f t="shared" si="21"/>
        <v>26.88</v>
      </c>
      <c r="E298" s="661">
        <f t="shared" si="25"/>
        <v>27.52</v>
      </c>
      <c r="F298" s="661">
        <f t="shared" si="25"/>
        <v>32.256</v>
      </c>
      <c r="G298" s="661">
        <f t="shared" si="25"/>
        <v>33.8688</v>
      </c>
      <c r="H298" s="661">
        <f t="shared" si="25"/>
        <v>35.562240000000003</v>
      </c>
      <c r="I298" s="661">
        <f t="shared" si="25"/>
        <v>37.340352000000003</v>
      </c>
      <c r="J298" s="661">
        <f t="shared" si="25"/>
        <v>39.207369600000007</v>
      </c>
      <c r="K298" s="661">
        <f t="shared" si="25"/>
        <v>39.207369600000007</v>
      </c>
      <c r="L298" s="661">
        <f t="shared" si="25"/>
        <v>39.207369600000007</v>
      </c>
      <c r="M298" s="661">
        <f t="shared" si="25"/>
        <v>39.207369600000007</v>
      </c>
      <c r="N298" s="661">
        <f t="shared" si="25"/>
        <v>39.207369600000007</v>
      </c>
      <c r="O298" s="661">
        <f t="shared" si="25"/>
        <v>39.207369600000007</v>
      </c>
    </row>
    <row r="299" spans="2:15" x14ac:dyDescent="0.3">
      <c r="B299" s="657" t="str">
        <f t="shared" si="23"/>
        <v>Incorporated</v>
      </c>
      <c r="C299" s="657">
        <f t="shared" si="22"/>
        <v>33</v>
      </c>
      <c r="D299" s="661">
        <f t="shared" si="21"/>
        <v>27.72</v>
      </c>
      <c r="E299" s="661">
        <f t="shared" si="25"/>
        <v>28.38</v>
      </c>
      <c r="F299" s="661">
        <f t="shared" si="25"/>
        <v>33.264000000000003</v>
      </c>
      <c r="G299" s="661">
        <f t="shared" si="25"/>
        <v>34.927199999999999</v>
      </c>
      <c r="H299" s="661">
        <f t="shared" si="25"/>
        <v>36.673560000000002</v>
      </c>
      <c r="I299" s="661">
        <f t="shared" si="25"/>
        <v>38.507238000000001</v>
      </c>
      <c r="J299" s="661">
        <f t="shared" si="25"/>
        <v>40.432599900000007</v>
      </c>
      <c r="K299" s="661">
        <f t="shared" si="25"/>
        <v>40.432599900000007</v>
      </c>
      <c r="L299" s="661">
        <f t="shared" si="25"/>
        <v>40.432599900000007</v>
      </c>
      <c r="M299" s="661">
        <f t="shared" si="25"/>
        <v>40.432599900000007</v>
      </c>
      <c r="N299" s="661">
        <f t="shared" si="25"/>
        <v>40.432599900000007</v>
      </c>
      <c r="O299" s="661">
        <f t="shared" si="25"/>
        <v>40.432599900000007</v>
      </c>
    </row>
    <row r="300" spans="2:15" x14ac:dyDescent="0.3">
      <c r="B300" s="657" t="str">
        <f t="shared" si="23"/>
        <v>Incorporated</v>
      </c>
      <c r="C300" s="657">
        <f t="shared" si="22"/>
        <v>34</v>
      </c>
      <c r="D300" s="661">
        <f t="shared" si="21"/>
        <v>28.56</v>
      </c>
      <c r="E300" s="661">
        <f t="shared" si="25"/>
        <v>29.24</v>
      </c>
      <c r="F300" s="661">
        <f t="shared" si="25"/>
        <v>34.271999999999998</v>
      </c>
      <c r="G300" s="661">
        <f t="shared" si="25"/>
        <v>35.985599999999998</v>
      </c>
      <c r="H300" s="661">
        <f t="shared" si="25"/>
        <v>37.784880000000001</v>
      </c>
      <c r="I300" s="661">
        <f t="shared" si="25"/>
        <v>39.674124000000006</v>
      </c>
      <c r="J300" s="661">
        <f t="shared" si="25"/>
        <v>41.657830200000006</v>
      </c>
      <c r="K300" s="661">
        <f t="shared" si="25"/>
        <v>41.657830200000006</v>
      </c>
      <c r="L300" s="661">
        <f t="shared" si="25"/>
        <v>41.657830200000006</v>
      </c>
      <c r="M300" s="661">
        <f t="shared" si="25"/>
        <v>41.657830200000006</v>
      </c>
      <c r="N300" s="661">
        <f t="shared" si="25"/>
        <v>41.657830200000006</v>
      </c>
      <c r="O300" s="661">
        <f t="shared" si="25"/>
        <v>41.657830200000006</v>
      </c>
    </row>
    <row r="301" spans="2:15" x14ac:dyDescent="0.3">
      <c r="B301" s="657" t="str">
        <f t="shared" si="23"/>
        <v>Incorporated</v>
      </c>
      <c r="C301" s="657">
        <f t="shared" si="22"/>
        <v>35</v>
      </c>
      <c r="D301" s="661">
        <f t="shared" si="21"/>
        <v>29.4</v>
      </c>
      <c r="E301" s="661">
        <f t="shared" si="25"/>
        <v>30.099999999999998</v>
      </c>
      <c r="F301" s="661">
        <f t="shared" si="25"/>
        <v>35.28</v>
      </c>
      <c r="G301" s="661">
        <f t="shared" si="25"/>
        <v>37.043999999999997</v>
      </c>
      <c r="H301" s="661">
        <f t="shared" si="25"/>
        <v>38.8962</v>
      </c>
      <c r="I301" s="661">
        <f t="shared" si="25"/>
        <v>40.841010000000004</v>
      </c>
      <c r="J301" s="661">
        <f t="shared" si="25"/>
        <v>42.883060500000006</v>
      </c>
      <c r="K301" s="661">
        <f t="shared" si="25"/>
        <v>42.883060500000006</v>
      </c>
      <c r="L301" s="661">
        <f t="shared" si="25"/>
        <v>42.883060500000006</v>
      </c>
      <c r="M301" s="661">
        <f t="shared" si="25"/>
        <v>42.883060500000006</v>
      </c>
      <c r="N301" s="661">
        <f t="shared" si="25"/>
        <v>42.883060500000006</v>
      </c>
      <c r="O301" s="661">
        <f t="shared" si="25"/>
        <v>42.883060500000006</v>
      </c>
    </row>
    <row r="302" spans="2:15" x14ac:dyDescent="0.3">
      <c r="B302" s="657" t="str">
        <f t="shared" si="23"/>
        <v>Incorporated</v>
      </c>
      <c r="C302" s="657">
        <f t="shared" si="22"/>
        <v>36</v>
      </c>
      <c r="D302" s="661">
        <f t="shared" si="21"/>
        <v>30.24</v>
      </c>
      <c r="E302" s="661">
        <f t="shared" si="25"/>
        <v>30.96</v>
      </c>
      <c r="F302" s="661">
        <f t="shared" si="25"/>
        <v>36.287999999999997</v>
      </c>
      <c r="G302" s="661">
        <f t="shared" si="25"/>
        <v>38.102400000000003</v>
      </c>
      <c r="H302" s="661">
        <f t="shared" si="25"/>
        <v>40.00752</v>
      </c>
      <c r="I302" s="661">
        <f t="shared" si="25"/>
        <v>42.007896000000002</v>
      </c>
      <c r="J302" s="661">
        <f t="shared" si="25"/>
        <v>44.108290800000006</v>
      </c>
      <c r="K302" s="661">
        <f t="shared" si="25"/>
        <v>44.108290800000006</v>
      </c>
      <c r="L302" s="661">
        <f t="shared" si="25"/>
        <v>44.108290800000006</v>
      </c>
      <c r="M302" s="661">
        <f t="shared" si="25"/>
        <v>44.108290800000006</v>
      </c>
      <c r="N302" s="661">
        <f t="shared" si="25"/>
        <v>44.108290800000006</v>
      </c>
      <c r="O302" s="661">
        <f t="shared" si="25"/>
        <v>44.108290800000006</v>
      </c>
    </row>
    <row r="303" spans="2:15" x14ac:dyDescent="0.3">
      <c r="B303" s="657" t="str">
        <f t="shared" si="23"/>
        <v>Incorporated</v>
      </c>
      <c r="C303" s="657">
        <f t="shared" si="22"/>
        <v>37</v>
      </c>
      <c r="D303" s="661">
        <f t="shared" si="21"/>
        <v>31.08</v>
      </c>
      <c r="E303" s="661">
        <f t="shared" si="25"/>
        <v>31.82</v>
      </c>
      <c r="F303" s="661">
        <f t="shared" si="25"/>
        <v>37.295999999999999</v>
      </c>
      <c r="G303" s="661">
        <f t="shared" si="25"/>
        <v>39.160800000000002</v>
      </c>
      <c r="H303" s="661">
        <f t="shared" si="25"/>
        <v>41.118840000000006</v>
      </c>
      <c r="I303" s="661">
        <f t="shared" si="25"/>
        <v>43.174782</v>
      </c>
      <c r="J303" s="661">
        <f t="shared" si="25"/>
        <v>45.333521100000006</v>
      </c>
      <c r="K303" s="661">
        <f t="shared" si="25"/>
        <v>45.333521100000006</v>
      </c>
      <c r="L303" s="661">
        <f t="shared" si="25"/>
        <v>45.333521100000006</v>
      </c>
      <c r="M303" s="661">
        <f t="shared" si="25"/>
        <v>45.333521100000006</v>
      </c>
      <c r="N303" s="661">
        <f t="shared" si="25"/>
        <v>45.333521100000006</v>
      </c>
      <c r="O303" s="661">
        <f t="shared" si="25"/>
        <v>45.333521100000006</v>
      </c>
    </row>
    <row r="304" spans="2:15" x14ac:dyDescent="0.3">
      <c r="B304" s="657" t="str">
        <f t="shared" si="23"/>
        <v>Incorporated</v>
      </c>
      <c r="C304" s="657">
        <f t="shared" si="22"/>
        <v>38</v>
      </c>
      <c r="D304" s="661">
        <f t="shared" si="21"/>
        <v>31.919999999999998</v>
      </c>
      <c r="E304" s="661">
        <f t="shared" si="25"/>
        <v>32.68</v>
      </c>
      <c r="F304" s="661">
        <f t="shared" si="25"/>
        <v>38.304000000000002</v>
      </c>
      <c r="G304" s="661">
        <f t="shared" si="25"/>
        <v>40.219200000000001</v>
      </c>
      <c r="H304" s="661">
        <f t="shared" si="25"/>
        <v>42.230160000000005</v>
      </c>
      <c r="I304" s="661">
        <f t="shared" si="25"/>
        <v>44.341668000000006</v>
      </c>
      <c r="J304" s="661">
        <f t="shared" si="25"/>
        <v>46.558751400000006</v>
      </c>
      <c r="K304" s="661">
        <f t="shared" si="25"/>
        <v>46.558751400000006</v>
      </c>
      <c r="L304" s="661">
        <f t="shared" si="25"/>
        <v>46.558751400000006</v>
      </c>
      <c r="M304" s="661">
        <f t="shared" si="25"/>
        <v>46.558751400000006</v>
      </c>
      <c r="N304" s="661">
        <f t="shared" si="25"/>
        <v>46.558751400000006</v>
      </c>
      <c r="O304" s="661">
        <f t="shared" si="25"/>
        <v>46.558751400000006</v>
      </c>
    </row>
    <row r="305" spans="2:15" x14ac:dyDescent="0.3">
      <c r="B305" s="657" t="str">
        <f t="shared" si="23"/>
        <v>Incorporated</v>
      </c>
      <c r="C305" s="657">
        <f t="shared" si="22"/>
        <v>39</v>
      </c>
      <c r="D305" s="661">
        <f t="shared" si="21"/>
        <v>32.76</v>
      </c>
      <c r="E305" s="661">
        <f t="shared" si="25"/>
        <v>33.54</v>
      </c>
      <c r="F305" s="661">
        <f t="shared" si="25"/>
        <v>39.311999999999998</v>
      </c>
      <c r="G305" s="661">
        <f t="shared" si="25"/>
        <v>41.2776</v>
      </c>
      <c r="H305" s="661">
        <f t="shared" si="25"/>
        <v>43.341480000000004</v>
      </c>
      <c r="I305" s="661">
        <f t="shared" si="25"/>
        <v>45.508554000000004</v>
      </c>
      <c r="J305" s="661">
        <f t="shared" si="25"/>
        <v>47.783981700000005</v>
      </c>
      <c r="K305" s="661">
        <f t="shared" si="25"/>
        <v>47.783981700000005</v>
      </c>
      <c r="L305" s="661">
        <f t="shared" si="25"/>
        <v>47.783981700000005</v>
      </c>
      <c r="M305" s="661">
        <f t="shared" si="25"/>
        <v>47.783981700000005</v>
      </c>
      <c r="N305" s="661">
        <f t="shared" si="25"/>
        <v>47.783981700000005</v>
      </c>
      <c r="O305" s="661">
        <f t="shared" si="25"/>
        <v>47.783981700000005</v>
      </c>
    </row>
    <row r="306" spans="2:15" x14ac:dyDescent="0.3">
      <c r="B306" s="657" t="str">
        <f t="shared" si="23"/>
        <v>Incorporated</v>
      </c>
      <c r="C306" s="657">
        <f t="shared" si="22"/>
        <v>40</v>
      </c>
      <c r="D306" s="661">
        <f t="shared" si="21"/>
        <v>33.6</v>
      </c>
      <c r="E306" s="661">
        <f t="shared" si="25"/>
        <v>34.4</v>
      </c>
      <c r="F306" s="661">
        <f t="shared" si="25"/>
        <v>40.32</v>
      </c>
      <c r="G306" s="661">
        <f t="shared" si="25"/>
        <v>42.335999999999999</v>
      </c>
      <c r="H306" s="661">
        <f t="shared" si="25"/>
        <v>44.452800000000003</v>
      </c>
      <c r="I306" s="661">
        <f t="shared" si="25"/>
        <v>46.675440000000002</v>
      </c>
      <c r="J306" s="661">
        <f t="shared" si="25"/>
        <v>49.009212000000005</v>
      </c>
      <c r="K306" s="661">
        <f t="shared" si="25"/>
        <v>49.009212000000005</v>
      </c>
      <c r="L306" s="661">
        <f t="shared" si="25"/>
        <v>49.009212000000005</v>
      </c>
      <c r="M306" s="661">
        <f t="shared" si="25"/>
        <v>49.009212000000005</v>
      </c>
      <c r="N306" s="661">
        <f t="shared" si="25"/>
        <v>49.009212000000005</v>
      </c>
      <c r="O306" s="661">
        <f t="shared" si="25"/>
        <v>49.009212000000005</v>
      </c>
    </row>
    <row r="307" spans="2:15" x14ac:dyDescent="0.3">
      <c r="B307" s="657" t="str">
        <f t="shared" si="23"/>
        <v>Incorporated</v>
      </c>
      <c r="C307" s="657">
        <f t="shared" si="22"/>
        <v>41</v>
      </c>
      <c r="D307" s="661">
        <f t="shared" si="21"/>
        <v>34.44</v>
      </c>
      <c r="E307" s="661">
        <f t="shared" si="25"/>
        <v>35.26</v>
      </c>
      <c r="F307" s="661">
        <f t="shared" si="25"/>
        <v>41.328000000000003</v>
      </c>
      <c r="G307" s="661">
        <f t="shared" si="25"/>
        <v>43.394399999999997</v>
      </c>
      <c r="H307" s="661">
        <f t="shared" si="25"/>
        <v>45.564120000000003</v>
      </c>
      <c r="I307" s="661">
        <f t="shared" si="25"/>
        <v>47.842326000000007</v>
      </c>
      <c r="J307" s="661">
        <f t="shared" si="25"/>
        <v>50.234442300000012</v>
      </c>
      <c r="K307" s="661">
        <f t="shared" si="25"/>
        <v>50.234442300000012</v>
      </c>
      <c r="L307" s="661">
        <f t="shared" si="25"/>
        <v>50.234442300000012</v>
      </c>
      <c r="M307" s="661">
        <f t="shared" si="25"/>
        <v>50.234442300000012</v>
      </c>
      <c r="N307" s="661">
        <f t="shared" si="25"/>
        <v>50.234442300000012</v>
      </c>
      <c r="O307" s="661">
        <f t="shared" si="25"/>
        <v>50.234442300000012</v>
      </c>
    </row>
    <row r="308" spans="2:15" x14ac:dyDescent="0.3">
      <c r="B308" s="657" t="str">
        <f t="shared" si="23"/>
        <v>Incorporated</v>
      </c>
      <c r="C308" s="657">
        <f t="shared" si="22"/>
        <v>42</v>
      </c>
      <c r="D308" s="661">
        <f t="shared" si="21"/>
        <v>35.28</v>
      </c>
      <c r="E308" s="661">
        <f t="shared" si="25"/>
        <v>36.119999999999997</v>
      </c>
      <c r="F308" s="661">
        <f t="shared" si="25"/>
        <v>42.335999999999999</v>
      </c>
      <c r="G308" s="661">
        <f t="shared" si="25"/>
        <v>44.452800000000003</v>
      </c>
      <c r="H308" s="661">
        <f t="shared" si="25"/>
        <v>46.675440000000002</v>
      </c>
      <c r="I308" s="661">
        <f t="shared" si="25"/>
        <v>49.009212000000005</v>
      </c>
      <c r="J308" s="661">
        <f t="shared" si="25"/>
        <v>51.459672600000012</v>
      </c>
      <c r="K308" s="661">
        <f t="shared" si="25"/>
        <v>51.459672600000012</v>
      </c>
      <c r="L308" s="661">
        <f t="shared" si="25"/>
        <v>51.459672600000012</v>
      </c>
      <c r="M308" s="661">
        <f t="shared" si="25"/>
        <v>51.459672600000012</v>
      </c>
      <c r="N308" s="661">
        <f t="shared" si="25"/>
        <v>51.459672600000012</v>
      </c>
      <c r="O308" s="661">
        <f t="shared" si="25"/>
        <v>51.459672600000012</v>
      </c>
    </row>
    <row r="309" spans="2:15" x14ac:dyDescent="0.3">
      <c r="B309" s="657" t="str">
        <f t="shared" si="23"/>
        <v>Incorporated</v>
      </c>
      <c r="C309" s="657">
        <f t="shared" si="22"/>
        <v>43</v>
      </c>
      <c r="D309" s="661">
        <f t="shared" si="21"/>
        <v>36.119999999999997</v>
      </c>
      <c r="E309" s="661">
        <f t="shared" si="25"/>
        <v>36.979999999999997</v>
      </c>
      <c r="F309" s="661">
        <f t="shared" si="25"/>
        <v>43.344000000000001</v>
      </c>
      <c r="G309" s="661">
        <f t="shared" si="25"/>
        <v>45.511200000000002</v>
      </c>
      <c r="H309" s="661">
        <f t="shared" si="25"/>
        <v>47.786760000000001</v>
      </c>
      <c r="I309" s="661">
        <f t="shared" si="25"/>
        <v>50.176098000000003</v>
      </c>
      <c r="J309" s="661">
        <f t="shared" si="25"/>
        <v>52.684902900000012</v>
      </c>
      <c r="K309" s="661">
        <f t="shared" si="25"/>
        <v>52.684902900000012</v>
      </c>
      <c r="L309" s="661">
        <f t="shared" si="25"/>
        <v>52.684902900000012</v>
      </c>
      <c r="M309" s="661">
        <f t="shared" si="25"/>
        <v>52.684902900000012</v>
      </c>
      <c r="N309" s="661">
        <f t="shared" si="25"/>
        <v>52.684902900000012</v>
      </c>
      <c r="O309" s="661">
        <f t="shared" si="25"/>
        <v>52.684902900000012</v>
      </c>
    </row>
    <row r="310" spans="2:15" x14ac:dyDescent="0.3">
      <c r="B310" s="657" t="str">
        <f t="shared" si="23"/>
        <v>Incorporated</v>
      </c>
      <c r="C310" s="657">
        <f t="shared" si="22"/>
        <v>44</v>
      </c>
      <c r="D310" s="661">
        <f t="shared" si="21"/>
        <v>36.96</v>
      </c>
      <c r="E310" s="661">
        <f t="shared" si="25"/>
        <v>37.839999999999996</v>
      </c>
      <c r="F310" s="661">
        <f t="shared" si="25"/>
        <v>44.352000000000004</v>
      </c>
      <c r="G310" s="661">
        <f t="shared" si="25"/>
        <v>46.569600000000001</v>
      </c>
      <c r="H310" s="661">
        <f t="shared" si="25"/>
        <v>48.898080000000007</v>
      </c>
      <c r="I310" s="661">
        <f t="shared" si="25"/>
        <v>51.342984000000001</v>
      </c>
      <c r="J310" s="661">
        <f t="shared" si="25"/>
        <v>53.910133200000011</v>
      </c>
      <c r="K310" s="661">
        <f t="shared" si="25"/>
        <v>53.910133200000011</v>
      </c>
      <c r="L310" s="661">
        <f t="shared" si="25"/>
        <v>53.910133200000011</v>
      </c>
      <c r="M310" s="661">
        <f t="shared" si="25"/>
        <v>53.910133200000011</v>
      </c>
      <c r="N310" s="661">
        <f t="shared" si="25"/>
        <v>53.910133200000011</v>
      </c>
      <c r="O310" s="661">
        <f t="shared" si="25"/>
        <v>53.910133200000011</v>
      </c>
    </row>
    <row r="311" spans="2:15" x14ac:dyDescent="0.3">
      <c r="B311" s="657" t="str">
        <f t="shared" si="23"/>
        <v>Incorporated</v>
      </c>
      <c r="C311" s="657">
        <f t="shared" si="22"/>
        <v>45</v>
      </c>
      <c r="D311" s="661">
        <f t="shared" si="21"/>
        <v>37.799999999999997</v>
      </c>
      <c r="E311" s="661">
        <f t="shared" si="25"/>
        <v>38.700000000000003</v>
      </c>
      <c r="F311" s="661">
        <f t="shared" si="25"/>
        <v>45.36</v>
      </c>
      <c r="G311" s="661">
        <f t="shared" si="25"/>
        <v>47.628</v>
      </c>
      <c r="H311" s="661">
        <f t="shared" si="25"/>
        <v>50.009400000000007</v>
      </c>
      <c r="I311" s="661">
        <f t="shared" si="25"/>
        <v>52.509870000000006</v>
      </c>
      <c r="J311" s="661">
        <f t="shared" si="25"/>
        <v>55.135363500000011</v>
      </c>
      <c r="K311" s="661">
        <f t="shared" si="25"/>
        <v>55.135363500000011</v>
      </c>
      <c r="L311" s="661">
        <f t="shared" si="25"/>
        <v>55.135363500000011</v>
      </c>
      <c r="M311" s="661">
        <f t="shared" si="25"/>
        <v>55.135363500000011</v>
      </c>
      <c r="N311" s="661">
        <f t="shared" si="25"/>
        <v>55.135363500000011</v>
      </c>
      <c r="O311" s="661">
        <f t="shared" si="25"/>
        <v>55.135363500000011</v>
      </c>
    </row>
    <row r="312" spans="2:15" x14ac:dyDescent="0.3">
      <c r="B312" s="657" t="str">
        <f t="shared" si="23"/>
        <v>Incorporated</v>
      </c>
      <c r="C312" s="657">
        <f t="shared" si="22"/>
        <v>46</v>
      </c>
      <c r="D312" s="661">
        <f t="shared" si="21"/>
        <v>38.64</v>
      </c>
      <c r="E312" s="661">
        <f t="shared" ref="E312:O327" si="26">IF($B312=$A$64,$C312*E$46,$C312*E$49)</f>
        <v>39.56</v>
      </c>
      <c r="F312" s="661">
        <f t="shared" si="26"/>
        <v>46.368000000000002</v>
      </c>
      <c r="G312" s="661">
        <f t="shared" si="26"/>
        <v>48.686399999999999</v>
      </c>
      <c r="H312" s="661">
        <f t="shared" si="26"/>
        <v>51.120720000000006</v>
      </c>
      <c r="I312" s="661">
        <f t="shared" si="26"/>
        <v>53.676756000000005</v>
      </c>
      <c r="J312" s="661">
        <f t="shared" si="26"/>
        <v>56.360593800000011</v>
      </c>
      <c r="K312" s="661">
        <f t="shared" si="26"/>
        <v>56.360593800000011</v>
      </c>
      <c r="L312" s="661">
        <f t="shared" si="26"/>
        <v>56.360593800000011</v>
      </c>
      <c r="M312" s="661">
        <f t="shared" si="26"/>
        <v>56.360593800000011</v>
      </c>
      <c r="N312" s="661">
        <f t="shared" si="26"/>
        <v>56.360593800000011</v>
      </c>
      <c r="O312" s="661">
        <f t="shared" si="26"/>
        <v>56.360593800000011</v>
      </c>
    </row>
    <row r="313" spans="2:15" x14ac:dyDescent="0.3">
      <c r="B313" s="657" t="str">
        <f t="shared" si="23"/>
        <v>Incorporated</v>
      </c>
      <c r="C313" s="657">
        <f t="shared" si="22"/>
        <v>47</v>
      </c>
      <c r="D313" s="661">
        <f t="shared" si="21"/>
        <v>39.479999999999997</v>
      </c>
      <c r="E313" s="661">
        <f t="shared" si="26"/>
        <v>40.42</v>
      </c>
      <c r="F313" s="661">
        <f t="shared" si="26"/>
        <v>47.375999999999998</v>
      </c>
      <c r="G313" s="661">
        <f t="shared" si="26"/>
        <v>49.744799999999998</v>
      </c>
      <c r="H313" s="661">
        <f t="shared" si="26"/>
        <v>52.232040000000005</v>
      </c>
      <c r="I313" s="661">
        <f t="shared" si="26"/>
        <v>54.843642000000003</v>
      </c>
      <c r="J313" s="661">
        <f t="shared" si="26"/>
        <v>57.585824100000011</v>
      </c>
      <c r="K313" s="661">
        <f t="shared" si="26"/>
        <v>57.585824100000011</v>
      </c>
      <c r="L313" s="661">
        <f t="shared" si="26"/>
        <v>57.585824100000011</v>
      </c>
      <c r="M313" s="661">
        <f t="shared" si="26"/>
        <v>57.585824100000011</v>
      </c>
      <c r="N313" s="661">
        <f t="shared" si="26"/>
        <v>57.585824100000011</v>
      </c>
      <c r="O313" s="661">
        <f t="shared" si="26"/>
        <v>57.585824100000011</v>
      </c>
    </row>
    <row r="314" spans="2:15" x14ac:dyDescent="0.3">
      <c r="B314" s="657" t="str">
        <f t="shared" si="23"/>
        <v>Incorporated</v>
      </c>
      <c r="C314" s="657">
        <f t="shared" si="22"/>
        <v>48</v>
      </c>
      <c r="D314" s="661">
        <f t="shared" si="21"/>
        <v>40.32</v>
      </c>
      <c r="E314" s="661">
        <f t="shared" si="26"/>
        <v>41.28</v>
      </c>
      <c r="F314" s="661">
        <f t="shared" si="26"/>
        <v>48.384</v>
      </c>
      <c r="G314" s="661">
        <f t="shared" si="26"/>
        <v>50.803200000000004</v>
      </c>
      <c r="H314" s="661">
        <f t="shared" si="26"/>
        <v>53.343360000000004</v>
      </c>
      <c r="I314" s="661">
        <f t="shared" si="26"/>
        <v>56.010528000000008</v>
      </c>
      <c r="J314" s="661">
        <f t="shared" si="26"/>
        <v>58.81105440000001</v>
      </c>
      <c r="K314" s="661">
        <f t="shared" si="26"/>
        <v>58.81105440000001</v>
      </c>
      <c r="L314" s="661">
        <f t="shared" si="26"/>
        <v>58.81105440000001</v>
      </c>
      <c r="M314" s="661">
        <f t="shared" si="26"/>
        <v>58.81105440000001</v>
      </c>
      <c r="N314" s="661">
        <f t="shared" si="26"/>
        <v>58.81105440000001</v>
      </c>
      <c r="O314" s="661">
        <f t="shared" si="26"/>
        <v>58.81105440000001</v>
      </c>
    </row>
    <row r="315" spans="2:15" x14ac:dyDescent="0.3">
      <c r="B315" s="657" t="str">
        <f t="shared" si="23"/>
        <v>Incorporated</v>
      </c>
      <c r="C315" s="657">
        <f t="shared" si="22"/>
        <v>49</v>
      </c>
      <c r="D315" s="661">
        <f t="shared" si="21"/>
        <v>41.16</v>
      </c>
      <c r="E315" s="661">
        <f t="shared" si="26"/>
        <v>42.14</v>
      </c>
      <c r="F315" s="661">
        <f t="shared" si="26"/>
        <v>49.392000000000003</v>
      </c>
      <c r="G315" s="661">
        <f t="shared" si="26"/>
        <v>51.861600000000003</v>
      </c>
      <c r="H315" s="661">
        <f t="shared" si="26"/>
        <v>54.454680000000003</v>
      </c>
      <c r="I315" s="661">
        <f t="shared" si="26"/>
        <v>57.177414000000006</v>
      </c>
      <c r="J315" s="661">
        <f t="shared" si="26"/>
        <v>60.03628470000001</v>
      </c>
      <c r="K315" s="661">
        <f t="shared" si="26"/>
        <v>60.03628470000001</v>
      </c>
      <c r="L315" s="661">
        <f t="shared" si="26"/>
        <v>60.03628470000001</v>
      </c>
      <c r="M315" s="661">
        <f t="shared" si="26"/>
        <v>60.03628470000001</v>
      </c>
      <c r="N315" s="661">
        <f t="shared" si="26"/>
        <v>60.03628470000001</v>
      </c>
      <c r="O315" s="661">
        <f t="shared" si="26"/>
        <v>60.03628470000001</v>
      </c>
    </row>
    <row r="316" spans="2:15" x14ac:dyDescent="0.3">
      <c r="B316" s="657" t="str">
        <f t="shared" si="23"/>
        <v>Incorporated</v>
      </c>
      <c r="C316" s="657">
        <f t="shared" si="22"/>
        <v>50</v>
      </c>
      <c r="D316" s="661">
        <f t="shared" si="21"/>
        <v>42</v>
      </c>
      <c r="E316" s="661">
        <f t="shared" si="26"/>
        <v>43</v>
      </c>
      <c r="F316" s="661">
        <f t="shared" si="26"/>
        <v>50.4</v>
      </c>
      <c r="G316" s="661">
        <f t="shared" si="26"/>
        <v>52.92</v>
      </c>
      <c r="H316" s="661">
        <f t="shared" si="26"/>
        <v>55.566000000000003</v>
      </c>
      <c r="I316" s="661">
        <f t="shared" si="26"/>
        <v>58.344300000000004</v>
      </c>
      <c r="J316" s="661">
        <f t="shared" si="26"/>
        <v>61.26151500000001</v>
      </c>
      <c r="K316" s="661">
        <f t="shared" si="26"/>
        <v>61.26151500000001</v>
      </c>
      <c r="L316" s="661">
        <f t="shared" si="26"/>
        <v>61.26151500000001</v>
      </c>
      <c r="M316" s="661">
        <f t="shared" si="26"/>
        <v>61.26151500000001</v>
      </c>
      <c r="N316" s="661">
        <f t="shared" si="26"/>
        <v>61.26151500000001</v>
      </c>
      <c r="O316" s="661">
        <f t="shared" si="26"/>
        <v>61.26151500000001</v>
      </c>
    </row>
    <row r="317" spans="2:15" x14ac:dyDescent="0.3">
      <c r="B317" s="657" t="str">
        <f t="shared" si="23"/>
        <v>Incorporated</v>
      </c>
      <c r="C317" s="657">
        <f t="shared" si="22"/>
        <v>51</v>
      </c>
      <c r="D317" s="661">
        <f t="shared" si="21"/>
        <v>42.839999999999996</v>
      </c>
      <c r="E317" s="661">
        <f t="shared" si="26"/>
        <v>43.86</v>
      </c>
      <c r="F317" s="661">
        <f t="shared" si="26"/>
        <v>51.408000000000001</v>
      </c>
      <c r="G317" s="661">
        <f t="shared" si="26"/>
        <v>53.978400000000001</v>
      </c>
      <c r="H317" s="661">
        <f t="shared" si="26"/>
        <v>56.677320000000002</v>
      </c>
      <c r="I317" s="661">
        <f t="shared" si="26"/>
        <v>59.511186000000002</v>
      </c>
      <c r="J317" s="661">
        <f t="shared" si="26"/>
        <v>62.48674530000001</v>
      </c>
      <c r="K317" s="661">
        <f t="shared" si="26"/>
        <v>62.48674530000001</v>
      </c>
      <c r="L317" s="661">
        <f t="shared" si="26"/>
        <v>62.48674530000001</v>
      </c>
      <c r="M317" s="661">
        <f t="shared" si="26"/>
        <v>62.48674530000001</v>
      </c>
      <c r="N317" s="661">
        <f t="shared" si="26"/>
        <v>62.48674530000001</v>
      </c>
      <c r="O317" s="661">
        <f t="shared" si="26"/>
        <v>62.48674530000001</v>
      </c>
    </row>
    <row r="318" spans="2:15" x14ac:dyDescent="0.3">
      <c r="B318" s="657" t="str">
        <f t="shared" si="23"/>
        <v>Incorporated</v>
      </c>
      <c r="C318" s="657">
        <f t="shared" si="22"/>
        <v>52</v>
      </c>
      <c r="D318" s="661">
        <f t="shared" si="21"/>
        <v>43.68</v>
      </c>
      <c r="E318" s="661">
        <f t="shared" si="26"/>
        <v>44.72</v>
      </c>
      <c r="F318" s="661">
        <f t="shared" si="26"/>
        <v>52.415999999999997</v>
      </c>
      <c r="G318" s="661">
        <f t="shared" si="26"/>
        <v>55.036799999999999</v>
      </c>
      <c r="H318" s="661">
        <f t="shared" si="26"/>
        <v>57.788640000000001</v>
      </c>
      <c r="I318" s="661">
        <f t="shared" si="26"/>
        <v>60.678072000000007</v>
      </c>
      <c r="J318" s="661">
        <f t="shared" si="26"/>
        <v>63.711975600000009</v>
      </c>
      <c r="K318" s="661">
        <f t="shared" si="26"/>
        <v>63.711975600000009</v>
      </c>
      <c r="L318" s="661">
        <f t="shared" si="26"/>
        <v>63.711975600000009</v>
      </c>
      <c r="M318" s="661">
        <f t="shared" si="26"/>
        <v>63.711975600000009</v>
      </c>
      <c r="N318" s="661">
        <f t="shared" si="26"/>
        <v>63.711975600000009</v>
      </c>
      <c r="O318" s="661">
        <f t="shared" si="26"/>
        <v>63.711975600000009</v>
      </c>
    </row>
    <row r="319" spans="2:15" x14ac:dyDescent="0.3">
      <c r="B319" s="657" t="str">
        <f t="shared" si="23"/>
        <v>Incorporated</v>
      </c>
      <c r="C319" s="657">
        <f t="shared" si="22"/>
        <v>53</v>
      </c>
      <c r="D319" s="661">
        <f t="shared" si="21"/>
        <v>44.519999999999996</v>
      </c>
      <c r="E319" s="661">
        <f t="shared" si="26"/>
        <v>45.58</v>
      </c>
      <c r="F319" s="661">
        <f t="shared" si="26"/>
        <v>53.423999999999999</v>
      </c>
      <c r="G319" s="661">
        <f t="shared" si="26"/>
        <v>56.095199999999998</v>
      </c>
      <c r="H319" s="661">
        <f t="shared" si="26"/>
        <v>58.899960000000007</v>
      </c>
      <c r="I319" s="661">
        <f t="shared" si="26"/>
        <v>61.844958000000005</v>
      </c>
      <c r="J319" s="661">
        <f t="shared" si="26"/>
        <v>64.937205900000009</v>
      </c>
      <c r="K319" s="661">
        <f t="shared" si="26"/>
        <v>64.937205900000009</v>
      </c>
      <c r="L319" s="661">
        <f t="shared" si="26"/>
        <v>64.937205900000009</v>
      </c>
      <c r="M319" s="661">
        <f t="shared" si="26"/>
        <v>64.937205900000009</v>
      </c>
      <c r="N319" s="661">
        <f t="shared" si="26"/>
        <v>64.937205900000009</v>
      </c>
      <c r="O319" s="661">
        <f t="shared" si="26"/>
        <v>64.937205900000009</v>
      </c>
    </row>
    <row r="320" spans="2:15" x14ac:dyDescent="0.3">
      <c r="B320" s="657" t="str">
        <f t="shared" si="23"/>
        <v>Incorporated</v>
      </c>
      <c r="C320" s="657">
        <f t="shared" si="22"/>
        <v>54</v>
      </c>
      <c r="D320" s="661">
        <f t="shared" si="21"/>
        <v>45.36</v>
      </c>
      <c r="E320" s="661">
        <f t="shared" si="26"/>
        <v>46.44</v>
      </c>
      <c r="F320" s="661">
        <f t="shared" si="26"/>
        <v>54.432000000000002</v>
      </c>
      <c r="G320" s="661">
        <f t="shared" si="26"/>
        <v>57.153599999999997</v>
      </c>
      <c r="H320" s="661">
        <f t="shared" si="26"/>
        <v>60.011280000000006</v>
      </c>
      <c r="I320" s="661">
        <f t="shared" si="26"/>
        <v>63.011844000000004</v>
      </c>
      <c r="J320" s="661">
        <f t="shared" si="26"/>
        <v>66.162436200000016</v>
      </c>
      <c r="K320" s="661">
        <f t="shared" si="26"/>
        <v>66.162436200000016</v>
      </c>
      <c r="L320" s="661">
        <f t="shared" si="26"/>
        <v>66.162436200000016</v>
      </c>
      <c r="M320" s="661">
        <f t="shared" si="26"/>
        <v>66.162436200000016</v>
      </c>
      <c r="N320" s="661">
        <f t="shared" si="26"/>
        <v>66.162436200000016</v>
      </c>
      <c r="O320" s="661">
        <f t="shared" si="26"/>
        <v>66.162436200000016</v>
      </c>
    </row>
    <row r="321" spans="2:15" x14ac:dyDescent="0.3">
      <c r="B321" s="657" t="str">
        <f t="shared" si="23"/>
        <v>Incorporated</v>
      </c>
      <c r="C321" s="657">
        <f t="shared" si="22"/>
        <v>55</v>
      </c>
      <c r="D321" s="661">
        <f t="shared" si="21"/>
        <v>46.199999999999996</v>
      </c>
      <c r="E321" s="661">
        <f t="shared" si="26"/>
        <v>47.3</v>
      </c>
      <c r="F321" s="661">
        <f t="shared" si="26"/>
        <v>55.44</v>
      </c>
      <c r="G321" s="661">
        <f t="shared" si="26"/>
        <v>58.212000000000003</v>
      </c>
      <c r="H321" s="661">
        <f t="shared" si="26"/>
        <v>61.122600000000006</v>
      </c>
      <c r="I321" s="661">
        <f t="shared" si="26"/>
        <v>64.178730000000002</v>
      </c>
      <c r="J321" s="661">
        <f t="shared" si="26"/>
        <v>67.387666500000009</v>
      </c>
      <c r="K321" s="661">
        <f t="shared" si="26"/>
        <v>67.387666500000009</v>
      </c>
      <c r="L321" s="661">
        <f t="shared" si="26"/>
        <v>67.387666500000009</v>
      </c>
      <c r="M321" s="661">
        <f t="shared" si="26"/>
        <v>67.387666500000009</v>
      </c>
      <c r="N321" s="661">
        <f t="shared" si="26"/>
        <v>67.387666500000009</v>
      </c>
      <c r="O321" s="661">
        <f t="shared" si="26"/>
        <v>67.387666500000009</v>
      </c>
    </row>
    <row r="322" spans="2:15" x14ac:dyDescent="0.3">
      <c r="B322" s="657" t="str">
        <f t="shared" si="23"/>
        <v>Incorporated</v>
      </c>
      <c r="C322" s="657">
        <f t="shared" si="22"/>
        <v>56</v>
      </c>
      <c r="D322" s="661">
        <f t="shared" si="21"/>
        <v>47.04</v>
      </c>
      <c r="E322" s="661">
        <f t="shared" si="26"/>
        <v>48.16</v>
      </c>
      <c r="F322" s="661">
        <f t="shared" si="26"/>
        <v>56.448</v>
      </c>
      <c r="G322" s="661">
        <f t="shared" si="26"/>
        <v>59.270400000000002</v>
      </c>
      <c r="H322" s="661">
        <f t="shared" si="26"/>
        <v>62.233920000000005</v>
      </c>
      <c r="I322" s="661">
        <f t="shared" si="26"/>
        <v>65.345616000000007</v>
      </c>
      <c r="J322" s="661">
        <f t="shared" si="26"/>
        <v>68.612896800000016</v>
      </c>
      <c r="K322" s="661">
        <f t="shared" si="26"/>
        <v>68.612896800000016</v>
      </c>
      <c r="L322" s="661">
        <f t="shared" si="26"/>
        <v>68.612896800000016</v>
      </c>
      <c r="M322" s="661">
        <f t="shared" si="26"/>
        <v>68.612896800000016</v>
      </c>
      <c r="N322" s="661">
        <f t="shared" si="26"/>
        <v>68.612896800000016</v>
      </c>
      <c r="O322" s="661">
        <f t="shared" si="26"/>
        <v>68.612896800000016</v>
      </c>
    </row>
    <row r="323" spans="2:15" x14ac:dyDescent="0.3">
      <c r="B323" s="657" t="str">
        <f t="shared" si="23"/>
        <v>Incorporated</v>
      </c>
      <c r="C323" s="657">
        <f t="shared" si="22"/>
        <v>57</v>
      </c>
      <c r="D323" s="661">
        <f t="shared" si="21"/>
        <v>47.879999999999995</v>
      </c>
      <c r="E323" s="661">
        <f t="shared" si="26"/>
        <v>49.019999999999996</v>
      </c>
      <c r="F323" s="661">
        <f t="shared" si="26"/>
        <v>57.456000000000003</v>
      </c>
      <c r="G323" s="661">
        <f t="shared" si="26"/>
        <v>60.328800000000001</v>
      </c>
      <c r="H323" s="661">
        <f t="shared" si="26"/>
        <v>63.345240000000004</v>
      </c>
      <c r="I323" s="661">
        <f t="shared" si="26"/>
        <v>66.512502000000012</v>
      </c>
      <c r="J323" s="661">
        <f t="shared" si="26"/>
        <v>69.838127100000008</v>
      </c>
      <c r="K323" s="661">
        <f t="shared" si="26"/>
        <v>69.838127100000008</v>
      </c>
      <c r="L323" s="661">
        <f t="shared" si="26"/>
        <v>69.838127100000008</v>
      </c>
      <c r="M323" s="661">
        <f t="shared" si="26"/>
        <v>69.838127100000008</v>
      </c>
      <c r="N323" s="661">
        <f t="shared" si="26"/>
        <v>69.838127100000008</v>
      </c>
      <c r="O323" s="661">
        <f t="shared" si="26"/>
        <v>69.838127100000008</v>
      </c>
    </row>
    <row r="324" spans="2:15" x14ac:dyDescent="0.3">
      <c r="B324" s="657" t="str">
        <f t="shared" si="23"/>
        <v>Incorporated</v>
      </c>
      <c r="C324" s="657">
        <f t="shared" si="22"/>
        <v>58</v>
      </c>
      <c r="D324" s="661">
        <f t="shared" si="21"/>
        <v>48.72</v>
      </c>
      <c r="E324" s="661">
        <f t="shared" si="26"/>
        <v>49.88</v>
      </c>
      <c r="F324" s="661">
        <f t="shared" si="26"/>
        <v>58.463999999999999</v>
      </c>
      <c r="G324" s="661">
        <f t="shared" si="26"/>
        <v>61.3872</v>
      </c>
      <c r="H324" s="661">
        <f t="shared" si="26"/>
        <v>64.45656000000001</v>
      </c>
      <c r="I324" s="661">
        <f t="shared" si="26"/>
        <v>67.679388000000003</v>
      </c>
      <c r="J324" s="661">
        <f t="shared" si="26"/>
        <v>71.063357400000015</v>
      </c>
      <c r="K324" s="661">
        <f t="shared" si="26"/>
        <v>71.063357400000015</v>
      </c>
      <c r="L324" s="661">
        <f t="shared" si="26"/>
        <v>71.063357400000015</v>
      </c>
      <c r="M324" s="661">
        <f t="shared" si="26"/>
        <v>71.063357400000015</v>
      </c>
      <c r="N324" s="661">
        <f t="shared" si="26"/>
        <v>71.063357400000015</v>
      </c>
      <c r="O324" s="661">
        <f t="shared" si="26"/>
        <v>71.063357400000015</v>
      </c>
    </row>
    <row r="325" spans="2:15" x14ac:dyDescent="0.3">
      <c r="B325" s="657" t="str">
        <f t="shared" si="23"/>
        <v>Incorporated</v>
      </c>
      <c r="C325" s="657">
        <f t="shared" si="22"/>
        <v>59</v>
      </c>
      <c r="D325" s="661">
        <f t="shared" si="21"/>
        <v>49.559999999999995</v>
      </c>
      <c r="E325" s="661">
        <f t="shared" si="26"/>
        <v>50.74</v>
      </c>
      <c r="F325" s="661">
        <f t="shared" si="26"/>
        <v>59.472000000000001</v>
      </c>
      <c r="G325" s="661">
        <f t="shared" si="26"/>
        <v>62.445599999999999</v>
      </c>
      <c r="H325" s="661">
        <f t="shared" si="26"/>
        <v>65.567880000000002</v>
      </c>
      <c r="I325" s="661">
        <f t="shared" si="26"/>
        <v>68.846274000000008</v>
      </c>
      <c r="J325" s="661">
        <f t="shared" si="26"/>
        <v>72.288587700000008</v>
      </c>
      <c r="K325" s="661">
        <f t="shared" si="26"/>
        <v>72.288587700000008</v>
      </c>
      <c r="L325" s="661">
        <f t="shared" si="26"/>
        <v>72.288587700000008</v>
      </c>
      <c r="M325" s="661">
        <f t="shared" si="26"/>
        <v>72.288587700000008</v>
      </c>
      <c r="N325" s="661">
        <f t="shared" si="26"/>
        <v>72.288587700000008</v>
      </c>
      <c r="O325" s="661">
        <f t="shared" si="26"/>
        <v>72.288587700000008</v>
      </c>
    </row>
    <row r="326" spans="2:15" x14ac:dyDescent="0.3">
      <c r="B326" s="657" t="str">
        <f t="shared" si="23"/>
        <v>Incorporated</v>
      </c>
      <c r="C326" s="657">
        <f t="shared" si="22"/>
        <v>60</v>
      </c>
      <c r="D326" s="661">
        <f t="shared" si="21"/>
        <v>50.4</v>
      </c>
      <c r="E326" s="661">
        <f t="shared" si="26"/>
        <v>51.6</v>
      </c>
      <c r="F326" s="661">
        <f t="shared" si="26"/>
        <v>60.480000000000004</v>
      </c>
      <c r="G326" s="661">
        <f t="shared" si="26"/>
        <v>63.503999999999998</v>
      </c>
      <c r="H326" s="661">
        <f t="shared" si="26"/>
        <v>66.679200000000009</v>
      </c>
      <c r="I326" s="661">
        <f t="shared" si="26"/>
        <v>70.013159999999999</v>
      </c>
      <c r="J326" s="661">
        <f t="shared" si="26"/>
        <v>73.513818000000015</v>
      </c>
      <c r="K326" s="661">
        <f t="shared" si="26"/>
        <v>73.513818000000015</v>
      </c>
      <c r="L326" s="661">
        <f t="shared" si="26"/>
        <v>73.513818000000015</v>
      </c>
      <c r="M326" s="661">
        <f t="shared" si="26"/>
        <v>73.513818000000015</v>
      </c>
      <c r="N326" s="661">
        <f t="shared" si="26"/>
        <v>73.513818000000015</v>
      </c>
      <c r="O326" s="661">
        <f t="shared" si="26"/>
        <v>73.513818000000015</v>
      </c>
    </row>
    <row r="327" spans="2:15" x14ac:dyDescent="0.3">
      <c r="B327" s="657" t="str">
        <f t="shared" si="23"/>
        <v>Incorporated</v>
      </c>
      <c r="C327" s="657">
        <f t="shared" si="22"/>
        <v>61</v>
      </c>
      <c r="D327" s="661">
        <f t="shared" si="21"/>
        <v>51.239999999999995</v>
      </c>
      <c r="E327" s="661">
        <f t="shared" si="26"/>
        <v>52.46</v>
      </c>
      <c r="F327" s="661">
        <f t="shared" si="26"/>
        <v>61.488</v>
      </c>
      <c r="G327" s="661">
        <f t="shared" si="26"/>
        <v>64.562399999999997</v>
      </c>
      <c r="H327" s="661">
        <f t="shared" si="26"/>
        <v>67.790520000000001</v>
      </c>
      <c r="I327" s="661">
        <f t="shared" si="26"/>
        <v>71.180046000000004</v>
      </c>
      <c r="J327" s="661">
        <f t="shared" si="26"/>
        <v>74.739048300000007</v>
      </c>
      <c r="K327" s="661">
        <f t="shared" si="26"/>
        <v>74.739048300000007</v>
      </c>
      <c r="L327" s="661">
        <f t="shared" si="26"/>
        <v>74.739048300000007</v>
      </c>
      <c r="M327" s="661">
        <f t="shared" si="26"/>
        <v>74.739048300000007</v>
      </c>
      <c r="N327" s="661">
        <f t="shared" si="26"/>
        <v>74.739048300000007</v>
      </c>
      <c r="O327" s="661">
        <f t="shared" si="26"/>
        <v>74.739048300000007</v>
      </c>
    </row>
    <row r="328" spans="2:15" x14ac:dyDescent="0.3">
      <c r="B328" s="657" t="str">
        <f t="shared" si="23"/>
        <v>Incorporated</v>
      </c>
      <c r="C328" s="657">
        <f t="shared" si="22"/>
        <v>62</v>
      </c>
      <c r="D328" s="661">
        <f t="shared" si="21"/>
        <v>52.08</v>
      </c>
      <c r="E328" s="661">
        <f t="shared" ref="E328:O343" si="27">IF($B328=$A$64,$C328*E$46,$C328*E$49)</f>
        <v>53.32</v>
      </c>
      <c r="F328" s="661">
        <f t="shared" si="27"/>
        <v>62.496000000000002</v>
      </c>
      <c r="G328" s="661">
        <f t="shared" si="27"/>
        <v>65.620800000000003</v>
      </c>
      <c r="H328" s="661">
        <f t="shared" si="27"/>
        <v>68.901840000000007</v>
      </c>
      <c r="I328" s="661">
        <f t="shared" si="27"/>
        <v>72.34693200000001</v>
      </c>
      <c r="J328" s="661">
        <f t="shared" si="27"/>
        <v>75.964278600000014</v>
      </c>
      <c r="K328" s="661">
        <f t="shared" si="27"/>
        <v>75.964278600000014</v>
      </c>
      <c r="L328" s="661">
        <f t="shared" si="27"/>
        <v>75.964278600000014</v>
      </c>
      <c r="M328" s="661">
        <f t="shared" si="27"/>
        <v>75.964278600000014</v>
      </c>
      <c r="N328" s="661">
        <f t="shared" si="27"/>
        <v>75.964278600000014</v>
      </c>
      <c r="O328" s="661">
        <f t="shared" si="27"/>
        <v>75.964278600000014</v>
      </c>
    </row>
    <row r="329" spans="2:15" x14ac:dyDescent="0.3">
      <c r="B329" s="657" t="str">
        <f t="shared" si="23"/>
        <v>Incorporated</v>
      </c>
      <c r="C329" s="657">
        <f t="shared" si="22"/>
        <v>63</v>
      </c>
      <c r="D329" s="661">
        <f t="shared" si="21"/>
        <v>52.919999999999995</v>
      </c>
      <c r="E329" s="661">
        <f t="shared" si="27"/>
        <v>54.18</v>
      </c>
      <c r="F329" s="661">
        <f t="shared" si="27"/>
        <v>63.503999999999998</v>
      </c>
      <c r="G329" s="661">
        <f t="shared" si="27"/>
        <v>66.679199999999994</v>
      </c>
      <c r="H329" s="661">
        <f t="shared" si="27"/>
        <v>70.013159999999999</v>
      </c>
      <c r="I329" s="661">
        <f t="shared" si="27"/>
        <v>73.513818000000001</v>
      </c>
      <c r="J329" s="661">
        <f t="shared" si="27"/>
        <v>77.189508900000007</v>
      </c>
      <c r="K329" s="661">
        <f t="shared" si="27"/>
        <v>77.189508900000007</v>
      </c>
      <c r="L329" s="661">
        <f t="shared" si="27"/>
        <v>77.189508900000007</v>
      </c>
      <c r="M329" s="661">
        <f t="shared" si="27"/>
        <v>77.189508900000007</v>
      </c>
      <c r="N329" s="661">
        <f t="shared" si="27"/>
        <v>77.189508900000007</v>
      </c>
      <c r="O329" s="661">
        <f t="shared" si="27"/>
        <v>77.189508900000007</v>
      </c>
    </row>
    <row r="330" spans="2:15" x14ac:dyDescent="0.3">
      <c r="B330" s="657" t="str">
        <f t="shared" si="23"/>
        <v>Incorporated</v>
      </c>
      <c r="C330" s="657">
        <f t="shared" si="22"/>
        <v>64</v>
      </c>
      <c r="D330" s="661">
        <f t="shared" si="21"/>
        <v>53.76</v>
      </c>
      <c r="E330" s="661">
        <f t="shared" si="27"/>
        <v>55.04</v>
      </c>
      <c r="F330" s="661">
        <f t="shared" si="27"/>
        <v>64.512</v>
      </c>
      <c r="G330" s="661">
        <f t="shared" si="27"/>
        <v>67.7376</v>
      </c>
      <c r="H330" s="661">
        <f t="shared" si="27"/>
        <v>71.124480000000005</v>
      </c>
      <c r="I330" s="661">
        <f t="shared" si="27"/>
        <v>74.680704000000006</v>
      </c>
      <c r="J330" s="661">
        <f t="shared" si="27"/>
        <v>78.414739200000014</v>
      </c>
      <c r="K330" s="661">
        <f t="shared" si="27"/>
        <v>78.414739200000014</v>
      </c>
      <c r="L330" s="661">
        <f t="shared" si="27"/>
        <v>78.414739200000014</v>
      </c>
      <c r="M330" s="661">
        <f t="shared" si="27"/>
        <v>78.414739200000014</v>
      </c>
      <c r="N330" s="661">
        <f t="shared" si="27"/>
        <v>78.414739200000014</v>
      </c>
      <c r="O330" s="661">
        <f t="shared" si="27"/>
        <v>78.414739200000014</v>
      </c>
    </row>
    <row r="331" spans="2:15" x14ac:dyDescent="0.3">
      <c r="B331" s="657" t="str">
        <f t="shared" si="23"/>
        <v>Incorporated</v>
      </c>
      <c r="C331" s="657">
        <f t="shared" si="22"/>
        <v>65</v>
      </c>
      <c r="D331" s="661">
        <f t="shared" si="21"/>
        <v>54.6</v>
      </c>
      <c r="E331" s="661">
        <f t="shared" si="27"/>
        <v>55.9</v>
      </c>
      <c r="F331" s="661">
        <f t="shared" si="27"/>
        <v>65.52</v>
      </c>
      <c r="G331" s="661">
        <f t="shared" si="27"/>
        <v>68.796000000000006</v>
      </c>
      <c r="H331" s="661">
        <f t="shared" si="27"/>
        <v>72.235800000000012</v>
      </c>
      <c r="I331" s="661">
        <f t="shared" si="27"/>
        <v>75.847590000000011</v>
      </c>
      <c r="J331" s="661">
        <f t="shared" si="27"/>
        <v>79.639969500000021</v>
      </c>
      <c r="K331" s="661">
        <f t="shared" si="27"/>
        <v>79.639969500000021</v>
      </c>
      <c r="L331" s="661">
        <f t="shared" si="27"/>
        <v>79.639969500000021</v>
      </c>
      <c r="M331" s="661">
        <f t="shared" si="27"/>
        <v>79.639969500000021</v>
      </c>
      <c r="N331" s="661">
        <f t="shared" si="27"/>
        <v>79.639969500000021</v>
      </c>
      <c r="O331" s="661">
        <f t="shared" si="27"/>
        <v>79.639969500000021</v>
      </c>
    </row>
    <row r="332" spans="2:15" x14ac:dyDescent="0.3">
      <c r="B332" s="657" t="str">
        <f t="shared" si="23"/>
        <v>Incorporated</v>
      </c>
      <c r="C332" s="657">
        <f t="shared" ref="C332:C366" si="28">C229</f>
        <v>66</v>
      </c>
      <c r="D332" s="661">
        <f t="shared" si="21"/>
        <v>55.44</v>
      </c>
      <c r="E332" s="661">
        <f t="shared" si="27"/>
        <v>56.76</v>
      </c>
      <c r="F332" s="661">
        <f t="shared" si="27"/>
        <v>66.528000000000006</v>
      </c>
      <c r="G332" s="661">
        <f t="shared" si="27"/>
        <v>69.854399999999998</v>
      </c>
      <c r="H332" s="661">
        <f t="shared" si="27"/>
        <v>73.347120000000004</v>
      </c>
      <c r="I332" s="661">
        <f t="shared" si="27"/>
        <v>77.014476000000002</v>
      </c>
      <c r="J332" s="661">
        <f t="shared" si="27"/>
        <v>80.865199800000013</v>
      </c>
      <c r="K332" s="661">
        <f t="shared" si="27"/>
        <v>80.865199800000013</v>
      </c>
      <c r="L332" s="661">
        <f t="shared" si="27"/>
        <v>80.865199800000013</v>
      </c>
      <c r="M332" s="661">
        <f t="shared" si="27"/>
        <v>80.865199800000013</v>
      </c>
      <c r="N332" s="661">
        <f t="shared" si="27"/>
        <v>80.865199800000013</v>
      </c>
      <c r="O332" s="661">
        <f t="shared" si="27"/>
        <v>80.865199800000013</v>
      </c>
    </row>
    <row r="333" spans="2:15" x14ac:dyDescent="0.3">
      <c r="B333" s="657" t="str">
        <f t="shared" si="23"/>
        <v>Incorporated</v>
      </c>
      <c r="C333" s="657">
        <f t="shared" si="28"/>
        <v>67</v>
      </c>
      <c r="D333" s="661">
        <f t="shared" si="21"/>
        <v>56.28</v>
      </c>
      <c r="E333" s="661">
        <f t="shared" si="27"/>
        <v>57.62</v>
      </c>
      <c r="F333" s="661">
        <f t="shared" si="27"/>
        <v>67.536000000000001</v>
      </c>
      <c r="G333" s="661">
        <f t="shared" si="27"/>
        <v>70.912800000000004</v>
      </c>
      <c r="H333" s="661">
        <f t="shared" si="27"/>
        <v>74.45844000000001</v>
      </c>
      <c r="I333" s="661">
        <f t="shared" si="27"/>
        <v>78.181362000000007</v>
      </c>
      <c r="J333" s="661">
        <f t="shared" si="27"/>
        <v>82.09043010000002</v>
      </c>
      <c r="K333" s="661">
        <f t="shared" si="27"/>
        <v>82.09043010000002</v>
      </c>
      <c r="L333" s="661">
        <f t="shared" si="27"/>
        <v>82.09043010000002</v>
      </c>
      <c r="M333" s="661">
        <f t="shared" si="27"/>
        <v>82.09043010000002</v>
      </c>
      <c r="N333" s="661">
        <f t="shared" si="27"/>
        <v>82.09043010000002</v>
      </c>
      <c r="O333" s="661">
        <f t="shared" si="27"/>
        <v>82.09043010000002</v>
      </c>
    </row>
    <row r="334" spans="2:15" x14ac:dyDescent="0.3">
      <c r="B334" s="657" t="str">
        <f t="shared" si="23"/>
        <v>Incorporated</v>
      </c>
      <c r="C334" s="657">
        <f t="shared" si="28"/>
        <v>68</v>
      </c>
      <c r="D334" s="661">
        <f t="shared" si="21"/>
        <v>57.12</v>
      </c>
      <c r="E334" s="661">
        <f t="shared" si="27"/>
        <v>58.48</v>
      </c>
      <c r="F334" s="661">
        <f t="shared" si="27"/>
        <v>68.543999999999997</v>
      </c>
      <c r="G334" s="661">
        <f t="shared" si="27"/>
        <v>71.971199999999996</v>
      </c>
      <c r="H334" s="661">
        <f t="shared" si="27"/>
        <v>75.569760000000002</v>
      </c>
      <c r="I334" s="661">
        <f t="shared" si="27"/>
        <v>79.348248000000012</v>
      </c>
      <c r="J334" s="661">
        <f t="shared" si="27"/>
        <v>83.315660400000013</v>
      </c>
      <c r="K334" s="661">
        <f t="shared" si="27"/>
        <v>83.315660400000013</v>
      </c>
      <c r="L334" s="661">
        <f t="shared" si="27"/>
        <v>83.315660400000013</v>
      </c>
      <c r="M334" s="661">
        <f t="shared" si="27"/>
        <v>83.315660400000013</v>
      </c>
      <c r="N334" s="661">
        <f t="shared" si="27"/>
        <v>83.315660400000013</v>
      </c>
      <c r="O334" s="661">
        <f t="shared" si="27"/>
        <v>83.315660400000013</v>
      </c>
    </row>
    <row r="335" spans="2:15" x14ac:dyDescent="0.3">
      <c r="B335" s="657" t="str">
        <f t="shared" ref="B335:B365" si="29">B232</f>
        <v>Incorporated</v>
      </c>
      <c r="C335" s="657">
        <f t="shared" si="28"/>
        <v>69</v>
      </c>
      <c r="D335" s="661">
        <f t="shared" si="21"/>
        <v>57.96</v>
      </c>
      <c r="E335" s="661">
        <f t="shared" si="27"/>
        <v>59.339999999999996</v>
      </c>
      <c r="F335" s="661">
        <f t="shared" si="27"/>
        <v>69.552000000000007</v>
      </c>
      <c r="G335" s="661">
        <f t="shared" si="27"/>
        <v>73.029600000000002</v>
      </c>
      <c r="H335" s="661">
        <f t="shared" si="27"/>
        <v>76.681080000000009</v>
      </c>
      <c r="I335" s="661">
        <f t="shared" si="27"/>
        <v>80.515134000000003</v>
      </c>
      <c r="J335" s="661">
        <f t="shared" si="27"/>
        <v>84.54089070000002</v>
      </c>
      <c r="K335" s="661">
        <f t="shared" si="27"/>
        <v>84.54089070000002</v>
      </c>
      <c r="L335" s="661">
        <f t="shared" si="27"/>
        <v>84.54089070000002</v>
      </c>
      <c r="M335" s="661">
        <f t="shared" si="27"/>
        <v>84.54089070000002</v>
      </c>
      <c r="N335" s="661">
        <f t="shared" si="27"/>
        <v>84.54089070000002</v>
      </c>
      <c r="O335" s="661">
        <f t="shared" si="27"/>
        <v>84.54089070000002</v>
      </c>
    </row>
    <row r="336" spans="2:15" x14ac:dyDescent="0.3">
      <c r="B336" s="657" t="str">
        <f t="shared" si="29"/>
        <v>Incorporated</v>
      </c>
      <c r="C336" s="657">
        <f t="shared" si="28"/>
        <v>70</v>
      </c>
      <c r="D336" s="661">
        <f t="shared" si="21"/>
        <v>58.8</v>
      </c>
      <c r="E336" s="661">
        <f t="shared" si="27"/>
        <v>60.199999999999996</v>
      </c>
      <c r="F336" s="661">
        <f t="shared" si="27"/>
        <v>70.56</v>
      </c>
      <c r="G336" s="661">
        <f t="shared" si="27"/>
        <v>74.087999999999994</v>
      </c>
      <c r="H336" s="661">
        <f t="shared" si="27"/>
        <v>77.792400000000001</v>
      </c>
      <c r="I336" s="661">
        <f t="shared" si="27"/>
        <v>81.682020000000009</v>
      </c>
      <c r="J336" s="661">
        <f t="shared" si="27"/>
        <v>85.766121000000012</v>
      </c>
      <c r="K336" s="661">
        <f t="shared" si="27"/>
        <v>85.766121000000012</v>
      </c>
      <c r="L336" s="661">
        <f t="shared" si="27"/>
        <v>85.766121000000012</v>
      </c>
      <c r="M336" s="661">
        <f t="shared" si="27"/>
        <v>85.766121000000012</v>
      </c>
      <c r="N336" s="661">
        <f t="shared" si="27"/>
        <v>85.766121000000012</v>
      </c>
      <c r="O336" s="661">
        <f t="shared" si="27"/>
        <v>85.766121000000012</v>
      </c>
    </row>
    <row r="337" spans="2:15" x14ac:dyDescent="0.3">
      <c r="B337" s="657" t="str">
        <f t="shared" si="29"/>
        <v>Incorporated</v>
      </c>
      <c r="C337" s="657">
        <f t="shared" si="28"/>
        <v>71</v>
      </c>
      <c r="D337" s="661">
        <f t="shared" si="21"/>
        <v>59.64</v>
      </c>
      <c r="E337" s="661">
        <f t="shared" si="27"/>
        <v>61.06</v>
      </c>
      <c r="F337" s="661">
        <f t="shared" si="27"/>
        <v>71.567999999999998</v>
      </c>
      <c r="G337" s="661">
        <f t="shared" si="27"/>
        <v>75.1464</v>
      </c>
      <c r="H337" s="661">
        <f t="shared" si="27"/>
        <v>78.903720000000007</v>
      </c>
      <c r="I337" s="661">
        <f t="shared" si="27"/>
        <v>82.848905999999999</v>
      </c>
      <c r="J337" s="661">
        <f t="shared" si="27"/>
        <v>86.991351300000019</v>
      </c>
      <c r="K337" s="661">
        <f t="shared" si="27"/>
        <v>86.991351300000019</v>
      </c>
      <c r="L337" s="661">
        <f t="shared" si="27"/>
        <v>86.991351300000019</v>
      </c>
      <c r="M337" s="661">
        <f t="shared" si="27"/>
        <v>86.991351300000019</v>
      </c>
      <c r="N337" s="661">
        <f t="shared" si="27"/>
        <v>86.991351300000019</v>
      </c>
      <c r="O337" s="661">
        <f t="shared" si="27"/>
        <v>86.991351300000019</v>
      </c>
    </row>
    <row r="338" spans="2:15" x14ac:dyDescent="0.3">
      <c r="B338" s="657" t="str">
        <f t="shared" si="29"/>
        <v>Incorporated</v>
      </c>
      <c r="C338" s="657">
        <f t="shared" si="28"/>
        <v>72</v>
      </c>
      <c r="D338" s="661">
        <f t="shared" si="21"/>
        <v>60.48</v>
      </c>
      <c r="E338" s="661">
        <f t="shared" si="27"/>
        <v>61.92</v>
      </c>
      <c r="F338" s="661">
        <f t="shared" si="27"/>
        <v>72.575999999999993</v>
      </c>
      <c r="G338" s="661">
        <f t="shared" si="27"/>
        <v>76.204800000000006</v>
      </c>
      <c r="H338" s="661">
        <f t="shared" si="27"/>
        <v>80.015039999999999</v>
      </c>
      <c r="I338" s="661">
        <f t="shared" si="27"/>
        <v>84.015792000000005</v>
      </c>
      <c r="J338" s="661">
        <f t="shared" si="27"/>
        <v>88.216581600000012</v>
      </c>
      <c r="K338" s="661">
        <f t="shared" si="27"/>
        <v>88.216581600000012</v>
      </c>
      <c r="L338" s="661">
        <f t="shared" si="27"/>
        <v>88.216581600000012</v>
      </c>
      <c r="M338" s="661">
        <f t="shared" si="27"/>
        <v>88.216581600000012</v>
      </c>
      <c r="N338" s="661">
        <f t="shared" si="27"/>
        <v>88.216581600000012</v>
      </c>
      <c r="O338" s="661">
        <f t="shared" si="27"/>
        <v>88.216581600000012</v>
      </c>
    </row>
    <row r="339" spans="2:15" x14ac:dyDescent="0.3">
      <c r="B339" s="657" t="str">
        <f t="shared" si="29"/>
        <v>Incorporated</v>
      </c>
      <c r="C339" s="657">
        <f t="shared" si="28"/>
        <v>73</v>
      </c>
      <c r="D339" s="661">
        <f t="shared" si="21"/>
        <v>61.32</v>
      </c>
      <c r="E339" s="661">
        <f t="shared" si="27"/>
        <v>62.78</v>
      </c>
      <c r="F339" s="661">
        <f t="shared" si="27"/>
        <v>73.584000000000003</v>
      </c>
      <c r="G339" s="661">
        <f t="shared" si="27"/>
        <v>77.263199999999998</v>
      </c>
      <c r="H339" s="661">
        <f t="shared" si="27"/>
        <v>81.126360000000005</v>
      </c>
      <c r="I339" s="661">
        <f t="shared" si="27"/>
        <v>85.18267800000001</v>
      </c>
      <c r="J339" s="661">
        <f t="shared" si="27"/>
        <v>89.441811900000019</v>
      </c>
      <c r="K339" s="661">
        <f t="shared" si="27"/>
        <v>89.441811900000019</v>
      </c>
      <c r="L339" s="661">
        <f t="shared" si="27"/>
        <v>89.441811900000019</v>
      </c>
      <c r="M339" s="661">
        <f t="shared" si="27"/>
        <v>89.441811900000019</v>
      </c>
      <c r="N339" s="661">
        <f t="shared" si="27"/>
        <v>89.441811900000019</v>
      </c>
      <c r="O339" s="661">
        <f t="shared" si="27"/>
        <v>89.441811900000019</v>
      </c>
    </row>
    <row r="340" spans="2:15" x14ac:dyDescent="0.3">
      <c r="B340" s="657" t="str">
        <f t="shared" si="29"/>
        <v>Incorporated</v>
      </c>
      <c r="C340" s="657">
        <f t="shared" si="28"/>
        <v>74</v>
      </c>
      <c r="D340" s="661">
        <f t="shared" si="21"/>
        <v>62.16</v>
      </c>
      <c r="E340" s="661">
        <f t="shared" si="27"/>
        <v>63.64</v>
      </c>
      <c r="F340" s="661">
        <f t="shared" si="27"/>
        <v>74.591999999999999</v>
      </c>
      <c r="G340" s="661">
        <f t="shared" si="27"/>
        <v>78.321600000000004</v>
      </c>
      <c r="H340" s="661">
        <f t="shared" si="27"/>
        <v>82.237680000000012</v>
      </c>
      <c r="I340" s="661">
        <f t="shared" si="27"/>
        <v>86.349564000000001</v>
      </c>
      <c r="J340" s="661">
        <f t="shared" si="27"/>
        <v>90.667042200000012</v>
      </c>
      <c r="K340" s="661">
        <f t="shared" si="27"/>
        <v>90.667042200000012</v>
      </c>
      <c r="L340" s="661">
        <f t="shared" si="27"/>
        <v>90.667042200000012</v>
      </c>
      <c r="M340" s="661">
        <f t="shared" si="27"/>
        <v>90.667042200000012</v>
      </c>
      <c r="N340" s="661">
        <f t="shared" si="27"/>
        <v>90.667042200000012</v>
      </c>
      <c r="O340" s="661">
        <f t="shared" si="27"/>
        <v>90.667042200000012</v>
      </c>
    </row>
    <row r="341" spans="2:15" x14ac:dyDescent="0.3">
      <c r="B341" s="657" t="str">
        <f t="shared" si="29"/>
        <v>Incorporated</v>
      </c>
      <c r="C341" s="657">
        <f t="shared" si="28"/>
        <v>75</v>
      </c>
      <c r="D341" s="661">
        <f t="shared" si="21"/>
        <v>63</v>
      </c>
      <c r="E341" s="661">
        <f t="shared" si="27"/>
        <v>64.5</v>
      </c>
      <c r="F341" s="661">
        <f t="shared" si="27"/>
        <v>75.599999999999994</v>
      </c>
      <c r="G341" s="661">
        <f t="shared" si="27"/>
        <v>79.38</v>
      </c>
      <c r="H341" s="661">
        <f t="shared" si="27"/>
        <v>83.349000000000004</v>
      </c>
      <c r="I341" s="661">
        <f t="shared" si="27"/>
        <v>87.516450000000006</v>
      </c>
      <c r="J341" s="661">
        <f t="shared" si="27"/>
        <v>91.892272500000018</v>
      </c>
      <c r="K341" s="661">
        <f t="shared" si="27"/>
        <v>91.892272500000018</v>
      </c>
      <c r="L341" s="661">
        <f t="shared" si="27"/>
        <v>91.892272500000018</v>
      </c>
      <c r="M341" s="661">
        <f t="shared" si="27"/>
        <v>91.892272500000018</v>
      </c>
      <c r="N341" s="661">
        <f t="shared" si="27"/>
        <v>91.892272500000018</v>
      </c>
      <c r="O341" s="661">
        <f t="shared" si="27"/>
        <v>91.892272500000018</v>
      </c>
    </row>
    <row r="342" spans="2:15" x14ac:dyDescent="0.3">
      <c r="B342" s="657" t="str">
        <f t="shared" si="29"/>
        <v>Incorporated</v>
      </c>
      <c r="C342" s="657">
        <f t="shared" si="28"/>
        <v>76</v>
      </c>
      <c r="D342" s="661">
        <f t="shared" si="21"/>
        <v>63.839999999999996</v>
      </c>
      <c r="E342" s="661">
        <f t="shared" si="27"/>
        <v>65.36</v>
      </c>
      <c r="F342" s="661">
        <f t="shared" si="27"/>
        <v>76.608000000000004</v>
      </c>
      <c r="G342" s="661">
        <f t="shared" si="27"/>
        <v>80.438400000000001</v>
      </c>
      <c r="H342" s="661">
        <f t="shared" si="27"/>
        <v>84.46032000000001</v>
      </c>
      <c r="I342" s="661">
        <f t="shared" si="27"/>
        <v>88.683336000000011</v>
      </c>
      <c r="J342" s="661">
        <f t="shared" si="27"/>
        <v>93.117502800000011</v>
      </c>
      <c r="K342" s="661">
        <f t="shared" si="27"/>
        <v>93.117502800000011</v>
      </c>
      <c r="L342" s="661">
        <f t="shared" si="27"/>
        <v>93.117502800000011</v>
      </c>
      <c r="M342" s="661">
        <f t="shared" si="27"/>
        <v>93.117502800000011</v>
      </c>
      <c r="N342" s="661">
        <f t="shared" si="27"/>
        <v>93.117502800000011</v>
      </c>
      <c r="O342" s="661">
        <f t="shared" si="27"/>
        <v>93.117502800000011</v>
      </c>
    </row>
    <row r="343" spans="2:15" x14ac:dyDescent="0.3">
      <c r="B343" s="657" t="str">
        <f t="shared" si="29"/>
        <v>Incorporated</v>
      </c>
      <c r="C343" s="657">
        <f t="shared" si="28"/>
        <v>77</v>
      </c>
      <c r="D343" s="661">
        <f t="shared" si="21"/>
        <v>64.679999999999993</v>
      </c>
      <c r="E343" s="661">
        <f t="shared" si="27"/>
        <v>66.22</v>
      </c>
      <c r="F343" s="661">
        <f t="shared" si="27"/>
        <v>77.616</v>
      </c>
      <c r="G343" s="661">
        <f t="shared" si="27"/>
        <v>81.496800000000007</v>
      </c>
      <c r="H343" s="661">
        <f t="shared" si="27"/>
        <v>85.571640000000002</v>
      </c>
      <c r="I343" s="661">
        <f t="shared" si="27"/>
        <v>89.850222000000002</v>
      </c>
      <c r="J343" s="661">
        <f t="shared" si="27"/>
        <v>94.342733100000018</v>
      </c>
      <c r="K343" s="661">
        <f t="shared" si="27"/>
        <v>94.342733100000018</v>
      </c>
      <c r="L343" s="661">
        <f t="shared" si="27"/>
        <v>94.342733100000018</v>
      </c>
      <c r="M343" s="661">
        <f t="shared" si="27"/>
        <v>94.342733100000018</v>
      </c>
      <c r="N343" s="661">
        <f t="shared" si="27"/>
        <v>94.342733100000018</v>
      </c>
      <c r="O343" s="661">
        <f t="shared" si="27"/>
        <v>94.342733100000018</v>
      </c>
    </row>
    <row r="344" spans="2:15" x14ac:dyDescent="0.3">
      <c r="B344" s="657" t="str">
        <f t="shared" si="29"/>
        <v>Incorporated</v>
      </c>
      <c r="C344" s="657">
        <f t="shared" si="28"/>
        <v>78</v>
      </c>
      <c r="D344" s="661">
        <f t="shared" si="21"/>
        <v>65.52</v>
      </c>
      <c r="E344" s="661">
        <f t="shared" ref="E344:O359" si="30">IF($B344=$A$64,$C344*E$46,$C344*E$49)</f>
        <v>67.08</v>
      </c>
      <c r="F344" s="661">
        <f t="shared" si="30"/>
        <v>78.623999999999995</v>
      </c>
      <c r="G344" s="661">
        <f t="shared" si="30"/>
        <v>82.555199999999999</v>
      </c>
      <c r="H344" s="661">
        <f t="shared" si="30"/>
        <v>86.682960000000008</v>
      </c>
      <c r="I344" s="661">
        <f t="shared" si="30"/>
        <v>91.017108000000007</v>
      </c>
      <c r="J344" s="661">
        <f t="shared" si="30"/>
        <v>95.567963400000011</v>
      </c>
      <c r="K344" s="661">
        <f t="shared" si="30"/>
        <v>95.567963400000011</v>
      </c>
      <c r="L344" s="661">
        <f t="shared" si="30"/>
        <v>95.567963400000011</v>
      </c>
      <c r="M344" s="661">
        <f t="shared" si="30"/>
        <v>95.567963400000011</v>
      </c>
      <c r="N344" s="661">
        <f t="shared" si="30"/>
        <v>95.567963400000011</v>
      </c>
      <c r="O344" s="661">
        <f t="shared" si="30"/>
        <v>95.567963400000011</v>
      </c>
    </row>
    <row r="345" spans="2:15" x14ac:dyDescent="0.3">
      <c r="B345" s="657" t="str">
        <f t="shared" si="29"/>
        <v>Incorporated</v>
      </c>
      <c r="C345" s="657">
        <f t="shared" si="28"/>
        <v>79</v>
      </c>
      <c r="D345" s="661">
        <f t="shared" si="21"/>
        <v>66.36</v>
      </c>
      <c r="E345" s="661">
        <f t="shared" si="30"/>
        <v>67.94</v>
      </c>
      <c r="F345" s="661">
        <f t="shared" si="30"/>
        <v>79.632000000000005</v>
      </c>
      <c r="G345" s="661">
        <f t="shared" si="30"/>
        <v>83.613600000000005</v>
      </c>
      <c r="H345" s="661">
        <f t="shared" si="30"/>
        <v>87.794280000000001</v>
      </c>
      <c r="I345" s="661">
        <f t="shared" si="30"/>
        <v>92.183994000000013</v>
      </c>
      <c r="J345" s="661">
        <f t="shared" si="30"/>
        <v>96.793193700000018</v>
      </c>
      <c r="K345" s="661">
        <f t="shared" si="30"/>
        <v>96.793193700000018</v>
      </c>
      <c r="L345" s="661">
        <f t="shared" si="30"/>
        <v>96.793193700000018</v>
      </c>
      <c r="M345" s="661">
        <f t="shared" si="30"/>
        <v>96.793193700000018</v>
      </c>
      <c r="N345" s="661">
        <f t="shared" si="30"/>
        <v>96.793193700000018</v>
      </c>
      <c r="O345" s="661">
        <f t="shared" si="30"/>
        <v>96.793193700000018</v>
      </c>
    </row>
    <row r="346" spans="2:15" x14ac:dyDescent="0.3">
      <c r="B346" s="657" t="str">
        <f t="shared" si="29"/>
        <v>Incorporated</v>
      </c>
      <c r="C346" s="657">
        <f t="shared" si="28"/>
        <v>80</v>
      </c>
      <c r="D346" s="661">
        <f t="shared" si="21"/>
        <v>67.2</v>
      </c>
      <c r="E346" s="661">
        <f t="shared" si="30"/>
        <v>68.8</v>
      </c>
      <c r="F346" s="661">
        <f t="shared" si="30"/>
        <v>80.64</v>
      </c>
      <c r="G346" s="661">
        <f t="shared" si="30"/>
        <v>84.671999999999997</v>
      </c>
      <c r="H346" s="661">
        <f t="shared" si="30"/>
        <v>88.905600000000007</v>
      </c>
      <c r="I346" s="661">
        <f t="shared" si="30"/>
        <v>93.350880000000004</v>
      </c>
      <c r="J346" s="661">
        <f t="shared" si="30"/>
        <v>98.01842400000001</v>
      </c>
      <c r="K346" s="661">
        <f t="shared" si="30"/>
        <v>98.01842400000001</v>
      </c>
      <c r="L346" s="661">
        <f t="shared" si="30"/>
        <v>98.01842400000001</v>
      </c>
      <c r="M346" s="661">
        <f t="shared" si="30"/>
        <v>98.01842400000001</v>
      </c>
      <c r="N346" s="661">
        <f t="shared" si="30"/>
        <v>98.01842400000001</v>
      </c>
      <c r="O346" s="661">
        <f t="shared" si="30"/>
        <v>98.01842400000001</v>
      </c>
    </row>
    <row r="347" spans="2:15" x14ac:dyDescent="0.3">
      <c r="B347" s="657" t="str">
        <f t="shared" si="29"/>
        <v>Incorporated</v>
      </c>
      <c r="C347" s="657">
        <f t="shared" si="28"/>
        <v>81</v>
      </c>
      <c r="D347" s="661">
        <f t="shared" si="21"/>
        <v>68.039999999999992</v>
      </c>
      <c r="E347" s="661">
        <f t="shared" si="30"/>
        <v>69.66</v>
      </c>
      <c r="F347" s="661">
        <f t="shared" si="30"/>
        <v>81.647999999999996</v>
      </c>
      <c r="G347" s="661">
        <f t="shared" si="30"/>
        <v>85.730400000000003</v>
      </c>
      <c r="H347" s="661">
        <f t="shared" si="30"/>
        <v>90.016920000000013</v>
      </c>
      <c r="I347" s="661">
        <f t="shared" si="30"/>
        <v>94.517766000000009</v>
      </c>
      <c r="J347" s="661">
        <f t="shared" si="30"/>
        <v>99.243654300000017</v>
      </c>
      <c r="K347" s="661">
        <f t="shared" si="30"/>
        <v>99.243654300000017</v>
      </c>
      <c r="L347" s="661">
        <f t="shared" si="30"/>
        <v>99.243654300000017</v>
      </c>
      <c r="M347" s="661">
        <f t="shared" si="30"/>
        <v>99.243654300000017</v>
      </c>
      <c r="N347" s="661">
        <f t="shared" si="30"/>
        <v>99.243654300000017</v>
      </c>
      <c r="O347" s="661">
        <f t="shared" si="30"/>
        <v>99.243654300000017</v>
      </c>
    </row>
    <row r="348" spans="2:15" x14ac:dyDescent="0.3">
      <c r="B348" s="657" t="str">
        <f t="shared" si="29"/>
        <v>Incorporated</v>
      </c>
      <c r="C348" s="657">
        <f t="shared" si="28"/>
        <v>82</v>
      </c>
      <c r="D348" s="661">
        <f t="shared" si="21"/>
        <v>68.88</v>
      </c>
      <c r="E348" s="661">
        <f t="shared" si="30"/>
        <v>70.52</v>
      </c>
      <c r="F348" s="661">
        <f t="shared" si="30"/>
        <v>82.656000000000006</v>
      </c>
      <c r="G348" s="661">
        <f t="shared" si="30"/>
        <v>86.788799999999995</v>
      </c>
      <c r="H348" s="661">
        <f t="shared" si="30"/>
        <v>91.128240000000005</v>
      </c>
      <c r="I348" s="661">
        <f t="shared" si="30"/>
        <v>95.684652000000014</v>
      </c>
      <c r="J348" s="661">
        <f t="shared" si="30"/>
        <v>100.46888460000002</v>
      </c>
      <c r="K348" s="661">
        <f t="shared" si="30"/>
        <v>100.46888460000002</v>
      </c>
      <c r="L348" s="661">
        <f t="shared" si="30"/>
        <v>100.46888460000002</v>
      </c>
      <c r="M348" s="661">
        <f t="shared" si="30"/>
        <v>100.46888460000002</v>
      </c>
      <c r="N348" s="661">
        <f t="shared" si="30"/>
        <v>100.46888460000002</v>
      </c>
      <c r="O348" s="661">
        <f t="shared" si="30"/>
        <v>100.46888460000002</v>
      </c>
    </row>
    <row r="349" spans="2:15" x14ac:dyDescent="0.3">
      <c r="B349" s="657" t="str">
        <f t="shared" si="29"/>
        <v>Incorporated</v>
      </c>
      <c r="C349" s="657">
        <f t="shared" si="28"/>
        <v>83</v>
      </c>
      <c r="D349" s="661">
        <f t="shared" si="21"/>
        <v>69.72</v>
      </c>
      <c r="E349" s="661">
        <f t="shared" si="30"/>
        <v>71.38</v>
      </c>
      <c r="F349" s="661">
        <f t="shared" si="30"/>
        <v>83.664000000000001</v>
      </c>
      <c r="G349" s="661">
        <f t="shared" si="30"/>
        <v>87.847200000000001</v>
      </c>
      <c r="H349" s="661">
        <f t="shared" si="30"/>
        <v>92.239560000000012</v>
      </c>
      <c r="I349" s="661">
        <f t="shared" si="30"/>
        <v>96.851538000000005</v>
      </c>
      <c r="J349" s="661">
        <f t="shared" si="30"/>
        <v>101.69411490000002</v>
      </c>
      <c r="K349" s="661">
        <f t="shared" si="30"/>
        <v>101.69411490000002</v>
      </c>
      <c r="L349" s="661">
        <f t="shared" si="30"/>
        <v>101.69411490000002</v>
      </c>
      <c r="M349" s="661">
        <f t="shared" si="30"/>
        <v>101.69411490000002</v>
      </c>
      <c r="N349" s="661">
        <f t="shared" si="30"/>
        <v>101.69411490000002</v>
      </c>
      <c r="O349" s="661">
        <f t="shared" si="30"/>
        <v>101.69411490000002</v>
      </c>
    </row>
    <row r="350" spans="2:15" x14ac:dyDescent="0.3">
      <c r="B350" s="657" t="str">
        <f t="shared" si="29"/>
        <v>Incorporated</v>
      </c>
      <c r="C350" s="657">
        <f t="shared" si="28"/>
        <v>84</v>
      </c>
      <c r="D350" s="661">
        <f t="shared" si="21"/>
        <v>70.56</v>
      </c>
      <c r="E350" s="661">
        <f t="shared" si="30"/>
        <v>72.239999999999995</v>
      </c>
      <c r="F350" s="661">
        <f t="shared" si="30"/>
        <v>84.671999999999997</v>
      </c>
      <c r="G350" s="661">
        <f t="shared" si="30"/>
        <v>88.905600000000007</v>
      </c>
      <c r="H350" s="661">
        <f t="shared" si="30"/>
        <v>93.350880000000004</v>
      </c>
      <c r="I350" s="661">
        <f t="shared" si="30"/>
        <v>98.01842400000001</v>
      </c>
      <c r="J350" s="661">
        <f t="shared" si="30"/>
        <v>102.91934520000002</v>
      </c>
      <c r="K350" s="661">
        <f t="shared" si="30"/>
        <v>102.91934520000002</v>
      </c>
      <c r="L350" s="661">
        <f t="shared" si="30"/>
        <v>102.91934520000002</v>
      </c>
      <c r="M350" s="661">
        <f t="shared" si="30"/>
        <v>102.91934520000002</v>
      </c>
      <c r="N350" s="661">
        <f t="shared" si="30"/>
        <v>102.91934520000002</v>
      </c>
      <c r="O350" s="661">
        <f t="shared" si="30"/>
        <v>102.91934520000002</v>
      </c>
    </row>
    <row r="351" spans="2:15" x14ac:dyDescent="0.3">
      <c r="B351" s="657" t="str">
        <f t="shared" si="29"/>
        <v>Incorporated</v>
      </c>
      <c r="C351" s="657">
        <f t="shared" si="28"/>
        <v>85</v>
      </c>
      <c r="D351" s="661">
        <f t="shared" si="21"/>
        <v>71.399999999999991</v>
      </c>
      <c r="E351" s="661">
        <f t="shared" si="30"/>
        <v>73.099999999999994</v>
      </c>
      <c r="F351" s="661">
        <f t="shared" si="30"/>
        <v>85.68</v>
      </c>
      <c r="G351" s="661">
        <f t="shared" si="30"/>
        <v>89.963999999999999</v>
      </c>
      <c r="H351" s="661">
        <f t="shared" si="30"/>
        <v>94.46220000000001</v>
      </c>
      <c r="I351" s="661">
        <f t="shared" si="30"/>
        <v>99.185310000000001</v>
      </c>
      <c r="J351" s="661">
        <f t="shared" si="30"/>
        <v>104.14457550000002</v>
      </c>
      <c r="K351" s="661">
        <f t="shared" si="30"/>
        <v>104.14457550000002</v>
      </c>
      <c r="L351" s="661">
        <f t="shared" si="30"/>
        <v>104.14457550000002</v>
      </c>
      <c r="M351" s="661">
        <f t="shared" si="30"/>
        <v>104.14457550000002</v>
      </c>
      <c r="N351" s="661">
        <f t="shared" si="30"/>
        <v>104.14457550000002</v>
      </c>
      <c r="O351" s="661">
        <f t="shared" si="30"/>
        <v>104.14457550000002</v>
      </c>
    </row>
    <row r="352" spans="2:15" x14ac:dyDescent="0.3">
      <c r="B352" s="657" t="str">
        <f t="shared" si="29"/>
        <v>Incorporated</v>
      </c>
      <c r="C352" s="657">
        <f t="shared" si="28"/>
        <v>86</v>
      </c>
      <c r="D352" s="661">
        <f t="shared" si="21"/>
        <v>72.239999999999995</v>
      </c>
      <c r="E352" s="661">
        <f t="shared" si="30"/>
        <v>73.959999999999994</v>
      </c>
      <c r="F352" s="661">
        <f t="shared" si="30"/>
        <v>86.688000000000002</v>
      </c>
      <c r="G352" s="661">
        <f t="shared" si="30"/>
        <v>91.022400000000005</v>
      </c>
      <c r="H352" s="661">
        <f t="shared" si="30"/>
        <v>95.573520000000002</v>
      </c>
      <c r="I352" s="661">
        <f t="shared" si="30"/>
        <v>100.35219600000001</v>
      </c>
      <c r="J352" s="661">
        <f t="shared" si="30"/>
        <v>105.36980580000002</v>
      </c>
      <c r="K352" s="661">
        <f t="shared" si="30"/>
        <v>105.36980580000002</v>
      </c>
      <c r="L352" s="661">
        <f t="shared" si="30"/>
        <v>105.36980580000002</v>
      </c>
      <c r="M352" s="661">
        <f t="shared" si="30"/>
        <v>105.36980580000002</v>
      </c>
      <c r="N352" s="661">
        <f t="shared" si="30"/>
        <v>105.36980580000002</v>
      </c>
      <c r="O352" s="661">
        <f t="shared" si="30"/>
        <v>105.36980580000002</v>
      </c>
    </row>
    <row r="353" spans="2:15" x14ac:dyDescent="0.3">
      <c r="B353" s="657" t="str">
        <f t="shared" si="29"/>
        <v>Incorporated</v>
      </c>
      <c r="C353" s="657">
        <f t="shared" si="28"/>
        <v>87</v>
      </c>
      <c r="D353" s="661">
        <f t="shared" si="21"/>
        <v>73.08</v>
      </c>
      <c r="E353" s="661">
        <f t="shared" si="30"/>
        <v>74.819999999999993</v>
      </c>
      <c r="F353" s="661">
        <f t="shared" si="30"/>
        <v>87.695999999999998</v>
      </c>
      <c r="G353" s="661">
        <f t="shared" si="30"/>
        <v>92.080799999999996</v>
      </c>
      <c r="H353" s="661">
        <f t="shared" si="30"/>
        <v>96.684840000000008</v>
      </c>
      <c r="I353" s="661">
        <f t="shared" si="30"/>
        <v>101.51908200000001</v>
      </c>
      <c r="J353" s="661">
        <f t="shared" si="30"/>
        <v>106.59503610000002</v>
      </c>
      <c r="K353" s="661">
        <f t="shared" si="30"/>
        <v>106.59503610000002</v>
      </c>
      <c r="L353" s="661">
        <f t="shared" si="30"/>
        <v>106.59503610000002</v>
      </c>
      <c r="M353" s="661">
        <f t="shared" si="30"/>
        <v>106.59503610000002</v>
      </c>
      <c r="N353" s="661">
        <f t="shared" si="30"/>
        <v>106.59503610000002</v>
      </c>
      <c r="O353" s="661">
        <f t="shared" si="30"/>
        <v>106.59503610000002</v>
      </c>
    </row>
    <row r="354" spans="2:15" x14ac:dyDescent="0.3">
      <c r="B354" s="657" t="str">
        <f t="shared" si="29"/>
        <v>Incorporated</v>
      </c>
      <c r="C354" s="657">
        <f t="shared" si="28"/>
        <v>88</v>
      </c>
      <c r="D354" s="661">
        <f t="shared" si="21"/>
        <v>73.92</v>
      </c>
      <c r="E354" s="661">
        <f t="shared" si="30"/>
        <v>75.679999999999993</v>
      </c>
      <c r="F354" s="661">
        <f t="shared" si="30"/>
        <v>88.704000000000008</v>
      </c>
      <c r="G354" s="661">
        <f t="shared" si="30"/>
        <v>93.139200000000002</v>
      </c>
      <c r="H354" s="661">
        <f t="shared" si="30"/>
        <v>97.796160000000015</v>
      </c>
      <c r="I354" s="661">
        <f t="shared" si="30"/>
        <v>102.685968</v>
      </c>
      <c r="J354" s="661">
        <f t="shared" si="30"/>
        <v>107.82026640000002</v>
      </c>
      <c r="K354" s="661">
        <f t="shared" si="30"/>
        <v>107.82026640000002</v>
      </c>
      <c r="L354" s="661">
        <f t="shared" si="30"/>
        <v>107.82026640000002</v>
      </c>
      <c r="M354" s="661">
        <f t="shared" si="30"/>
        <v>107.82026640000002</v>
      </c>
      <c r="N354" s="661">
        <f t="shared" si="30"/>
        <v>107.82026640000002</v>
      </c>
      <c r="O354" s="661">
        <f t="shared" si="30"/>
        <v>107.82026640000002</v>
      </c>
    </row>
    <row r="355" spans="2:15" x14ac:dyDescent="0.3">
      <c r="B355" s="657" t="str">
        <f t="shared" si="29"/>
        <v>Incorporated</v>
      </c>
      <c r="C355" s="657">
        <f t="shared" si="28"/>
        <v>89</v>
      </c>
      <c r="D355" s="661">
        <f t="shared" si="21"/>
        <v>74.759999999999991</v>
      </c>
      <c r="E355" s="661">
        <f t="shared" si="30"/>
        <v>76.539999999999992</v>
      </c>
      <c r="F355" s="661">
        <f t="shared" si="30"/>
        <v>89.712000000000003</v>
      </c>
      <c r="G355" s="661">
        <f t="shared" si="30"/>
        <v>94.197599999999994</v>
      </c>
      <c r="H355" s="661">
        <f t="shared" si="30"/>
        <v>98.907480000000007</v>
      </c>
      <c r="I355" s="661">
        <f t="shared" si="30"/>
        <v>103.85285400000001</v>
      </c>
      <c r="J355" s="661">
        <f t="shared" si="30"/>
        <v>109.04549670000002</v>
      </c>
      <c r="K355" s="661">
        <f t="shared" si="30"/>
        <v>109.04549670000002</v>
      </c>
      <c r="L355" s="661">
        <f t="shared" si="30"/>
        <v>109.04549670000002</v>
      </c>
      <c r="M355" s="661">
        <f t="shared" si="30"/>
        <v>109.04549670000002</v>
      </c>
      <c r="N355" s="661">
        <f t="shared" si="30"/>
        <v>109.04549670000002</v>
      </c>
      <c r="O355" s="661">
        <f t="shared" si="30"/>
        <v>109.04549670000002</v>
      </c>
    </row>
    <row r="356" spans="2:15" x14ac:dyDescent="0.3">
      <c r="B356" s="657" t="str">
        <f t="shared" si="29"/>
        <v>Incorporated</v>
      </c>
      <c r="C356" s="657">
        <f t="shared" si="28"/>
        <v>90</v>
      </c>
      <c r="D356" s="661">
        <f t="shared" si="21"/>
        <v>75.599999999999994</v>
      </c>
      <c r="E356" s="661">
        <f t="shared" si="30"/>
        <v>77.400000000000006</v>
      </c>
      <c r="F356" s="661">
        <f t="shared" si="30"/>
        <v>90.72</v>
      </c>
      <c r="G356" s="661">
        <f t="shared" si="30"/>
        <v>95.256</v>
      </c>
      <c r="H356" s="661">
        <f t="shared" si="30"/>
        <v>100.01880000000001</v>
      </c>
      <c r="I356" s="661">
        <f t="shared" si="30"/>
        <v>105.01974000000001</v>
      </c>
      <c r="J356" s="661">
        <f t="shared" si="30"/>
        <v>110.27072700000002</v>
      </c>
      <c r="K356" s="661">
        <f t="shared" si="30"/>
        <v>110.27072700000002</v>
      </c>
      <c r="L356" s="661">
        <f t="shared" si="30"/>
        <v>110.27072700000002</v>
      </c>
      <c r="M356" s="661">
        <f t="shared" si="30"/>
        <v>110.27072700000002</v>
      </c>
      <c r="N356" s="661">
        <f t="shared" si="30"/>
        <v>110.27072700000002</v>
      </c>
      <c r="O356" s="661">
        <f t="shared" si="30"/>
        <v>110.27072700000002</v>
      </c>
    </row>
    <row r="357" spans="2:15" x14ac:dyDescent="0.3">
      <c r="B357" s="657" t="str">
        <f t="shared" si="29"/>
        <v>Incorporated</v>
      </c>
      <c r="C357" s="657">
        <f t="shared" si="28"/>
        <v>91</v>
      </c>
      <c r="D357" s="661">
        <f t="shared" si="21"/>
        <v>76.44</v>
      </c>
      <c r="E357" s="661">
        <f t="shared" si="30"/>
        <v>78.260000000000005</v>
      </c>
      <c r="F357" s="661">
        <f t="shared" si="30"/>
        <v>91.727999999999994</v>
      </c>
      <c r="G357" s="661">
        <f t="shared" si="30"/>
        <v>96.314400000000006</v>
      </c>
      <c r="H357" s="661">
        <f t="shared" si="30"/>
        <v>101.13012000000001</v>
      </c>
      <c r="I357" s="661">
        <f t="shared" si="30"/>
        <v>106.186626</v>
      </c>
      <c r="J357" s="661">
        <f t="shared" si="30"/>
        <v>111.49595730000001</v>
      </c>
      <c r="K357" s="661">
        <f t="shared" si="30"/>
        <v>111.49595730000001</v>
      </c>
      <c r="L357" s="661">
        <f t="shared" si="30"/>
        <v>111.49595730000001</v>
      </c>
      <c r="M357" s="661">
        <f t="shared" si="30"/>
        <v>111.49595730000001</v>
      </c>
      <c r="N357" s="661">
        <f t="shared" si="30"/>
        <v>111.49595730000001</v>
      </c>
      <c r="O357" s="661">
        <f t="shared" si="30"/>
        <v>111.49595730000001</v>
      </c>
    </row>
    <row r="358" spans="2:15" x14ac:dyDescent="0.3">
      <c r="B358" s="657" t="str">
        <f t="shared" si="29"/>
        <v>Incorporated</v>
      </c>
      <c r="C358" s="657">
        <f t="shared" si="28"/>
        <v>92</v>
      </c>
      <c r="D358" s="661">
        <f t="shared" si="21"/>
        <v>77.28</v>
      </c>
      <c r="E358" s="661">
        <f t="shared" si="30"/>
        <v>79.12</v>
      </c>
      <c r="F358" s="661">
        <f t="shared" si="30"/>
        <v>92.736000000000004</v>
      </c>
      <c r="G358" s="661">
        <f t="shared" si="30"/>
        <v>97.372799999999998</v>
      </c>
      <c r="H358" s="661">
        <f t="shared" si="30"/>
        <v>102.24144000000001</v>
      </c>
      <c r="I358" s="661">
        <f t="shared" si="30"/>
        <v>107.35351200000001</v>
      </c>
      <c r="J358" s="661">
        <f t="shared" si="30"/>
        <v>112.72118760000002</v>
      </c>
      <c r="K358" s="661">
        <f t="shared" si="30"/>
        <v>112.72118760000002</v>
      </c>
      <c r="L358" s="661">
        <f t="shared" si="30"/>
        <v>112.72118760000002</v>
      </c>
      <c r="M358" s="661">
        <f t="shared" si="30"/>
        <v>112.72118760000002</v>
      </c>
      <c r="N358" s="661">
        <f t="shared" si="30"/>
        <v>112.72118760000002</v>
      </c>
      <c r="O358" s="661">
        <f t="shared" si="30"/>
        <v>112.72118760000002</v>
      </c>
    </row>
    <row r="359" spans="2:15" x14ac:dyDescent="0.3">
      <c r="B359" s="657" t="str">
        <f t="shared" si="29"/>
        <v>Incorporated</v>
      </c>
      <c r="C359" s="657">
        <f t="shared" si="28"/>
        <v>93</v>
      </c>
      <c r="D359" s="661">
        <f t="shared" si="21"/>
        <v>78.11999999999999</v>
      </c>
      <c r="E359" s="661">
        <f t="shared" si="30"/>
        <v>79.98</v>
      </c>
      <c r="F359" s="661">
        <f t="shared" si="30"/>
        <v>93.744</v>
      </c>
      <c r="G359" s="661">
        <f t="shared" si="30"/>
        <v>98.431200000000004</v>
      </c>
      <c r="H359" s="661">
        <f t="shared" si="30"/>
        <v>103.35276</v>
      </c>
      <c r="I359" s="661">
        <f t="shared" si="30"/>
        <v>108.52039800000001</v>
      </c>
      <c r="J359" s="661">
        <f t="shared" si="30"/>
        <v>113.94641790000001</v>
      </c>
      <c r="K359" s="661">
        <f t="shared" si="30"/>
        <v>113.94641790000001</v>
      </c>
      <c r="L359" s="661">
        <f t="shared" si="30"/>
        <v>113.94641790000001</v>
      </c>
      <c r="M359" s="661">
        <f t="shared" si="30"/>
        <v>113.94641790000001</v>
      </c>
      <c r="N359" s="661">
        <f t="shared" si="30"/>
        <v>113.94641790000001</v>
      </c>
      <c r="O359" s="661">
        <f t="shared" si="30"/>
        <v>113.94641790000001</v>
      </c>
    </row>
    <row r="360" spans="2:15" x14ac:dyDescent="0.3">
      <c r="B360" s="657" t="str">
        <f t="shared" si="29"/>
        <v>Incorporated</v>
      </c>
      <c r="C360" s="657">
        <f t="shared" si="28"/>
        <v>94</v>
      </c>
      <c r="D360" s="661">
        <f t="shared" si="21"/>
        <v>78.959999999999994</v>
      </c>
      <c r="E360" s="661">
        <f t="shared" ref="E360:O366" si="31">IF($B360=$A$64,$C360*E$46,$C360*E$49)</f>
        <v>80.84</v>
      </c>
      <c r="F360" s="661">
        <f t="shared" si="31"/>
        <v>94.751999999999995</v>
      </c>
      <c r="G360" s="661">
        <f t="shared" si="31"/>
        <v>99.489599999999996</v>
      </c>
      <c r="H360" s="661">
        <f t="shared" si="31"/>
        <v>104.46408000000001</v>
      </c>
      <c r="I360" s="661">
        <f t="shared" si="31"/>
        <v>109.68728400000001</v>
      </c>
      <c r="J360" s="661">
        <f t="shared" si="31"/>
        <v>115.17164820000002</v>
      </c>
      <c r="K360" s="661">
        <f t="shared" si="31"/>
        <v>115.17164820000002</v>
      </c>
      <c r="L360" s="661">
        <f t="shared" si="31"/>
        <v>115.17164820000002</v>
      </c>
      <c r="M360" s="661">
        <f t="shared" si="31"/>
        <v>115.17164820000002</v>
      </c>
      <c r="N360" s="661">
        <f t="shared" si="31"/>
        <v>115.17164820000002</v>
      </c>
      <c r="O360" s="661">
        <f t="shared" si="31"/>
        <v>115.17164820000002</v>
      </c>
    </row>
    <row r="361" spans="2:15" x14ac:dyDescent="0.3">
      <c r="B361" s="657" t="str">
        <f t="shared" si="29"/>
        <v>Incorporated</v>
      </c>
      <c r="C361" s="657">
        <f t="shared" si="28"/>
        <v>95</v>
      </c>
      <c r="D361" s="661">
        <f t="shared" si="21"/>
        <v>79.8</v>
      </c>
      <c r="E361" s="661">
        <f t="shared" si="31"/>
        <v>81.7</v>
      </c>
      <c r="F361" s="661">
        <f t="shared" si="31"/>
        <v>95.76</v>
      </c>
      <c r="G361" s="661">
        <f t="shared" si="31"/>
        <v>100.548</v>
      </c>
      <c r="H361" s="661">
        <f t="shared" si="31"/>
        <v>105.5754</v>
      </c>
      <c r="I361" s="661">
        <f t="shared" si="31"/>
        <v>110.85417000000001</v>
      </c>
      <c r="J361" s="661">
        <f t="shared" si="31"/>
        <v>116.39687850000001</v>
      </c>
      <c r="K361" s="661">
        <f t="shared" si="31"/>
        <v>116.39687850000001</v>
      </c>
      <c r="L361" s="661">
        <f t="shared" si="31"/>
        <v>116.39687850000001</v>
      </c>
      <c r="M361" s="661">
        <f t="shared" si="31"/>
        <v>116.39687850000001</v>
      </c>
      <c r="N361" s="661">
        <f t="shared" si="31"/>
        <v>116.39687850000001</v>
      </c>
      <c r="O361" s="661">
        <f t="shared" si="31"/>
        <v>116.39687850000001</v>
      </c>
    </row>
    <row r="362" spans="2:15" x14ac:dyDescent="0.3">
      <c r="B362" s="657" t="str">
        <f t="shared" si="29"/>
        <v>Incorporated</v>
      </c>
      <c r="C362" s="657">
        <f t="shared" si="28"/>
        <v>96</v>
      </c>
      <c r="D362" s="661">
        <f t="shared" si="21"/>
        <v>80.64</v>
      </c>
      <c r="E362" s="661">
        <f t="shared" si="31"/>
        <v>82.56</v>
      </c>
      <c r="F362" s="661">
        <f t="shared" si="31"/>
        <v>96.768000000000001</v>
      </c>
      <c r="G362" s="661">
        <f t="shared" si="31"/>
        <v>101.60640000000001</v>
      </c>
      <c r="H362" s="661">
        <f t="shared" si="31"/>
        <v>106.68672000000001</v>
      </c>
      <c r="I362" s="661">
        <f t="shared" si="31"/>
        <v>112.02105600000002</v>
      </c>
      <c r="J362" s="661">
        <f t="shared" si="31"/>
        <v>117.62210880000002</v>
      </c>
      <c r="K362" s="661">
        <f t="shared" si="31"/>
        <v>117.62210880000002</v>
      </c>
      <c r="L362" s="661">
        <f t="shared" si="31"/>
        <v>117.62210880000002</v>
      </c>
      <c r="M362" s="661">
        <f t="shared" si="31"/>
        <v>117.62210880000002</v>
      </c>
      <c r="N362" s="661">
        <f t="shared" si="31"/>
        <v>117.62210880000002</v>
      </c>
      <c r="O362" s="661">
        <f t="shared" si="31"/>
        <v>117.62210880000002</v>
      </c>
    </row>
    <row r="363" spans="2:15" x14ac:dyDescent="0.3">
      <c r="B363" s="657" t="str">
        <f t="shared" si="29"/>
        <v>Incorporated</v>
      </c>
      <c r="C363" s="657">
        <f t="shared" si="28"/>
        <v>97</v>
      </c>
      <c r="D363" s="661">
        <f t="shared" si="21"/>
        <v>81.48</v>
      </c>
      <c r="E363" s="661">
        <f t="shared" si="31"/>
        <v>83.42</v>
      </c>
      <c r="F363" s="661">
        <f t="shared" si="31"/>
        <v>97.775999999999996</v>
      </c>
      <c r="G363" s="661">
        <f t="shared" si="31"/>
        <v>102.6648</v>
      </c>
      <c r="H363" s="661">
        <f t="shared" si="31"/>
        <v>107.79804000000001</v>
      </c>
      <c r="I363" s="661">
        <f t="shared" si="31"/>
        <v>113.18794200000001</v>
      </c>
      <c r="J363" s="661">
        <f t="shared" si="31"/>
        <v>118.84733910000003</v>
      </c>
      <c r="K363" s="661">
        <f t="shared" si="31"/>
        <v>118.84733910000003</v>
      </c>
      <c r="L363" s="661">
        <f t="shared" si="31"/>
        <v>118.84733910000003</v>
      </c>
      <c r="M363" s="661">
        <f t="shared" si="31"/>
        <v>118.84733910000003</v>
      </c>
      <c r="N363" s="661">
        <f t="shared" si="31"/>
        <v>118.84733910000003</v>
      </c>
      <c r="O363" s="661">
        <f t="shared" si="31"/>
        <v>118.84733910000003</v>
      </c>
    </row>
    <row r="364" spans="2:15" x14ac:dyDescent="0.3">
      <c r="B364" s="657" t="str">
        <f t="shared" si="29"/>
        <v>Incorporated</v>
      </c>
      <c r="C364" s="657">
        <f t="shared" si="28"/>
        <v>98</v>
      </c>
      <c r="D364" s="661">
        <f t="shared" si="21"/>
        <v>82.32</v>
      </c>
      <c r="E364" s="661">
        <f t="shared" si="31"/>
        <v>84.28</v>
      </c>
      <c r="F364" s="661">
        <f t="shared" si="31"/>
        <v>98.784000000000006</v>
      </c>
      <c r="G364" s="661">
        <f t="shared" si="31"/>
        <v>103.72320000000001</v>
      </c>
      <c r="H364" s="661">
        <f t="shared" si="31"/>
        <v>108.90936000000001</v>
      </c>
      <c r="I364" s="661">
        <f t="shared" si="31"/>
        <v>114.35482800000001</v>
      </c>
      <c r="J364" s="661">
        <f t="shared" si="31"/>
        <v>120.07256940000002</v>
      </c>
      <c r="K364" s="661">
        <f t="shared" si="31"/>
        <v>120.07256940000002</v>
      </c>
      <c r="L364" s="661">
        <f t="shared" si="31"/>
        <v>120.07256940000002</v>
      </c>
      <c r="M364" s="661">
        <f t="shared" si="31"/>
        <v>120.07256940000002</v>
      </c>
      <c r="N364" s="661">
        <f t="shared" si="31"/>
        <v>120.07256940000002</v>
      </c>
      <c r="O364" s="661">
        <f t="shared" si="31"/>
        <v>120.07256940000002</v>
      </c>
    </row>
    <row r="365" spans="2:15" x14ac:dyDescent="0.3">
      <c r="B365" s="657" t="str">
        <f t="shared" si="29"/>
        <v>Incorporated</v>
      </c>
      <c r="C365" s="657">
        <f t="shared" si="28"/>
        <v>99</v>
      </c>
      <c r="D365" s="661">
        <f t="shared" si="21"/>
        <v>83.16</v>
      </c>
      <c r="E365" s="661">
        <f t="shared" si="31"/>
        <v>85.14</v>
      </c>
      <c r="F365" s="661">
        <f t="shared" si="31"/>
        <v>99.792000000000002</v>
      </c>
      <c r="G365" s="661">
        <f t="shared" si="31"/>
        <v>104.7816</v>
      </c>
      <c r="H365" s="661">
        <f t="shared" si="31"/>
        <v>110.02068000000001</v>
      </c>
      <c r="I365" s="661">
        <f t="shared" si="31"/>
        <v>115.521714</v>
      </c>
      <c r="J365" s="661">
        <f t="shared" si="31"/>
        <v>121.29779970000003</v>
      </c>
      <c r="K365" s="661">
        <f t="shared" si="31"/>
        <v>121.29779970000003</v>
      </c>
      <c r="L365" s="661">
        <f t="shared" si="31"/>
        <v>121.29779970000003</v>
      </c>
      <c r="M365" s="661">
        <f t="shared" si="31"/>
        <v>121.29779970000003</v>
      </c>
      <c r="N365" s="661">
        <f t="shared" si="31"/>
        <v>121.29779970000003</v>
      </c>
      <c r="O365" s="661">
        <f t="shared" si="31"/>
        <v>121.29779970000003</v>
      </c>
    </row>
    <row r="366" spans="2:15" x14ac:dyDescent="0.3">
      <c r="B366" s="657" t="str">
        <f>B263</f>
        <v>Incorporated</v>
      </c>
      <c r="C366" s="657">
        <f t="shared" si="28"/>
        <v>100</v>
      </c>
      <c r="D366" s="661">
        <f t="shared" si="21"/>
        <v>84</v>
      </c>
      <c r="E366" s="661">
        <f t="shared" si="31"/>
        <v>86</v>
      </c>
      <c r="F366" s="661">
        <f t="shared" si="31"/>
        <v>100.8</v>
      </c>
      <c r="G366" s="661">
        <f t="shared" si="31"/>
        <v>105.84</v>
      </c>
      <c r="H366" s="661">
        <f t="shared" si="31"/>
        <v>111.13200000000001</v>
      </c>
      <c r="I366" s="661">
        <f t="shared" si="31"/>
        <v>116.68860000000001</v>
      </c>
      <c r="J366" s="661">
        <f t="shared" si="31"/>
        <v>122.52303000000002</v>
      </c>
      <c r="K366" s="661">
        <f t="shared" si="31"/>
        <v>122.52303000000002</v>
      </c>
      <c r="L366" s="661">
        <f t="shared" si="31"/>
        <v>122.52303000000002</v>
      </c>
      <c r="M366" s="661">
        <f t="shared" si="31"/>
        <v>122.52303000000002</v>
      </c>
      <c r="N366" s="661">
        <f t="shared" si="31"/>
        <v>122.52303000000002</v>
      </c>
      <c r="O366" s="661">
        <f t="shared" si="31"/>
        <v>122.52303000000002</v>
      </c>
    </row>
    <row r="368" spans="2:15" x14ac:dyDescent="0.3">
      <c r="C368" s="662" t="s">
        <v>1840</v>
      </c>
    </row>
    <row r="369" spans="2:15" x14ac:dyDescent="0.3">
      <c r="B369" s="657" t="str">
        <f>B267</f>
        <v>Incorporated</v>
      </c>
      <c r="C369" s="657">
        <f>C267</f>
        <v>1</v>
      </c>
      <c r="D369" s="661">
        <f t="shared" ref="D369:O468" si="32">IF($B369=$A$64,$C369*D$53,$C369*D$56)</f>
        <v>0.88</v>
      </c>
      <c r="E369" s="661">
        <f t="shared" si="32"/>
        <v>0.9</v>
      </c>
      <c r="F369" s="661">
        <f t="shared" si="32"/>
        <v>1.76</v>
      </c>
      <c r="G369" s="661">
        <f>IF($B369=$A$64,$C369*G$53,$C369*G$56)</f>
        <v>1.8480000000000001</v>
      </c>
      <c r="H369" s="661">
        <f>IF($B369=$A$64,$C369*H$53,$C369*H$56)</f>
        <v>1.9219200000000001</v>
      </c>
      <c r="I369" s="661">
        <f t="shared" si="32"/>
        <v>1.9795776</v>
      </c>
      <c r="J369" s="661">
        <f t="shared" si="32"/>
        <v>2.038964928</v>
      </c>
      <c r="K369" s="661">
        <f t="shared" si="32"/>
        <v>2.038964928</v>
      </c>
      <c r="L369" s="661">
        <f t="shared" si="32"/>
        <v>2.038964928</v>
      </c>
      <c r="M369" s="661">
        <f t="shared" si="32"/>
        <v>2.038964928</v>
      </c>
      <c r="N369" s="661">
        <f t="shared" si="32"/>
        <v>2.038964928</v>
      </c>
      <c r="O369" s="661">
        <f t="shared" si="32"/>
        <v>2.038964928</v>
      </c>
    </row>
    <row r="370" spans="2:15" x14ac:dyDescent="0.3">
      <c r="B370" s="657" t="str">
        <f t="shared" ref="B370:C370" si="33">B268</f>
        <v>Incorporated</v>
      </c>
      <c r="C370" s="657">
        <f t="shared" si="33"/>
        <v>2</v>
      </c>
      <c r="D370" s="661">
        <f t="shared" si="32"/>
        <v>1.76</v>
      </c>
      <c r="E370" s="661">
        <f t="shared" si="32"/>
        <v>1.8</v>
      </c>
      <c r="F370" s="661">
        <f t="shared" si="32"/>
        <v>3.52</v>
      </c>
      <c r="G370" s="661">
        <f t="shared" si="32"/>
        <v>3.6960000000000002</v>
      </c>
      <c r="H370" s="661">
        <f t="shared" si="32"/>
        <v>3.8438400000000001</v>
      </c>
      <c r="I370" s="661">
        <f t="shared" si="32"/>
        <v>3.9591552000000001</v>
      </c>
      <c r="J370" s="661">
        <f t="shared" si="32"/>
        <v>4.0779298559999999</v>
      </c>
      <c r="K370" s="661">
        <f t="shared" si="32"/>
        <v>4.0779298559999999</v>
      </c>
      <c r="L370" s="661">
        <f t="shared" si="32"/>
        <v>4.0779298559999999</v>
      </c>
      <c r="M370" s="661">
        <f t="shared" si="32"/>
        <v>4.0779298559999999</v>
      </c>
      <c r="N370" s="661">
        <f t="shared" si="32"/>
        <v>4.0779298559999999</v>
      </c>
      <c r="O370" s="661">
        <f t="shared" si="32"/>
        <v>4.0779298559999999</v>
      </c>
    </row>
    <row r="371" spans="2:15" x14ac:dyDescent="0.3">
      <c r="B371" s="657" t="str">
        <f t="shared" ref="B371:C371" si="34">B269</f>
        <v>Incorporated</v>
      </c>
      <c r="C371" s="657">
        <f t="shared" si="34"/>
        <v>3</v>
      </c>
      <c r="D371" s="661">
        <f t="shared" si="32"/>
        <v>2.64</v>
      </c>
      <c r="E371" s="661">
        <f t="shared" si="32"/>
        <v>2.7</v>
      </c>
      <c r="F371" s="661">
        <f t="shared" si="32"/>
        <v>5.28</v>
      </c>
      <c r="G371" s="661">
        <f t="shared" si="32"/>
        <v>5.5440000000000005</v>
      </c>
      <c r="H371" s="661">
        <f t="shared" si="32"/>
        <v>5.7657600000000002</v>
      </c>
      <c r="I371" s="661">
        <f t="shared" si="32"/>
        <v>5.9387328000000004</v>
      </c>
      <c r="J371" s="661">
        <f t="shared" si="32"/>
        <v>6.1168947839999994</v>
      </c>
      <c r="K371" s="661">
        <f t="shared" si="32"/>
        <v>6.1168947839999994</v>
      </c>
      <c r="L371" s="661">
        <f t="shared" si="32"/>
        <v>6.1168947839999994</v>
      </c>
      <c r="M371" s="661">
        <f t="shared" si="32"/>
        <v>6.1168947839999994</v>
      </c>
      <c r="N371" s="661">
        <f t="shared" si="32"/>
        <v>6.1168947839999994</v>
      </c>
      <c r="O371" s="661">
        <f t="shared" si="32"/>
        <v>6.1168947839999994</v>
      </c>
    </row>
    <row r="372" spans="2:15" x14ac:dyDescent="0.3">
      <c r="B372" s="657" t="str">
        <f t="shared" ref="B372:C372" si="35">B270</f>
        <v>Incorporated</v>
      </c>
      <c r="C372" s="657">
        <f t="shared" si="35"/>
        <v>4</v>
      </c>
      <c r="D372" s="661">
        <f t="shared" si="32"/>
        <v>3.52</v>
      </c>
      <c r="E372" s="661">
        <f t="shared" si="32"/>
        <v>3.6</v>
      </c>
      <c r="F372" s="661">
        <f t="shared" si="32"/>
        <v>7.04</v>
      </c>
      <c r="G372" s="661">
        <f t="shared" si="32"/>
        <v>7.3920000000000003</v>
      </c>
      <c r="H372" s="661">
        <f t="shared" si="32"/>
        <v>7.6876800000000003</v>
      </c>
      <c r="I372" s="661">
        <f t="shared" si="32"/>
        <v>7.9183104000000002</v>
      </c>
      <c r="J372" s="661">
        <f t="shared" si="32"/>
        <v>8.1558597119999998</v>
      </c>
      <c r="K372" s="661">
        <f t="shared" si="32"/>
        <v>8.1558597119999998</v>
      </c>
      <c r="L372" s="661">
        <f t="shared" si="32"/>
        <v>8.1558597119999998</v>
      </c>
      <c r="M372" s="661">
        <f t="shared" si="32"/>
        <v>8.1558597119999998</v>
      </c>
      <c r="N372" s="661">
        <f t="shared" si="32"/>
        <v>8.1558597119999998</v>
      </c>
      <c r="O372" s="661">
        <f t="shared" si="32"/>
        <v>8.1558597119999998</v>
      </c>
    </row>
    <row r="373" spans="2:15" x14ac:dyDescent="0.3">
      <c r="B373" s="657" t="str">
        <f t="shared" ref="B373:C373" si="36">B271</f>
        <v>Incorporated</v>
      </c>
      <c r="C373" s="657">
        <f t="shared" si="36"/>
        <v>5</v>
      </c>
      <c r="D373" s="661">
        <f t="shared" si="32"/>
        <v>4.4000000000000004</v>
      </c>
      <c r="E373" s="661">
        <f t="shared" si="32"/>
        <v>4.5</v>
      </c>
      <c r="F373" s="661">
        <f t="shared" si="32"/>
        <v>8.8000000000000007</v>
      </c>
      <c r="G373" s="661">
        <f t="shared" si="32"/>
        <v>9.24</v>
      </c>
      <c r="H373" s="661">
        <f t="shared" si="32"/>
        <v>9.6096000000000004</v>
      </c>
      <c r="I373" s="661">
        <f t="shared" si="32"/>
        <v>9.897888</v>
      </c>
      <c r="J373" s="661">
        <f t="shared" si="32"/>
        <v>10.19482464</v>
      </c>
      <c r="K373" s="661">
        <f t="shared" si="32"/>
        <v>10.19482464</v>
      </c>
      <c r="L373" s="661">
        <f t="shared" si="32"/>
        <v>10.19482464</v>
      </c>
      <c r="M373" s="661">
        <f t="shared" si="32"/>
        <v>10.19482464</v>
      </c>
      <c r="N373" s="661">
        <f t="shared" si="32"/>
        <v>10.19482464</v>
      </c>
      <c r="O373" s="661">
        <f t="shared" si="32"/>
        <v>10.19482464</v>
      </c>
    </row>
    <row r="374" spans="2:15" x14ac:dyDescent="0.3">
      <c r="B374" s="657" t="str">
        <f t="shared" ref="B374:C374" si="37">B272</f>
        <v>Incorporated</v>
      </c>
      <c r="C374" s="657">
        <f t="shared" si="37"/>
        <v>6</v>
      </c>
      <c r="D374" s="661">
        <f t="shared" si="32"/>
        <v>5.28</v>
      </c>
      <c r="E374" s="661">
        <f t="shared" si="32"/>
        <v>5.4</v>
      </c>
      <c r="F374" s="661">
        <f t="shared" si="32"/>
        <v>10.56</v>
      </c>
      <c r="G374" s="661">
        <f t="shared" si="32"/>
        <v>11.088000000000001</v>
      </c>
      <c r="H374" s="661">
        <f t="shared" si="32"/>
        <v>11.53152</v>
      </c>
      <c r="I374" s="661">
        <f t="shared" si="32"/>
        <v>11.877465600000001</v>
      </c>
      <c r="J374" s="661">
        <f t="shared" si="32"/>
        <v>12.233789567999999</v>
      </c>
      <c r="K374" s="661">
        <f t="shared" si="32"/>
        <v>12.233789567999999</v>
      </c>
      <c r="L374" s="661">
        <f t="shared" si="32"/>
        <v>12.233789567999999</v>
      </c>
      <c r="M374" s="661">
        <f t="shared" si="32"/>
        <v>12.233789567999999</v>
      </c>
      <c r="N374" s="661">
        <f t="shared" si="32"/>
        <v>12.233789567999999</v>
      </c>
      <c r="O374" s="661">
        <f t="shared" si="32"/>
        <v>12.233789567999999</v>
      </c>
    </row>
    <row r="375" spans="2:15" x14ac:dyDescent="0.3">
      <c r="B375" s="657" t="str">
        <f t="shared" ref="B375:C375" si="38">B273</f>
        <v>Incorporated</v>
      </c>
      <c r="C375" s="657">
        <f t="shared" si="38"/>
        <v>7</v>
      </c>
      <c r="D375" s="661">
        <f t="shared" si="32"/>
        <v>6.16</v>
      </c>
      <c r="E375" s="661">
        <f t="shared" si="32"/>
        <v>6.3</v>
      </c>
      <c r="F375" s="661">
        <f t="shared" si="32"/>
        <v>12.32</v>
      </c>
      <c r="G375" s="661">
        <f t="shared" si="32"/>
        <v>12.936</v>
      </c>
      <c r="H375" s="661">
        <f t="shared" si="32"/>
        <v>13.453440000000001</v>
      </c>
      <c r="I375" s="661">
        <f t="shared" si="32"/>
        <v>13.8570432</v>
      </c>
      <c r="J375" s="661">
        <f t="shared" si="32"/>
        <v>14.272754495999999</v>
      </c>
      <c r="K375" s="661">
        <f t="shared" si="32"/>
        <v>14.272754495999999</v>
      </c>
      <c r="L375" s="661">
        <f t="shared" si="32"/>
        <v>14.272754495999999</v>
      </c>
      <c r="M375" s="661">
        <f t="shared" si="32"/>
        <v>14.272754495999999</v>
      </c>
      <c r="N375" s="661">
        <f t="shared" si="32"/>
        <v>14.272754495999999</v>
      </c>
      <c r="O375" s="661">
        <f t="shared" si="32"/>
        <v>14.272754495999999</v>
      </c>
    </row>
    <row r="376" spans="2:15" x14ac:dyDescent="0.3">
      <c r="B376" s="657" t="str">
        <f t="shared" ref="B376:C376" si="39">B274</f>
        <v>Incorporated</v>
      </c>
      <c r="C376" s="657">
        <f t="shared" si="39"/>
        <v>8</v>
      </c>
      <c r="D376" s="661">
        <f t="shared" si="32"/>
        <v>7.04</v>
      </c>
      <c r="E376" s="661">
        <f t="shared" si="32"/>
        <v>7.2</v>
      </c>
      <c r="F376" s="661">
        <f t="shared" si="32"/>
        <v>14.08</v>
      </c>
      <c r="G376" s="661">
        <f t="shared" si="32"/>
        <v>14.784000000000001</v>
      </c>
      <c r="H376" s="661">
        <f t="shared" si="32"/>
        <v>15.375360000000001</v>
      </c>
      <c r="I376" s="661">
        <f t="shared" si="32"/>
        <v>15.8366208</v>
      </c>
      <c r="J376" s="661">
        <f t="shared" si="32"/>
        <v>16.311719424</v>
      </c>
      <c r="K376" s="661">
        <f t="shared" si="32"/>
        <v>16.311719424</v>
      </c>
      <c r="L376" s="661">
        <f t="shared" si="32"/>
        <v>16.311719424</v>
      </c>
      <c r="M376" s="661">
        <f t="shared" si="32"/>
        <v>16.311719424</v>
      </c>
      <c r="N376" s="661">
        <f t="shared" si="32"/>
        <v>16.311719424</v>
      </c>
      <c r="O376" s="661">
        <f t="shared" si="32"/>
        <v>16.311719424</v>
      </c>
    </row>
    <row r="377" spans="2:15" x14ac:dyDescent="0.3">
      <c r="B377" s="657" t="str">
        <f t="shared" ref="B377:C377" si="40">B275</f>
        <v>Incorporated</v>
      </c>
      <c r="C377" s="657">
        <f t="shared" si="40"/>
        <v>9</v>
      </c>
      <c r="D377" s="661">
        <f t="shared" si="32"/>
        <v>7.92</v>
      </c>
      <c r="E377" s="661">
        <f t="shared" si="32"/>
        <v>8.1</v>
      </c>
      <c r="F377" s="661">
        <f t="shared" si="32"/>
        <v>15.84</v>
      </c>
      <c r="G377" s="661">
        <f t="shared" si="32"/>
        <v>16.632000000000001</v>
      </c>
      <c r="H377" s="661">
        <f t="shared" si="32"/>
        <v>17.297280000000001</v>
      </c>
      <c r="I377" s="661">
        <f t="shared" si="32"/>
        <v>17.816198400000001</v>
      </c>
      <c r="J377" s="661">
        <f t="shared" si="32"/>
        <v>18.350684351999998</v>
      </c>
      <c r="K377" s="661">
        <f t="shared" si="32"/>
        <v>18.350684351999998</v>
      </c>
      <c r="L377" s="661">
        <f t="shared" si="32"/>
        <v>18.350684351999998</v>
      </c>
      <c r="M377" s="661">
        <f t="shared" si="32"/>
        <v>18.350684351999998</v>
      </c>
      <c r="N377" s="661">
        <f t="shared" si="32"/>
        <v>18.350684351999998</v>
      </c>
      <c r="O377" s="661">
        <f t="shared" si="32"/>
        <v>18.350684351999998</v>
      </c>
    </row>
    <row r="378" spans="2:15" x14ac:dyDescent="0.3">
      <c r="B378" s="657" t="str">
        <f t="shared" ref="B378:C378" si="41">B276</f>
        <v>Incorporated</v>
      </c>
      <c r="C378" s="657">
        <f t="shared" si="41"/>
        <v>10</v>
      </c>
      <c r="D378" s="661">
        <f t="shared" si="32"/>
        <v>8.8000000000000007</v>
      </c>
      <c r="E378" s="661">
        <f t="shared" si="32"/>
        <v>9</v>
      </c>
      <c r="F378" s="661">
        <f t="shared" si="32"/>
        <v>17.600000000000001</v>
      </c>
      <c r="G378" s="661">
        <f t="shared" si="32"/>
        <v>18.48</v>
      </c>
      <c r="H378" s="661">
        <f t="shared" si="32"/>
        <v>19.219200000000001</v>
      </c>
      <c r="I378" s="661">
        <f t="shared" si="32"/>
        <v>19.795776</v>
      </c>
      <c r="J378" s="661">
        <f t="shared" si="32"/>
        <v>20.38964928</v>
      </c>
      <c r="K378" s="661">
        <f t="shared" si="32"/>
        <v>20.38964928</v>
      </c>
      <c r="L378" s="661">
        <f t="shared" si="32"/>
        <v>20.38964928</v>
      </c>
      <c r="M378" s="661">
        <f t="shared" si="32"/>
        <v>20.38964928</v>
      </c>
      <c r="N378" s="661">
        <f t="shared" si="32"/>
        <v>20.38964928</v>
      </c>
      <c r="O378" s="661">
        <f t="shared" si="32"/>
        <v>20.38964928</v>
      </c>
    </row>
    <row r="379" spans="2:15" x14ac:dyDescent="0.3">
      <c r="B379" s="657" t="str">
        <f t="shared" ref="B379:C379" si="42">B277</f>
        <v>Incorporated</v>
      </c>
      <c r="C379" s="657">
        <f t="shared" si="42"/>
        <v>11</v>
      </c>
      <c r="D379" s="661">
        <f t="shared" si="32"/>
        <v>9.68</v>
      </c>
      <c r="E379" s="661">
        <f t="shared" si="32"/>
        <v>9.9</v>
      </c>
      <c r="F379" s="661">
        <f t="shared" si="32"/>
        <v>19.36</v>
      </c>
      <c r="G379" s="661">
        <f t="shared" si="32"/>
        <v>20.327999999999999</v>
      </c>
      <c r="H379" s="661">
        <f t="shared" si="32"/>
        <v>21.141120000000001</v>
      </c>
      <c r="I379" s="661">
        <f t="shared" si="32"/>
        <v>21.775353599999999</v>
      </c>
      <c r="J379" s="661">
        <f t="shared" si="32"/>
        <v>22.428614207999999</v>
      </c>
      <c r="K379" s="661">
        <f t="shared" si="32"/>
        <v>22.428614207999999</v>
      </c>
      <c r="L379" s="661">
        <f t="shared" si="32"/>
        <v>22.428614207999999</v>
      </c>
      <c r="M379" s="661">
        <f t="shared" si="32"/>
        <v>22.428614207999999</v>
      </c>
      <c r="N379" s="661">
        <f t="shared" si="32"/>
        <v>22.428614207999999</v>
      </c>
      <c r="O379" s="661">
        <f t="shared" si="32"/>
        <v>22.428614207999999</v>
      </c>
    </row>
    <row r="380" spans="2:15" x14ac:dyDescent="0.3">
      <c r="B380" s="657" t="str">
        <f t="shared" ref="B380:C380" si="43">B278</f>
        <v>Incorporated</v>
      </c>
      <c r="C380" s="657">
        <f t="shared" si="43"/>
        <v>12</v>
      </c>
      <c r="D380" s="661">
        <f t="shared" si="32"/>
        <v>10.56</v>
      </c>
      <c r="E380" s="661">
        <f t="shared" si="32"/>
        <v>10.8</v>
      </c>
      <c r="F380" s="661">
        <f t="shared" si="32"/>
        <v>21.12</v>
      </c>
      <c r="G380" s="661">
        <f t="shared" si="32"/>
        <v>22.176000000000002</v>
      </c>
      <c r="H380" s="661">
        <f t="shared" si="32"/>
        <v>23.063040000000001</v>
      </c>
      <c r="I380" s="661">
        <f t="shared" si="32"/>
        <v>23.754931200000001</v>
      </c>
      <c r="J380" s="661">
        <f t="shared" si="32"/>
        <v>24.467579135999998</v>
      </c>
      <c r="K380" s="661">
        <f t="shared" si="32"/>
        <v>24.467579135999998</v>
      </c>
      <c r="L380" s="661">
        <f t="shared" si="32"/>
        <v>24.467579135999998</v>
      </c>
      <c r="M380" s="661">
        <f t="shared" si="32"/>
        <v>24.467579135999998</v>
      </c>
      <c r="N380" s="661">
        <f t="shared" si="32"/>
        <v>24.467579135999998</v>
      </c>
      <c r="O380" s="661">
        <f t="shared" si="32"/>
        <v>24.467579135999998</v>
      </c>
    </row>
    <row r="381" spans="2:15" x14ac:dyDescent="0.3">
      <c r="B381" s="657" t="str">
        <f t="shared" ref="B381:C381" si="44">B279</f>
        <v>Incorporated</v>
      </c>
      <c r="C381" s="657">
        <f t="shared" si="44"/>
        <v>13</v>
      </c>
      <c r="D381" s="661">
        <f t="shared" si="32"/>
        <v>11.44</v>
      </c>
      <c r="E381" s="661">
        <f t="shared" si="32"/>
        <v>11.700000000000001</v>
      </c>
      <c r="F381" s="661">
        <f t="shared" si="32"/>
        <v>22.88</v>
      </c>
      <c r="G381" s="661">
        <f t="shared" si="32"/>
        <v>24.024000000000001</v>
      </c>
      <c r="H381" s="661">
        <f t="shared" si="32"/>
        <v>24.984960000000001</v>
      </c>
      <c r="I381" s="661">
        <f t="shared" si="32"/>
        <v>25.7345088</v>
      </c>
      <c r="J381" s="661">
        <f t="shared" si="32"/>
        <v>26.506544064</v>
      </c>
      <c r="K381" s="661">
        <f t="shared" si="32"/>
        <v>26.506544064</v>
      </c>
      <c r="L381" s="661">
        <f t="shared" si="32"/>
        <v>26.506544064</v>
      </c>
      <c r="M381" s="661">
        <f t="shared" si="32"/>
        <v>26.506544064</v>
      </c>
      <c r="N381" s="661">
        <f t="shared" si="32"/>
        <v>26.506544064</v>
      </c>
      <c r="O381" s="661">
        <f t="shared" si="32"/>
        <v>26.506544064</v>
      </c>
    </row>
    <row r="382" spans="2:15" x14ac:dyDescent="0.3">
      <c r="B382" s="657" t="str">
        <f t="shared" ref="B382:C382" si="45">B280</f>
        <v>Incorporated</v>
      </c>
      <c r="C382" s="657">
        <f t="shared" si="45"/>
        <v>14</v>
      </c>
      <c r="D382" s="661">
        <f t="shared" si="32"/>
        <v>12.32</v>
      </c>
      <c r="E382" s="661">
        <f t="shared" si="32"/>
        <v>12.6</v>
      </c>
      <c r="F382" s="661">
        <f t="shared" si="32"/>
        <v>24.64</v>
      </c>
      <c r="G382" s="661">
        <f t="shared" si="32"/>
        <v>25.872</v>
      </c>
      <c r="H382" s="661">
        <f t="shared" si="32"/>
        <v>26.906880000000001</v>
      </c>
      <c r="I382" s="661">
        <f t="shared" si="32"/>
        <v>27.714086399999999</v>
      </c>
      <c r="J382" s="661">
        <f t="shared" si="32"/>
        <v>28.545508991999998</v>
      </c>
      <c r="K382" s="661">
        <f t="shared" si="32"/>
        <v>28.545508991999998</v>
      </c>
      <c r="L382" s="661">
        <f t="shared" ref="E382:O397" si="46">IF($B382=$A$64,$C382*L$53,$C382*L$56)</f>
        <v>28.545508991999998</v>
      </c>
      <c r="M382" s="661">
        <f t="shared" si="46"/>
        <v>28.545508991999998</v>
      </c>
      <c r="N382" s="661">
        <f t="shared" si="46"/>
        <v>28.545508991999998</v>
      </c>
      <c r="O382" s="661">
        <f t="shared" si="46"/>
        <v>28.545508991999998</v>
      </c>
    </row>
    <row r="383" spans="2:15" x14ac:dyDescent="0.3">
      <c r="B383" s="657" t="str">
        <f t="shared" ref="B383:C383" si="47">B281</f>
        <v>Incorporated</v>
      </c>
      <c r="C383" s="657">
        <f t="shared" si="47"/>
        <v>15</v>
      </c>
      <c r="D383" s="661">
        <f t="shared" si="32"/>
        <v>13.2</v>
      </c>
      <c r="E383" s="661">
        <f t="shared" si="46"/>
        <v>13.5</v>
      </c>
      <c r="F383" s="661">
        <f t="shared" si="46"/>
        <v>26.4</v>
      </c>
      <c r="G383" s="661">
        <f t="shared" si="46"/>
        <v>27.720000000000002</v>
      </c>
      <c r="H383" s="661">
        <f t="shared" si="46"/>
        <v>28.828800000000001</v>
      </c>
      <c r="I383" s="661">
        <f t="shared" si="46"/>
        <v>29.693664000000002</v>
      </c>
      <c r="J383" s="661">
        <f t="shared" si="46"/>
        <v>30.584473920000001</v>
      </c>
      <c r="K383" s="661">
        <f t="shared" si="46"/>
        <v>30.584473920000001</v>
      </c>
      <c r="L383" s="661">
        <f t="shared" si="46"/>
        <v>30.584473920000001</v>
      </c>
      <c r="M383" s="661">
        <f t="shared" si="46"/>
        <v>30.584473920000001</v>
      </c>
      <c r="N383" s="661">
        <f t="shared" si="46"/>
        <v>30.584473920000001</v>
      </c>
      <c r="O383" s="661">
        <f t="shared" si="46"/>
        <v>30.584473920000001</v>
      </c>
    </row>
    <row r="384" spans="2:15" x14ac:dyDescent="0.3">
      <c r="B384" s="657" t="str">
        <f t="shared" ref="B384:C384" si="48">B282</f>
        <v>Incorporated</v>
      </c>
      <c r="C384" s="657">
        <f t="shared" si="48"/>
        <v>16</v>
      </c>
      <c r="D384" s="661">
        <f t="shared" si="32"/>
        <v>14.08</v>
      </c>
      <c r="E384" s="661">
        <f t="shared" si="46"/>
        <v>14.4</v>
      </c>
      <c r="F384" s="661">
        <f t="shared" si="46"/>
        <v>28.16</v>
      </c>
      <c r="G384" s="661">
        <f t="shared" si="46"/>
        <v>29.568000000000001</v>
      </c>
      <c r="H384" s="661">
        <f t="shared" si="46"/>
        <v>30.750720000000001</v>
      </c>
      <c r="I384" s="661">
        <f t="shared" si="46"/>
        <v>31.673241600000001</v>
      </c>
      <c r="J384" s="661">
        <f t="shared" si="46"/>
        <v>32.623438847999999</v>
      </c>
      <c r="K384" s="661">
        <f t="shared" si="46"/>
        <v>32.623438847999999</v>
      </c>
      <c r="L384" s="661">
        <f t="shared" si="46"/>
        <v>32.623438847999999</v>
      </c>
      <c r="M384" s="661">
        <f t="shared" si="46"/>
        <v>32.623438847999999</v>
      </c>
      <c r="N384" s="661">
        <f t="shared" si="46"/>
        <v>32.623438847999999</v>
      </c>
      <c r="O384" s="661">
        <f t="shared" si="46"/>
        <v>32.623438847999999</v>
      </c>
    </row>
    <row r="385" spans="2:15" x14ac:dyDescent="0.3">
      <c r="B385" s="657" t="str">
        <f t="shared" ref="B385:C385" si="49">B283</f>
        <v>Incorporated</v>
      </c>
      <c r="C385" s="657">
        <f t="shared" si="49"/>
        <v>17</v>
      </c>
      <c r="D385" s="661">
        <f t="shared" si="32"/>
        <v>14.96</v>
      </c>
      <c r="E385" s="661">
        <f t="shared" si="46"/>
        <v>15.3</v>
      </c>
      <c r="F385" s="661">
        <f t="shared" si="46"/>
        <v>29.92</v>
      </c>
      <c r="G385" s="661">
        <f t="shared" si="46"/>
        <v>31.416</v>
      </c>
      <c r="H385" s="661">
        <f t="shared" si="46"/>
        <v>32.672640000000001</v>
      </c>
      <c r="I385" s="661">
        <f t="shared" si="46"/>
        <v>33.652819200000003</v>
      </c>
      <c r="J385" s="661">
        <f t="shared" si="46"/>
        <v>34.662403775999998</v>
      </c>
      <c r="K385" s="661">
        <f t="shared" si="46"/>
        <v>34.662403775999998</v>
      </c>
      <c r="L385" s="661">
        <f t="shared" si="46"/>
        <v>34.662403775999998</v>
      </c>
      <c r="M385" s="661">
        <f t="shared" si="46"/>
        <v>34.662403775999998</v>
      </c>
      <c r="N385" s="661">
        <f t="shared" si="46"/>
        <v>34.662403775999998</v>
      </c>
      <c r="O385" s="661">
        <f t="shared" si="46"/>
        <v>34.662403775999998</v>
      </c>
    </row>
    <row r="386" spans="2:15" x14ac:dyDescent="0.3">
      <c r="B386" s="657" t="str">
        <f t="shared" ref="B386:C386" si="50">B284</f>
        <v>Incorporated</v>
      </c>
      <c r="C386" s="657">
        <f t="shared" si="50"/>
        <v>18</v>
      </c>
      <c r="D386" s="661">
        <f t="shared" si="32"/>
        <v>15.84</v>
      </c>
      <c r="E386" s="661">
        <f t="shared" si="46"/>
        <v>16.2</v>
      </c>
      <c r="F386" s="661">
        <f t="shared" si="46"/>
        <v>31.68</v>
      </c>
      <c r="G386" s="661">
        <f t="shared" si="46"/>
        <v>33.264000000000003</v>
      </c>
      <c r="H386" s="661">
        <f t="shared" si="46"/>
        <v>34.594560000000001</v>
      </c>
      <c r="I386" s="661">
        <f t="shared" si="46"/>
        <v>35.632396800000002</v>
      </c>
      <c r="J386" s="661">
        <f t="shared" si="46"/>
        <v>36.701368703999997</v>
      </c>
      <c r="K386" s="661">
        <f t="shared" si="46"/>
        <v>36.701368703999997</v>
      </c>
      <c r="L386" s="661">
        <f t="shared" si="46"/>
        <v>36.701368703999997</v>
      </c>
      <c r="M386" s="661">
        <f t="shared" si="46"/>
        <v>36.701368703999997</v>
      </c>
      <c r="N386" s="661">
        <f t="shared" si="46"/>
        <v>36.701368703999997</v>
      </c>
      <c r="O386" s="661">
        <f t="shared" si="46"/>
        <v>36.701368703999997</v>
      </c>
    </row>
    <row r="387" spans="2:15" x14ac:dyDescent="0.3">
      <c r="B387" s="657" t="str">
        <f t="shared" ref="B387:C387" si="51">B285</f>
        <v>Incorporated</v>
      </c>
      <c r="C387" s="657">
        <f t="shared" si="51"/>
        <v>19</v>
      </c>
      <c r="D387" s="661">
        <f t="shared" si="32"/>
        <v>16.72</v>
      </c>
      <c r="E387" s="661">
        <f t="shared" si="46"/>
        <v>17.100000000000001</v>
      </c>
      <c r="F387" s="661">
        <f t="shared" si="46"/>
        <v>33.44</v>
      </c>
      <c r="G387" s="661">
        <f t="shared" si="46"/>
        <v>35.112000000000002</v>
      </c>
      <c r="H387" s="661">
        <f t="shared" si="46"/>
        <v>36.516480000000001</v>
      </c>
      <c r="I387" s="661">
        <f t="shared" si="46"/>
        <v>37.611974400000001</v>
      </c>
      <c r="J387" s="661">
        <f t="shared" si="46"/>
        <v>38.740333632000002</v>
      </c>
      <c r="K387" s="661">
        <f t="shared" si="46"/>
        <v>38.740333632000002</v>
      </c>
      <c r="L387" s="661">
        <f t="shared" si="46"/>
        <v>38.740333632000002</v>
      </c>
      <c r="M387" s="661">
        <f t="shared" si="46"/>
        <v>38.740333632000002</v>
      </c>
      <c r="N387" s="661">
        <f t="shared" si="46"/>
        <v>38.740333632000002</v>
      </c>
      <c r="O387" s="661">
        <f t="shared" si="46"/>
        <v>38.740333632000002</v>
      </c>
    </row>
    <row r="388" spans="2:15" x14ac:dyDescent="0.3">
      <c r="B388" s="657" t="str">
        <f t="shared" ref="B388:C388" si="52">B286</f>
        <v>Incorporated</v>
      </c>
      <c r="C388" s="657">
        <f t="shared" si="52"/>
        <v>20</v>
      </c>
      <c r="D388" s="661">
        <f t="shared" si="32"/>
        <v>17.600000000000001</v>
      </c>
      <c r="E388" s="661">
        <f t="shared" si="46"/>
        <v>18</v>
      </c>
      <c r="F388" s="661">
        <f t="shared" si="46"/>
        <v>35.200000000000003</v>
      </c>
      <c r="G388" s="661">
        <f t="shared" si="46"/>
        <v>36.96</v>
      </c>
      <c r="H388" s="661">
        <f t="shared" si="46"/>
        <v>38.438400000000001</v>
      </c>
      <c r="I388" s="661">
        <f t="shared" si="46"/>
        <v>39.591552</v>
      </c>
      <c r="J388" s="661">
        <f t="shared" si="46"/>
        <v>40.779298560000001</v>
      </c>
      <c r="K388" s="661">
        <f t="shared" si="46"/>
        <v>40.779298560000001</v>
      </c>
      <c r="L388" s="661">
        <f t="shared" si="46"/>
        <v>40.779298560000001</v>
      </c>
      <c r="M388" s="661">
        <f t="shared" si="46"/>
        <v>40.779298560000001</v>
      </c>
      <c r="N388" s="661">
        <f t="shared" si="46"/>
        <v>40.779298560000001</v>
      </c>
      <c r="O388" s="661">
        <f t="shared" si="46"/>
        <v>40.779298560000001</v>
      </c>
    </row>
    <row r="389" spans="2:15" x14ac:dyDescent="0.3">
      <c r="B389" s="657" t="str">
        <f t="shared" ref="B389:C389" si="53">B287</f>
        <v>Incorporated</v>
      </c>
      <c r="C389" s="657">
        <f t="shared" si="53"/>
        <v>21</v>
      </c>
      <c r="D389" s="661">
        <f t="shared" si="32"/>
        <v>18.48</v>
      </c>
      <c r="E389" s="661">
        <f t="shared" si="46"/>
        <v>18.900000000000002</v>
      </c>
      <c r="F389" s="661">
        <f t="shared" si="46"/>
        <v>36.96</v>
      </c>
      <c r="G389" s="661">
        <f t="shared" si="46"/>
        <v>38.808</v>
      </c>
      <c r="H389" s="661">
        <f t="shared" si="46"/>
        <v>40.360320000000002</v>
      </c>
      <c r="I389" s="661">
        <f t="shared" si="46"/>
        <v>41.571129599999999</v>
      </c>
      <c r="J389" s="661">
        <f t="shared" si="46"/>
        <v>42.818263487999999</v>
      </c>
      <c r="K389" s="661">
        <f t="shared" si="46"/>
        <v>42.818263487999999</v>
      </c>
      <c r="L389" s="661">
        <f t="shared" si="46"/>
        <v>42.818263487999999</v>
      </c>
      <c r="M389" s="661">
        <f t="shared" si="46"/>
        <v>42.818263487999999</v>
      </c>
      <c r="N389" s="661">
        <f t="shared" si="46"/>
        <v>42.818263487999999</v>
      </c>
      <c r="O389" s="661">
        <f t="shared" si="46"/>
        <v>42.818263487999999</v>
      </c>
    </row>
    <row r="390" spans="2:15" x14ac:dyDescent="0.3">
      <c r="B390" s="657" t="str">
        <f t="shared" ref="B390:C390" si="54">B288</f>
        <v>Incorporated</v>
      </c>
      <c r="C390" s="657">
        <f t="shared" si="54"/>
        <v>22</v>
      </c>
      <c r="D390" s="661">
        <f t="shared" si="32"/>
        <v>19.36</v>
      </c>
      <c r="E390" s="661">
        <f t="shared" si="46"/>
        <v>19.8</v>
      </c>
      <c r="F390" s="661">
        <f t="shared" si="46"/>
        <v>38.72</v>
      </c>
      <c r="G390" s="661">
        <f t="shared" si="46"/>
        <v>40.655999999999999</v>
      </c>
      <c r="H390" s="661">
        <f t="shared" si="46"/>
        <v>42.282240000000002</v>
      </c>
      <c r="I390" s="661">
        <f t="shared" si="46"/>
        <v>43.550707199999998</v>
      </c>
      <c r="J390" s="661">
        <f t="shared" si="46"/>
        <v>44.857228415999998</v>
      </c>
      <c r="K390" s="661">
        <f t="shared" si="46"/>
        <v>44.857228415999998</v>
      </c>
      <c r="L390" s="661">
        <f t="shared" si="46"/>
        <v>44.857228415999998</v>
      </c>
      <c r="M390" s="661">
        <f t="shared" si="46"/>
        <v>44.857228415999998</v>
      </c>
      <c r="N390" s="661">
        <f t="shared" si="46"/>
        <v>44.857228415999998</v>
      </c>
      <c r="O390" s="661">
        <f t="shared" si="46"/>
        <v>44.857228415999998</v>
      </c>
    </row>
    <row r="391" spans="2:15" x14ac:dyDescent="0.3">
      <c r="B391" s="657" t="str">
        <f t="shared" ref="B391:C391" si="55">B289</f>
        <v>Incorporated</v>
      </c>
      <c r="C391" s="657">
        <f t="shared" si="55"/>
        <v>23</v>
      </c>
      <c r="D391" s="661">
        <f t="shared" si="32"/>
        <v>20.239999999999998</v>
      </c>
      <c r="E391" s="661">
        <f t="shared" si="46"/>
        <v>20.7</v>
      </c>
      <c r="F391" s="661">
        <f t="shared" si="46"/>
        <v>40.479999999999997</v>
      </c>
      <c r="G391" s="661">
        <f t="shared" si="46"/>
        <v>42.504000000000005</v>
      </c>
      <c r="H391" s="661">
        <f t="shared" si="46"/>
        <v>44.204160000000002</v>
      </c>
      <c r="I391" s="661">
        <f t="shared" si="46"/>
        <v>45.530284800000004</v>
      </c>
      <c r="J391" s="661">
        <f t="shared" si="46"/>
        <v>46.896193343999997</v>
      </c>
      <c r="K391" s="661">
        <f t="shared" si="46"/>
        <v>46.896193343999997</v>
      </c>
      <c r="L391" s="661">
        <f t="shared" si="46"/>
        <v>46.896193343999997</v>
      </c>
      <c r="M391" s="661">
        <f t="shared" si="46"/>
        <v>46.896193343999997</v>
      </c>
      <c r="N391" s="661">
        <f t="shared" si="46"/>
        <v>46.896193343999997</v>
      </c>
      <c r="O391" s="661">
        <f t="shared" si="46"/>
        <v>46.896193343999997</v>
      </c>
    </row>
    <row r="392" spans="2:15" x14ac:dyDescent="0.3">
      <c r="B392" s="657" t="str">
        <f t="shared" ref="B392:C392" si="56">B290</f>
        <v>Incorporated</v>
      </c>
      <c r="C392" s="657">
        <f t="shared" si="56"/>
        <v>24</v>
      </c>
      <c r="D392" s="661">
        <f t="shared" si="32"/>
        <v>21.12</v>
      </c>
      <c r="E392" s="661">
        <f t="shared" si="46"/>
        <v>21.6</v>
      </c>
      <c r="F392" s="661">
        <f t="shared" si="46"/>
        <v>42.24</v>
      </c>
      <c r="G392" s="661">
        <f t="shared" si="46"/>
        <v>44.352000000000004</v>
      </c>
      <c r="H392" s="661">
        <f t="shared" si="46"/>
        <v>46.126080000000002</v>
      </c>
      <c r="I392" s="661">
        <f t="shared" si="46"/>
        <v>47.509862400000003</v>
      </c>
      <c r="J392" s="661">
        <f t="shared" si="46"/>
        <v>48.935158271999995</v>
      </c>
      <c r="K392" s="661">
        <f t="shared" si="46"/>
        <v>48.935158271999995</v>
      </c>
      <c r="L392" s="661">
        <f t="shared" si="46"/>
        <v>48.935158271999995</v>
      </c>
      <c r="M392" s="661">
        <f t="shared" si="46"/>
        <v>48.935158271999995</v>
      </c>
      <c r="N392" s="661">
        <f t="shared" si="46"/>
        <v>48.935158271999995</v>
      </c>
      <c r="O392" s="661">
        <f t="shared" si="46"/>
        <v>48.935158271999995</v>
      </c>
    </row>
    <row r="393" spans="2:15" x14ac:dyDescent="0.3">
      <c r="B393" s="657" t="str">
        <f t="shared" ref="B393:C393" si="57">B291</f>
        <v>Incorporated</v>
      </c>
      <c r="C393" s="657">
        <f t="shared" si="57"/>
        <v>25</v>
      </c>
      <c r="D393" s="661">
        <f t="shared" si="32"/>
        <v>22</v>
      </c>
      <c r="E393" s="661">
        <f t="shared" si="46"/>
        <v>22.5</v>
      </c>
      <c r="F393" s="661">
        <f t="shared" si="46"/>
        <v>44</v>
      </c>
      <c r="G393" s="661">
        <f t="shared" si="46"/>
        <v>46.2</v>
      </c>
      <c r="H393" s="661">
        <f t="shared" si="46"/>
        <v>48.048000000000002</v>
      </c>
      <c r="I393" s="661">
        <f t="shared" si="46"/>
        <v>49.489440000000002</v>
      </c>
      <c r="J393" s="661">
        <f t="shared" si="46"/>
        <v>50.974123200000001</v>
      </c>
      <c r="K393" s="661">
        <f t="shared" si="46"/>
        <v>50.974123200000001</v>
      </c>
      <c r="L393" s="661">
        <f t="shared" si="46"/>
        <v>50.974123200000001</v>
      </c>
      <c r="M393" s="661">
        <f t="shared" si="46"/>
        <v>50.974123200000001</v>
      </c>
      <c r="N393" s="661">
        <f t="shared" si="46"/>
        <v>50.974123200000001</v>
      </c>
      <c r="O393" s="661">
        <f t="shared" si="46"/>
        <v>50.974123200000001</v>
      </c>
    </row>
    <row r="394" spans="2:15" x14ac:dyDescent="0.3">
      <c r="B394" s="657" t="str">
        <f t="shared" ref="B394:C394" si="58">B292</f>
        <v>Incorporated</v>
      </c>
      <c r="C394" s="657">
        <f t="shared" si="58"/>
        <v>26</v>
      </c>
      <c r="D394" s="661">
        <f t="shared" si="32"/>
        <v>22.88</v>
      </c>
      <c r="E394" s="661">
        <f t="shared" si="46"/>
        <v>23.400000000000002</v>
      </c>
      <c r="F394" s="661">
        <f t="shared" si="46"/>
        <v>45.76</v>
      </c>
      <c r="G394" s="661">
        <f t="shared" si="46"/>
        <v>48.048000000000002</v>
      </c>
      <c r="H394" s="661">
        <f t="shared" si="46"/>
        <v>49.969920000000002</v>
      </c>
      <c r="I394" s="661">
        <f t="shared" si="46"/>
        <v>51.469017600000001</v>
      </c>
      <c r="J394" s="661">
        <f t="shared" si="46"/>
        <v>53.013088128</v>
      </c>
      <c r="K394" s="661">
        <f t="shared" si="46"/>
        <v>53.013088128</v>
      </c>
      <c r="L394" s="661">
        <f t="shared" si="46"/>
        <v>53.013088128</v>
      </c>
      <c r="M394" s="661">
        <f t="shared" si="46"/>
        <v>53.013088128</v>
      </c>
      <c r="N394" s="661">
        <f t="shared" si="46"/>
        <v>53.013088128</v>
      </c>
      <c r="O394" s="661">
        <f t="shared" si="46"/>
        <v>53.013088128</v>
      </c>
    </row>
    <row r="395" spans="2:15" x14ac:dyDescent="0.3">
      <c r="B395" s="657" t="str">
        <f t="shared" ref="B395:C395" si="59">B293</f>
        <v>Incorporated</v>
      </c>
      <c r="C395" s="657">
        <f t="shared" si="59"/>
        <v>27</v>
      </c>
      <c r="D395" s="661">
        <f t="shared" si="32"/>
        <v>23.76</v>
      </c>
      <c r="E395" s="661">
        <f t="shared" si="46"/>
        <v>24.3</v>
      </c>
      <c r="F395" s="661">
        <f t="shared" si="46"/>
        <v>47.52</v>
      </c>
      <c r="G395" s="661">
        <f t="shared" si="46"/>
        <v>49.896000000000001</v>
      </c>
      <c r="H395" s="661">
        <f t="shared" si="46"/>
        <v>51.891840000000002</v>
      </c>
      <c r="I395" s="661">
        <f t="shared" si="46"/>
        <v>53.4485952</v>
      </c>
      <c r="J395" s="661">
        <f t="shared" si="46"/>
        <v>55.052053055999998</v>
      </c>
      <c r="K395" s="661">
        <f t="shared" si="46"/>
        <v>55.052053055999998</v>
      </c>
      <c r="L395" s="661">
        <f t="shared" si="46"/>
        <v>55.052053055999998</v>
      </c>
      <c r="M395" s="661">
        <f t="shared" si="46"/>
        <v>55.052053055999998</v>
      </c>
      <c r="N395" s="661">
        <f t="shared" si="46"/>
        <v>55.052053055999998</v>
      </c>
      <c r="O395" s="661">
        <f t="shared" si="46"/>
        <v>55.052053055999998</v>
      </c>
    </row>
    <row r="396" spans="2:15" x14ac:dyDescent="0.3">
      <c r="B396" s="657" t="str">
        <f t="shared" ref="B396:C396" si="60">B294</f>
        <v>Incorporated</v>
      </c>
      <c r="C396" s="657">
        <f t="shared" si="60"/>
        <v>28</v>
      </c>
      <c r="D396" s="661">
        <f t="shared" si="32"/>
        <v>24.64</v>
      </c>
      <c r="E396" s="661">
        <f t="shared" si="46"/>
        <v>25.2</v>
      </c>
      <c r="F396" s="661">
        <f t="shared" si="46"/>
        <v>49.28</v>
      </c>
      <c r="G396" s="661">
        <f t="shared" si="46"/>
        <v>51.744</v>
      </c>
      <c r="H396" s="661">
        <f t="shared" si="46"/>
        <v>53.813760000000002</v>
      </c>
      <c r="I396" s="661">
        <f t="shared" si="46"/>
        <v>55.428172799999999</v>
      </c>
      <c r="J396" s="661">
        <f t="shared" si="46"/>
        <v>57.091017983999997</v>
      </c>
      <c r="K396" s="661">
        <f t="shared" si="46"/>
        <v>57.091017983999997</v>
      </c>
      <c r="L396" s="661">
        <f t="shared" si="46"/>
        <v>57.091017983999997</v>
      </c>
      <c r="M396" s="661">
        <f t="shared" si="46"/>
        <v>57.091017983999997</v>
      </c>
      <c r="N396" s="661">
        <f t="shared" si="46"/>
        <v>57.091017983999997</v>
      </c>
      <c r="O396" s="661">
        <f t="shared" si="46"/>
        <v>57.091017983999997</v>
      </c>
    </row>
    <row r="397" spans="2:15" x14ac:dyDescent="0.3">
      <c r="B397" s="657" t="str">
        <f t="shared" ref="B397:C397" si="61">B295</f>
        <v>Incorporated</v>
      </c>
      <c r="C397" s="657">
        <f t="shared" si="61"/>
        <v>29</v>
      </c>
      <c r="D397" s="661">
        <f t="shared" si="32"/>
        <v>25.52</v>
      </c>
      <c r="E397" s="661">
        <f t="shared" si="46"/>
        <v>26.1</v>
      </c>
      <c r="F397" s="661">
        <f t="shared" si="46"/>
        <v>51.04</v>
      </c>
      <c r="G397" s="661">
        <f t="shared" si="46"/>
        <v>53.592000000000006</v>
      </c>
      <c r="H397" s="661">
        <f t="shared" si="46"/>
        <v>55.735680000000002</v>
      </c>
      <c r="I397" s="661">
        <f t="shared" si="46"/>
        <v>57.407750400000005</v>
      </c>
      <c r="J397" s="661">
        <f t="shared" si="46"/>
        <v>59.129982911999996</v>
      </c>
      <c r="K397" s="661">
        <f t="shared" si="46"/>
        <v>59.129982911999996</v>
      </c>
      <c r="L397" s="661">
        <f t="shared" si="46"/>
        <v>59.129982911999996</v>
      </c>
      <c r="M397" s="661">
        <f t="shared" si="46"/>
        <v>59.129982911999996</v>
      </c>
      <c r="N397" s="661">
        <f t="shared" si="46"/>
        <v>59.129982911999996</v>
      </c>
      <c r="O397" s="661">
        <f t="shared" si="46"/>
        <v>59.129982911999996</v>
      </c>
    </row>
    <row r="398" spans="2:15" x14ac:dyDescent="0.3">
      <c r="B398" s="657" t="str">
        <f t="shared" ref="B398:C398" si="62">B296</f>
        <v>Incorporated</v>
      </c>
      <c r="C398" s="657">
        <f t="shared" si="62"/>
        <v>30</v>
      </c>
      <c r="D398" s="661">
        <f t="shared" si="32"/>
        <v>26.4</v>
      </c>
      <c r="E398" s="661">
        <f t="shared" ref="E398:O413" si="63">IF($B398=$A$64,$C398*E$53,$C398*E$56)</f>
        <v>27</v>
      </c>
      <c r="F398" s="661">
        <f t="shared" si="63"/>
        <v>52.8</v>
      </c>
      <c r="G398" s="661">
        <f t="shared" si="63"/>
        <v>55.440000000000005</v>
      </c>
      <c r="H398" s="661">
        <f t="shared" si="63"/>
        <v>57.657600000000002</v>
      </c>
      <c r="I398" s="661">
        <f t="shared" si="63"/>
        <v>59.387328000000004</v>
      </c>
      <c r="J398" s="661">
        <f t="shared" si="63"/>
        <v>61.168947840000001</v>
      </c>
      <c r="K398" s="661">
        <f t="shared" si="63"/>
        <v>61.168947840000001</v>
      </c>
      <c r="L398" s="661">
        <f t="shared" si="63"/>
        <v>61.168947840000001</v>
      </c>
      <c r="M398" s="661">
        <f t="shared" si="63"/>
        <v>61.168947840000001</v>
      </c>
      <c r="N398" s="661">
        <f t="shared" si="63"/>
        <v>61.168947840000001</v>
      </c>
      <c r="O398" s="661">
        <f t="shared" si="63"/>
        <v>61.168947840000001</v>
      </c>
    </row>
    <row r="399" spans="2:15" x14ac:dyDescent="0.3">
      <c r="B399" s="657" t="str">
        <f t="shared" ref="B399:C399" si="64">B297</f>
        <v>Incorporated</v>
      </c>
      <c r="C399" s="657">
        <f t="shared" si="64"/>
        <v>31</v>
      </c>
      <c r="D399" s="661">
        <f t="shared" si="32"/>
        <v>27.28</v>
      </c>
      <c r="E399" s="661">
        <f t="shared" si="63"/>
        <v>27.900000000000002</v>
      </c>
      <c r="F399" s="661">
        <f t="shared" si="63"/>
        <v>54.56</v>
      </c>
      <c r="G399" s="661">
        <f t="shared" si="63"/>
        <v>57.288000000000004</v>
      </c>
      <c r="H399" s="661">
        <f t="shared" si="63"/>
        <v>59.579520000000002</v>
      </c>
      <c r="I399" s="661">
        <f t="shared" si="63"/>
        <v>61.366905600000003</v>
      </c>
      <c r="J399" s="661">
        <f t="shared" si="63"/>
        <v>63.207912768</v>
      </c>
      <c r="K399" s="661">
        <f t="shared" si="63"/>
        <v>63.207912768</v>
      </c>
      <c r="L399" s="661">
        <f t="shared" si="63"/>
        <v>63.207912768</v>
      </c>
      <c r="M399" s="661">
        <f t="shared" si="63"/>
        <v>63.207912768</v>
      </c>
      <c r="N399" s="661">
        <f t="shared" si="63"/>
        <v>63.207912768</v>
      </c>
      <c r="O399" s="661">
        <f t="shared" si="63"/>
        <v>63.207912768</v>
      </c>
    </row>
    <row r="400" spans="2:15" x14ac:dyDescent="0.3">
      <c r="B400" s="657" t="str">
        <f t="shared" ref="B400:C400" si="65">B298</f>
        <v>Incorporated</v>
      </c>
      <c r="C400" s="657">
        <f t="shared" si="65"/>
        <v>32</v>
      </c>
      <c r="D400" s="661">
        <f t="shared" si="32"/>
        <v>28.16</v>
      </c>
      <c r="E400" s="661">
        <f t="shared" si="63"/>
        <v>28.8</v>
      </c>
      <c r="F400" s="661">
        <f t="shared" si="63"/>
        <v>56.32</v>
      </c>
      <c r="G400" s="661">
        <f t="shared" si="63"/>
        <v>59.136000000000003</v>
      </c>
      <c r="H400" s="661">
        <f t="shared" si="63"/>
        <v>61.501440000000002</v>
      </c>
      <c r="I400" s="661">
        <f t="shared" si="63"/>
        <v>63.346483200000002</v>
      </c>
      <c r="J400" s="661">
        <f t="shared" si="63"/>
        <v>65.246877695999999</v>
      </c>
      <c r="K400" s="661">
        <f t="shared" si="63"/>
        <v>65.246877695999999</v>
      </c>
      <c r="L400" s="661">
        <f t="shared" si="63"/>
        <v>65.246877695999999</v>
      </c>
      <c r="M400" s="661">
        <f t="shared" si="63"/>
        <v>65.246877695999999</v>
      </c>
      <c r="N400" s="661">
        <f t="shared" si="63"/>
        <v>65.246877695999999</v>
      </c>
      <c r="O400" s="661">
        <f t="shared" si="63"/>
        <v>65.246877695999999</v>
      </c>
    </row>
    <row r="401" spans="2:15" x14ac:dyDescent="0.3">
      <c r="B401" s="657" t="str">
        <f t="shared" ref="B401:C401" si="66">B299</f>
        <v>Incorporated</v>
      </c>
      <c r="C401" s="657">
        <f t="shared" si="66"/>
        <v>33</v>
      </c>
      <c r="D401" s="661">
        <f t="shared" si="32"/>
        <v>29.04</v>
      </c>
      <c r="E401" s="661">
        <f t="shared" si="63"/>
        <v>29.7</v>
      </c>
      <c r="F401" s="661">
        <f t="shared" si="63"/>
        <v>58.08</v>
      </c>
      <c r="G401" s="661">
        <f t="shared" si="63"/>
        <v>60.984000000000002</v>
      </c>
      <c r="H401" s="661">
        <f t="shared" si="63"/>
        <v>63.423360000000002</v>
      </c>
      <c r="I401" s="661">
        <f t="shared" si="63"/>
        <v>65.326060800000008</v>
      </c>
      <c r="J401" s="661">
        <f t="shared" si="63"/>
        <v>67.285842623999997</v>
      </c>
      <c r="K401" s="661">
        <f t="shared" si="63"/>
        <v>67.285842623999997</v>
      </c>
      <c r="L401" s="661">
        <f t="shared" si="63"/>
        <v>67.285842623999997</v>
      </c>
      <c r="M401" s="661">
        <f t="shared" si="63"/>
        <v>67.285842623999997</v>
      </c>
      <c r="N401" s="661">
        <f t="shared" si="63"/>
        <v>67.285842623999997</v>
      </c>
      <c r="O401" s="661">
        <f t="shared" si="63"/>
        <v>67.285842623999997</v>
      </c>
    </row>
    <row r="402" spans="2:15" x14ac:dyDescent="0.3">
      <c r="B402" s="657" t="str">
        <f t="shared" ref="B402:C402" si="67">B300</f>
        <v>Incorporated</v>
      </c>
      <c r="C402" s="657">
        <f t="shared" si="67"/>
        <v>34</v>
      </c>
      <c r="D402" s="661">
        <f t="shared" si="32"/>
        <v>29.92</v>
      </c>
      <c r="E402" s="661">
        <f t="shared" si="63"/>
        <v>30.6</v>
      </c>
      <c r="F402" s="661">
        <f t="shared" si="63"/>
        <v>59.84</v>
      </c>
      <c r="G402" s="661">
        <f t="shared" si="63"/>
        <v>62.832000000000001</v>
      </c>
      <c r="H402" s="661">
        <f t="shared" si="63"/>
        <v>65.345280000000002</v>
      </c>
      <c r="I402" s="661">
        <f t="shared" si="63"/>
        <v>67.305638400000007</v>
      </c>
      <c r="J402" s="661">
        <f t="shared" si="63"/>
        <v>69.324807551999996</v>
      </c>
      <c r="K402" s="661">
        <f t="shared" si="63"/>
        <v>69.324807551999996</v>
      </c>
      <c r="L402" s="661">
        <f t="shared" si="63"/>
        <v>69.324807551999996</v>
      </c>
      <c r="M402" s="661">
        <f t="shared" si="63"/>
        <v>69.324807551999996</v>
      </c>
      <c r="N402" s="661">
        <f t="shared" si="63"/>
        <v>69.324807551999996</v>
      </c>
      <c r="O402" s="661">
        <f t="shared" si="63"/>
        <v>69.324807551999996</v>
      </c>
    </row>
    <row r="403" spans="2:15" x14ac:dyDescent="0.3">
      <c r="B403" s="657" t="str">
        <f t="shared" ref="B403:C403" si="68">B301</f>
        <v>Incorporated</v>
      </c>
      <c r="C403" s="657">
        <f t="shared" si="68"/>
        <v>35</v>
      </c>
      <c r="D403" s="661">
        <f t="shared" si="32"/>
        <v>30.8</v>
      </c>
      <c r="E403" s="661">
        <f t="shared" si="63"/>
        <v>31.5</v>
      </c>
      <c r="F403" s="661">
        <f t="shared" si="63"/>
        <v>61.6</v>
      </c>
      <c r="G403" s="661">
        <f t="shared" si="63"/>
        <v>64.680000000000007</v>
      </c>
      <c r="H403" s="661">
        <f t="shared" si="63"/>
        <v>67.267200000000003</v>
      </c>
      <c r="I403" s="661">
        <f t="shared" si="63"/>
        <v>69.285216000000005</v>
      </c>
      <c r="J403" s="661">
        <f t="shared" si="63"/>
        <v>71.363772479999994</v>
      </c>
      <c r="K403" s="661">
        <f t="shared" si="63"/>
        <v>71.363772479999994</v>
      </c>
      <c r="L403" s="661">
        <f t="shared" si="63"/>
        <v>71.363772479999994</v>
      </c>
      <c r="M403" s="661">
        <f t="shared" si="63"/>
        <v>71.363772479999994</v>
      </c>
      <c r="N403" s="661">
        <f t="shared" si="63"/>
        <v>71.363772479999994</v>
      </c>
      <c r="O403" s="661">
        <f t="shared" si="63"/>
        <v>71.363772479999994</v>
      </c>
    </row>
    <row r="404" spans="2:15" x14ac:dyDescent="0.3">
      <c r="B404" s="657" t="str">
        <f t="shared" ref="B404:C404" si="69">B302</f>
        <v>Incorporated</v>
      </c>
      <c r="C404" s="657">
        <f t="shared" si="69"/>
        <v>36</v>
      </c>
      <c r="D404" s="661">
        <f t="shared" si="32"/>
        <v>31.68</v>
      </c>
      <c r="E404" s="661">
        <f t="shared" si="63"/>
        <v>32.4</v>
      </c>
      <c r="F404" s="661">
        <f t="shared" si="63"/>
        <v>63.36</v>
      </c>
      <c r="G404" s="661">
        <f t="shared" si="63"/>
        <v>66.528000000000006</v>
      </c>
      <c r="H404" s="661">
        <f t="shared" si="63"/>
        <v>69.189120000000003</v>
      </c>
      <c r="I404" s="661">
        <f t="shared" si="63"/>
        <v>71.264793600000004</v>
      </c>
      <c r="J404" s="661">
        <f t="shared" si="63"/>
        <v>73.402737407999993</v>
      </c>
      <c r="K404" s="661">
        <f t="shared" si="63"/>
        <v>73.402737407999993</v>
      </c>
      <c r="L404" s="661">
        <f t="shared" si="63"/>
        <v>73.402737407999993</v>
      </c>
      <c r="M404" s="661">
        <f t="shared" si="63"/>
        <v>73.402737407999993</v>
      </c>
      <c r="N404" s="661">
        <f t="shared" si="63"/>
        <v>73.402737407999993</v>
      </c>
      <c r="O404" s="661">
        <f t="shared" si="63"/>
        <v>73.402737407999993</v>
      </c>
    </row>
    <row r="405" spans="2:15" x14ac:dyDescent="0.3">
      <c r="B405" s="657" t="str">
        <f t="shared" ref="B405:C405" si="70">B303</f>
        <v>Incorporated</v>
      </c>
      <c r="C405" s="657">
        <f t="shared" si="70"/>
        <v>37</v>
      </c>
      <c r="D405" s="661">
        <f t="shared" si="32"/>
        <v>32.56</v>
      </c>
      <c r="E405" s="661">
        <f t="shared" si="63"/>
        <v>33.300000000000004</v>
      </c>
      <c r="F405" s="661">
        <f t="shared" si="63"/>
        <v>65.12</v>
      </c>
      <c r="G405" s="661">
        <f t="shared" si="63"/>
        <v>68.376000000000005</v>
      </c>
      <c r="H405" s="661">
        <f t="shared" si="63"/>
        <v>71.111040000000003</v>
      </c>
      <c r="I405" s="661">
        <f t="shared" si="63"/>
        <v>73.244371200000003</v>
      </c>
      <c r="J405" s="661">
        <f t="shared" si="63"/>
        <v>75.441702335999992</v>
      </c>
      <c r="K405" s="661">
        <f t="shared" si="63"/>
        <v>75.441702335999992</v>
      </c>
      <c r="L405" s="661">
        <f t="shared" si="63"/>
        <v>75.441702335999992</v>
      </c>
      <c r="M405" s="661">
        <f t="shared" si="63"/>
        <v>75.441702335999992</v>
      </c>
      <c r="N405" s="661">
        <f t="shared" si="63"/>
        <v>75.441702335999992</v>
      </c>
      <c r="O405" s="661">
        <f t="shared" si="63"/>
        <v>75.441702335999992</v>
      </c>
    </row>
    <row r="406" spans="2:15" x14ac:dyDescent="0.3">
      <c r="B406" s="657" t="str">
        <f t="shared" ref="B406:C406" si="71">B304</f>
        <v>Incorporated</v>
      </c>
      <c r="C406" s="657">
        <f t="shared" si="71"/>
        <v>38</v>
      </c>
      <c r="D406" s="661">
        <f t="shared" si="32"/>
        <v>33.44</v>
      </c>
      <c r="E406" s="661">
        <f t="shared" si="63"/>
        <v>34.200000000000003</v>
      </c>
      <c r="F406" s="661">
        <f t="shared" si="63"/>
        <v>66.88</v>
      </c>
      <c r="G406" s="661">
        <f t="shared" si="63"/>
        <v>70.224000000000004</v>
      </c>
      <c r="H406" s="661">
        <f t="shared" si="63"/>
        <v>73.032960000000003</v>
      </c>
      <c r="I406" s="661">
        <f t="shared" si="63"/>
        <v>75.223948800000002</v>
      </c>
      <c r="J406" s="661">
        <f t="shared" si="63"/>
        <v>77.480667264000004</v>
      </c>
      <c r="K406" s="661">
        <f t="shared" si="63"/>
        <v>77.480667264000004</v>
      </c>
      <c r="L406" s="661">
        <f t="shared" si="63"/>
        <v>77.480667264000004</v>
      </c>
      <c r="M406" s="661">
        <f t="shared" si="63"/>
        <v>77.480667264000004</v>
      </c>
      <c r="N406" s="661">
        <f t="shared" si="63"/>
        <v>77.480667264000004</v>
      </c>
      <c r="O406" s="661">
        <f t="shared" si="63"/>
        <v>77.480667264000004</v>
      </c>
    </row>
    <row r="407" spans="2:15" x14ac:dyDescent="0.3">
      <c r="B407" s="657" t="str">
        <f t="shared" ref="B407:C407" si="72">B305</f>
        <v>Incorporated</v>
      </c>
      <c r="C407" s="657">
        <f t="shared" si="72"/>
        <v>39</v>
      </c>
      <c r="D407" s="661">
        <f t="shared" si="32"/>
        <v>34.32</v>
      </c>
      <c r="E407" s="661">
        <f t="shared" si="63"/>
        <v>35.1</v>
      </c>
      <c r="F407" s="661">
        <f t="shared" si="63"/>
        <v>68.64</v>
      </c>
      <c r="G407" s="661">
        <f t="shared" si="63"/>
        <v>72.072000000000003</v>
      </c>
      <c r="H407" s="661">
        <f t="shared" si="63"/>
        <v>74.954880000000003</v>
      </c>
      <c r="I407" s="661">
        <f t="shared" si="63"/>
        <v>77.203526400000001</v>
      </c>
      <c r="J407" s="661">
        <f t="shared" si="63"/>
        <v>79.519632192000003</v>
      </c>
      <c r="K407" s="661">
        <f t="shared" si="63"/>
        <v>79.519632192000003</v>
      </c>
      <c r="L407" s="661">
        <f t="shared" si="63"/>
        <v>79.519632192000003</v>
      </c>
      <c r="M407" s="661">
        <f t="shared" si="63"/>
        <v>79.519632192000003</v>
      </c>
      <c r="N407" s="661">
        <f t="shared" si="63"/>
        <v>79.519632192000003</v>
      </c>
      <c r="O407" s="661">
        <f t="shared" si="63"/>
        <v>79.519632192000003</v>
      </c>
    </row>
    <row r="408" spans="2:15" x14ac:dyDescent="0.3">
      <c r="B408" s="657" t="str">
        <f t="shared" ref="B408:C408" si="73">B306</f>
        <v>Incorporated</v>
      </c>
      <c r="C408" s="657">
        <f t="shared" si="73"/>
        <v>40</v>
      </c>
      <c r="D408" s="661">
        <f t="shared" si="32"/>
        <v>35.200000000000003</v>
      </c>
      <c r="E408" s="661">
        <f t="shared" si="63"/>
        <v>36</v>
      </c>
      <c r="F408" s="661">
        <f t="shared" si="63"/>
        <v>70.400000000000006</v>
      </c>
      <c r="G408" s="661">
        <f t="shared" si="63"/>
        <v>73.92</v>
      </c>
      <c r="H408" s="661">
        <f t="shared" si="63"/>
        <v>76.876800000000003</v>
      </c>
      <c r="I408" s="661">
        <f t="shared" si="63"/>
        <v>79.183104</v>
      </c>
      <c r="J408" s="661">
        <f t="shared" si="63"/>
        <v>81.558597120000002</v>
      </c>
      <c r="K408" s="661">
        <f t="shared" si="63"/>
        <v>81.558597120000002</v>
      </c>
      <c r="L408" s="661">
        <f t="shared" si="63"/>
        <v>81.558597120000002</v>
      </c>
      <c r="M408" s="661">
        <f t="shared" si="63"/>
        <v>81.558597120000002</v>
      </c>
      <c r="N408" s="661">
        <f t="shared" si="63"/>
        <v>81.558597120000002</v>
      </c>
      <c r="O408" s="661">
        <f t="shared" si="63"/>
        <v>81.558597120000002</v>
      </c>
    </row>
    <row r="409" spans="2:15" x14ac:dyDescent="0.3">
      <c r="B409" s="657" t="str">
        <f t="shared" ref="B409:C409" si="74">B307</f>
        <v>Incorporated</v>
      </c>
      <c r="C409" s="657">
        <f t="shared" si="74"/>
        <v>41</v>
      </c>
      <c r="D409" s="661">
        <f t="shared" si="32"/>
        <v>36.08</v>
      </c>
      <c r="E409" s="661">
        <f t="shared" si="63"/>
        <v>36.9</v>
      </c>
      <c r="F409" s="661">
        <f t="shared" si="63"/>
        <v>72.16</v>
      </c>
      <c r="G409" s="661">
        <f t="shared" si="63"/>
        <v>75.768000000000001</v>
      </c>
      <c r="H409" s="661">
        <f t="shared" si="63"/>
        <v>78.798720000000003</v>
      </c>
      <c r="I409" s="661">
        <f t="shared" si="63"/>
        <v>81.162681599999999</v>
      </c>
      <c r="J409" s="661">
        <f t="shared" si="63"/>
        <v>83.597562048</v>
      </c>
      <c r="K409" s="661">
        <f t="shared" si="63"/>
        <v>83.597562048</v>
      </c>
      <c r="L409" s="661">
        <f t="shared" si="63"/>
        <v>83.597562048</v>
      </c>
      <c r="M409" s="661">
        <f t="shared" si="63"/>
        <v>83.597562048</v>
      </c>
      <c r="N409" s="661">
        <f t="shared" si="63"/>
        <v>83.597562048</v>
      </c>
      <c r="O409" s="661">
        <f t="shared" si="63"/>
        <v>83.597562048</v>
      </c>
    </row>
    <row r="410" spans="2:15" x14ac:dyDescent="0.3">
      <c r="B410" s="657" t="str">
        <f t="shared" ref="B410:C410" si="75">B308</f>
        <v>Incorporated</v>
      </c>
      <c r="C410" s="657">
        <f t="shared" si="75"/>
        <v>42</v>
      </c>
      <c r="D410" s="661">
        <f t="shared" si="32"/>
        <v>36.96</v>
      </c>
      <c r="E410" s="661">
        <f t="shared" si="63"/>
        <v>37.800000000000004</v>
      </c>
      <c r="F410" s="661">
        <f t="shared" si="63"/>
        <v>73.92</v>
      </c>
      <c r="G410" s="661">
        <f t="shared" si="63"/>
        <v>77.616</v>
      </c>
      <c r="H410" s="661">
        <f t="shared" si="63"/>
        <v>80.720640000000003</v>
      </c>
      <c r="I410" s="661">
        <f t="shared" si="63"/>
        <v>83.142259199999998</v>
      </c>
      <c r="J410" s="661">
        <f t="shared" si="63"/>
        <v>85.636526975999999</v>
      </c>
      <c r="K410" s="661">
        <f t="shared" si="63"/>
        <v>85.636526975999999</v>
      </c>
      <c r="L410" s="661">
        <f t="shared" si="63"/>
        <v>85.636526975999999</v>
      </c>
      <c r="M410" s="661">
        <f t="shared" si="63"/>
        <v>85.636526975999999</v>
      </c>
      <c r="N410" s="661">
        <f t="shared" si="63"/>
        <v>85.636526975999999</v>
      </c>
      <c r="O410" s="661">
        <f t="shared" si="63"/>
        <v>85.636526975999999</v>
      </c>
    </row>
    <row r="411" spans="2:15" x14ac:dyDescent="0.3">
      <c r="B411" s="657" t="str">
        <f t="shared" ref="B411:C411" si="76">B309</f>
        <v>Incorporated</v>
      </c>
      <c r="C411" s="657">
        <f t="shared" si="76"/>
        <v>43</v>
      </c>
      <c r="D411" s="661">
        <f t="shared" si="32"/>
        <v>37.840000000000003</v>
      </c>
      <c r="E411" s="661">
        <f t="shared" si="63"/>
        <v>38.700000000000003</v>
      </c>
      <c r="F411" s="661">
        <f t="shared" si="63"/>
        <v>75.680000000000007</v>
      </c>
      <c r="G411" s="661">
        <f t="shared" si="63"/>
        <v>79.463999999999999</v>
      </c>
      <c r="H411" s="661">
        <f t="shared" si="63"/>
        <v>82.642560000000003</v>
      </c>
      <c r="I411" s="661">
        <f t="shared" si="63"/>
        <v>85.121836799999997</v>
      </c>
      <c r="J411" s="661">
        <f t="shared" si="63"/>
        <v>87.675491903999998</v>
      </c>
      <c r="K411" s="661">
        <f t="shared" si="63"/>
        <v>87.675491903999998</v>
      </c>
      <c r="L411" s="661">
        <f t="shared" si="63"/>
        <v>87.675491903999998</v>
      </c>
      <c r="M411" s="661">
        <f t="shared" si="63"/>
        <v>87.675491903999998</v>
      </c>
      <c r="N411" s="661">
        <f t="shared" si="63"/>
        <v>87.675491903999998</v>
      </c>
      <c r="O411" s="661">
        <f t="shared" si="63"/>
        <v>87.675491903999998</v>
      </c>
    </row>
    <row r="412" spans="2:15" x14ac:dyDescent="0.3">
      <c r="B412" s="657" t="str">
        <f t="shared" ref="B412:C412" si="77">B310</f>
        <v>Incorporated</v>
      </c>
      <c r="C412" s="657">
        <f t="shared" si="77"/>
        <v>44</v>
      </c>
      <c r="D412" s="661">
        <f t="shared" si="32"/>
        <v>38.72</v>
      </c>
      <c r="E412" s="661">
        <f t="shared" si="63"/>
        <v>39.6</v>
      </c>
      <c r="F412" s="661">
        <f t="shared" si="63"/>
        <v>77.44</v>
      </c>
      <c r="G412" s="661">
        <f t="shared" si="63"/>
        <v>81.311999999999998</v>
      </c>
      <c r="H412" s="661">
        <f t="shared" si="63"/>
        <v>84.564480000000003</v>
      </c>
      <c r="I412" s="661">
        <f t="shared" si="63"/>
        <v>87.101414399999996</v>
      </c>
      <c r="J412" s="661">
        <f t="shared" si="63"/>
        <v>89.714456831999996</v>
      </c>
      <c r="K412" s="661">
        <f t="shared" si="63"/>
        <v>89.714456831999996</v>
      </c>
      <c r="L412" s="661">
        <f t="shared" si="63"/>
        <v>89.714456831999996</v>
      </c>
      <c r="M412" s="661">
        <f t="shared" si="63"/>
        <v>89.714456831999996</v>
      </c>
      <c r="N412" s="661">
        <f t="shared" si="63"/>
        <v>89.714456831999996</v>
      </c>
      <c r="O412" s="661">
        <f t="shared" si="63"/>
        <v>89.714456831999996</v>
      </c>
    </row>
    <row r="413" spans="2:15" x14ac:dyDescent="0.3">
      <c r="B413" s="657" t="str">
        <f t="shared" ref="B413:C413" si="78">B311</f>
        <v>Incorporated</v>
      </c>
      <c r="C413" s="657">
        <f t="shared" si="78"/>
        <v>45</v>
      </c>
      <c r="D413" s="661">
        <f t="shared" si="32"/>
        <v>39.6</v>
      </c>
      <c r="E413" s="661">
        <f t="shared" si="63"/>
        <v>40.5</v>
      </c>
      <c r="F413" s="661">
        <f t="shared" si="63"/>
        <v>79.2</v>
      </c>
      <c r="G413" s="661">
        <f t="shared" si="63"/>
        <v>83.160000000000011</v>
      </c>
      <c r="H413" s="661">
        <f t="shared" si="63"/>
        <v>86.486400000000003</v>
      </c>
      <c r="I413" s="661">
        <f t="shared" si="63"/>
        <v>89.080992000000009</v>
      </c>
      <c r="J413" s="661">
        <f t="shared" si="63"/>
        <v>91.753421759999995</v>
      </c>
      <c r="K413" s="661">
        <f t="shared" si="63"/>
        <v>91.753421759999995</v>
      </c>
      <c r="L413" s="661">
        <f t="shared" si="63"/>
        <v>91.753421759999995</v>
      </c>
      <c r="M413" s="661">
        <f t="shared" si="63"/>
        <v>91.753421759999995</v>
      </c>
      <c r="N413" s="661">
        <f t="shared" si="63"/>
        <v>91.753421759999995</v>
      </c>
      <c r="O413" s="661">
        <f t="shared" si="63"/>
        <v>91.753421759999995</v>
      </c>
    </row>
    <row r="414" spans="2:15" x14ac:dyDescent="0.3">
      <c r="B414" s="657" t="str">
        <f t="shared" ref="B414:C414" si="79">B312</f>
        <v>Incorporated</v>
      </c>
      <c r="C414" s="657">
        <f t="shared" si="79"/>
        <v>46</v>
      </c>
      <c r="D414" s="661">
        <f t="shared" si="32"/>
        <v>40.479999999999997</v>
      </c>
      <c r="E414" s="661">
        <f t="shared" ref="E414:O429" si="80">IF($B414=$A$64,$C414*E$53,$C414*E$56)</f>
        <v>41.4</v>
      </c>
      <c r="F414" s="661">
        <f t="shared" si="80"/>
        <v>80.959999999999994</v>
      </c>
      <c r="G414" s="661">
        <f t="shared" si="80"/>
        <v>85.00800000000001</v>
      </c>
      <c r="H414" s="661">
        <f t="shared" si="80"/>
        <v>88.408320000000003</v>
      </c>
      <c r="I414" s="661">
        <f t="shared" si="80"/>
        <v>91.060569600000008</v>
      </c>
      <c r="J414" s="661">
        <f t="shared" si="80"/>
        <v>93.792386687999993</v>
      </c>
      <c r="K414" s="661">
        <f t="shared" si="80"/>
        <v>93.792386687999993</v>
      </c>
      <c r="L414" s="661">
        <f t="shared" si="80"/>
        <v>93.792386687999993</v>
      </c>
      <c r="M414" s="661">
        <f t="shared" si="80"/>
        <v>93.792386687999993</v>
      </c>
      <c r="N414" s="661">
        <f t="shared" si="80"/>
        <v>93.792386687999993</v>
      </c>
      <c r="O414" s="661">
        <f t="shared" si="80"/>
        <v>93.792386687999993</v>
      </c>
    </row>
    <row r="415" spans="2:15" x14ac:dyDescent="0.3">
      <c r="B415" s="657" t="str">
        <f t="shared" ref="B415:C415" si="81">B313</f>
        <v>Incorporated</v>
      </c>
      <c r="C415" s="657">
        <f t="shared" si="81"/>
        <v>47</v>
      </c>
      <c r="D415" s="661">
        <f t="shared" si="32"/>
        <v>41.36</v>
      </c>
      <c r="E415" s="661">
        <f t="shared" si="80"/>
        <v>42.300000000000004</v>
      </c>
      <c r="F415" s="661">
        <f t="shared" si="80"/>
        <v>82.72</v>
      </c>
      <c r="G415" s="661">
        <f t="shared" si="80"/>
        <v>86.856000000000009</v>
      </c>
      <c r="H415" s="661">
        <f t="shared" si="80"/>
        <v>90.330240000000003</v>
      </c>
      <c r="I415" s="661">
        <f t="shared" si="80"/>
        <v>93.040147200000007</v>
      </c>
      <c r="J415" s="661">
        <f t="shared" si="80"/>
        <v>95.831351615999992</v>
      </c>
      <c r="K415" s="661">
        <f t="shared" si="80"/>
        <v>95.831351615999992</v>
      </c>
      <c r="L415" s="661">
        <f t="shared" si="80"/>
        <v>95.831351615999992</v>
      </c>
      <c r="M415" s="661">
        <f t="shared" si="80"/>
        <v>95.831351615999992</v>
      </c>
      <c r="N415" s="661">
        <f t="shared" si="80"/>
        <v>95.831351615999992</v>
      </c>
      <c r="O415" s="661">
        <f t="shared" si="80"/>
        <v>95.831351615999992</v>
      </c>
    </row>
    <row r="416" spans="2:15" x14ac:dyDescent="0.3">
      <c r="B416" s="657" t="str">
        <f t="shared" ref="B416:C416" si="82">B314</f>
        <v>Incorporated</v>
      </c>
      <c r="C416" s="657">
        <f t="shared" si="82"/>
        <v>48</v>
      </c>
      <c r="D416" s="661">
        <f t="shared" si="32"/>
        <v>42.24</v>
      </c>
      <c r="E416" s="661">
        <f t="shared" si="80"/>
        <v>43.2</v>
      </c>
      <c r="F416" s="661">
        <f t="shared" si="80"/>
        <v>84.48</v>
      </c>
      <c r="G416" s="661">
        <f t="shared" si="80"/>
        <v>88.704000000000008</v>
      </c>
      <c r="H416" s="661">
        <f t="shared" si="80"/>
        <v>92.252160000000003</v>
      </c>
      <c r="I416" s="661">
        <f t="shared" si="80"/>
        <v>95.019724800000006</v>
      </c>
      <c r="J416" s="661">
        <f t="shared" si="80"/>
        <v>97.870316543999991</v>
      </c>
      <c r="K416" s="661">
        <f t="shared" si="80"/>
        <v>97.870316543999991</v>
      </c>
      <c r="L416" s="661">
        <f t="shared" si="80"/>
        <v>97.870316543999991</v>
      </c>
      <c r="M416" s="661">
        <f t="shared" si="80"/>
        <v>97.870316543999991</v>
      </c>
      <c r="N416" s="661">
        <f t="shared" si="80"/>
        <v>97.870316543999991</v>
      </c>
      <c r="O416" s="661">
        <f t="shared" si="80"/>
        <v>97.870316543999991</v>
      </c>
    </row>
    <row r="417" spans="2:15" x14ac:dyDescent="0.3">
      <c r="B417" s="657" t="str">
        <f t="shared" ref="B417:C417" si="83">B315</f>
        <v>Incorporated</v>
      </c>
      <c r="C417" s="657">
        <f t="shared" si="83"/>
        <v>49</v>
      </c>
      <c r="D417" s="661">
        <f t="shared" si="32"/>
        <v>43.12</v>
      </c>
      <c r="E417" s="661">
        <f t="shared" si="80"/>
        <v>44.1</v>
      </c>
      <c r="F417" s="661">
        <f t="shared" si="80"/>
        <v>86.24</v>
      </c>
      <c r="G417" s="661">
        <f t="shared" si="80"/>
        <v>90.552000000000007</v>
      </c>
      <c r="H417" s="661">
        <f t="shared" si="80"/>
        <v>94.174080000000004</v>
      </c>
      <c r="I417" s="661">
        <f t="shared" si="80"/>
        <v>96.999302400000005</v>
      </c>
      <c r="J417" s="661">
        <f t="shared" si="80"/>
        <v>99.909281472000004</v>
      </c>
      <c r="K417" s="661">
        <f t="shared" si="80"/>
        <v>99.909281472000004</v>
      </c>
      <c r="L417" s="661">
        <f t="shared" si="80"/>
        <v>99.909281472000004</v>
      </c>
      <c r="M417" s="661">
        <f t="shared" si="80"/>
        <v>99.909281472000004</v>
      </c>
      <c r="N417" s="661">
        <f t="shared" si="80"/>
        <v>99.909281472000004</v>
      </c>
      <c r="O417" s="661">
        <f t="shared" si="80"/>
        <v>99.909281472000004</v>
      </c>
    </row>
    <row r="418" spans="2:15" x14ac:dyDescent="0.3">
      <c r="B418" s="657" t="str">
        <f t="shared" ref="B418:C418" si="84">B316</f>
        <v>Incorporated</v>
      </c>
      <c r="C418" s="657">
        <f t="shared" si="84"/>
        <v>50</v>
      </c>
      <c r="D418" s="661">
        <f t="shared" si="32"/>
        <v>44</v>
      </c>
      <c r="E418" s="661">
        <f t="shared" si="80"/>
        <v>45</v>
      </c>
      <c r="F418" s="661">
        <f t="shared" si="80"/>
        <v>88</v>
      </c>
      <c r="G418" s="661">
        <f t="shared" si="80"/>
        <v>92.4</v>
      </c>
      <c r="H418" s="661">
        <f t="shared" si="80"/>
        <v>96.096000000000004</v>
      </c>
      <c r="I418" s="661">
        <f t="shared" si="80"/>
        <v>98.978880000000004</v>
      </c>
      <c r="J418" s="661">
        <f t="shared" si="80"/>
        <v>101.9482464</v>
      </c>
      <c r="K418" s="661">
        <f t="shared" si="80"/>
        <v>101.9482464</v>
      </c>
      <c r="L418" s="661">
        <f t="shared" si="80"/>
        <v>101.9482464</v>
      </c>
      <c r="M418" s="661">
        <f t="shared" si="80"/>
        <v>101.9482464</v>
      </c>
      <c r="N418" s="661">
        <f t="shared" si="80"/>
        <v>101.9482464</v>
      </c>
      <c r="O418" s="661">
        <f t="shared" si="80"/>
        <v>101.9482464</v>
      </c>
    </row>
    <row r="419" spans="2:15" x14ac:dyDescent="0.3">
      <c r="B419" s="657" t="str">
        <f t="shared" ref="B419:C419" si="85">B317</f>
        <v>Incorporated</v>
      </c>
      <c r="C419" s="657">
        <f t="shared" si="85"/>
        <v>51</v>
      </c>
      <c r="D419" s="661">
        <f t="shared" si="32"/>
        <v>44.88</v>
      </c>
      <c r="E419" s="661">
        <f t="shared" si="80"/>
        <v>45.9</v>
      </c>
      <c r="F419" s="661">
        <f t="shared" si="80"/>
        <v>89.76</v>
      </c>
      <c r="G419" s="661">
        <f t="shared" si="80"/>
        <v>94.248000000000005</v>
      </c>
      <c r="H419" s="661">
        <f t="shared" si="80"/>
        <v>98.017920000000004</v>
      </c>
      <c r="I419" s="661">
        <f t="shared" si="80"/>
        <v>100.9584576</v>
      </c>
      <c r="J419" s="661">
        <f t="shared" si="80"/>
        <v>103.987211328</v>
      </c>
      <c r="K419" s="661">
        <f t="shared" si="80"/>
        <v>103.987211328</v>
      </c>
      <c r="L419" s="661">
        <f t="shared" si="80"/>
        <v>103.987211328</v>
      </c>
      <c r="M419" s="661">
        <f t="shared" si="80"/>
        <v>103.987211328</v>
      </c>
      <c r="N419" s="661">
        <f t="shared" si="80"/>
        <v>103.987211328</v>
      </c>
      <c r="O419" s="661">
        <f t="shared" si="80"/>
        <v>103.987211328</v>
      </c>
    </row>
    <row r="420" spans="2:15" x14ac:dyDescent="0.3">
      <c r="B420" s="657" t="str">
        <f t="shared" ref="B420:C420" si="86">B318</f>
        <v>Incorporated</v>
      </c>
      <c r="C420" s="657">
        <f t="shared" si="86"/>
        <v>52</v>
      </c>
      <c r="D420" s="661">
        <f t="shared" si="32"/>
        <v>45.76</v>
      </c>
      <c r="E420" s="661">
        <f t="shared" si="80"/>
        <v>46.800000000000004</v>
      </c>
      <c r="F420" s="661">
        <f t="shared" si="80"/>
        <v>91.52</v>
      </c>
      <c r="G420" s="661">
        <f t="shared" si="80"/>
        <v>96.096000000000004</v>
      </c>
      <c r="H420" s="661">
        <f t="shared" si="80"/>
        <v>99.939840000000004</v>
      </c>
      <c r="I420" s="661">
        <f t="shared" si="80"/>
        <v>102.9380352</v>
      </c>
      <c r="J420" s="661">
        <f t="shared" si="80"/>
        <v>106.026176256</v>
      </c>
      <c r="K420" s="661">
        <f t="shared" si="80"/>
        <v>106.026176256</v>
      </c>
      <c r="L420" s="661">
        <f t="shared" si="80"/>
        <v>106.026176256</v>
      </c>
      <c r="M420" s="661">
        <f t="shared" si="80"/>
        <v>106.026176256</v>
      </c>
      <c r="N420" s="661">
        <f t="shared" si="80"/>
        <v>106.026176256</v>
      </c>
      <c r="O420" s="661">
        <f t="shared" si="80"/>
        <v>106.026176256</v>
      </c>
    </row>
    <row r="421" spans="2:15" x14ac:dyDescent="0.3">
      <c r="B421" s="657" t="str">
        <f t="shared" ref="B421:C421" si="87">B319</f>
        <v>Incorporated</v>
      </c>
      <c r="C421" s="657">
        <f t="shared" si="87"/>
        <v>53</v>
      </c>
      <c r="D421" s="661">
        <f t="shared" si="32"/>
        <v>46.64</v>
      </c>
      <c r="E421" s="661">
        <f t="shared" si="80"/>
        <v>47.7</v>
      </c>
      <c r="F421" s="661">
        <f t="shared" si="80"/>
        <v>93.28</v>
      </c>
      <c r="G421" s="661">
        <f t="shared" si="80"/>
        <v>97.944000000000003</v>
      </c>
      <c r="H421" s="661">
        <f t="shared" si="80"/>
        <v>101.86176</v>
      </c>
      <c r="I421" s="661">
        <f t="shared" si="80"/>
        <v>104.9176128</v>
      </c>
      <c r="J421" s="661">
        <f t="shared" si="80"/>
        <v>108.065141184</v>
      </c>
      <c r="K421" s="661">
        <f t="shared" si="80"/>
        <v>108.065141184</v>
      </c>
      <c r="L421" s="661">
        <f t="shared" si="80"/>
        <v>108.065141184</v>
      </c>
      <c r="M421" s="661">
        <f t="shared" si="80"/>
        <v>108.065141184</v>
      </c>
      <c r="N421" s="661">
        <f t="shared" si="80"/>
        <v>108.065141184</v>
      </c>
      <c r="O421" s="661">
        <f t="shared" si="80"/>
        <v>108.065141184</v>
      </c>
    </row>
    <row r="422" spans="2:15" x14ac:dyDescent="0.3">
      <c r="B422" s="657" t="str">
        <f t="shared" ref="B422:C422" si="88">B320</f>
        <v>Incorporated</v>
      </c>
      <c r="C422" s="657">
        <f t="shared" si="88"/>
        <v>54</v>
      </c>
      <c r="D422" s="661">
        <f t="shared" si="32"/>
        <v>47.52</v>
      </c>
      <c r="E422" s="661">
        <f t="shared" si="80"/>
        <v>48.6</v>
      </c>
      <c r="F422" s="661">
        <f t="shared" si="80"/>
        <v>95.04</v>
      </c>
      <c r="G422" s="661">
        <f t="shared" si="80"/>
        <v>99.792000000000002</v>
      </c>
      <c r="H422" s="661">
        <f t="shared" si="80"/>
        <v>103.78368</v>
      </c>
      <c r="I422" s="661">
        <f t="shared" si="80"/>
        <v>106.8971904</v>
      </c>
      <c r="J422" s="661">
        <f t="shared" si="80"/>
        <v>110.104106112</v>
      </c>
      <c r="K422" s="661">
        <f t="shared" si="80"/>
        <v>110.104106112</v>
      </c>
      <c r="L422" s="661">
        <f t="shared" si="80"/>
        <v>110.104106112</v>
      </c>
      <c r="M422" s="661">
        <f t="shared" si="80"/>
        <v>110.104106112</v>
      </c>
      <c r="N422" s="661">
        <f t="shared" si="80"/>
        <v>110.104106112</v>
      </c>
      <c r="O422" s="661">
        <f t="shared" si="80"/>
        <v>110.104106112</v>
      </c>
    </row>
    <row r="423" spans="2:15" x14ac:dyDescent="0.3">
      <c r="B423" s="657" t="str">
        <f t="shared" ref="B423:C423" si="89">B321</f>
        <v>Incorporated</v>
      </c>
      <c r="C423" s="657">
        <f t="shared" si="89"/>
        <v>55</v>
      </c>
      <c r="D423" s="661">
        <f t="shared" si="32"/>
        <v>48.4</v>
      </c>
      <c r="E423" s="661">
        <f t="shared" si="80"/>
        <v>49.5</v>
      </c>
      <c r="F423" s="661">
        <f t="shared" si="80"/>
        <v>96.8</v>
      </c>
      <c r="G423" s="661">
        <f t="shared" si="80"/>
        <v>101.64</v>
      </c>
      <c r="H423" s="661">
        <f t="shared" si="80"/>
        <v>105.7056</v>
      </c>
      <c r="I423" s="661">
        <f t="shared" si="80"/>
        <v>108.876768</v>
      </c>
      <c r="J423" s="661">
        <f t="shared" si="80"/>
        <v>112.14307104</v>
      </c>
      <c r="K423" s="661">
        <f t="shared" si="80"/>
        <v>112.14307104</v>
      </c>
      <c r="L423" s="661">
        <f t="shared" si="80"/>
        <v>112.14307104</v>
      </c>
      <c r="M423" s="661">
        <f t="shared" si="80"/>
        <v>112.14307104</v>
      </c>
      <c r="N423" s="661">
        <f t="shared" si="80"/>
        <v>112.14307104</v>
      </c>
      <c r="O423" s="661">
        <f t="shared" si="80"/>
        <v>112.14307104</v>
      </c>
    </row>
    <row r="424" spans="2:15" x14ac:dyDescent="0.3">
      <c r="B424" s="657" t="str">
        <f t="shared" ref="B424:C424" si="90">B322</f>
        <v>Incorporated</v>
      </c>
      <c r="C424" s="657">
        <f t="shared" si="90"/>
        <v>56</v>
      </c>
      <c r="D424" s="661">
        <f t="shared" si="32"/>
        <v>49.28</v>
      </c>
      <c r="E424" s="661">
        <f t="shared" si="80"/>
        <v>50.4</v>
      </c>
      <c r="F424" s="661">
        <f t="shared" si="80"/>
        <v>98.56</v>
      </c>
      <c r="G424" s="661">
        <f t="shared" si="80"/>
        <v>103.488</v>
      </c>
      <c r="H424" s="661">
        <f t="shared" si="80"/>
        <v>107.62752</v>
      </c>
      <c r="I424" s="661">
        <f t="shared" si="80"/>
        <v>110.8563456</v>
      </c>
      <c r="J424" s="661">
        <f t="shared" si="80"/>
        <v>114.18203596799999</v>
      </c>
      <c r="K424" s="661">
        <f t="shared" si="80"/>
        <v>114.18203596799999</v>
      </c>
      <c r="L424" s="661">
        <f t="shared" si="80"/>
        <v>114.18203596799999</v>
      </c>
      <c r="M424" s="661">
        <f t="shared" si="80"/>
        <v>114.18203596799999</v>
      </c>
      <c r="N424" s="661">
        <f t="shared" si="80"/>
        <v>114.18203596799999</v>
      </c>
      <c r="O424" s="661">
        <f t="shared" si="80"/>
        <v>114.18203596799999</v>
      </c>
    </row>
    <row r="425" spans="2:15" x14ac:dyDescent="0.3">
      <c r="B425" s="657" t="str">
        <f t="shared" ref="B425:C425" si="91">B323</f>
        <v>Incorporated</v>
      </c>
      <c r="C425" s="657">
        <f t="shared" si="91"/>
        <v>57</v>
      </c>
      <c r="D425" s="661">
        <f t="shared" si="32"/>
        <v>50.160000000000004</v>
      </c>
      <c r="E425" s="661">
        <f t="shared" si="80"/>
        <v>51.300000000000004</v>
      </c>
      <c r="F425" s="661">
        <f t="shared" si="80"/>
        <v>100.32000000000001</v>
      </c>
      <c r="G425" s="661">
        <f t="shared" si="80"/>
        <v>105.336</v>
      </c>
      <c r="H425" s="661">
        <f t="shared" si="80"/>
        <v>109.54944</v>
      </c>
      <c r="I425" s="661">
        <f t="shared" si="80"/>
        <v>112.8359232</v>
      </c>
      <c r="J425" s="661">
        <f t="shared" si="80"/>
        <v>116.22100089599999</v>
      </c>
      <c r="K425" s="661">
        <f t="shared" si="80"/>
        <v>116.22100089599999</v>
      </c>
      <c r="L425" s="661">
        <f t="shared" si="80"/>
        <v>116.22100089599999</v>
      </c>
      <c r="M425" s="661">
        <f t="shared" si="80"/>
        <v>116.22100089599999</v>
      </c>
      <c r="N425" s="661">
        <f t="shared" si="80"/>
        <v>116.22100089599999</v>
      </c>
      <c r="O425" s="661">
        <f t="shared" si="80"/>
        <v>116.22100089599999</v>
      </c>
    </row>
    <row r="426" spans="2:15" x14ac:dyDescent="0.3">
      <c r="B426" s="657" t="str">
        <f t="shared" ref="B426:C426" si="92">B324</f>
        <v>Incorporated</v>
      </c>
      <c r="C426" s="657">
        <f t="shared" si="92"/>
        <v>58</v>
      </c>
      <c r="D426" s="661">
        <f t="shared" si="32"/>
        <v>51.04</v>
      </c>
      <c r="E426" s="661">
        <f t="shared" si="80"/>
        <v>52.2</v>
      </c>
      <c r="F426" s="661">
        <f t="shared" si="80"/>
        <v>102.08</v>
      </c>
      <c r="G426" s="661">
        <f t="shared" si="80"/>
        <v>107.18400000000001</v>
      </c>
      <c r="H426" s="661">
        <f t="shared" si="80"/>
        <v>111.47136</v>
      </c>
      <c r="I426" s="661">
        <f t="shared" si="80"/>
        <v>114.81550080000001</v>
      </c>
      <c r="J426" s="661">
        <f t="shared" si="80"/>
        <v>118.25996582399999</v>
      </c>
      <c r="K426" s="661">
        <f t="shared" si="80"/>
        <v>118.25996582399999</v>
      </c>
      <c r="L426" s="661">
        <f t="shared" si="80"/>
        <v>118.25996582399999</v>
      </c>
      <c r="M426" s="661">
        <f t="shared" si="80"/>
        <v>118.25996582399999</v>
      </c>
      <c r="N426" s="661">
        <f t="shared" si="80"/>
        <v>118.25996582399999</v>
      </c>
      <c r="O426" s="661">
        <f t="shared" si="80"/>
        <v>118.25996582399999</v>
      </c>
    </row>
    <row r="427" spans="2:15" x14ac:dyDescent="0.3">
      <c r="B427" s="657" t="str">
        <f t="shared" ref="B427:C427" si="93">B325</f>
        <v>Incorporated</v>
      </c>
      <c r="C427" s="657">
        <f t="shared" si="93"/>
        <v>59</v>
      </c>
      <c r="D427" s="661">
        <f t="shared" si="32"/>
        <v>51.92</v>
      </c>
      <c r="E427" s="661">
        <f t="shared" si="80"/>
        <v>53.1</v>
      </c>
      <c r="F427" s="661">
        <f t="shared" si="80"/>
        <v>103.84</v>
      </c>
      <c r="G427" s="661">
        <f t="shared" si="80"/>
        <v>109.03200000000001</v>
      </c>
      <c r="H427" s="661">
        <f t="shared" si="80"/>
        <v>113.39328</v>
      </c>
      <c r="I427" s="661">
        <f t="shared" si="80"/>
        <v>116.79507840000001</v>
      </c>
      <c r="J427" s="661">
        <f t="shared" si="80"/>
        <v>120.298930752</v>
      </c>
      <c r="K427" s="661">
        <f t="shared" si="80"/>
        <v>120.298930752</v>
      </c>
      <c r="L427" s="661">
        <f t="shared" si="80"/>
        <v>120.298930752</v>
      </c>
      <c r="M427" s="661">
        <f t="shared" si="80"/>
        <v>120.298930752</v>
      </c>
      <c r="N427" s="661">
        <f t="shared" si="80"/>
        <v>120.298930752</v>
      </c>
      <c r="O427" s="661">
        <f t="shared" si="80"/>
        <v>120.298930752</v>
      </c>
    </row>
    <row r="428" spans="2:15" x14ac:dyDescent="0.3">
      <c r="B428" s="657" t="str">
        <f t="shared" ref="B428:C428" si="94">B326</f>
        <v>Incorporated</v>
      </c>
      <c r="C428" s="657">
        <f t="shared" si="94"/>
        <v>60</v>
      </c>
      <c r="D428" s="661">
        <f t="shared" si="32"/>
        <v>52.8</v>
      </c>
      <c r="E428" s="661">
        <f t="shared" si="80"/>
        <v>54</v>
      </c>
      <c r="F428" s="661">
        <f t="shared" si="80"/>
        <v>105.6</v>
      </c>
      <c r="G428" s="661">
        <f t="shared" si="80"/>
        <v>110.88000000000001</v>
      </c>
      <c r="H428" s="661">
        <f t="shared" si="80"/>
        <v>115.3152</v>
      </c>
      <c r="I428" s="661">
        <f t="shared" si="80"/>
        <v>118.77465600000001</v>
      </c>
      <c r="J428" s="661">
        <f t="shared" si="80"/>
        <v>122.33789568</v>
      </c>
      <c r="K428" s="661">
        <f t="shared" si="80"/>
        <v>122.33789568</v>
      </c>
      <c r="L428" s="661">
        <f t="shared" si="80"/>
        <v>122.33789568</v>
      </c>
      <c r="M428" s="661">
        <f t="shared" si="80"/>
        <v>122.33789568</v>
      </c>
      <c r="N428" s="661">
        <f t="shared" si="80"/>
        <v>122.33789568</v>
      </c>
      <c r="O428" s="661">
        <f t="shared" si="80"/>
        <v>122.33789568</v>
      </c>
    </row>
    <row r="429" spans="2:15" x14ac:dyDescent="0.3">
      <c r="B429" s="657" t="str">
        <f t="shared" ref="B429:C429" si="95">B327</f>
        <v>Incorporated</v>
      </c>
      <c r="C429" s="657">
        <f t="shared" si="95"/>
        <v>61</v>
      </c>
      <c r="D429" s="661">
        <f t="shared" si="32"/>
        <v>53.68</v>
      </c>
      <c r="E429" s="661">
        <f t="shared" si="80"/>
        <v>54.9</v>
      </c>
      <c r="F429" s="661">
        <f t="shared" si="80"/>
        <v>107.36</v>
      </c>
      <c r="G429" s="661">
        <f t="shared" si="80"/>
        <v>112.72800000000001</v>
      </c>
      <c r="H429" s="661">
        <f t="shared" si="80"/>
        <v>117.23712</v>
      </c>
      <c r="I429" s="661">
        <f t="shared" si="80"/>
        <v>120.75423360000001</v>
      </c>
      <c r="J429" s="661">
        <f t="shared" si="80"/>
        <v>124.376860608</v>
      </c>
      <c r="K429" s="661">
        <f t="shared" si="80"/>
        <v>124.376860608</v>
      </c>
      <c r="L429" s="661">
        <f t="shared" si="80"/>
        <v>124.376860608</v>
      </c>
      <c r="M429" s="661">
        <f t="shared" si="80"/>
        <v>124.376860608</v>
      </c>
      <c r="N429" s="661">
        <f t="shared" si="80"/>
        <v>124.376860608</v>
      </c>
      <c r="O429" s="661">
        <f t="shared" si="80"/>
        <v>124.376860608</v>
      </c>
    </row>
    <row r="430" spans="2:15" x14ac:dyDescent="0.3">
      <c r="B430" s="657" t="str">
        <f t="shared" ref="B430:C430" si="96">B328</f>
        <v>Incorporated</v>
      </c>
      <c r="C430" s="657">
        <f t="shared" si="96"/>
        <v>62</v>
      </c>
      <c r="D430" s="661">
        <f t="shared" si="32"/>
        <v>54.56</v>
      </c>
      <c r="E430" s="661">
        <f t="shared" ref="E430:O445" si="97">IF($B430=$A$64,$C430*E$53,$C430*E$56)</f>
        <v>55.800000000000004</v>
      </c>
      <c r="F430" s="661">
        <f t="shared" si="97"/>
        <v>109.12</v>
      </c>
      <c r="G430" s="661">
        <f t="shared" si="97"/>
        <v>114.57600000000001</v>
      </c>
      <c r="H430" s="661">
        <f t="shared" si="97"/>
        <v>119.15904</v>
      </c>
      <c r="I430" s="661">
        <f t="shared" si="97"/>
        <v>122.73381120000001</v>
      </c>
      <c r="J430" s="661">
        <f t="shared" si="97"/>
        <v>126.415825536</v>
      </c>
      <c r="K430" s="661">
        <f t="shared" si="97"/>
        <v>126.415825536</v>
      </c>
      <c r="L430" s="661">
        <f t="shared" si="97"/>
        <v>126.415825536</v>
      </c>
      <c r="M430" s="661">
        <f t="shared" si="97"/>
        <v>126.415825536</v>
      </c>
      <c r="N430" s="661">
        <f t="shared" si="97"/>
        <v>126.415825536</v>
      </c>
      <c r="O430" s="661">
        <f t="shared" si="97"/>
        <v>126.415825536</v>
      </c>
    </row>
    <row r="431" spans="2:15" x14ac:dyDescent="0.3">
      <c r="B431" s="657" t="str">
        <f t="shared" ref="B431:C431" si="98">B329</f>
        <v>Incorporated</v>
      </c>
      <c r="C431" s="657">
        <f t="shared" si="98"/>
        <v>63</v>
      </c>
      <c r="D431" s="661">
        <f t="shared" si="32"/>
        <v>55.44</v>
      </c>
      <c r="E431" s="661">
        <f t="shared" si="97"/>
        <v>56.7</v>
      </c>
      <c r="F431" s="661">
        <f t="shared" si="97"/>
        <v>110.88</v>
      </c>
      <c r="G431" s="661">
        <f t="shared" si="97"/>
        <v>116.42400000000001</v>
      </c>
      <c r="H431" s="661">
        <f t="shared" si="97"/>
        <v>121.08096</v>
      </c>
      <c r="I431" s="661">
        <f t="shared" si="97"/>
        <v>124.7133888</v>
      </c>
      <c r="J431" s="661">
        <f t="shared" si="97"/>
        <v>128.45479046399998</v>
      </c>
      <c r="K431" s="661">
        <f t="shared" si="97"/>
        <v>128.45479046399998</v>
      </c>
      <c r="L431" s="661">
        <f t="shared" si="97"/>
        <v>128.45479046399998</v>
      </c>
      <c r="M431" s="661">
        <f t="shared" si="97"/>
        <v>128.45479046399998</v>
      </c>
      <c r="N431" s="661">
        <f t="shared" si="97"/>
        <v>128.45479046399998</v>
      </c>
      <c r="O431" s="661">
        <f t="shared" si="97"/>
        <v>128.45479046399998</v>
      </c>
    </row>
    <row r="432" spans="2:15" x14ac:dyDescent="0.3">
      <c r="B432" s="657" t="str">
        <f t="shared" ref="B432:C432" si="99">B330</f>
        <v>Incorporated</v>
      </c>
      <c r="C432" s="657">
        <f t="shared" si="99"/>
        <v>64</v>
      </c>
      <c r="D432" s="661">
        <f t="shared" si="32"/>
        <v>56.32</v>
      </c>
      <c r="E432" s="661">
        <f t="shared" si="97"/>
        <v>57.6</v>
      </c>
      <c r="F432" s="661">
        <f t="shared" si="97"/>
        <v>112.64</v>
      </c>
      <c r="G432" s="661">
        <f t="shared" si="97"/>
        <v>118.27200000000001</v>
      </c>
      <c r="H432" s="661">
        <f t="shared" si="97"/>
        <v>123.00288</v>
      </c>
      <c r="I432" s="661">
        <f t="shared" si="97"/>
        <v>126.6929664</v>
      </c>
      <c r="J432" s="661">
        <f t="shared" si="97"/>
        <v>130.493755392</v>
      </c>
      <c r="K432" s="661">
        <f t="shared" si="97"/>
        <v>130.493755392</v>
      </c>
      <c r="L432" s="661">
        <f t="shared" si="97"/>
        <v>130.493755392</v>
      </c>
      <c r="M432" s="661">
        <f t="shared" si="97"/>
        <v>130.493755392</v>
      </c>
      <c r="N432" s="661">
        <f t="shared" si="97"/>
        <v>130.493755392</v>
      </c>
      <c r="O432" s="661">
        <f t="shared" si="97"/>
        <v>130.493755392</v>
      </c>
    </row>
    <row r="433" spans="2:15" x14ac:dyDescent="0.3">
      <c r="B433" s="657" t="str">
        <f t="shared" ref="B433:C433" si="100">B331</f>
        <v>Incorporated</v>
      </c>
      <c r="C433" s="657">
        <f t="shared" si="100"/>
        <v>65</v>
      </c>
      <c r="D433" s="661">
        <f t="shared" si="32"/>
        <v>57.2</v>
      </c>
      <c r="E433" s="661">
        <f t="shared" si="97"/>
        <v>58.5</v>
      </c>
      <c r="F433" s="661">
        <f t="shared" si="97"/>
        <v>114.4</v>
      </c>
      <c r="G433" s="661">
        <f t="shared" si="97"/>
        <v>120.12</v>
      </c>
      <c r="H433" s="661">
        <f t="shared" si="97"/>
        <v>124.9248</v>
      </c>
      <c r="I433" s="661">
        <f t="shared" si="97"/>
        <v>128.67254400000002</v>
      </c>
      <c r="J433" s="661">
        <f t="shared" si="97"/>
        <v>132.53272032000001</v>
      </c>
      <c r="K433" s="661">
        <f t="shared" si="97"/>
        <v>132.53272032000001</v>
      </c>
      <c r="L433" s="661">
        <f t="shared" si="97"/>
        <v>132.53272032000001</v>
      </c>
      <c r="M433" s="661">
        <f t="shared" si="97"/>
        <v>132.53272032000001</v>
      </c>
      <c r="N433" s="661">
        <f t="shared" si="97"/>
        <v>132.53272032000001</v>
      </c>
      <c r="O433" s="661">
        <f t="shared" si="97"/>
        <v>132.53272032000001</v>
      </c>
    </row>
    <row r="434" spans="2:15" x14ac:dyDescent="0.3">
      <c r="B434" s="657" t="str">
        <f t="shared" ref="B434:C434" si="101">B332</f>
        <v>Incorporated</v>
      </c>
      <c r="C434" s="657">
        <f t="shared" si="101"/>
        <v>66</v>
      </c>
      <c r="D434" s="661">
        <f t="shared" si="32"/>
        <v>58.08</v>
      </c>
      <c r="E434" s="661">
        <f t="shared" si="97"/>
        <v>59.4</v>
      </c>
      <c r="F434" s="661">
        <f t="shared" si="97"/>
        <v>116.16</v>
      </c>
      <c r="G434" s="661">
        <f t="shared" si="97"/>
        <v>121.968</v>
      </c>
      <c r="H434" s="661">
        <f t="shared" si="97"/>
        <v>126.84672</v>
      </c>
      <c r="I434" s="661">
        <f t="shared" si="97"/>
        <v>130.65212160000002</v>
      </c>
      <c r="J434" s="661">
        <f t="shared" si="97"/>
        <v>134.57168524799999</v>
      </c>
      <c r="K434" s="661">
        <f t="shared" si="97"/>
        <v>134.57168524799999</v>
      </c>
      <c r="L434" s="661">
        <f t="shared" si="97"/>
        <v>134.57168524799999</v>
      </c>
      <c r="M434" s="661">
        <f t="shared" si="97"/>
        <v>134.57168524799999</v>
      </c>
      <c r="N434" s="661">
        <f t="shared" si="97"/>
        <v>134.57168524799999</v>
      </c>
      <c r="O434" s="661">
        <f t="shared" si="97"/>
        <v>134.57168524799999</v>
      </c>
    </row>
    <row r="435" spans="2:15" x14ac:dyDescent="0.3">
      <c r="B435" s="657" t="str">
        <f t="shared" ref="B435:C435" si="102">B333</f>
        <v>Incorporated</v>
      </c>
      <c r="C435" s="657">
        <f t="shared" si="102"/>
        <v>67</v>
      </c>
      <c r="D435" s="661">
        <f t="shared" si="32"/>
        <v>58.96</v>
      </c>
      <c r="E435" s="661">
        <f t="shared" si="97"/>
        <v>60.300000000000004</v>
      </c>
      <c r="F435" s="661">
        <f t="shared" si="97"/>
        <v>117.92</v>
      </c>
      <c r="G435" s="661">
        <f t="shared" si="97"/>
        <v>123.816</v>
      </c>
      <c r="H435" s="661">
        <f t="shared" si="97"/>
        <v>128.76864</v>
      </c>
      <c r="I435" s="661">
        <f t="shared" si="97"/>
        <v>132.63169920000001</v>
      </c>
      <c r="J435" s="661">
        <f t="shared" si="97"/>
        <v>136.61065017600001</v>
      </c>
      <c r="K435" s="661">
        <f t="shared" si="97"/>
        <v>136.61065017600001</v>
      </c>
      <c r="L435" s="661">
        <f t="shared" si="97"/>
        <v>136.61065017600001</v>
      </c>
      <c r="M435" s="661">
        <f t="shared" si="97"/>
        <v>136.61065017600001</v>
      </c>
      <c r="N435" s="661">
        <f t="shared" si="97"/>
        <v>136.61065017600001</v>
      </c>
      <c r="O435" s="661">
        <f t="shared" si="97"/>
        <v>136.61065017600001</v>
      </c>
    </row>
    <row r="436" spans="2:15" x14ac:dyDescent="0.3">
      <c r="B436" s="657" t="str">
        <f t="shared" ref="B436:C436" si="103">B334</f>
        <v>Incorporated</v>
      </c>
      <c r="C436" s="657">
        <f t="shared" si="103"/>
        <v>68</v>
      </c>
      <c r="D436" s="661">
        <f t="shared" si="32"/>
        <v>59.84</v>
      </c>
      <c r="E436" s="661">
        <f t="shared" si="97"/>
        <v>61.2</v>
      </c>
      <c r="F436" s="661">
        <f t="shared" si="97"/>
        <v>119.68</v>
      </c>
      <c r="G436" s="661">
        <f t="shared" si="97"/>
        <v>125.664</v>
      </c>
      <c r="H436" s="661">
        <f t="shared" si="97"/>
        <v>130.69056</v>
      </c>
      <c r="I436" s="661">
        <f t="shared" si="97"/>
        <v>134.61127680000001</v>
      </c>
      <c r="J436" s="661">
        <f t="shared" si="97"/>
        <v>138.64961510399999</v>
      </c>
      <c r="K436" s="661">
        <f t="shared" si="97"/>
        <v>138.64961510399999</v>
      </c>
      <c r="L436" s="661">
        <f t="shared" si="97"/>
        <v>138.64961510399999</v>
      </c>
      <c r="M436" s="661">
        <f t="shared" si="97"/>
        <v>138.64961510399999</v>
      </c>
      <c r="N436" s="661">
        <f t="shared" si="97"/>
        <v>138.64961510399999</v>
      </c>
      <c r="O436" s="661">
        <f t="shared" si="97"/>
        <v>138.64961510399999</v>
      </c>
    </row>
    <row r="437" spans="2:15" x14ac:dyDescent="0.3">
      <c r="B437" s="657" t="str">
        <f t="shared" ref="B437:C437" si="104">B335</f>
        <v>Incorporated</v>
      </c>
      <c r="C437" s="657">
        <f t="shared" si="104"/>
        <v>69</v>
      </c>
      <c r="D437" s="661">
        <f t="shared" si="32"/>
        <v>60.72</v>
      </c>
      <c r="E437" s="661">
        <f t="shared" si="97"/>
        <v>62.1</v>
      </c>
      <c r="F437" s="661">
        <f t="shared" si="97"/>
        <v>121.44</v>
      </c>
      <c r="G437" s="661">
        <f t="shared" si="97"/>
        <v>127.512</v>
      </c>
      <c r="H437" s="661">
        <f t="shared" si="97"/>
        <v>132.61248000000001</v>
      </c>
      <c r="I437" s="661">
        <f t="shared" si="97"/>
        <v>136.59085440000001</v>
      </c>
      <c r="J437" s="661">
        <f t="shared" si="97"/>
        <v>140.688580032</v>
      </c>
      <c r="K437" s="661">
        <f t="shared" si="97"/>
        <v>140.688580032</v>
      </c>
      <c r="L437" s="661">
        <f t="shared" si="97"/>
        <v>140.688580032</v>
      </c>
      <c r="M437" s="661">
        <f t="shared" si="97"/>
        <v>140.688580032</v>
      </c>
      <c r="N437" s="661">
        <f t="shared" si="97"/>
        <v>140.688580032</v>
      </c>
      <c r="O437" s="661">
        <f t="shared" si="97"/>
        <v>140.688580032</v>
      </c>
    </row>
    <row r="438" spans="2:15" x14ac:dyDescent="0.3">
      <c r="B438" s="657" t="str">
        <f t="shared" ref="B438:C438" si="105">B336</f>
        <v>Incorporated</v>
      </c>
      <c r="C438" s="657">
        <f t="shared" si="105"/>
        <v>70</v>
      </c>
      <c r="D438" s="661">
        <f t="shared" si="32"/>
        <v>61.6</v>
      </c>
      <c r="E438" s="661">
        <f t="shared" si="97"/>
        <v>63</v>
      </c>
      <c r="F438" s="661">
        <f t="shared" si="97"/>
        <v>123.2</v>
      </c>
      <c r="G438" s="661">
        <f t="shared" si="97"/>
        <v>129.36000000000001</v>
      </c>
      <c r="H438" s="661">
        <f t="shared" si="97"/>
        <v>134.53440000000001</v>
      </c>
      <c r="I438" s="661">
        <f t="shared" si="97"/>
        <v>138.57043200000001</v>
      </c>
      <c r="J438" s="661">
        <f t="shared" si="97"/>
        <v>142.72754495999999</v>
      </c>
      <c r="K438" s="661">
        <f t="shared" si="97"/>
        <v>142.72754495999999</v>
      </c>
      <c r="L438" s="661">
        <f t="shared" si="97"/>
        <v>142.72754495999999</v>
      </c>
      <c r="M438" s="661">
        <f t="shared" si="97"/>
        <v>142.72754495999999</v>
      </c>
      <c r="N438" s="661">
        <f t="shared" si="97"/>
        <v>142.72754495999999</v>
      </c>
      <c r="O438" s="661">
        <f t="shared" si="97"/>
        <v>142.72754495999999</v>
      </c>
    </row>
    <row r="439" spans="2:15" x14ac:dyDescent="0.3">
      <c r="B439" s="657" t="str">
        <f t="shared" ref="B439:C439" si="106">B337</f>
        <v>Incorporated</v>
      </c>
      <c r="C439" s="657">
        <f t="shared" si="106"/>
        <v>71</v>
      </c>
      <c r="D439" s="661">
        <f t="shared" si="32"/>
        <v>62.48</v>
      </c>
      <c r="E439" s="661">
        <f t="shared" si="97"/>
        <v>63.9</v>
      </c>
      <c r="F439" s="661">
        <f t="shared" si="97"/>
        <v>124.96</v>
      </c>
      <c r="G439" s="661">
        <f t="shared" si="97"/>
        <v>131.208</v>
      </c>
      <c r="H439" s="661">
        <f t="shared" si="97"/>
        <v>136.45632000000001</v>
      </c>
      <c r="I439" s="661">
        <f t="shared" si="97"/>
        <v>140.55000960000001</v>
      </c>
      <c r="J439" s="661">
        <f t="shared" si="97"/>
        <v>144.766509888</v>
      </c>
      <c r="K439" s="661">
        <f t="shared" si="97"/>
        <v>144.766509888</v>
      </c>
      <c r="L439" s="661">
        <f t="shared" si="97"/>
        <v>144.766509888</v>
      </c>
      <c r="M439" s="661">
        <f t="shared" si="97"/>
        <v>144.766509888</v>
      </c>
      <c r="N439" s="661">
        <f t="shared" si="97"/>
        <v>144.766509888</v>
      </c>
      <c r="O439" s="661">
        <f t="shared" si="97"/>
        <v>144.766509888</v>
      </c>
    </row>
    <row r="440" spans="2:15" x14ac:dyDescent="0.3">
      <c r="B440" s="657" t="str">
        <f t="shared" ref="B440:C440" si="107">B338</f>
        <v>Incorporated</v>
      </c>
      <c r="C440" s="657">
        <f t="shared" si="107"/>
        <v>72</v>
      </c>
      <c r="D440" s="661">
        <f t="shared" si="32"/>
        <v>63.36</v>
      </c>
      <c r="E440" s="661">
        <f t="shared" si="97"/>
        <v>64.8</v>
      </c>
      <c r="F440" s="661">
        <f t="shared" si="97"/>
        <v>126.72</v>
      </c>
      <c r="G440" s="661">
        <f t="shared" si="97"/>
        <v>133.05600000000001</v>
      </c>
      <c r="H440" s="661">
        <f t="shared" si="97"/>
        <v>138.37824000000001</v>
      </c>
      <c r="I440" s="661">
        <f t="shared" si="97"/>
        <v>142.52958720000001</v>
      </c>
      <c r="J440" s="661">
        <f t="shared" si="97"/>
        <v>146.80547481599999</v>
      </c>
      <c r="K440" s="661">
        <f t="shared" si="97"/>
        <v>146.80547481599999</v>
      </c>
      <c r="L440" s="661">
        <f t="shared" si="97"/>
        <v>146.80547481599999</v>
      </c>
      <c r="M440" s="661">
        <f t="shared" si="97"/>
        <v>146.80547481599999</v>
      </c>
      <c r="N440" s="661">
        <f t="shared" si="97"/>
        <v>146.80547481599999</v>
      </c>
      <c r="O440" s="661">
        <f t="shared" si="97"/>
        <v>146.80547481599999</v>
      </c>
    </row>
    <row r="441" spans="2:15" x14ac:dyDescent="0.3">
      <c r="B441" s="657" t="str">
        <f t="shared" ref="B441:C441" si="108">B339</f>
        <v>Incorporated</v>
      </c>
      <c r="C441" s="657">
        <f t="shared" si="108"/>
        <v>73</v>
      </c>
      <c r="D441" s="661">
        <f t="shared" si="32"/>
        <v>64.239999999999995</v>
      </c>
      <c r="E441" s="661">
        <f t="shared" si="97"/>
        <v>65.7</v>
      </c>
      <c r="F441" s="661">
        <f t="shared" si="97"/>
        <v>128.47999999999999</v>
      </c>
      <c r="G441" s="661">
        <f t="shared" si="97"/>
        <v>134.904</v>
      </c>
      <c r="H441" s="661">
        <f t="shared" si="97"/>
        <v>140.30016000000001</v>
      </c>
      <c r="I441" s="661">
        <f t="shared" si="97"/>
        <v>144.50916480000001</v>
      </c>
      <c r="J441" s="661">
        <f t="shared" si="97"/>
        <v>148.844439744</v>
      </c>
      <c r="K441" s="661">
        <f t="shared" si="97"/>
        <v>148.844439744</v>
      </c>
      <c r="L441" s="661">
        <f t="shared" si="97"/>
        <v>148.844439744</v>
      </c>
      <c r="M441" s="661">
        <f t="shared" si="97"/>
        <v>148.844439744</v>
      </c>
      <c r="N441" s="661">
        <f t="shared" si="97"/>
        <v>148.844439744</v>
      </c>
      <c r="O441" s="661">
        <f t="shared" si="97"/>
        <v>148.844439744</v>
      </c>
    </row>
    <row r="442" spans="2:15" x14ac:dyDescent="0.3">
      <c r="B442" s="657" t="str">
        <f t="shared" ref="B442:C442" si="109">B340</f>
        <v>Incorporated</v>
      </c>
      <c r="C442" s="657">
        <f t="shared" si="109"/>
        <v>74</v>
      </c>
      <c r="D442" s="661">
        <f t="shared" si="32"/>
        <v>65.12</v>
      </c>
      <c r="E442" s="661">
        <f t="shared" si="97"/>
        <v>66.600000000000009</v>
      </c>
      <c r="F442" s="661">
        <f t="shared" si="97"/>
        <v>130.24</v>
      </c>
      <c r="G442" s="661">
        <f t="shared" si="97"/>
        <v>136.75200000000001</v>
      </c>
      <c r="H442" s="661">
        <f t="shared" si="97"/>
        <v>142.22208000000001</v>
      </c>
      <c r="I442" s="661">
        <f t="shared" si="97"/>
        <v>146.48874240000001</v>
      </c>
      <c r="J442" s="661">
        <f t="shared" si="97"/>
        <v>150.88340467199998</v>
      </c>
      <c r="K442" s="661">
        <f t="shared" si="97"/>
        <v>150.88340467199998</v>
      </c>
      <c r="L442" s="661">
        <f t="shared" si="97"/>
        <v>150.88340467199998</v>
      </c>
      <c r="M442" s="661">
        <f t="shared" si="97"/>
        <v>150.88340467199998</v>
      </c>
      <c r="N442" s="661">
        <f t="shared" si="97"/>
        <v>150.88340467199998</v>
      </c>
      <c r="O442" s="661">
        <f t="shared" si="97"/>
        <v>150.88340467199998</v>
      </c>
    </row>
    <row r="443" spans="2:15" x14ac:dyDescent="0.3">
      <c r="B443" s="657" t="str">
        <f t="shared" ref="B443:C443" si="110">B341</f>
        <v>Incorporated</v>
      </c>
      <c r="C443" s="657">
        <f t="shared" si="110"/>
        <v>75</v>
      </c>
      <c r="D443" s="661">
        <f t="shared" si="32"/>
        <v>66</v>
      </c>
      <c r="E443" s="661">
        <f t="shared" si="97"/>
        <v>67.5</v>
      </c>
      <c r="F443" s="661">
        <f t="shared" si="97"/>
        <v>132</v>
      </c>
      <c r="G443" s="661">
        <f t="shared" si="97"/>
        <v>138.6</v>
      </c>
      <c r="H443" s="661">
        <f t="shared" si="97"/>
        <v>144.14400000000001</v>
      </c>
      <c r="I443" s="661">
        <f t="shared" si="97"/>
        <v>148.46832000000001</v>
      </c>
      <c r="J443" s="661">
        <f t="shared" si="97"/>
        <v>152.9223696</v>
      </c>
      <c r="K443" s="661">
        <f t="shared" si="97"/>
        <v>152.9223696</v>
      </c>
      <c r="L443" s="661">
        <f t="shared" si="97"/>
        <v>152.9223696</v>
      </c>
      <c r="M443" s="661">
        <f t="shared" si="97"/>
        <v>152.9223696</v>
      </c>
      <c r="N443" s="661">
        <f t="shared" si="97"/>
        <v>152.9223696</v>
      </c>
      <c r="O443" s="661">
        <f t="shared" si="97"/>
        <v>152.9223696</v>
      </c>
    </row>
    <row r="444" spans="2:15" x14ac:dyDescent="0.3">
      <c r="B444" s="657" t="str">
        <f t="shared" ref="B444:C444" si="111">B342</f>
        <v>Incorporated</v>
      </c>
      <c r="C444" s="657">
        <f t="shared" si="111"/>
        <v>76</v>
      </c>
      <c r="D444" s="661">
        <f t="shared" si="32"/>
        <v>66.88</v>
      </c>
      <c r="E444" s="661">
        <f t="shared" si="97"/>
        <v>68.400000000000006</v>
      </c>
      <c r="F444" s="661">
        <f t="shared" si="97"/>
        <v>133.76</v>
      </c>
      <c r="G444" s="661">
        <f t="shared" si="97"/>
        <v>140.44800000000001</v>
      </c>
      <c r="H444" s="661">
        <f t="shared" si="97"/>
        <v>146.06592000000001</v>
      </c>
      <c r="I444" s="661">
        <f t="shared" si="97"/>
        <v>150.4478976</v>
      </c>
      <c r="J444" s="661">
        <f t="shared" si="97"/>
        <v>154.96133452800001</v>
      </c>
      <c r="K444" s="661">
        <f t="shared" si="97"/>
        <v>154.96133452800001</v>
      </c>
      <c r="L444" s="661">
        <f t="shared" si="97"/>
        <v>154.96133452800001</v>
      </c>
      <c r="M444" s="661">
        <f t="shared" si="97"/>
        <v>154.96133452800001</v>
      </c>
      <c r="N444" s="661">
        <f t="shared" si="97"/>
        <v>154.96133452800001</v>
      </c>
      <c r="O444" s="661">
        <f t="shared" si="97"/>
        <v>154.96133452800001</v>
      </c>
    </row>
    <row r="445" spans="2:15" x14ac:dyDescent="0.3">
      <c r="B445" s="657" t="str">
        <f t="shared" ref="B445:C445" si="112">B343</f>
        <v>Incorporated</v>
      </c>
      <c r="C445" s="657">
        <f t="shared" si="112"/>
        <v>77</v>
      </c>
      <c r="D445" s="661">
        <f t="shared" si="32"/>
        <v>67.760000000000005</v>
      </c>
      <c r="E445" s="661">
        <f t="shared" si="97"/>
        <v>69.3</v>
      </c>
      <c r="F445" s="661">
        <f t="shared" si="97"/>
        <v>135.52000000000001</v>
      </c>
      <c r="G445" s="661">
        <f t="shared" si="97"/>
        <v>142.29600000000002</v>
      </c>
      <c r="H445" s="661">
        <f t="shared" si="97"/>
        <v>147.98784000000001</v>
      </c>
      <c r="I445" s="661">
        <f t="shared" si="97"/>
        <v>152.4274752</v>
      </c>
      <c r="J445" s="661">
        <f t="shared" si="97"/>
        <v>157.00029945599999</v>
      </c>
      <c r="K445" s="661">
        <f t="shared" si="97"/>
        <v>157.00029945599999</v>
      </c>
      <c r="L445" s="661">
        <f t="shared" si="97"/>
        <v>157.00029945599999</v>
      </c>
      <c r="M445" s="661">
        <f t="shared" si="97"/>
        <v>157.00029945599999</v>
      </c>
      <c r="N445" s="661">
        <f t="shared" si="97"/>
        <v>157.00029945599999</v>
      </c>
      <c r="O445" s="661">
        <f t="shared" si="97"/>
        <v>157.00029945599999</v>
      </c>
    </row>
    <row r="446" spans="2:15" x14ac:dyDescent="0.3">
      <c r="B446" s="657" t="str">
        <f t="shared" ref="B446:C446" si="113">B344</f>
        <v>Incorporated</v>
      </c>
      <c r="C446" s="657">
        <f t="shared" si="113"/>
        <v>78</v>
      </c>
      <c r="D446" s="661">
        <f t="shared" si="32"/>
        <v>68.64</v>
      </c>
      <c r="E446" s="661">
        <f t="shared" ref="E446:O461" si="114">IF($B446=$A$64,$C446*E$53,$C446*E$56)</f>
        <v>70.2</v>
      </c>
      <c r="F446" s="661">
        <f t="shared" si="114"/>
        <v>137.28</v>
      </c>
      <c r="G446" s="661">
        <f t="shared" si="114"/>
        <v>144.14400000000001</v>
      </c>
      <c r="H446" s="661">
        <f t="shared" si="114"/>
        <v>149.90976000000001</v>
      </c>
      <c r="I446" s="661">
        <f t="shared" si="114"/>
        <v>154.4070528</v>
      </c>
      <c r="J446" s="661">
        <f t="shared" si="114"/>
        <v>159.03926438400001</v>
      </c>
      <c r="K446" s="661">
        <f t="shared" si="114"/>
        <v>159.03926438400001</v>
      </c>
      <c r="L446" s="661">
        <f t="shared" si="114"/>
        <v>159.03926438400001</v>
      </c>
      <c r="M446" s="661">
        <f t="shared" si="114"/>
        <v>159.03926438400001</v>
      </c>
      <c r="N446" s="661">
        <f t="shared" si="114"/>
        <v>159.03926438400001</v>
      </c>
      <c r="O446" s="661">
        <f t="shared" si="114"/>
        <v>159.03926438400001</v>
      </c>
    </row>
    <row r="447" spans="2:15" x14ac:dyDescent="0.3">
      <c r="B447" s="657" t="str">
        <f t="shared" ref="B447:C447" si="115">B345</f>
        <v>Incorporated</v>
      </c>
      <c r="C447" s="657">
        <f t="shared" si="115"/>
        <v>79</v>
      </c>
      <c r="D447" s="661">
        <f t="shared" si="32"/>
        <v>69.52</v>
      </c>
      <c r="E447" s="661">
        <f t="shared" si="114"/>
        <v>71.100000000000009</v>
      </c>
      <c r="F447" s="661">
        <f t="shared" si="114"/>
        <v>139.04</v>
      </c>
      <c r="G447" s="661">
        <f t="shared" si="114"/>
        <v>145.99200000000002</v>
      </c>
      <c r="H447" s="661">
        <f t="shared" si="114"/>
        <v>151.83168000000001</v>
      </c>
      <c r="I447" s="661">
        <f t="shared" si="114"/>
        <v>156.3866304</v>
      </c>
      <c r="J447" s="661">
        <f t="shared" si="114"/>
        <v>161.07822931199999</v>
      </c>
      <c r="K447" s="661">
        <f t="shared" si="114"/>
        <v>161.07822931199999</v>
      </c>
      <c r="L447" s="661">
        <f t="shared" si="114"/>
        <v>161.07822931199999</v>
      </c>
      <c r="M447" s="661">
        <f t="shared" si="114"/>
        <v>161.07822931199999</v>
      </c>
      <c r="N447" s="661">
        <f t="shared" si="114"/>
        <v>161.07822931199999</v>
      </c>
      <c r="O447" s="661">
        <f t="shared" si="114"/>
        <v>161.07822931199999</v>
      </c>
    </row>
    <row r="448" spans="2:15" x14ac:dyDescent="0.3">
      <c r="B448" s="657" t="str">
        <f t="shared" ref="B448:C448" si="116">B346</f>
        <v>Incorporated</v>
      </c>
      <c r="C448" s="657">
        <f t="shared" si="116"/>
        <v>80</v>
      </c>
      <c r="D448" s="661">
        <f t="shared" si="32"/>
        <v>70.400000000000006</v>
      </c>
      <c r="E448" s="661">
        <f t="shared" si="114"/>
        <v>72</v>
      </c>
      <c r="F448" s="661">
        <f t="shared" si="114"/>
        <v>140.80000000000001</v>
      </c>
      <c r="G448" s="661">
        <f t="shared" si="114"/>
        <v>147.84</v>
      </c>
      <c r="H448" s="661">
        <f t="shared" si="114"/>
        <v>153.75360000000001</v>
      </c>
      <c r="I448" s="661">
        <f t="shared" si="114"/>
        <v>158.366208</v>
      </c>
      <c r="J448" s="661">
        <f t="shared" si="114"/>
        <v>163.11719424</v>
      </c>
      <c r="K448" s="661">
        <f t="shared" si="114"/>
        <v>163.11719424</v>
      </c>
      <c r="L448" s="661">
        <f t="shared" si="114"/>
        <v>163.11719424</v>
      </c>
      <c r="M448" s="661">
        <f t="shared" si="114"/>
        <v>163.11719424</v>
      </c>
      <c r="N448" s="661">
        <f t="shared" si="114"/>
        <v>163.11719424</v>
      </c>
      <c r="O448" s="661">
        <f t="shared" si="114"/>
        <v>163.11719424</v>
      </c>
    </row>
    <row r="449" spans="2:15" x14ac:dyDescent="0.3">
      <c r="B449" s="657" t="str">
        <f t="shared" ref="B449:C449" si="117">B347</f>
        <v>Incorporated</v>
      </c>
      <c r="C449" s="657">
        <f t="shared" si="117"/>
        <v>81</v>
      </c>
      <c r="D449" s="661">
        <f t="shared" si="32"/>
        <v>71.28</v>
      </c>
      <c r="E449" s="661">
        <f t="shared" si="114"/>
        <v>72.900000000000006</v>
      </c>
      <c r="F449" s="661">
        <f t="shared" si="114"/>
        <v>142.56</v>
      </c>
      <c r="G449" s="661">
        <f t="shared" si="114"/>
        <v>149.68800000000002</v>
      </c>
      <c r="H449" s="661">
        <f t="shared" si="114"/>
        <v>155.67552000000001</v>
      </c>
      <c r="I449" s="661">
        <f t="shared" si="114"/>
        <v>160.3457856</v>
      </c>
      <c r="J449" s="661">
        <f t="shared" si="114"/>
        <v>165.15615916799999</v>
      </c>
      <c r="K449" s="661">
        <f t="shared" si="114"/>
        <v>165.15615916799999</v>
      </c>
      <c r="L449" s="661">
        <f t="shared" si="114"/>
        <v>165.15615916799999</v>
      </c>
      <c r="M449" s="661">
        <f t="shared" si="114"/>
        <v>165.15615916799999</v>
      </c>
      <c r="N449" s="661">
        <f t="shared" si="114"/>
        <v>165.15615916799999</v>
      </c>
      <c r="O449" s="661">
        <f t="shared" si="114"/>
        <v>165.15615916799999</v>
      </c>
    </row>
    <row r="450" spans="2:15" x14ac:dyDescent="0.3">
      <c r="B450" s="657" t="str">
        <f t="shared" ref="B450:C450" si="118">B348</f>
        <v>Incorporated</v>
      </c>
      <c r="C450" s="657">
        <f t="shared" si="118"/>
        <v>82</v>
      </c>
      <c r="D450" s="661">
        <f t="shared" si="32"/>
        <v>72.16</v>
      </c>
      <c r="E450" s="661">
        <f t="shared" si="114"/>
        <v>73.8</v>
      </c>
      <c r="F450" s="661">
        <f t="shared" si="114"/>
        <v>144.32</v>
      </c>
      <c r="G450" s="661">
        <f t="shared" si="114"/>
        <v>151.536</v>
      </c>
      <c r="H450" s="661">
        <f t="shared" si="114"/>
        <v>157.59744000000001</v>
      </c>
      <c r="I450" s="661">
        <f t="shared" si="114"/>
        <v>162.3253632</v>
      </c>
      <c r="J450" s="661">
        <f t="shared" si="114"/>
        <v>167.195124096</v>
      </c>
      <c r="K450" s="661">
        <f t="shared" si="114"/>
        <v>167.195124096</v>
      </c>
      <c r="L450" s="661">
        <f t="shared" si="114"/>
        <v>167.195124096</v>
      </c>
      <c r="M450" s="661">
        <f t="shared" si="114"/>
        <v>167.195124096</v>
      </c>
      <c r="N450" s="661">
        <f t="shared" si="114"/>
        <v>167.195124096</v>
      </c>
      <c r="O450" s="661">
        <f t="shared" si="114"/>
        <v>167.195124096</v>
      </c>
    </row>
    <row r="451" spans="2:15" x14ac:dyDescent="0.3">
      <c r="B451" s="657" t="str">
        <f t="shared" ref="B451:C451" si="119">B349</f>
        <v>Incorporated</v>
      </c>
      <c r="C451" s="657">
        <f t="shared" si="119"/>
        <v>83</v>
      </c>
      <c r="D451" s="661">
        <f t="shared" si="32"/>
        <v>73.040000000000006</v>
      </c>
      <c r="E451" s="661">
        <f t="shared" si="114"/>
        <v>74.7</v>
      </c>
      <c r="F451" s="661">
        <f t="shared" si="114"/>
        <v>146.08000000000001</v>
      </c>
      <c r="G451" s="661">
        <f t="shared" si="114"/>
        <v>153.38400000000001</v>
      </c>
      <c r="H451" s="661">
        <f t="shared" si="114"/>
        <v>159.51936000000001</v>
      </c>
      <c r="I451" s="661">
        <f t="shared" si="114"/>
        <v>164.3049408</v>
      </c>
      <c r="J451" s="661">
        <f t="shared" si="114"/>
        <v>169.23408902399999</v>
      </c>
      <c r="K451" s="661">
        <f t="shared" si="114"/>
        <v>169.23408902399999</v>
      </c>
      <c r="L451" s="661">
        <f t="shared" si="114"/>
        <v>169.23408902399999</v>
      </c>
      <c r="M451" s="661">
        <f t="shared" si="114"/>
        <v>169.23408902399999</v>
      </c>
      <c r="N451" s="661">
        <f t="shared" si="114"/>
        <v>169.23408902399999</v>
      </c>
      <c r="O451" s="661">
        <f t="shared" si="114"/>
        <v>169.23408902399999</v>
      </c>
    </row>
    <row r="452" spans="2:15" x14ac:dyDescent="0.3">
      <c r="B452" s="657" t="str">
        <f t="shared" ref="B452:C452" si="120">B350</f>
        <v>Incorporated</v>
      </c>
      <c r="C452" s="657">
        <f t="shared" si="120"/>
        <v>84</v>
      </c>
      <c r="D452" s="661">
        <f t="shared" si="32"/>
        <v>73.92</v>
      </c>
      <c r="E452" s="661">
        <f t="shared" si="114"/>
        <v>75.600000000000009</v>
      </c>
      <c r="F452" s="661">
        <f t="shared" si="114"/>
        <v>147.84</v>
      </c>
      <c r="G452" s="661">
        <f t="shared" si="114"/>
        <v>155.232</v>
      </c>
      <c r="H452" s="661">
        <f t="shared" si="114"/>
        <v>161.44128000000001</v>
      </c>
      <c r="I452" s="661">
        <f t="shared" si="114"/>
        <v>166.2845184</v>
      </c>
      <c r="J452" s="661">
        <f t="shared" si="114"/>
        <v>171.273053952</v>
      </c>
      <c r="K452" s="661">
        <f t="shared" si="114"/>
        <v>171.273053952</v>
      </c>
      <c r="L452" s="661">
        <f t="shared" si="114"/>
        <v>171.273053952</v>
      </c>
      <c r="M452" s="661">
        <f t="shared" si="114"/>
        <v>171.273053952</v>
      </c>
      <c r="N452" s="661">
        <f t="shared" si="114"/>
        <v>171.273053952</v>
      </c>
      <c r="O452" s="661">
        <f t="shared" si="114"/>
        <v>171.273053952</v>
      </c>
    </row>
    <row r="453" spans="2:15" x14ac:dyDescent="0.3">
      <c r="B453" s="657" t="str">
        <f t="shared" ref="B453:C453" si="121">B351</f>
        <v>Incorporated</v>
      </c>
      <c r="C453" s="657">
        <f t="shared" si="121"/>
        <v>85</v>
      </c>
      <c r="D453" s="661">
        <f t="shared" si="32"/>
        <v>74.8</v>
      </c>
      <c r="E453" s="661">
        <f t="shared" si="114"/>
        <v>76.5</v>
      </c>
      <c r="F453" s="661">
        <f t="shared" si="114"/>
        <v>149.6</v>
      </c>
      <c r="G453" s="661">
        <f t="shared" si="114"/>
        <v>157.08000000000001</v>
      </c>
      <c r="H453" s="661">
        <f t="shared" si="114"/>
        <v>163.36320000000001</v>
      </c>
      <c r="I453" s="661">
        <f t="shared" si="114"/>
        <v>168.264096</v>
      </c>
      <c r="J453" s="661">
        <f t="shared" si="114"/>
        <v>173.31201887999998</v>
      </c>
      <c r="K453" s="661">
        <f t="shared" si="114"/>
        <v>173.31201887999998</v>
      </c>
      <c r="L453" s="661">
        <f t="shared" si="114"/>
        <v>173.31201887999998</v>
      </c>
      <c r="M453" s="661">
        <f t="shared" si="114"/>
        <v>173.31201887999998</v>
      </c>
      <c r="N453" s="661">
        <f t="shared" si="114"/>
        <v>173.31201887999998</v>
      </c>
      <c r="O453" s="661">
        <f t="shared" si="114"/>
        <v>173.31201887999998</v>
      </c>
    </row>
    <row r="454" spans="2:15" x14ac:dyDescent="0.3">
      <c r="B454" s="657" t="str">
        <f t="shared" ref="B454:C454" si="122">B352</f>
        <v>Incorporated</v>
      </c>
      <c r="C454" s="657">
        <f t="shared" si="122"/>
        <v>86</v>
      </c>
      <c r="D454" s="661">
        <f t="shared" si="32"/>
        <v>75.680000000000007</v>
      </c>
      <c r="E454" s="661">
        <f t="shared" si="114"/>
        <v>77.400000000000006</v>
      </c>
      <c r="F454" s="661">
        <f t="shared" si="114"/>
        <v>151.36000000000001</v>
      </c>
      <c r="G454" s="661">
        <f t="shared" si="114"/>
        <v>158.928</v>
      </c>
      <c r="H454" s="661">
        <f t="shared" si="114"/>
        <v>165.28512000000001</v>
      </c>
      <c r="I454" s="661">
        <f t="shared" si="114"/>
        <v>170.24367359999999</v>
      </c>
      <c r="J454" s="661">
        <f t="shared" si="114"/>
        <v>175.350983808</v>
      </c>
      <c r="K454" s="661">
        <f t="shared" si="114"/>
        <v>175.350983808</v>
      </c>
      <c r="L454" s="661">
        <f t="shared" si="114"/>
        <v>175.350983808</v>
      </c>
      <c r="M454" s="661">
        <f t="shared" si="114"/>
        <v>175.350983808</v>
      </c>
      <c r="N454" s="661">
        <f t="shared" si="114"/>
        <v>175.350983808</v>
      </c>
      <c r="O454" s="661">
        <f t="shared" si="114"/>
        <v>175.350983808</v>
      </c>
    </row>
    <row r="455" spans="2:15" x14ac:dyDescent="0.3">
      <c r="B455" s="657" t="str">
        <f t="shared" ref="B455:C455" si="123">B353</f>
        <v>Incorporated</v>
      </c>
      <c r="C455" s="657">
        <f t="shared" si="123"/>
        <v>87</v>
      </c>
      <c r="D455" s="661">
        <f t="shared" si="32"/>
        <v>76.56</v>
      </c>
      <c r="E455" s="661">
        <f t="shared" si="114"/>
        <v>78.3</v>
      </c>
      <c r="F455" s="661">
        <f t="shared" si="114"/>
        <v>153.12</v>
      </c>
      <c r="G455" s="661">
        <f t="shared" si="114"/>
        <v>160.77600000000001</v>
      </c>
      <c r="H455" s="661">
        <f t="shared" si="114"/>
        <v>167.20704000000001</v>
      </c>
      <c r="I455" s="661">
        <f t="shared" si="114"/>
        <v>172.22325119999999</v>
      </c>
      <c r="J455" s="661">
        <f t="shared" si="114"/>
        <v>177.38994873600001</v>
      </c>
      <c r="K455" s="661">
        <f t="shared" si="114"/>
        <v>177.38994873600001</v>
      </c>
      <c r="L455" s="661">
        <f t="shared" si="114"/>
        <v>177.38994873600001</v>
      </c>
      <c r="M455" s="661">
        <f t="shared" si="114"/>
        <v>177.38994873600001</v>
      </c>
      <c r="N455" s="661">
        <f t="shared" si="114"/>
        <v>177.38994873600001</v>
      </c>
      <c r="O455" s="661">
        <f t="shared" si="114"/>
        <v>177.38994873600001</v>
      </c>
    </row>
    <row r="456" spans="2:15" x14ac:dyDescent="0.3">
      <c r="B456" s="657" t="str">
        <f t="shared" ref="B456:C456" si="124">B354</f>
        <v>Incorporated</v>
      </c>
      <c r="C456" s="657">
        <f t="shared" si="124"/>
        <v>88</v>
      </c>
      <c r="D456" s="661">
        <f t="shared" si="32"/>
        <v>77.44</v>
      </c>
      <c r="E456" s="661">
        <f t="shared" si="114"/>
        <v>79.2</v>
      </c>
      <c r="F456" s="661">
        <f t="shared" si="114"/>
        <v>154.88</v>
      </c>
      <c r="G456" s="661">
        <f t="shared" si="114"/>
        <v>162.624</v>
      </c>
      <c r="H456" s="661">
        <f t="shared" si="114"/>
        <v>169.12896000000001</v>
      </c>
      <c r="I456" s="661">
        <f t="shared" si="114"/>
        <v>174.20282879999999</v>
      </c>
      <c r="J456" s="661">
        <f t="shared" si="114"/>
        <v>179.42891366399999</v>
      </c>
      <c r="K456" s="661">
        <f t="shared" si="114"/>
        <v>179.42891366399999</v>
      </c>
      <c r="L456" s="661">
        <f t="shared" si="114"/>
        <v>179.42891366399999</v>
      </c>
      <c r="M456" s="661">
        <f t="shared" si="114"/>
        <v>179.42891366399999</v>
      </c>
      <c r="N456" s="661">
        <f t="shared" si="114"/>
        <v>179.42891366399999</v>
      </c>
      <c r="O456" s="661">
        <f t="shared" si="114"/>
        <v>179.42891366399999</v>
      </c>
    </row>
    <row r="457" spans="2:15" x14ac:dyDescent="0.3">
      <c r="B457" s="657" t="str">
        <f t="shared" ref="B457:C457" si="125">B355</f>
        <v>Incorporated</v>
      </c>
      <c r="C457" s="657">
        <f t="shared" si="125"/>
        <v>89</v>
      </c>
      <c r="D457" s="661">
        <f t="shared" si="32"/>
        <v>78.320000000000007</v>
      </c>
      <c r="E457" s="661">
        <f t="shared" si="114"/>
        <v>80.100000000000009</v>
      </c>
      <c r="F457" s="661">
        <f t="shared" si="114"/>
        <v>156.64000000000001</v>
      </c>
      <c r="G457" s="661">
        <f t="shared" si="114"/>
        <v>164.47200000000001</v>
      </c>
      <c r="H457" s="661">
        <f t="shared" si="114"/>
        <v>171.05088000000001</v>
      </c>
      <c r="I457" s="661">
        <f t="shared" si="114"/>
        <v>176.18240639999999</v>
      </c>
      <c r="J457" s="661">
        <f t="shared" si="114"/>
        <v>181.46787859200001</v>
      </c>
      <c r="K457" s="661">
        <f t="shared" si="114"/>
        <v>181.46787859200001</v>
      </c>
      <c r="L457" s="661">
        <f t="shared" si="114"/>
        <v>181.46787859200001</v>
      </c>
      <c r="M457" s="661">
        <f t="shared" si="114"/>
        <v>181.46787859200001</v>
      </c>
      <c r="N457" s="661">
        <f t="shared" si="114"/>
        <v>181.46787859200001</v>
      </c>
      <c r="O457" s="661">
        <f t="shared" si="114"/>
        <v>181.46787859200001</v>
      </c>
    </row>
    <row r="458" spans="2:15" x14ac:dyDescent="0.3">
      <c r="B458" s="657" t="str">
        <f t="shared" ref="B458:C458" si="126">B356</f>
        <v>Incorporated</v>
      </c>
      <c r="C458" s="657">
        <f t="shared" si="126"/>
        <v>90</v>
      </c>
      <c r="D458" s="661">
        <f t="shared" si="32"/>
        <v>79.2</v>
      </c>
      <c r="E458" s="661">
        <f t="shared" si="114"/>
        <v>81</v>
      </c>
      <c r="F458" s="661">
        <f t="shared" si="114"/>
        <v>158.4</v>
      </c>
      <c r="G458" s="661">
        <f t="shared" si="114"/>
        <v>166.32000000000002</v>
      </c>
      <c r="H458" s="661">
        <f t="shared" si="114"/>
        <v>172.97280000000001</v>
      </c>
      <c r="I458" s="661">
        <f t="shared" si="114"/>
        <v>178.16198400000002</v>
      </c>
      <c r="J458" s="661">
        <f t="shared" si="114"/>
        <v>183.50684351999999</v>
      </c>
      <c r="K458" s="661">
        <f t="shared" si="114"/>
        <v>183.50684351999999</v>
      </c>
      <c r="L458" s="661">
        <f t="shared" si="114"/>
        <v>183.50684351999999</v>
      </c>
      <c r="M458" s="661">
        <f t="shared" si="114"/>
        <v>183.50684351999999</v>
      </c>
      <c r="N458" s="661">
        <f t="shared" si="114"/>
        <v>183.50684351999999</v>
      </c>
      <c r="O458" s="661">
        <f t="shared" si="114"/>
        <v>183.50684351999999</v>
      </c>
    </row>
    <row r="459" spans="2:15" x14ac:dyDescent="0.3">
      <c r="B459" s="657" t="str">
        <f t="shared" ref="B459:C459" si="127">B357</f>
        <v>Incorporated</v>
      </c>
      <c r="C459" s="657">
        <f t="shared" si="127"/>
        <v>91</v>
      </c>
      <c r="D459" s="661">
        <f t="shared" si="32"/>
        <v>80.08</v>
      </c>
      <c r="E459" s="661">
        <f t="shared" si="114"/>
        <v>81.900000000000006</v>
      </c>
      <c r="F459" s="661">
        <f t="shared" si="114"/>
        <v>160.16</v>
      </c>
      <c r="G459" s="661">
        <f t="shared" si="114"/>
        <v>168.16800000000001</v>
      </c>
      <c r="H459" s="661">
        <f t="shared" si="114"/>
        <v>174.89472000000001</v>
      </c>
      <c r="I459" s="661">
        <f t="shared" si="114"/>
        <v>180.14156160000002</v>
      </c>
      <c r="J459" s="661">
        <f t="shared" si="114"/>
        <v>185.545808448</v>
      </c>
      <c r="K459" s="661">
        <f t="shared" si="114"/>
        <v>185.545808448</v>
      </c>
      <c r="L459" s="661">
        <f t="shared" si="114"/>
        <v>185.545808448</v>
      </c>
      <c r="M459" s="661">
        <f t="shared" si="114"/>
        <v>185.545808448</v>
      </c>
      <c r="N459" s="661">
        <f t="shared" si="114"/>
        <v>185.545808448</v>
      </c>
      <c r="O459" s="661">
        <f t="shared" si="114"/>
        <v>185.545808448</v>
      </c>
    </row>
    <row r="460" spans="2:15" x14ac:dyDescent="0.3">
      <c r="B460" s="657" t="str">
        <f t="shared" ref="B460:C460" si="128">B358</f>
        <v>Incorporated</v>
      </c>
      <c r="C460" s="657">
        <f t="shared" si="128"/>
        <v>92</v>
      </c>
      <c r="D460" s="661">
        <f t="shared" si="32"/>
        <v>80.959999999999994</v>
      </c>
      <c r="E460" s="661">
        <f t="shared" si="114"/>
        <v>82.8</v>
      </c>
      <c r="F460" s="661">
        <f t="shared" si="114"/>
        <v>161.91999999999999</v>
      </c>
      <c r="G460" s="661">
        <f t="shared" si="114"/>
        <v>170.01600000000002</v>
      </c>
      <c r="H460" s="661">
        <f t="shared" si="114"/>
        <v>176.81664000000001</v>
      </c>
      <c r="I460" s="661">
        <f t="shared" si="114"/>
        <v>182.12113920000002</v>
      </c>
      <c r="J460" s="661">
        <f t="shared" si="114"/>
        <v>187.58477337599999</v>
      </c>
      <c r="K460" s="661">
        <f t="shared" si="114"/>
        <v>187.58477337599999</v>
      </c>
      <c r="L460" s="661">
        <f t="shared" si="114"/>
        <v>187.58477337599999</v>
      </c>
      <c r="M460" s="661">
        <f t="shared" si="114"/>
        <v>187.58477337599999</v>
      </c>
      <c r="N460" s="661">
        <f t="shared" si="114"/>
        <v>187.58477337599999</v>
      </c>
      <c r="O460" s="661">
        <f t="shared" si="114"/>
        <v>187.58477337599999</v>
      </c>
    </row>
    <row r="461" spans="2:15" x14ac:dyDescent="0.3">
      <c r="B461" s="657" t="str">
        <f t="shared" ref="B461:C461" si="129">B359</f>
        <v>Incorporated</v>
      </c>
      <c r="C461" s="657">
        <f t="shared" si="129"/>
        <v>93</v>
      </c>
      <c r="D461" s="661">
        <f t="shared" si="32"/>
        <v>81.84</v>
      </c>
      <c r="E461" s="661">
        <f t="shared" si="114"/>
        <v>83.7</v>
      </c>
      <c r="F461" s="661">
        <f t="shared" si="114"/>
        <v>163.68</v>
      </c>
      <c r="G461" s="661">
        <f t="shared" si="114"/>
        <v>171.864</v>
      </c>
      <c r="H461" s="661">
        <f t="shared" si="114"/>
        <v>178.73856000000001</v>
      </c>
      <c r="I461" s="661">
        <f t="shared" si="114"/>
        <v>184.10071680000001</v>
      </c>
      <c r="J461" s="661">
        <f t="shared" si="114"/>
        <v>189.623738304</v>
      </c>
      <c r="K461" s="661">
        <f t="shared" si="114"/>
        <v>189.623738304</v>
      </c>
      <c r="L461" s="661">
        <f t="shared" si="114"/>
        <v>189.623738304</v>
      </c>
      <c r="M461" s="661">
        <f t="shared" si="114"/>
        <v>189.623738304</v>
      </c>
      <c r="N461" s="661">
        <f t="shared" si="114"/>
        <v>189.623738304</v>
      </c>
      <c r="O461" s="661">
        <f t="shared" si="114"/>
        <v>189.623738304</v>
      </c>
    </row>
    <row r="462" spans="2:15" x14ac:dyDescent="0.3">
      <c r="B462" s="657" t="str">
        <f t="shared" ref="B462:C462" si="130">B360</f>
        <v>Incorporated</v>
      </c>
      <c r="C462" s="657">
        <f t="shared" si="130"/>
        <v>94</v>
      </c>
      <c r="D462" s="661">
        <f t="shared" si="32"/>
        <v>82.72</v>
      </c>
      <c r="E462" s="661">
        <f t="shared" ref="E462:O468" si="131">IF($B462=$A$64,$C462*E$53,$C462*E$56)</f>
        <v>84.600000000000009</v>
      </c>
      <c r="F462" s="661">
        <f t="shared" si="131"/>
        <v>165.44</v>
      </c>
      <c r="G462" s="661">
        <f t="shared" si="131"/>
        <v>173.71200000000002</v>
      </c>
      <c r="H462" s="661">
        <f t="shared" si="131"/>
        <v>180.66048000000001</v>
      </c>
      <c r="I462" s="661">
        <f t="shared" si="131"/>
        <v>186.08029440000001</v>
      </c>
      <c r="J462" s="661">
        <f t="shared" si="131"/>
        <v>191.66270323199998</v>
      </c>
      <c r="K462" s="661">
        <f t="shared" si="131"/>
        <v>191.66270323199998</v>
      </c>
      <c r="L462" s="661">
        <f t="shared" si="131"/>
        <v>191.66270323199998</v>
      </c>
      <c r="M462" s="661">
        <f t="shared" si="131"/>
        <v>191.66270323199998</v>
      </c>
      <c r="N462" s="661">
        <f t="shared" si="131"/>
        <v>191.66270323199998</v>
      </c>
      <c r="O462" s="661">
        <f t="shared" si="131"/>
        <v>191.66270323199998</v>
      </c>
    </row>
    <row r="463" spans="2:15" x14ac:dyDescent="0.3">
      <c r="B463" s="657" t="str">
        <f t="shared" ref="B463:C463" si="132">B361</f>
        <v>Incorporated</v>
      </c>
      <c r="C463" s="657">
        <f t="shared" si="132"/>
        <v>95</v>
      </c>
      <c r="D463" s="661">
        <f t="shared" si="32"/>
        <v>83.6</v>
      </c>
      <c r="E463" s="661">
        <f t="shared" si="131"/>
        <v>85.5</v>
      </c>
      <c r="F463" s="661">
        <f t="shared" si="131"/>
        <v>167.2</v>
      </c>
      <c r="G463" s="661">
        <f t="shared" si="131"/>
        <v>175.56</v>
      </c>
      <c r="H463" s="661">
        <f t="shared" si="131"/>
        <v>182.58240000000001</v>
      </c>
      <c r="I463" s="661">
        <f t="shared" si="131"/>
        <v>188.05987200000001</v>
      </c>
      <c r="J463" s="661">
        <f t="shared" si="131"/>
        <v>193.70166816</v>
      </c>
      <c r="K463" s="661">
        <f t="shared" si="131"/>
        <v>193.70166816</v>
      </c>
      <c r="L463" s="661">
        <f t="shared" si="131"/>
        <v>193.70166816</v>
      </c>
      <c r="M463" s="661">
        <f t="shared" si="131"/>
        <v>193.70166816</v>
      </c>
      <c r="N463" s="661">
        <f t="shared" si="131"/>
        <v>193.70166816</v>
      </c>
      <c r="O463" s="661">
        <f t="shared" si="131"/>
        <v>193.70166816</v>
      </c>
    </row>
    <row r="464" spans="2:15" x14ac:dyDescent="0.3">
      <c r="B464" s="657" t="str">
        <f t="shared" ref="B464:C464" si="133">B362</f>
        <v>Incorporated</v>
      </c>
      <c r="C464" s="657">
        <f t="shared" si="133"/>
        <v>96</v>
      </c>
      <c r="D464" s="661">
        <f t="shared" si="32"/>
        <v>84.48</v>
      </c>
      <c r="E464" s="661">
        <f t="shared" si="131"/>
        <v>86.4</v>
      </c>
      <c r="F464" s="661">
        <f t="shared" si="131"/>
        <v>168.96</v>
      </c>
      <c r="G464" s="661">
        <f t="shared" si="131"/>
        <v>177.40800000000002</v>
      </c>
      <c r="H464" s="661">
        <f t="shared" si="131"/>
        <v>184.50432000000001</v>
      </c>
      <c r="I464" s="661">
        <f t="shared" si="131"/>
        <v>190.03944960000001</v>
      </c>
      <c r="J464" s="661">
        <f t="shared" si="131"/>
        <v>195.74063308799998</v>
      </c>
      <c r="K464" s="661">
        <f t="shared" si="131"/>
        <v>195.74063308799998</v>
      </c>
      <c r="L464" s="661">
        <f t="shared" si="131"/>
        <v>195.74063308799998</v>
      </c>
      <c r="M464" s="661">
        <f t="shared" si="131"/>
        <v>195.74063308799998</v>
      </c>
      <c r="N464" s="661">
        <f t="shared" si="131"/>
        <v>195.74063308799998</v>
      </c>
      <c r="O464" s="661">
        <f t="shared" si="131"/>
        <v>195.74063308799998</v>
      </c>
    </row>
    <row r="465" spans="2:15" x14ac:dyDescent="0.3">
      <c r="B465" s="657" t="str">
        <f t="shared" ref="B465:C465" si="134">B363</f>
        <v>Incorporated</v>
      </c>
      <c r="C465" s="657">
        <f t="shared" si="134"/>
        <v>97</v>
      </c>
      <c r="D465" s="661">
        <f t="shared" si="32"/>
        <v>85.36</v>
      </c>
      <c r="E465" s="661">
        <f t="shared" si="131"/>
        <v>87.3</v>
      </c>
      <c r="F465" s="661">
        <f t="shared" si="131"/>
        <v>170.72</v>
      </c>
      <c r="G465" s="661">
        <f t="shared" si="131"/>
        <v>179.256</v>
      </c>
      <c r="H465" s="661">
        <f t="shared" si="131"/>
        <v>186.42624000000001</v>
      </c>
      <c r="I465" s="661">
        <f t="shared" si="131"/>
        <v>192.01902720000001</v>
      </c>
      <c r="J465" s="661">
        <f t="shared" si="131"/>
        <v>197.77959801599999</v>
      </c>
      <c r="K465" s="661">
        <f t="shared" si="131"/>
        <v>197.77959801599999</v>
      </c>
      <c r="L465" s="661">
        <f t="shared" si="131"/>
        <v>197.77959801599999</v>
      </c>
      <c r="M465" s="661">
        <f t="shared" si="131"/>
        <v>197.77959801599999</v>
      </c>
      <c r="N465" s="661">
        <f t="shared" si="131"/>
        <v>197.77959801599999</v>
      </c>
      <c r="O465" s="661">
        <f t="shared" si="131"/>
        <v>197.77959801599999</v>
      </c>
    </row>
    <row r="466" spans="2:15" x14ac:dyDescent="0.3">
      <c r="B466" s="657" t="str">
        <f t="shared" ref="B466:C466" si="135">B364</f>
        <v>Incorporated</v>
      </c>
      <c r="C466" s="657">
        <f t="shared" si="135"/>
        <v>98</v>
      </c>
      <c r="D466" s="661">
        <f t="shared" si="32"/>
        <v>86.24</v>
      </c>
      <c r="E466" s="661">
        <f t="shared" si="131"/>
        <v>88.2</v>
      </c>
      <c r="F466" s="661">
        <f t="shared" si="131"/>
        <v>172.48</v>
      </c>
      <c r="G466" s="661">
        <f t="shared" si="131"/>
        <v>181.10400000000001</v>
      </c>
      <c r="H466" s="661">
        <f t="shared" si="131"/>
        <v>188.34816000000001</v>
      </c>
      <c r="I466" s="661">
        <f t="shared" si="131"/>
        <v>193.99860480000001</v>
      </c>
      <c r="J466" s="661">
        <f t="shared" si="131"/>
        <v>199.81856294400001</v>
      </c>
      <c r="K466" s="661">
        <f t="shared" si="131"/>
        <v>199.81856294400001</v>
      </c>
      <c r="L466" s="661">
        <f t="shared" si="131"/>
        <v>199.81856294400001</v>
      </c>
      <c r="M466" s="661">
        <f t="shared" si="131"/>
        <v>199.81856294400001</v>
      </c>
      <c r="N466" s="661">
        <f t="shared" si="131"/>
        <v>199.81856294400001</v>
      </c>
      <c r="O466" s="661">
        <f t="shared" si="131"/>
        <v>199.81856294400001</v>
      </c>
    </row>
    <row r="467" spans="2:15" x14ac:dyDescent="0.3">
      <c r="B467" s="657" t="str">
        <f t="shared" ref="B467:C468" si="136">B365</f>
        <v>Incorporated</v>
      </c>
      <c r="C467" s="657">
        <f t="shared" si="136"/>
        <v>99</v>
      </c>
      <c r="D467" s="661">
        <f t="shared" si="32"/>
        <v>87.12</v>
      </c>
      <c r="E467" s="661">
        <f t="shared" si="131"/>
        <v>89.100000000000009</v>
      </c>
      <c r="F467" s="661">
        <f t="shared" si="131"/>
        <v>174.24</v>
      </c>
      <c r="G467" s="661">
        <f t="shared" si="131"/>
        <v>182.952</v>
      </c>
      <c r="H467" s="661">
        <f t="shared" si="131"/>
        <v>190.27008000000001</v>
      </c>
      <c r="I467" s="661">
        <f t="shared" si="131"/>
        <v>195.97818240000001</v>
      </c>
      <c r="J467" s="661">
        <f t="shared" si="131"/>
        <v>201.85752787199999</v>
      </c>
      <c r="K467" s="661">
        <f t="shared" si="131"/>
        <v>201.85752787199999</v>
      </c>
      <c r="L467" s="661">
        <f t="shared" si="131"/>
        <v>201.85752787199999</v>
      </c>
      <c r="M467" s="661">
        <f t="shared" si="131"/>
        <v>201.85752787199999</v>
      </c>
      <c r="N467" s="661">
        <f t="shared" si="131"/>
        <v>201.85752787199999</v>
      </c>
      <c r="O467" s="661">
        <f t="shared" si="131"/>
        <v>201.85752787199999</v>
      </c>
    </row>
    <row r="468" spans="2:15" x14ac:dyDescent="0.3">
      <c r="B468" s="657" t="str">
        <f t="shared" ref="B468" si="137">B401</f>
        <v>Incorporated</v>
      </c>
      <c r="C468" s="657">
        <f t="shared" si="136"/>
        <v>100</v>
      </c>
      <c r="D468" s="661">
        <f t="shared" si="32"/>
        <v>88</v>
      </c>
      <c r="E468" s="661">
        <f t="shared" si="131"/>
        <v>90</v>
      </c>
      <c r="F468" s="661">
        <f t="shared" si="131"/>
        <v>176</v>
      </c>
      <c r="G468" s="661">
        <f t="shared" si="131"/>
        <v>184.8</v>
      </c>
      <c r="H468" s="661">
        <f t="shared" si="131"/>
        <v>192.19200000000001</v>
      </c>
      <c r="I468" s="661">
        <f t="shared" si="131"/>
        <v>197.95776000000001</v>
      </c>
      <c r="J468" s="661">
        <f t="shared" si="131"/>
        <v>203.8964928</v>
      </c>
      <c r="K468" s="661">
        <f t="shared" si="131"/>
        <v>203.8964928</v>
      </c>
      <c r="L468" s="661">
        <f t="shared" si="131"/>
        <v>203.8964928</v>
      </c>
      <c r="M468" s="661">
        <f t="shared" si="131"/>
        <v>203.8964928</v>
      </c>
      <c r="N468" s="661">
        <f t="shared" si="131"/>
        <v>203.8964928</v>
      </c>
      <c r="O468" s="661">
        <f t="shared" si="131"/>
        <v>203.8964928</v>
      </c>
    </row>
    <row r="470" spans="2:15" x14ac:dyDescent="0.3">
      <c r="B470" s="663" t="s">
        <v>1700</v>
      </c>
      <c r="C470" s="965" t="s">
        <v>1848</v>
      </c>
    </row>
    <row r="471" spans="2:15" x14ac:dyDescent="0.3">
      <c r="B471" s="663" t="str">
        <f>B369</f>
        <v>Incorporated</v>
      </c>
      <c r="C471" s="663">
        <f>C369</f>
        <v>1</v>
      </c>
      <c r="D471" s="661">
        <f>IF($B$470=$A$61,D61+D267+D369,IF($B$470=$A$62,D164+D267+D369,D267+D369))</f>
        <v>16.57</v>
      </c>
      <c r="E471" s="661">
        <f t="shared" ref="E471:E491" si="138">IF($B$470=$A$61,E61+E267+E369,IF($B$470=$A$62,E164+E267+E369,E267+E369))</f>
        <v>16.77</v>
      </c>
      <c r="F471" s="661">
        <f t="shared" ref="F471:O471" si="139">IF($B$470=$A$61,F61+F267+F369,IF($B$470=$A$62,F164+F267+F369,F267+F369))</f>
        <v>18.086000000000002</v>
      </c>
      <c r="G471" s="661">
        <f t="shared" si="139"/>
        <v>18.990299999999998</v>
      </c>
      <c r="H471" s="661">
        <f t="shared" si="139"/>
        <v>19.921334999999999</v>
      </c>
      <c r="I471" s="661">
        <f t="shared" si="139"/>
        <v>20.878963350000003</v>
      </c>
      <c r="J471" s="661">
        <f t="shared" si="139"/>
        <v>21.8833199655</v>
      </c>
      <c r="K471" s="661">
        <f t="shared" si="139"/>
        <v>21.8833199655</v>
      </c>
      <c r="L471" s="661">
        <f t="shared" si="139"/>
        <v>21.8833199655</v>
      </c>
      <c r="M471" s="661">
        <f t="shared" si="139"/>
        <v>21.8833199655</v>
      </c>
      <c r="N471" s="661">
        <f t="shared" si="139"/>
        <v>21.8833199655</v>
      </c>
      <c r="O471" s="661">
        <f t="shared" si="139"/>
        <v>21.8833199655</v>
      </c>
    </row>
    <row r="472" spans="2:15" x14ac:dyDescent="0.3">
      <c r="B472" s="663" t="str">
        <f t="shared" ref="B472:C472" si="140">B370</f>
        <v>Incorporated</v>
      </c>
      <c r="C472" s="663">
        <f t="shared" si="140"/>
        <v>2</v>
      </c>
      <c r="D472" s="661">
        <f t="shared" ref="D472:O535" si="141">IF($B$470=$A$61,D62+D268+D370,IF($B$470=$A$62,D165+D268+D370,D268+D370))</f>
        <v>24.14</v>
      </c>
      <c r="E472" s="661">
        <f t="shared" si="138"/>
        <v>24.54</v>
      </c>
      <c r="F472" s="661">
        <f t="shared" si="141"/>
        <v>27.172000000000001</v>
      </c>
      <c r="G472" s="661">
        <f t="shared" si="141"/>
        <v>28.530600000000003</v>
      </c>
      <c r="H472" s="661">
        <f t="shared" si="141"/>
        <v>29.920169999999999</v>
      </c>
      <c r="I472" s="661">
        <f t="shared" si="141"/>
        <v>31.339301700000004</v>
      </c>
      <c r="J472" s="661">
        <f t="shared" si="141"/>
        <v>32.827083680999998</v>
      </c>
      <c r="K472" s="661">
        <f t="shared" si="141"/>
        <v>32.827083680999998</v>
      </c>
      <c r="L472" s="661">
        <f t="shared" si="141"/>
        <v>32.827083680999998</v>
      </c>
      <c r="M472" s="661">
        <f t="shared" si="141"/>
        <v>32.827083680999998</v>
      </c>
      <c r="N472" s="661">
        <f t="shared" si="141"/>
        <v>32.827083680999998</v>
      </c>
      <c r="O472" s="661">
        <f t="shared" si="141"/>
        <v>32.827083680999998</v>
      </c>
    </row>
    <row r="473" spans="2:15" x14ac:dyDescent="0.3">
      <c r="B473" s="663" t="str">
        <f t="shared" ref="B473:C473" si="142">B371</f>
        <v>Incorporated</v>
      </c>
      <c r="C473" s="663">
        <f t="shared" si="142"/>
        <v>3</v>
      </c>
      <c r="D473" s="661">
        <f t="shared" si="141"/>
        <v>31.709999999999997</v>
      </c>
      <c r="E473" s="661">
        <f t="shared" si="138"/>
        <v>32.31</v>
      </c>
      <c r="F473" s="661">
        <f t="shared" si="141"/>
        <v>36.258000000000003</v>
      </c>
      <c r="G473" s="661">
        <f t="shared" si="141"/>
        <v>38.070899999999995</v>
      </c>
      <c r="H473" s="661">
        <f t="shared" si="141"/>
        <v>39.919004999999999</v>
      </c>
      <c r="I473" s="661">
        <f t="shared" si="141"/>
        <v>41.799640050000008</v>
      </c>
      <c r="J473" s="661">
        <f t="shared" si="141"/>
        <v>43.770847396500002</v>
      </c>
      <c r="K473" s="661">
        <f t="shared" si="141"/>
        <v>43.770847396500002</v>
      </c>
      <c r="L473" s="661">
        <f t="shared" si="141"/>
        <v>43.770847396500002</v>
      </c>
      <c r="M473" s="661">
        <f t="shared" si="141"/>
        <v>43.770847396500002</v>
      </c>
      <c r="N473" s="661">
        <f t="shared" si="141"/>
        <v>43.770847396500002</v>
      </c>
      <c r="O473" s="661">
        <f t="shared" si="141"/>
        <v>43.770847396500002</v>
      </c>
    </row>
    <row r="474" spans="2:15" x14ac:dyDescent="0.3">
      <c r="B474" s="663" t="str">
        <f t="shared" ref="B474:C474" si="143">B372</f>
        <v>Incorporated</v>
      </c>
      <c r="C474" s="663">
        <f t="shared" si="143"/>
        <v>4</v>
      </c>
      <c r="D474" s="661">
        <f t="shared" si="141"/>
        <v>39.28</v>
      </c>
      <c r="E474" s="661">
        <f t="shared" si="138"/>
        <v>40.08</v>
      </c>
      <c r="F474" s="661">
        <f t="shared" si="141"/>
        <v>45.344000000000001</v>
      </c>
      <c r="G474" s="661">
        <f t="shared" si="141"/>
        <v>47.611200000000004</v>
      </c>
      <c r="H474" s="661">
        <f t="shared" si="141"/>
        <v>49.917839999999998</v>
      </c>
      <c r="I474" s="661">
        <f t="shared" si="141"/>
        <v>52.259978400000008</v>
      </c>
      <c r="J474" s="661">
        <f t="shared" si="141"/>
        <v>54.714611112000007</v>
      </c>
      <c r="K474" s="661">
        <f t="shared" si="141"/>
        <v>54.714611112000007</v>
      </c>
      <c r="L474" s="661">
        <f t="shared" si="141"/>
        <v>54.714611112000007</v>
      </c>
      <c r="M474" s="661">
        <f t="shared" si="141"/>
        <v>54.714611112000007</v>
      </c>
      <c r="N474" s="661">
        <f t="shared" si="141"/>
        <v>54.714611112000007</v>
      </c>
      <c r="O474" s="661">
        <f t="shared" si="141"/>
        <v>54.714611112000007</v>
      </c>
    </row>
    <row r="475" spans="2:15" x14ac:dyDescent="0.3">
      <c r="B475" s="663" t="str">
        <f t="shared" ref="B475:C475" si="144">B373</f>
        <v>Incorporated</v>
      </c>
      <c r="C475" s="663">
        <f t="shared" si="144"/>
        <v>5</v>
      </c>
      <c r="D475" s="661">
        <f t="shared" si="141"/>
        <v>46.85</v>
      </c>
      <c r="E475" s="661">
        <f t="shared" si="138"/>
        <v>47.849999999999994</v>
      </c>
      <c r="F475" s="661">
        <f t="shared" si="141"/>
        <v>54.429999999999993</v>
      </c>
      <c r="G475" s="661">
        <f t="shared" si="141"/>
        <v>57.151500000000006</v>
      </c>
      <c r="H475" s="661">
        <f t="shared" si="141"/>
        <v>59.916674999999998</v>
      </c>
      <c r="I475" s="661">
        <f t="shared" si="141"/>
        <v>62.720316750000002</v>
      </c>
      <c r="J475" s="661">
        <f t="shared" si="141"/>
        <v>65.658374827500012</v>
      </c>
      <c r="K475" s="661">
        <f t="shared" si="141"/>
        <v>65.658374827500012</v>
      </c>
      <c r="L475" s="661">
        <f t="shared" si="141"/>
        <v>65.658374827500012</v>
      </c>
      <c r="M475" s="661">
        <f t="shared" si="141"/>
        <v>65.658374827500012</v>
      </c>
      <c r="N475" s="661">
        <f t="shared" si="141"/>
        <v>65.658374827500012</v>
      </c>
      <c r="O475" s="661">
        <f t="shared" si="141"/>
        <v>65.658374827500012</v>
      </c>
    </row>
    <row r="476" spans="2:15" x14ac:dyDescent="0.3">
      <c r="B476" s="663" t="str">
        <f t="shared" ref="B476:C476" si="145">B374</f>
        <v>Incorporated</v>
      </c>
      <c r="C476" s="663">
        <f t="shared" si="145"/>
        <v>6</v>
      </c>
      <c r="D476" s="661">
        <f t="shared" si="141"/>
        <v>54.419999999999995</v>
      </c>
      <c r="E476" s="661">
        <f t="shared" si="138"/>
        <v>55.62</v>
      </c>
      <c r="F476" s="661">
        <f t="shared" si="141"/>
        <v>63.516000000000005</v>
      </c>
      <c r="G476" s="661">
        <f t="shared" si="141"/>
        <v>66.691800000000001</v>
      </c>
      <c r="H476" s="661">
        <f t="shared" si="141"/>
        <v>69.915509999999998</v>
      </c>
      <c r="I476" s="661">
        <f t="shared" si="141"/>
        <v>73.180655099999996</v>
      </c>
      <c r="J476" s="661">
        <f t="shared" si="141"/>
        <v>76.602138542999995</v>
      </c>
      <c r="K476" s="661">
        <f t="shared" si="141"/>
        <v>76.602138542999995</v>
      </c>
      <c r="L476" s="661">
        <f t="shared" si="141"/>
        <v>76.602138542999995</v>
      </c>
      <c r="M476" s="661">
        <f t="shared" si="141"/>
        <v>76.602138542999995</v>
      </c>
      <c r="N476" s="661">
        <f t="shared" si="141"/>
        <v>76.602138542999995</v>
      </c>
      <c r="O476" s="661">
        <f t="shared" si="141"/>
        <v>76.602138542999995</v>
      </c>
    </row>
    <row r="477" spans="2:15" x14ac:dyDescent="0.3">
      <c r="B477" s="663" t="str">
        <f t="shared" ref="B477:C477" si="146">B375</f>
        <v>Incorporated</v>
      </c>
      <c r="C477" s="663">
        <f t="shared" si="146"/>
        <v>7</v>
      </c>
      <c r="D477" s="661">
        <f t="shared" si="141"/>
        <v>61.989999999999995</v>
      </c>
      <c r="E477" s="661">
        <f t="shared" si="138"/>
        <v>63.39</v>
      </c>
      <c r="F477" s="661">
        <f t="shared" si="141"/>
        <v>72.602000000000004</v>
      </c>
      <c r="G477" s="661">
        <f t="shared" si="141"/>
        <v>76.232100000000003</v>
      </c>
      <c r="H477" s="661">
        <f t="shared" si="141"/>
        <v>79.914344999999997</v>
      </c>
      <c r="I477" s="661">
        <f t="shared" si="141"/>
        <v>83.640993449999996</v>
      </c>
      <c r="J477" s="661">
        <f t="shared" si="141"/>
        <v>87.545902258500007</v>
      </c>
      <c r="K477" s="661">
        <f t="shared" si="141"/>
        <v>87.545902258500007</v>
      </c>
      <c r="L477" s="661">
        <f t="shared" si="141"/>
        <v>87.545902258500007</v>
      </c>
      <c r="M477" s="661">
        <f t="shared" si="141"/>
        <v>87.545902258500007</v>
      </c>
      <c r="N477" s="661">
        <f t="shared" si="141"/>
        <v>87.545902258500007</v>
      </c>
      <c r="O477" s="661">
        <f t="shared" si="141"/>
        <v>87.545902258500007</v>
      </c>
    </row>
    <row r="478" spans="2:15" x14ac:dyDescent="0.3">
      <c r="B478" s="663" t="str">
        <f t="shared" ref="B478:C478" si="147">B376</f>
        <v>Incorporated</v>
      </c>
      <c r="C478" s="663">
        <f t="shared" si="147"/>
        <v>8</v>
      </c>
      <c r="D478" s="661">
        <f t="shared" si="141"/>
        <v>69.56</v>
      </c>
      <c r="E478" s="661">
        <f t="shared" si="138"/>
        <v>71.16</v>
      </c>
      <c r="F478" s="661">
        <f t="shared" si="141"/>
        <v>81.688000000000002</v>
      </c>
      <c r="G478" s="661">
        <f t="shared" si="141"/>
        <v>85.772400000000005</v>
      </c>
      <c r="H478" s="661">
        <f t="shared" si="141"/>
        <v>89.913180000000011</v>
      </c>
      <c r="I478" s="661">
        <f t="shared" si="141"/>
        <v>94.101331800000011</v>
      </c>
      <c r="J478" s="661">
        <f t="shared" si="141"/>
        <v>98.489665974000005</v>
      </c>
      <c r="K478" s="661">
        <f t="shared" si="141"/>
        <v>98.489665974000005</v>
      </c>
      <c r="L478" s="661">
        <f t="shared" si="141"/>
        <v>98.489665974000005</v>
      </c>
      <c r="M478" s="661">
        <f t="shared" si="141"/>
        <v>98.489665974000005</v>
      </c>
      <c r="N478" s="661">
        <f t="shared" si="141"/>
        <v>98.489665974000005</v>
      </c>
      <c r="O478" s="661">
        <f t="shared" si="141"/>
        <v>98.489665974000005</v>
      </c>
    </row>
    <row r="479" spans="2:15" x14ac:dyDescent="0.3">
      <c r="B479" s="663" t="str">
        <f t="shared" ref="B479:C479" si="148">B377</f>
        <v>Incorporated</v>
      </c>
      <c r="C479" s="663">
        <f t="shared" si="148"/>
        <v>9</v>
      </c>
      <c r="D479" s="661">
        <f t="shared" si="141"/>
        <v>77.13</v>
      </c>
      <c r="E479" s="661">
        <f t="shared" si="138"/>
        <v>78.929999999999993</v>
      </c>
      <c r="F479" s="661">
        <f t="shared" si="141"/>
        <v>90.774000000000001</v>
      </c>
      <c r="G479" s="661">
        <f t="shared" si="141"/>
        <v>95.312699999999992</v>
      </c>
      <c r="H479" s="661">
        <f t="shared" si="141"/>
        <v>99.912014999999997</v>
      </c>
      <c r="I479" s="661">
        <f t="shared" si="141"/>
        <v>104.56167015000001</v>
      </c>
      <c r="J479" s="661">
        <f t="shared" si="141"/>
        <v>109.43342968950002</v>
      </c>
      <c r="K479" s="661">
        <f t="shared" si="141"/>
        <v>109.43342968950002</v>
      </c>
      <c r="L479" s="661">
        <f t="shared" si="141"/>
        <v>109.43342968950002</v>
      </c>
      <c r="M479" s="661">
        <f t="shared" si="141"/>
        <v>109.43342968950002</v>
      </c>
      <c r="N479" s="661">
        <f t="shared" si="141"/>
        <v>109.43342968950002</v>
      </c>
      <c r="O479" s="661">
        <f t="shared" si="141"/>
        <v>109.43342968950002</v>
      </c>
    </row>
    <row r="480" spans="2:15" x14ac:dyDescent="0.3">
      <c r="B480" s="663" t="str">
        <f t="shared" ref="B480:C480" si="149">B378</f>
        <v>Incorporated</v>
      </c>
      <c r="C480" s="663">
        <f t="shared" si="149"/>
        <v>10</v>
      </c>
      <c r="D480" s="661">
        <f t="shared" si="141"/>
        <v>86.08</v>
      </c>
      <c r="E480" s="661">
        <f t="shared" si="138"/>
        <v>88.11999999999999</v>
      </c>
      <c r="F480" s="661">
        <f t="shared" si="141"/>
        <v>101.35040000000001</v>
      </c>
      <c r="G480" s="661">
        <f t="shared" si="141"/>
        <v>106.41792000000001</v>
      </c>
      <c r="H480" s="661">
        <f t="shared" si="141"/>
        <v>111.554016</v>
      </c>
      <c r="I480" s="661">
        <f t="shared" si="141"/>
        <v>116.74733280000001</v>
      </c>
      <c r="J480" s="661">
        <f t="shared" si="141"/>
        <v>122.18878391999999</v>
      </c>
      <c r="K480" s="661">
        <f t="shared" si="141"/>
        <v>122.18878391999999</v>
      </c>
      <c r="L480" s="661">
        <f t="shared" si="141"/>
        <v>122.18878391999999</v>
      </c>
      <c r="M480" s="661">
        <f t="shared" si="141"/>
        <v>122.18878391999999</v>
      </c>
      <c r="N480" s="661">
        <f t="shared" si="141"/>
        <v>122.18878391999999</v>
      </c>
      <c r="O480" s="661">
        <f t="shared" si="141"/>
        <v>122.18878391999999</v>
      </c>
    </row>
    <row r="481" spans="2:15" x14ac:dyDescent="0.3">
      <c r="B481" s="663" t="str">
        <f t="shared" ref="B481:C481" si="150">B379</f>
        <v>Incorporated</v>
      </c>
      <c r="C481" s="663">
        <f t="shared" si="150"/>
        <v>11</v>
      </c>
      <c r="D481" s="661">
        <f t="shared" si="141"/>
        <v>95.03</v>
      </c>
      <c r="E481" s="661">
        <f t="shared" si="138"/>
        <v>97.309999999999988</v>
      </c>
      <c r="F481" s="661">
        <f t="shared" si="141"/>
        <v>111.9268</v>
      </c>
      <c r="G481" s="661">
        <f t="shared" si="141"/>
        <v>117.52314</v>
      </c>
      <c r="H481" s="661">
        <f t="shared" si="141"/>
        <v>123.196017</v>
      </c>
      <c r="I481" s="661">
        <f t="shared" si="141"/>
        <v>128.93299544999999</v>
      </c>
      <c r="J481" s="661">
        <f t="shared" si="141"/>
        <v>134.94413815050001</v>
      </c>
      <c r="K481" s="661">
        <f t="shared" si="141"/>
        <v>134.94413815050001</v>
      </c>
      <c r="L481" s="661">
        <f t="shared" si="141"/>
        <v>134.94413815050001</v>
      </c>
      <c r="M481" s="661">
        <f t="shared" si="141"/>
        <v>134.94413815050001</v>
      </c>
      <c r="N481" s="661">
        <f t="shared" si="141"/>
        <v>134.94413815050001</v>
      </c>
      <c r="O481" s="661">
        <f t="shared" si="141"/>
        <v>134.94413815050001</v>
      </c>
    </row>
    <row r="482" spans="2:15" x14ac:dyDescent="0.3">
      <c r="B482" s="663" t="str">
        <f t="shared" ref="B482:C482" si="151">B380</f>
        <v>Incorporated</v>
      </c>
      <c r="C482" s="663">
        <f t="shared" si="151"/>
        <v>12</v>
      </c>
      <c r="D482" s="661">
        <f t="shared" si="141"/>
        <v>103.98</v>
      </c>
      <c r="E482" s="661">
        <f t="shared" si="138"/>
        <v>106.49999999999999</v>
      </c>
      <c r="F482" s="661">
        <f t="shared" si="141"/>
        <v>122.50320000000001</v>
      </c>
      <c r="G482" s="661">
        <f t="shared" si="141"/>
        <v>128.62835999999999</v>
      </c>
      <c r="H482" s="661">
        <f t="shared" si="141"/>
        <v>134.83801800000001</v>
      </c>
      <c r="I482" s="661">
        <f t="shared" si="141"/>
        <v>141.1186581</v>
      </c>
      <c r="J482" s="661">
        <f t="shared" si="141"/>
        <v>147.69949238100003</v>
      </c>
      <c r="K482" s="661">
        <f t="shared" si="141"/>
        <v>147.69949238100003</v>
      </c>
      <c r="L482" s="661">
        <f t="shared" si="141"/>
        <v>147.69949238100003</v>
      </c>
      <c r="M482" s="661">
        <f t="shared" si="141"/>
        <v>147.69949238100003</v>
      </c>
      <c r="N482" s="661">
        <f t="shared" si="141"/>
        <v>147.69949238100003</v>
      </c>
      <c r="O482" s="661">
        <f t="shared" si="141"/>
        <v>147.69949238100003</v>
      </c>
    </row>
    <row r="483" spans="2:15" x14ac:dyDescent="0.3">
      <c r="B483" s="663" t="str">
        <f t="shared" ref="B483:C483" si="152">B381</f>
        <v>Incorporated</v>
      </c>
      <c r="C483" s="663">
        <f t="shared" si="152"/>
        <v>13</v>
      </c>
      <c r="D483" s="661">
        <f t="shared" si="141"/>
        <v>112.92999999999999</v>
      </c>
      <c r="E483" s="661">
        <f t="shared" si="138"/>
        <v>115.69000000000001</v>
      </c>
      <c r="F483" s="661">
        <f t="shared" si="141"/>
        <v>133.0796</v>
      </c>
      <c r="G483" s="661">
        <f t="shared" si="141"/>
        <v>139.73358000000002</v>
      </c>
      <c r="H483" s="661">
        <f t="shared" si="141"/>
        <v>146.480019</v>
      </c>
      <c r="I483" s="661">
        <f t="shared" si="141"/>
        <v>153.30432074999999</v>
      </c>
      <c r="J483" s="661">
        <f t="shared" si="141"/>
        <v>160.45484661150002</v>
      </c>
      <c r="K483" s="661">
        <f t="shared" si="141"/>
        <v>160.45484661150002</v>
      </c>
      <c r="L483" s="661">
        <f t="shared" si="141"/>
        <v>160.45484661150002</v>
      </c>
      <c r="M483" s="661">
        <f t="shared" si="141"/>
        <v>160.45484661150002</v>
      </c>
      <c r="N483" s="661">
        <f t="shared" si="141"/>
        <v>160.45484661150002</v>
      </c>
      <c r="O483" s="661">
        <f t="shared" si="141"/>
        <v>160.45484661150002</v>
      </c>
    </row>
    <row r="484" spans="2:15" x14ac:dyDescent="0.3">
      <c r="B484" s="663" t="str">
        <f t="shared" ref="B484:C484" si="153">B382</f>
        <v>Incorporated</v>
      </c>
      <c r="C484" s="663">
        <f t="shared" si="153"/>
        <v>14</v>
      </c>
      <c r="D484" s="661">
        <f t="shared" si="141"/>
        <v>121.88000000000002</v>
      </c>
      <c r="E484" s="661">
        <f t="shared" si="138"/>
        <v>124.88</v>
      </c>
      <c r="F484" s="661">
        <f t="shared" si="141"/>
        <v>143.65600000000001</v>
      </c>
      <c r="G484" s="661">
        <f t="shared" si="141"/>
        <v>150.83879999999999</v>
      </c>
      <c r="H484" s="661">
        <f t="shared" si="141"/>
        <v>158.12201999999999</v>
      </c>
      <c r="I484" s="661">
        <f t="shared" si="141"/>
        <v>165.48998340000003</v>
      </c>
      <c r="J484" s="661">
        <f t="shared" si="141"/>
        <v>173.21020084200003</v>
      </c>
      <c r="K484" s="661">
        <f t="shared" si="141"/>
        <v>173.21020084200003</v>
      </c>
      <c r="L484" s="661">
        <f t="shared" si="141"/>
        <v>173.21020084200003</v>
      </c>
      <c r="M484" s="661">
        <f t="shared" si="141"/>
        <v>173.21020084200003</v>
      </c>
      <c r="N484" s="661">
        <f t="shared" si="141"/>
        <v>173.21020084200003</v>
      </c>
      <c r="O484" s="661">
        <f t="shared" si="141"/>
        <v>173.21020084200003</v>
      </c>
    </row>
    <row r="485" spans="2:15" x14ac:dyDescent="0.3">
      <c r="B485" s="663" t="str">
        <f t="shared" ref="B485:C485" si="154">B383</f>
        <v>Incorporated</v>
      </c>
      <c r="C485" s="663">
        <f t="shared" si="154"/>
        <v>15</v>
      </c>
      <c r="D485" s="661">
        <f t="shared" si="141"/>
        <v>130.82999999999998</v>
      </c>
      <c r="E485" s="661">
        <f t="shared" si="138"/>
        <v>134.07</v>
      </c>
      <c r="F485" s="661">
        <f t="shared" si="141"/>
        <v>154.23240000000001</v>
      </c>
      <c r="G485" s="661">
        <f t="shared" si="141"/>
        <v>161.94401999999999</v>
      </c>
      <c r="H485" s="661">
        <f t="shared" si="141"/>
        <v>169.76402100000001</v>
      </c>
      <c r="I485" s="661">
        <f t="shared" si="141"/>
        <v>177.67564605000001</v>
      </c>
      <c r="J485" s="661">
        <f t="shared" si="141"/>
        <v>185.96555507250002</v>
      </c>
      <c r="K485" s="661">
        <f t="shared" si="141"/>
        <v>185.96555507250002</v>
      </c>
      <c r="L485" s="661">
        <f t="shared" si="141"/>
        <v>185.96555507250002</v>
      </c>
      <c r="M485" s="661">
        <f t="shared" si="141"/>
        <v>185.96555507250002</v>
      </c>
      <c r="N485" s="661">
        <f t="shared" si="141"/>
        <v>185.96555507250002</v>
      </c>
      <c r="O485" s="661">
        <f t="shared" si="141"/>
        <v>185.96555507250002</v>
      </c>
    </row>
    <row r="486" spans="2:15" x14ac:dyDescent="0.3">
      <c r="B486" s="663" t="str">
        <f t="shared" ref="B486:C486" si="155">B384</f>
        <v>Incorporated</v>
      </c>
      <c r="C486" s="663">
        <f t="shared" si="155"/>
        <v>16</v>
      </c>
      <c r="D486" s="661">
        <f t="shared" si="141"/>
        <v>139.78</v>
      </c>
      <c r="E486" s="661">
        <f t="shared" si="138"/>
        <v>143.26</v>
      </c>
      <c r="F486" s="661">
        <f t="shared" si="141"/>
        <v>164.80879999999999</v>
      </c>
      <c r="G486" s="661">
        <f t="shared" si="141"/>
        <v>173.04924000000003</v>
      </c>
      <c r="H486" s="661">
        <f t="shared" si="141"/>
        <v>181.40602200000001</v>
      </c>
      <c r="I486" s="661">
        <f t="shared" si="141"/>
        <v>189.86130870000002</v>
      </c>
      <c r="J486" s="661">
        <f t="shared" si="141"/>
        <v>198.72090930300004</v>
      </c>
      <c r="K486" s="661">
        <f t="shared" si="141"/>
        <v>198.72090930300004</v>
      </c>
      <c r="L486" s="661">
        <f t="shared" si="141"/>
        <v>198.72090930300004</v>
      </c>
      <c r="M486" s="661">
        <f t="shared" si="141"/>
        <v>198.72090930300004</v>
      </c>
      <c r="N486" s="661">
        <f t="shared" si="141"/>
        <v>198.72090930300004</v>
      </c>
      <c r="O486" s="661">
        <f t="shared" si="141"/>
        <v>198.72090930300004</v>
      </c>
    </row>
    <row r="487" spans="2:15" x14ac:dyDescent="0.3">
      <c r="B487" s="663" t="str">
        <f t="shared" ref="B487:C487" si="156">B385</f>
        <v>Incorporated</v>
      </c>
      <c r="C487" s="663">
        <f t="shared" si="156"/>
        <v>17</v>
      </c>
      <c r="D487" s="661">
        <f t="shared" si="141"/>
        <v>148.73000000000002</v>
      </c>
      <c r="E487" s="661">
        <f t="shared" si="138"/>
        <v>152.45000000000002</v>
      </c>
      <c r="F487" s="661">
        <f t="shared" si="141"/>
        <v>175.3852</v>
      </c>
      <c r="G487" s="661">
        <f t="shared" si="141"/>
        <v>184.15445999999997</v>
      </c>
      <c r="H487" s="661">
        <f t="shared" si="141"/>
        <v>193.04802300000003</v>
      </c>
      <c r="I487" s="661">
        <f t="shared" si="141"/>
        <v>202.04697135000001</v>
      </c>
      <c r="J487" s="661">
        <f t="shared" si="141"/>
        <v>211.47626353350003</v>
      </c>
      <c r="K487" s="661">
        <f t="shared" si="141"/>
        <v>211.47626353350003</v>
      </c>
      <c r="L487" s="661">
        <f t="shared" si="141"/>
        <v>211.47626353350003</v>
      </c>
      <c r="M487" s="661">
        <f t="shared" si="141"/>
        <v>211.47626353350003</v>
      </c>
      <c r="N487" s="661">
        <f t="shared" si="141"/>
        <v>211.47626353350003</v>
      </c>
      <c r="O487" s="661">
        <f t="shared" si="141"/>
        <v>211.47626353350003</v>
      </c>
    </row>
    <row r="488" spans="2:15" x14ac:dyDescent="0.3">
      <c r="B488" s="663" t="str">
        <f t="shared" ref="B488:C488" si="157">B386</f>
        <v>Incorporated</v>
      </c>
      <c r="C488" s="663">
        <f t="shared" si="157"/>
        <v>18</v>
      </c>
      <c r="D488" s="661">
        <f t="shared" si="141"/>
        <v>157.68</v>
      </c>
      <c r="E488" s="661">
        <f t="shared" si="138"/>
        <v>161.63999999999999</v>
      </c>
      <c r="F488" s="661">
        <f t="shared" si="141"/>
        <v>185.96160000000003</v>
      </c>
      <c r="G488" s="661">
        <f t="shared" si="141"/>
        <v>195.25968</v>
      </c>
      <c r="H488" s="661">
        <f t="shared" si="141"/>
        <v>204.69002400000002</v>
      </c>
      <c r="I488" s="661">
        <f t="shared" si="141"/>
        <v>214.23263400000005</v>
      </c>
      <c r="J488" s="661">
        <f t="shared" si="141"/>
        <v>224.23161776400005</v>
      </c>
      <c r="K488" s="661">
        <f t="shared" si="141"/>
        <v>224.23161776400005</v>
      </c>
      <c r="L488" s="661">
        <f t="shared" si="141"/>
        <v>224.23161776400005</v>
      </c>
      <c r="M488" s="661">
        <f t="shared" si="141"/>
        <v>224.23161776400005</v>
      </c>
      <c r="N488" s="661">
        <f t="shared" si="141"/>
        <v>224.23161776400005</v>
      </c>
      <c r="O488" s="661">
        <f t="shared" si="141"/>
        <v>224.23161776400005</v>
      </c>
    </row>
    <row r="489" spans="2:15" x14ac:dyDescent="0.3">
      <c r="B489" s="663" t="str">
        <f t="shared" ref="B489:C489" si="158">B387</f>
        <v>Incorporated</v>
      </c>
      <c r="C489" s="663">
        <f t="shared" si="158"/>
        <v>19</v>
      </c>
      <c r="D489" s="661">
        <f t="shared" si="141"/>
        <v>168.02</v>
      </c>
      <c r="E489" s="661">
        <f t="shared" si="138"/>
        <v>172.25</v>
      </c>
      <c r="F489" s="661">
        <f t="shared" si="141"/>
        <v>198.03919999999999</v>
      </c>
      <c r="G489" s="661">
        <f t="shared" si="141"/>
        <v>207.94116</v>
      </c>
      <c r="H489" s="661">
        <f t="shared" si="141"/>
        <v>217.98709800000003</v>
      </c>
      <c r="I489" s="661">
        <f t="shared" si="141"/>
        <v>228.15612330000005</v>
      </c>
      <c r="J489" s="661">
        <f t="shared" si="141"/>
        <v>238.81168997700001</v>
      </c>
      <c r="K489" s="661">
        <f t="shared" si="141"/>
        <v>238.81168997700001</v>
      </c>
      <c r="L489" s="661">
        <f t="shared" si="141"/>
        <v>238.81168997700001</v>
      </c>
      <c r="M489" s="661">
        <f t="shared" si="141"/>
        <v>238.81168997700001</v>
      </c>
      <c r="N489" s="661">
        <f t="shared" si="141"/>
        <v>238.81168997700001</v>
      </c>
      <c r="O489" s="661">
        <f t="shared" si="141"/>
        <v>238.81168997700001</v>
      </c>
    </row>
    <row r="490" spans="2:15" x14ac:dyDescent="0.3">
      <c r="B490" s="663" t="str">
        <f t="shared" ref="B490:C490" si="159">B388</f>
        <v>Incorporated</v>
      </c>
      <c r="C490" s="663">
        <f t="shared" si="159"/>
        <v>20</v>
      </c>
      <c r="D490" s="661">
        <f t="shared" si="141"/>
        <v>178.36</v>
      </c>
      <c r="E490" s="661">
        <f t="shared" si="138"/>
        <v>182.85999999999999</v>
      </c>
      <c r="F490" s="661">
        <f t="shared" si="141"/>
        <v>210.11680000000001</v>
      </c>
      <c r="G490" s="661">
        <f t="shared" si="141"/>
        <v>220.62264000000002</v>
      </c>
      <c r="H490" s="661">
        <f t="shared" si="141"/>
        <v>231.28417200000004</v>
      </c>
      <c r="I490" s="661">
        <f t="shared" si="141"/>
        <v>242.07961260000002</v>
      </c>
      <c r="J490" s="661">
        <f t="shared" si="141"/>
        <v>253.39176219000004</v>
      </c>
      <c r="K490" s="661">
        <f t="shared" si="141"/>
        <v>253.39176219000004</v>
      </c>
      <c r="L490" s="661">
        <f t="shared" si="141"/>
        <v>253.39176219000004</v>
      </c>
      <c r="M490" s="661">
        <f t="shared" si="141"/>
        <v>253.39176219000004</v>
      </c>
      <c r="N490" s="661">
        <f t="shared" si="141"/>
        <v>253.39176219000004</v>
      </c>
      <c r="O490" s="661">
        <f t="shared" si="141"/>
        <v>253.39176219000004</v>
      </c>
    </row>
    <row r="491" spans="2:15" x14ac:dyDescent="0.3">
      <c r="B491" s="663" t="str">
        <f t="shared" ref="B491:C491" si="160">B389</f>
        <v>Incorporated</v>
      </c>
      <c r="C491" s="663">
        <f t="shared" si="160"/>
        <v>21</v>
      </c>
      <c r="D491" s="661">
        <f t="shared" si="141"/>
        <v>188.69999999999996</v>
      </c>
      <c r="E491" s="661">
        <f t="shared" si="138"/>
        <v>193.47</v>
      </c>
      <c r="F491" s="661">
        <f t="shared" si="141"/>
        <v>222.19440000000003</v>
      </c>
      <c r="G491" s="661">
        <f t="shared" ref="F491:O506" si="161">IF($B$470=$A$61,G81+G287+G389,IF($B$470=$A$62,G184+G287+G389,G287+G389))</f>
        <v>233.30412000000001</v>
      </c>
      <c r="H491" s="661">
        <f t="shared" si="161"/>
        <v>244.58124600000002</v>
      </c>
      <c r="I491" s="661">
        <f t="shared" si="161"/>
        <v>256.00310190000005</v>
      </c>
      <c r="J491" s="661">
        <f t="shared" si="161"/>
        <v>267.97183440300006</v>
      </c>
      <c r="K491" s="661">
        <f t="shared" si="161"/>
        <v>267.97183440300006</v>
      </c>
      <c r="L491" s="661">
        <f t="shared" si="161"/>
        <v>267.97183440300006</v>
      </c>
      <c r="M491" s="661">
        <f t="shared" si="161"/>
        <v>267.97183440300006</v>
      </c>
      <c r="N491" s="661">
        <f t="shared" si="161"/>
        <v>267.97183440300006</v>
      </c>
      <c r="O491" s="661">
        <f t="shared" si="161"/>
        <v>267.97183440300006</v>
      </c>
    </row>
    <row r="492" spans="2:15" x14ac:dyDescent="0.3">
      <c r="B492" s="663" t="str">
        <f t="shared" ref="B492:C492" si="162">B390</f>
        <v>Incorporated</v>
      </c>
      <c r="C492" s="663">
        <f t="shared" si="162"/>
        <v>22</v>
      </c>
      <c r="D492" s="661">
        <f t="shared" si="141"/>
        <v>199.03999999999996</v>
      </c>
      <c r="E492" s="661">
        <f t="shared" ref="E492" si="163">IF($B$470=$A$61,E82+E288+E390,IF($B$470=$A$62,E185+E288+E390,E288+E390))</f>
        <v>204.08</v>
      </c>
      <c r="F492" s="661">
        <f t="shared" si="161"/>
        <v>234.27200000000002</v>
      </c>
      <c r="G492" s="661">
        <f t="shared" si="161"/>
        <v>245.98560000000001</v>
      </c>
      <c r="H492" s="661">
        <f t="shared" si="161"/>
        <v>257.87832000000003</v>
      </c>
      <c r="I492" s="661">
        <f t="shared" si="161"/>
        <v>269.92659120000002</v>
      </c>
      <c r="J492" s="661">
        <f t="shared" si="161"/>
        <v>282.55190661600005</v>
      </c>
      <c r="K492" s="661">
        <f t="shared" si="161"/>
        <v>282.55190661600005</v>
      </c>
      <c r="L492" s="661">
        <f t="shared" si="161"/>
        <v>282.55190661600005</v>
      </c>
      <c r="M492" s="661">
        <f t="shared" si="161"/>
        <v>282.55190661600005</v>
      </c>
      <c r="N492" s="661">
        <f t="shared" si="161"/>
        <v>282.55190661600005</v>
      </c>
      <c r="O492" s="661">
        <f t="shared" si="161"/>
        <v>282.55190661600005</v>
      </c>
    </row>
    <row r="493" spans="2:15" x14ac:dyDescent="0.3">
      <c r="B493" s="663" t="str">
        <f t="shared" ref="B493:C493" si="164">B391</f>
        <v>Incorporated</v>
      </c>
      <c r="C493" s="663">
        <f t="shared" si="164"/>
        <v>23</v>
      </c>
      <c r="D493" s="661">
        <f t="shared" si="141"/>
        <v>209.38</v>
      </c>
      <c r="E493" s="661">
        <f t="shared" ref="E493" si="165">IF($B$470=$A$61,E83+E289+E391,IF($B$470=$A$62,E186+E289+E391,E289+E391))</f>
        <v>214.69</v>
      </c>
      <c r="F493" s="661">
        <f t="shared" si="161"/>
        <v>246.34960000000001</v>
      </c>
      <c r="G493" s="661">
        <f t="shared" si="161"/>
        <v>258.66708</v>
      </c>
      <c r="H493" s="661">
        <f t="shared" si="161"/>
        <v>271.17539400000004</v>
      </c>
      <c r="I493" s="661">
        <f t="shared" si="161"/>
        <v>283.85008050000005</v>
      </c>
      <c r="J493" s="661">
        <f t="shared" si="161"/>
        <v>297.13197882900005</v>
      </c>
      <c r="K493" s="661">
        <f t="shared" si="161"/>
        <v>297.13197882900005</v>
      </c>
      <c r="L493" s="661">
        <f t="shared" si="161"/>
        <v>297.13197882900005</v>
      </c>
      <c r="M493" s="661">
        <f t="shared" si="161"/>
        <v>297.13197882900005</v>
      </c>
      <c r="N493" s="661">
        <f t="shared" si="161"/>
        <v>297.13197882900005</v>
      </c>
      <c r="O493" s="661">
        <f t="shared" si="161"/>
        <v>297.13197882900005</v>
      </c>
    </row>
    <row r="494" spans="2:15" x14ac:dyDescent="0.3">
      <c r="B494" s="663" t="str">
        <f t="shared" ref="B494:C494" si="166">B392</f>
        <v>Incorporated</v>
      </c>
      <c r="C494" s="663">
        <f t="shared" si="166"/>
        <v>24</v>
      </c>
      <c r="D494" s="661">
        <f t="shared" si="141"/>
        <v>219.72</v>
      </c>
      <c r="E494" s="661">
        <f t="shared" ref="E494" si="167">IF($B$470=$A$61,E84+E290+E392,IF($B$470=$A$62,E187+E290+E392,E290+E392))</f>
        <v>225.29999999999998</v>
      </c>
      <c r="F494" s="661">
        <f t="shared" si="161"/>
        <v>258.42720000000003</v>
      </c>
      <c r="G494" s="661">
        <f t="shared" si="161"/>
        <v>271.34856000000002</v>
      </c>
      <c r="H494" s="661">
        <f t="shared" si="161"/>
        <v>284.47246800000005</v>
      </c>
      <c r="I494" s="661">
        <f t="shared" si="161"/>
        <v>297.77356980000002</v>
      </c>
      <c r="J494" s="661">
        <f t="shared" si="161"/>
        <v>311.71205104199998</v>
      </c>
      <c r="K494" s="661">
        <f t="shared" si="161"/>
        <v>311.71205104199998</v>
      </c>
      <c r="L494" s="661">
        <f t="shared" si="161"/>
        <v>311.71205104199998</v>
      </c>
      <c r="M494" s="661">
        <f t="shared" si="161"/>
        <v>311.71205104199998</v>
      </c>
      <c r="N494" s="661">
        <f t="shared" si="161"/>
        <v>311.71205104199998</v>
      </c>
      <c r="O494" s="661">
        <f t="shared" si="161"/>
        <v>311.71205104199998</v>
      </c>
    </row>
    <row r="495" spans="2:15" x14ac:dyDescent="0.3">
      <c r="B495" s="663" t="str">
        <f t="shared" ref="B495:C495" si="168">B393</f>
        <v>Incorporated</v>
      </c>
      <c r="C495" s="663">
        <f t="shared" si="168"/>
        <v>25</v>
      </c>
      <c r="D495" s="661">
        <f t="shared" si="141"/>
        <v>230.06</v>
      </c>
      <c r="E495" s="661">
        <f t="shared" ref="E495" si="169">IF($B$470=$A$61,E85+E291+E393,IF($B$470=$A$62,E188+E291+E393,E291+E393))</f>
        <v>235.91</v>
      </c>
      <c r="F495" s="661">
        <f t="shared" si="161"/>
        <v>270.50479999999999</v>
      </c>
      <c r="G495" s="661">
        <f t="shared" si="161"/>
        <v>284.03004000000004</v>
      </c>
      <c r="H495" s="661">
        <f t="shared" si="161"/>
        <v>297.76954200000006</v>
      </c>
      <c r="I495" s="661">
        <f t="shared" si="161"/>
        <v>311.69705910000005</v>
      </c>
      <c r="J495" s="661">
        <f t="shared" si="161"/>
        <v>326.29212325500004</v>
      </c>
      <c r="K495" s="661">
        <f t="shared" si="161"/>
        <v>326.29212325500004</v>
      </c>
      <c r="L495" s="661">
        <f t="shared" si="161"/>
        <v>326.29212325500004</v>
      </c>
      <c r="M495" s="661">
        <f t="shared" si="161"/>
        <v>326.29212325500004</v>
      </c>
      <c r="N495" s="661">
        <f t="shared" si="161"/>
        <v>326.29212325500004</v>
      </c>
      <c r="O495" s="661">
        <f t="shared" si="161"/>
        <v>326.29212325500004</v>
      </c>
    </row>
    <row r="496" spans="2:15" x14ac:dyDescent="0.3">
      <c r="B496" s="663" t="str">
        <f t="shared" ref="B496:C496" si="170">B394</f>
        <v>Incorporated</v>
      </c>
      <c r="C496" s="663">
        <f t="shared" si="170"/>
        <v>26</v>
      </c>
      <c r="D496" s="661">
        <f t="shared" si="141"/>
        <v>240.4</v>
      </c>
      <c r="E496" s="661">
        <f t="shared" ref="E496" si="171">IF($B$470=$A$61,E86+E292+E394,IF($B$470=$A$62,E189+E292+E394,E292+E394))</f>
        <v>246.52</v>
      </c>
      <c r="F496" s="661">
        <f t="shared" si="161"/>
        <v>282.58240000000001</v>
      </c>
      <c r="G496" s="661">
        <f t="shared" si="161"/>
        <v>296.71152000000001</v>
      </c>
      <c r="H496" s="661">
        <f t="shared" si="161"/>
        <v>311.06661600000001</v>
      </c>
      <c r="I496" s="661">
        <f t="shared" si="161"/>
        <v>325.62054840000008</v>
      </c>
      <c r="J496" s="661">
        <f t="shared" si="161"/>
        <v>340.87219546800003</v>
      </c>
      <c r="K496" s="661">
        <f t="shared" si="161"/>
        <v>340.87219546800003</v>
      </c>
      <c r="L496" s="661">
        <f t="shared" si="161"/>
        <v>340.87219546800003</v>
      </c>
      <c r="M496" s="661">
        <f t="shared" si="161"/>
        <v>340.87219546800003</v>
      </c>
      <c r="N496" s="661">
        <f t="shared" si="161"/>
        <v>340.87219546800003</v>
      </c>
      <c r="O496" s="661">
        <f t="shared" si="161"/>
        <v>340.87219546800003</v>
      </c>
    </row>
    <row r="497" spans="2:15" x14ac:dyDescent="0.3">
      <c r="B497" s="663" t="str">
        <f t="shared" ref="B497:C497" si="172">B395</f>
        <v>Incorporated</v>
      </c>
      <c r="C497" s="663">
        <f t="shared" si="172"/>
        <v>27</v>
      </c>
      <c r="D497" s="661">
        <f t="shared" si="141"/>
        <v>250.74</v>
      </c>
      <c r="E497" s="661">
        <f t="shared" ref="E497" si="173">IF($B$470=$A$61,E87+E293+E395,IF($B$470=$A$62,E190+E293+E395,E293+E395))</f>
        <v>257.13</v>
      </c>
      <c r="F497" s="661">
        <f t="shared" si="161"/>
        <v>294.66000000000003</v>
      </c>
      <c r="G497" s="661">
        <f t="shared" si="161"/>
        <v>309.39300000000003</v>
      </c>
      <c r="H497" s="661">
        <f t="shared" si="161"/>
        <v>324.36369000000008</v>
      </c>
      <c r="I497" s="661">
        <f t="shared" si="161"/>
        <v>339.54403770000005</v>
      </c>
      <c r="J497" s="661">
        <f t="shared" si="161"/>
        <v>355.45226768100002</v>
      </c>
      <c r="K497" s="661">
        <f t="shared" si="161"/>
        <v>355.45226768100002</v>
      </c>
      <c r="L497" s="661">
        <f t="shared" si="161"/>
        <v>355.45226768100002</v>
      </c>
      <c r="M497" s="661">
        <f t="shared" si="161"/>
        <v>355.45226768100002</v>
      </c>
      <c r="N497" s="661">
        <f t="shared" si="161"/>
        <v>355.45226768100002</v>
      </c>
      <c r="O497" s="661">
        <f t="shared" si="161"/>
        <v>355.45226768100002</v>
      </c>
    </row>
    <row r="498" spans="2:15" x14ac:dyDescent="0.3">
      <c r="B498" s="663" t="str">
        <f t="shared" ref="B498:C498" si="174">B396</f>
        <v>Incorporated</v>
      </c>
      <c r="C498" s="663">
        <f t="shared" si="174"/>
        <v>28</v>
      </c>
      <c r="D498" s="661">
        <f t="shared" si="141"/>
        <v>261.08</v>
      </c>
      <c r="E498" s="661">
        <f t="shared" ref="E498" si="175">IF($B$470=$A$61,E88+E294+E396,IF($B$470=$A$62,E191+E294+E396,E294+E396))</f>
        <v>267.74</v>
      </c>
      <c r="F498" s="661">
        <f t="shared" si="161"/>
        <v>306.73760000000004</v>
      </c>
      <c r="G498" s="661">
        <f t="shared" si="161"/>
        <v>322.07447999999999</v>
      </c>
      <c r="H498" s="661">
        <f t="shared" si="161"/>
        <v>337.66076400000003</v>
      </c>
      <c r="I498" s="661">
        <f t="shared" si="161"/>
        <v>353.46752700000002</v>
      </c>
      <c r="J498" s="661">
        <f t="shared" si="161"/>
        <v>370.03233989400007</v>
      </c>
      <c r="K498" s="661">
        <f t="shared" si="161"/>
        <v>370.03233989400007</v>
      </c>
      <c r="L498" s="661">
        <f t="shared" si="161"/>
        <v>370.03233989400007</v>
      </c>
      <c r="M498" s="661">
        <f t="shared" si="161"/>
        <v>370.03233989400007</v>
      </c>
      <c r="N498" s="661">
        <f t="shared" si="161"/>
        <v>370.03233989400007</v>
      </c>
      <c r="O498" s="661">
        <f t="shared" si="161"/>
        <v>370.03233989400007</v>
      </c>
    </row>
    <row r="499" spans="2:15" x14ac:dyDescent="0.3">
      <c r="B499" s="663" t="str">
        <f t="shared" ref="B499:C499" si="176">B397</f>
        <v>Incorporated</v>
      </c>
      <c r="C499" s="663">
        <f t="shared" si="176"/>
        <v>29</v>
      </c>
      <c r="D499" s="661">
        <f t="shared" si="141"/>
        <v>271.41999999999996</v>
      </c>
      <c r="E499" s="661">
        <f t="shared" ref="E499" si="177">IF($B$470=$A$61,E89+E295+E397,IF($B$470=$A$62,E192+E295+E397,E295+E397))</f>
        <v>278.35000000000002</v>
      </c>
      <c r="F499" s="661">
        <f t="shared" si="161"/>
        <v>318.81520000000006</v>
      </c>
      <c r="G499" s="661">
        <f t="shared" si="161"/>
        <v>334.75596000000002</v>
      </c>
      <c r="H499" s="661">
        <f t="shared" si="161"/>
        <v>350.95783800000004</v>
      </c>
      <c r="I499" s="661">
        <f t="shared" si="161"/>
        <v>367.3910163000001</v>
      </c>
      <c r="J499" s="661">
        <f t="shared" si="161"/>
        <v>384.61241210700007</v>
      </c>
      <c r="K499" s="661">
        <f t="shared" si="161"/>
        <v>384.61241210700007</v>
      </c>
      <c r="L499" s="661">
        <f t="shared" si="161"/>
        <v>384.61241210700007</v>
      </c>
      <c r="M499" s="661">
        <f t="shared" si="161"/>
        <v>384.61241210700007</v>
      </c>
      <c r="N499" s="661">
        <f t="shared" si="161"/>
        <v>384.61241210700007</v>
      </c>
      <c r="O499" s="661">
        <f t="shared" si="161"/>
        <v>384.61241210700007</v>
      </c>
    </row>
    <row r="500" spans="2:15" x14ac:dyDescent="0.3">
      <c r="B500" s="663" t="str">
        <f t="shared" ref="B500:C500" si="178">B398</f>
        <v>Incorporated</v>
      </c>
      <c r="C500" s="663">
        <f t="shared" si="178"/>
        <v>30</v>
      </c>
      <c r="D500" s="661">
        <f t="shared" si="141"/>
        <v>281.76</v>
      </c>
      <c r="E500" s="661">
        <f t="shared" ref="E500" si="179">IF($B$470=$A$61,E90+E296+E398,IF($B$470=$A$62,E193+E296+E398,E296+E398))</f>
        <v>288.95999999999998</v>
      </c>
      <c r="F500" s="661">
        <f t="shared" si="161"/>
        <v>330.89280000000002</v>
      </c>
      <c r="G500" s="661">
        <f t="shared" si="161"/>
        <v>347.43744000000004</v>
      </c>
      <c r="H500" s="661">
        <f t="shared" si="161"/>
        <v>364.25491200000005</v>
      </c>
      <c r="I500" s="661">
        <f t="shared" si="161"/>
        <v>381.31450560000007</v>
      </c>
      <c r="J500" s="661">
        <f t="shared" si="161"/>
        <v>399.19248432000001</v>
      </c>
      <c r="K500" s="661">
        <f t="shared" si="161"/>
        <v>399.19248432000001</v>
      </c>
      <c r="L500" s="661">
        <f t="shared" si="161"/>
        <v>399.19248432000001</v>
      </c>
      <c r="M500" s="661">
        <f t="shared" si="161"/>
        <v>399.19248432000001</v>
      </c>
      <c r="N500" s="661">
        <f t="shared" si="161"/>
        <v>399.19248432000001</v>
      </c>
      <c r="O500" s="661">
        <f t="shared" si="161"/>
        <v>399.19248432000001</v>
      </c>
    </row>
    <row r="501" spans="2:15" x14ac:dyDescent="0.3">
      <c r="B501" s="663" t="str">
        <f t="shared" ref="B501:C501" si="180">B399</f>
        <v>Incorporated</v>
      </c>
      <c r="C501" s="663">
        <f t="shared" si="180"/>
        <v>31</v>
      </c>
      <c r="D501" s="661">
        <f t="shared" si="141"/>
        <v>292.10000000000002</v>
      </c>
      <c r="E501" s="661">
        <f t="shared" ref="E501" si="181">IF($B$470=$A$61,E91+E297+E399,IF($B$470=$A$62,E194+E297+E399,E297+E399))</f>
        <v>299.57</v>
      </c>
      <c r="F501" s="661">
        <f t="shared" si="161"/>
        <v>342.97039999999998</v>
      </c>
      <c r="G501" s="661">
        <f t="shared" si="161"/>
        <v>360.11892</v>
      </c>
      <c r="H501" s="661">
        <f t="shared" si="161"/>
        <v>377.55198600000006</v>
      </c>
      <c r="I501" s="661">
        <f t="shared" si="161"/>
        <v>395.23799490000005</v>
      </c>
      <c r="J501" s="661">
        <f t="shared" si="161"/>
        <v>413.77255653300006</v>
      </c>
      <c r="K501" s="661">
        <f t="shared" si="161"/>
        <v>413.77255653300006</v>
      </c>
      <c r="L501" s="661">
        <f t="shared" si="161"/>
        <v>413.77255653300006</v>
      </c>
      <c r="M501" s="661">
        <f t="shared" si="161"/>
        <v>413.77255653300006</v>
      </c>
      <c r="N501" s="661">
        <f t="shared" si="161"/>
        <v>413.77255653300006</v>
      </c>
      <c r="O501" s="661">
        <f t="shared" si="161"/>
        <v>413.77255653300006</v>
      </c>
    </row>
    <row r="502" spans="2:15" x14ac:dyDescent="0.3">
      <c r="B502" s="663" t="str">
        <f t="shared" ref="B502:C502" si="182">B400</f>
        <v>Incorporated</v>
      </c>
      <c r="C502" s="663">
        <f t="shared" si="182"/>
        <v>32</v>
      </c>
      <c r="D502" s="661">
        <f t="shared" si="141"/>
        <v>302.44</v>
      </c>
      <c r="E502" s="661">
        <f t="shared" ref="E502" si="183">IF($B$470=$A$61,E92+E298+E400,IF($B$470=$A$62,E195+E298+E400,E298+E400))</f>
        <v>310.18</v>
      </c>
      <c r="F502" s="661">
        <f t="shared" si="161"/>
        <v>355.04799999999994</v>
      </c>
      <c r="G502" s="661">
        <f t="shared" si="161"/>
        <v>372.80040000000002</v>
      </c>
      <c r="H502" s="661">
        <f t="shared" si="161"/>
        <v>390.84906000000001</v>
      </c>
      <c r="I502" s="661">
        <f t="shared" si="161"/>
        <v>409.16148420000013</v>
      </c>
      <c r="J502" s="661">
        <f t="shared" si="161"/>
        <v>428.35262874600005</v>
      </c>
      <c r="K502" s="661">
        <f t="shared" si="161"/>
        <v>428.35262874600005</v>
      </c>
      <c r="L502" s="661">
        <f t="shared" si="161"/>
        <v>428.35262874600005</v>
      </c>
      <c r="M502" s="661">
        <f t="shared" si="161"/>
        <v>428.35262874600005</v>
      </c>
      <c r="N502" s="661">
        <f t="shared" si="161"/>
        <v>428.35262874600005</v>
      </c>
      <c r="O502" s="661">
        <f t="shared" si="161"/>
        <v>428.35262874600005</v>
      </c>
    </row>
    <row r="503" spans="2:15" x14ac:dyDescent="0.3">
      <c r="B503" s="663" t="str">
        <f t="shared" ref="B503:C503" si="184">B401</f>
        <v>Incorporated</v>
      </c>
      <c r="C503" s="663">
        <f t="shared" si="184"/>
        <v>33</v>
      </c>
      <c r="D503" s="661">
        <f t="shared" si="141"/>
        <v>312.78000000000003</v>
      </c>
      <c r="E503" s="661">
        <f t="shared" ref="E503" si="185">IF($B$470=$A$61,E93+E299+E401,IF($B$470=$A$62,E196+E299+E401,E299+E401))</f>
        <v>320.79000000000002</v>
      </c>
      <c r="F503" s="661">
        <f t="shared" si="161"/>
        <v>367.12560000000002</v>
      </c>
      <c r="G503" s="661">
        <f t="shared" si="161"/>
        <v>385.48187999999999</v>
      </c>
      <c r="H503" s="661">
        <f t="shared" si="161"/>
        <v>404.14613400000002</v>
      </c>
      <c r="I503" s="661">
        <f t="shared" si="161"/>
        <v>423.0849735000001</v>
      </c>
      <c r="J503" s="661">
        <f t="shared" si="161"/>
        <v>442.93270095900004</v>
      </c>
      <c r="K503" s="661">
        <f t="shared" si="161"/>
        <v>442.93270095900004</v>
      </c>
      <c r="L503" s="661">
        <f t="shared" si="161"/>
        <v>442.93270095900004</v>
      </c>
      <c r="M503" s="661">
        <f t="shared" si="161"/>
        <v>442.93270095900004</v>
      </c>
      <c r="N503" s="661">
        <f t="shared" si="161"/>
        <v>442.93270095900004</v>
      </c>
      <c r="O503" s="661">
        <f t="shared" si="161"/>
        <v>442.93270095900004</v>
      </c>
    </row>
    <row r="504" spans="2:15" x14ac:dyDescent="0.3">
      <c r="B504" s="663" t="str">
        <f t="shared" ref="B504:C504" si="186">B402</f>
        <v>Incorporated</v>
      </c>
      <c r="C504" s="663">
        <f t="shared" si="186"/>
        <v>34</v>
      </c>
      <c r="D504" s="661">
        <f t="shared" si="141"/>
        <v>323.12</v>
      </c>
      <c r="E504" s="661">
        <f t="shared" ref="E504" si="187">IF($B$470=$A$61,E94+E300+E402,IF($B$470=$A$62,E197+E300+E402,E300+E402))</f>
        <v>331.40000000000003</v>
      </c>
      <c r="F504" s="661">
        <f t="shared" si="161"/>
        <v>379.20320000000004</v>
      </c>
      <c r="G504" s="661">
        <f t="shared" si="161"/>
        <v>398.16335999999995</v>
      </c>
      <c r="H504" s="661">
        <f t="shared" si="161"/>
        <v>417.44320800000003</v>
      </c>
      <c r="I504" s="661">
        <f t="shared" si="161"/>
        <v>437.00846280000007</v>
      </c>
      <c r="J504" s="661">
        <f t="shared" si="161"/>
        <v>457.5127731720001</v>
      </c>
      <c r="K504" s="661">
        <f t="shared" si="161"/>
        <v>457.5127731720001</v>
      </c>
      <c r="L504" s="661">
        <f t="shared" si="161"/>
        <v>457.5127731720001</v>
      </c>
      <c r="M504" s="661">
        <f t="shared" si="161"/>
        <v>457.5127731720001</v>
      </c>
      <c r="N504" s="661">
        <f t="shared" si="161"/>
        <v>457.5127731720001</v>
      </c>
      <c r="O504" s="661">
        <f t="shared" si="161"/>
        <v>457.5127731720001</v>
      </c>
    </row>
    <row r="505" spans="2:15" x14ac:dyDescent="0.3">
      <c r="B505" s="663" t="str">
        <f t="shared" ref="B505:C505" si="188">B403</f>
        <v>Incorporated</v>
      </c>
      <c r="C505" s="663">
        <f t="shared" si="188"/>
        <v>35</v>
      </c>
      <c r="D505" s="661">
        <f t="shared" si="141"/>
        <v>333.46</v>
      </c>
      <c r="E505" s="661">
        <f t="shared" ref="E505" si="189">IF($B$470=$A$61,E95+E301+E403,IF($B$470=$A$62,E198+E301+E403,E301+E403))</f>
        <v>342.01</v>
      </c>
      <c r="F505" s="661">
        <f t="shared" si="161"/>
        <v>391.2808</v>
      </c>
      <c r="G505" s="661">
        <f t="shared" si="161"/>
        <v>410.84483999999998</v>
      </c>
      <c r="H505" s="661">
        <f t="shared" si="161"/>
        <v>430.74028200000009</v>
      </c>
      <c r="I505" s="661">
        <f t="shared" si="161"/>
        <v>450.93195210000005</v>
      </c>
      <c r="J505" s="661">
        <f t="shared" si="161"/>
        <v>472.09284538500003</v>
      </c>
      <c r="K505" s="661">
        <f t="shared" si="161"/>
        <v>472.09284538500003</v>
      </c>
      <c r="L505" s="661">
        <f t="shared" si="161"/>
        <v>472.09284538500003</v>
      </c>
      <c r="M505" s="661">
        <f t="shared" si="161"/>
        <v>472.09284538500003</v>
      </c>
      <c r="N505" s="661">
        <f t="shared" si="161"/>
        <v>472.09284538500003</v>
      </c>
      <c r="O505" s="661">
        <f t="shared" si="161"/>
        <v>472.09284538500003</v>
      </c>
    </row>
    <row r="506" spans="2:15" x14ac:dyDescent="0.3">
      <c r="B506" s="663" t="str">
        <f t="shared" ref="B506:C506" si="190">B404</f>
        <v>Incorporated</v>
      </c>
      <c r="C506" s="663">
        <f t="shared" si="190"/>
        <v>36</v>
      </c>
      <c r="D506" s="661">
        <f t="shared" si="141"/>
        <v>343.8</v>
      </c>
      <c r="E506" s="661">
        <f t="shared" ref="E506" si="191">IF($B$470=$A$61,E96+E302+E404,IF($B$470=$A$62,E199+E302+E404,E302+E404))</f>
        <v>352.61999999999995</v>
      </c>
      <c r="F506" s="661">
        <f t="shared" si="161"/>
        <v>403.35840000000002</v>
      </c>
      <c r="G506" s="661">
        <f t="shared" si="161"/>
        <v>423.52632</v>
      </c>
      <c r="H506" s="661">
        <f t="shared" si="161"/>
        <v>444.03735600000005</v>
      </c>
      <c r="I506" s="661">
        <f t="shared" si="161"/>
        <v>464.85544140000013</v>
      </c>
      <c r="J506" s="661">
        <f t="shared" si="161"/>
        <v>486.67291759800008</v>
      </c>
      <c r="K506" s="661">
        <f t="shared" si="161"/>
        <v>486.67291759800008</v>
      </c>
      <c r="L506" s="661">
        <f t="shared" si="161"/>
        <v>486.67291759800008</v>
      </c>
      <c r="M506" s="661">
        <f t="shared" si="161"/>
        <v>486.67291759800008</v>
      </c>
      <c r="N506" s="661">
        <f t="shared" si="161"/>
        <v>486.67291759800008</v>
      </c>
      <c r="O506" s="661">
        <f t="shared" si="161"/>
        <v>486.67291759800008</v>
      </c>
    </row>
    <row r="507" spans="2:15" x14ac:dyDescent="0.3">
      <c r="B507" s="663" t="str">
        <f t="shared" ref="B507:C507" si="192">B405</f>
        <v>Incorporated</v>
      </c>
      <c r="C507" s="663">
        <f t="shared" si="192"/>
        <v>37</v>
      </c>
      <c r="D507" s="661">
        <f t="shared" si="141"/>
        <v>354.14</v>
      </c>
      <c r="E507" s="661">
        <f t="shared" ref="E507" si="193">IF($B$470=$A$61,E97+E303+E405,IF($B$470=$A$62,E200+E303+E405,E303+E405))</f>
        <v>363.23</v>
      </c>
      <c r="F507" s="661">
        <f t="shared" ref="F507:O522" si="194">IF($B$470=$A$61,F97+F303+F405,IF($B$470=$A$62,F200+F303+F405,F303+F405))</f>
        <v>415.43599999999998</v>
      </c>
      <c r="G507" s="661">
        <f t="shared" si="194"/>
        <v>436.20780000000002</v>
      </c>
      <c r="H507" s="661">
        <f t="shared" si="194"/>
        <v>457.33443</v>
      </c>
      <c r="I507" s="661">
        <f t="shared" si="194"/>
        <v>478.77893070000005</v>
      </c>
      <c r="J507" s="661">
        <f t="shared" si="194"/>
        <v>501.25298981100002</v>
      </c>
      <c r="K507" s="661">
        <f t="shared" si="194"/>
        <v>501.25298981100002</v>
      </c>
      <c r="L507" s="661">
        <f t="shared" si="194"/>
        <v>501.25298981100002</v>
      </c>
      <c r="M507" s="661">
        <f t="shared" si="194"/>
        <v>501.25298981100002</v>
      </c>
      <c r="N507" s="661">
        <f t="shared" si="194"/>
        <v>501.25298981100002</v>
      </c>
      <c r="O507" s="661">
        <f t="shared" si="194"/>
        <v>501.25298981100002</v>
      </c>
    </row>
    <row r="508" spans="2:15" x14ac:dyDescent="0.3">
      <c r="B508" s="663" t="str">
        <f t="shared" ref="B508:C508" si="195">B406</f>
        <v>Incorporated</v>
      </c>
      <c r="C508" s="663">
        <f t="shared" si="195"/>
        <v>38</v>
      </c>
      <c r="D508" s="661">
        <f t="shared" si="141"/>
        <v>364.48</v>
      </c>
      <c r="E508" s="661">
        <f t="shared" ref="E508" si="196">IF($B$470=$A$61,E98+E304+E406,IF($B$470=$A$62,E201+E304+E406,E304+E406))</f>
        <v>373.84000000000003</v>
      </c>
      <c r="F508" s="661">
        <f t="shared" si="194"/>
        <v>427.5136</v>
      </c>
      <c r="G508" s="661">
        <f t="shared" si="194"/>
        <v>448.88927999999999</v>
      </c>
      <c r="H508" s="661">
        <f t="shared" si="194"/>
        <v>470.63150400000006</v>
      </c>
      <c r="I508" s="661">
        <f t="shared" si="194"/>
        <v>492.70242000000013</v>
      </c>
      <c r="J508" s="661">
        <f t="shared" si="194"/>
        <v>515.83306202400001</v>
      </c>
      <c r="K508" s="661">
        <f t="shared" si="194"/>
        <v>515.83306202400001</v>
      </c>
      <c r="L508" s="661">
        <f t="shared" si="194"/>
        <v>515.83306202400001</v>
      </c>
      <c r="M508" s="661">
        <f t="shared" si="194"/>
        <v>515.83306202400001</v>
      </c>
      <c r="N508" s="661">
        <f t="shared" si="194"/>
        <v>515.83306202400001</v>
      </c>
      <c r="O508" s="661">
        <f t="shared" si="194"/>
        <v>515.83306202400001</v>
      </c>
    </row>
    <row r="509" spans="2:15" x14ac:dyDescent="0.3">
      <c r="B509" s="663" t="str">
        <f t="shared" ref="B509:C509" si="197">B407</f>
        <v>Incorporated</v>
      </c>
      <c r="C509" s="663">
        <f t="shared" si="197"/>
        <v>39</v>
      </c>
      <c r="D509" s="661">
        <f t="shared" si="141"/>
        <v>374.82</v>
      </c>
      <c r="E509" s="661">
        <f t="shared" ref="E509" si="198">IF($B$470=$A$61,E99+E305+E407,IF($B$470=$A$62,E202+E305+E407,E305+E407))</f>
        <v>384.45000000000005</v>
      </c>
      <c r="F509" s="661">
        <f t="shared" si="194"/>
        <v>439.59120000000001</v>
      </c>
      <c r="G509" s="661">
        <f t="shared" si="194"/>
        <v>461.57076000000001</v>
      </c>
      <c r="H509" s="661">
        <f t="shared" si="194"/>
        <v>483.92857800000007</v>
      </c>
      <c r="I509" s="661">
        <f t="shared" si="194"/>
        <v>506.6259093000001</v>
      </c>
      <c r="J509" s="661">
        <f t="shared" si="194"/>
        <v>530.41313423700012</v>
      </c>
      <c r="K509" s="661">
        <f t="shared" si="194"/>
        <v>530.41313423700012</v>
      </c>
      <c r="L509" s="661">
        <f t="shared" si="194"/>
        <v>530.41313423700012</v>
      </c>
      <c r="M509" s="661">
        <f t="shared" si="194"/>
        <v>530.41313423700012</v>
      </c>
      <c r="N509" s="661">
        <f t="shared" si="194"/>
        <v>530.41313423700012</v>
      </c>
      <c r="O509" s="661">
        <f t="shared" si="194"/>
        <v>530.41313423700012</v>
      </c>
    </row>
    <row r="510" spans="2:15" x14ac:dyDescent="0.3">
      <c r="B510" s="663" t="str">
        <f t="shared" ref="B510:C510" si="199">B408</f>
        <v>Incorporated</v>
      </c>
      <c r="C510" s="663">
        <f t="shared" si="199"/>
        <v>40</v>
      </c>
      <c r="D510" s="661">
        <f t="shared" si="141"/>
        <v>385.16</v>
      </c>
      <c r="E510" s="661">
        <f t="shared" ref="E510" si="200">IF($B$470=$A$61,E100+E306+E408,IF($B$470=$A$62,E203+E306+E408,E306+E408))</f>
        <v>395.05999999999995</v>
      </c>
      <c r="F510" s="661">
        <f t="shared" si="194"/>
        <v>451.66880000000003</v>
      </c>
      <c r="G510" s="661">
        <f t="shared" si="194"/>
        <v>474.25224000000003</v>
      </c>
      <c r="H510" s="661">
        <f t="shared" si="194"/>
        <v>497.22565200000008</v>
      </c>
      <c r="I510" s="661">
        <f t="shared" si="194"/>
        <v>520.54939860000002</v>
      </c>
      <c r="J510" s="661">
        <f t="shared" si="194"/>
        <v>544.99320645000012</v>
      </c>
      <c r="K510" s="661">
        <f t="shared" si="194"/>
        <v>544.99320645000012</v>
      </c>
      <c r="L510" s="661">
        <f t="shared" si="194"/>
        <v>544.99320645000012</v>
      </c>
      <c r="M510" s="661">
        <f t="shared" si="194"/>
        <v>544.99320645000012</v>
      </c>
      <c r="N510" s="661">
        <f t="shared" si="194"/>
        <v>544.99320645000012</v>
      </c>
      <c r="O510" s="661">
        <f t="shared" si="194"/>
        <v>544.99320645000012</v>
      </c>
    </row>
    <row r="511" spans="2:15" x14ac:dyDescent="0.3">
      <c r="B511" s="663" t="str">
        <f t="shared" ref="B511:C511" si="201">B409</f>
        <v>Incorporated</v>
      </c>
      <c r="C511" s="663">
        <f t="shared" si="201"/>
        <v>41</v>
      </c>
      <c r="D511" s="661">
        <f t="shared" si="141"/>
        <v>395.5</v>
      </c>
      <c r="E511" s="661">
        <f t="shared" ref="E511" si="202">IF($B$470=$A$61,E101+E307+E409,IF($B$470=$A$62,E204+E307+E409,E307+E409))</f>
        <v>405.66999999999996</v>
      </c>
      <c r="F511" s="661">
        <f t="shared" si="194"/>
        <v>463.74639999999999</v>
      </c>
      <c r="G511" s="661">
        <f t="shared" si="194"/>
        <v>486.93371999999999</v>
      </c>
      <c r="H511" s="661">
        <f t="shared" si="194"/>
        <v>510.52272600000003</v>
      </c>
      <c r="I511" s="661">
        <f t="shared" si="194"/>
        <v>534.47288790000005</v>
      </c>
      <c r="J511" s="661">
        <f t="shared" si="194"/>
        <v>559.57327866300011</v>
      </c>
      <c r="K511" s="661">
        <f t="shared" si="194"/>
        <v>559.57327866300011</v>
      </c>
      <c r="L511" s="661">
        <f t="shared" si="194"/>
        <v>559.57327866300011</v>
      </c>
      <c r="M511" s="661">
        <f t="shared" si="194"/>
        <v>559.57327866300011</v>
      </c>
      <c r="N511" s="661">
        <f t="shared" si="194"/>
        <v>559.57327866300011</v>
      </c>
      <c r="O511" s="661">
        <f t="shared" si="194"/>
        <v>559.57327866300011</v>
      </c>
    </row>
    <row r="512" spans="2:15" x14ac:dyDescent="0.3">
      <c r="B512" s="663" t="str">
        <f t="shared" ref="B512:C512" si="203">B410</f>
        <v>Incorporated</v>
      </c>
      <c r="C512" s="663">
        <f t="shared" si="203"/>
        <v>42</v>
      </c>
      <c r="D512" s="661">
        <f t="shared" si="141"/>
        <v>405.84</v>
      </c>
      <c r="E512" s="661">
        <f t="shared" ref="E512" si="204">IF($B$470=$A$61,E102+E308+E410,IF($B$470=$A$62,E205+E308+E410,E308+E410))</f>
        <v>416.28000000000003</v>
      </c>
      <c r="F512" s="661">
        <f t="shared" si="194"/>
        <v>475.82400000000001</v>
      </c>
      <c r="G512" s="661">
        <f t="shared" si="194"/>
        <v>499.61520000000002</v>
      </c>
      <c r="H512" s="661">
        <f t="shared" si="194"/>
        <v>523.81979999999999</v>
      </c>
      <c r="I512" s="661">
        <f t="shared" si="194"/>
        <v>548.39637720000007</v>
      </c>
      <c r="J512" s="661">
        <f t="shared" si="194"/>
        <v>574.1533508760001</v>
      </c>
      <c r="K512" s="661">
        <f t="shared" si="194"/>
        <v>574.1533508760001</v>
      </c>
      <c r="L512" s="661">
        <f t="shared" si="194"/>
        <v>574.1533508760001</v>
      </c>
      <c r="M512" s="661">
        <f t="shared" si="194"/>
        <v>574.1533508760001</v>
      </c>
      <c r="N512" s="661">
        <f t="shared" si="194"/>
        <v>574.1533508760001</v>
      </c>
      <c r="O512" s="661">
        <f t="shared" si="194"/>
        <v>574.1533508760001</v>
      </c>
    </row>
    <row r="513" spans="2:15" x14ac:dyDescent="0.3">
      <c r="B513" s="663" t="str">
        <f t="shared" ref="B513:C513" si="205">B411</f>
        <v>Incorporated</v>
      </c>
      <c r="C513" s="663">
        <f t="shared" si="205"/>
        <v>43</v>
      </c>
      <c r="D513" s="661">
        <f t="shared" si="141"/>
        <v>416.17999999999995</v>
      </c>
      <c r="E513" s="661">
        <f t="shared" ref="E513" si="206">IF($B$470=$A$61,E103+E309+E411,IF($B$470=$A$62,E206+E309+E411,E309+E411))</f>
        <v>426.89000000000004</v>
      </c>
      <c r="F513" s="661">
        <f t="shared" si="194"/>
        <v>487.90159999999997</v>
      </c>
      <c r="G513" s="661">
        <f t="shared" si="194"/>
        <v>512.29667999999992</v>
      </c>
      <c r="H513" s="661">
        <f t="shared" si="194"/>
        <v>537.11687400000005</v>
      </c>
      <c r="I513" s="661">
        <f t="shared" si="194"/>
        <v>562.3198665000001</v>
      </c>
      <c r="J513" s="661">
        <f t="shared" si="194"/>
        <v>588.73342308899998</v>
      </c>
      <c r="K513" s="661">
        <f t="shared" si="194"/>
        <v>588.73342308899998</v>
      </c>
      <c r="L513" s="661">
        <f t="shared" si="194"/>
        <v>588.73342308899998</v>
      </c>
      <c r="M513" s="661">
        <f t="shared" si="194"/>
        <v>588.73342308899998</v>
      </c>
      <c r="N513" s="661">
        <f t="shared" si="194"/>
        <v>588.73342308899998</v>
      </c>
      <c r="O513" s="661">
        <f t="shared" si="194"/>
        <v>588.73342308899998</v>
      </c>
    </row>
    <row r="514" spans="2:15" x14ac:dyDescent="0.3">
      <c r="B514" s="663" t="str">
        <f t="shared" ref="B514:C514" si="207">B412</f>
        <v>Incorporated</v>
      </c>
      <c r="C514" s="663">
        <f t="shared" si="207"/>
        <v>44</v>
      </c>
      <c r="D514" s="661">
        <f t="shared" si="141"/>
        <v>426.52</v>
      </c>
      <c r="E514" s="661">
        <f t="shared" ref="E514" si="208">IF($B$470=$A$61,E104+E310+E412,IF($B$470=$A$62,E207+E310+E412,E310+E412))</f>
        <v>437.5</v>
      </c>
      <c r="F514" s="661">
        <f t="shared" si="194"/>
        <v>499.97920000000005</v>
      </c>
      <c r="G514" s="661">
        <f t="shared" si="194"/>
        <v>524.97816</v>
      </c>
      <c r="H514" s="661">
        <f t="shared" si="194"/>
        <v>550.41394800000012</v>
      </c>
      <c r="I514" s="661">
        <f t="shared" si="194"/>
        <v>576.24335580000002</v>
      </c>
      <c r="J514" s="661">
        <f t="shared" si="194"/>
        <v>603.31349530200009</v>
      </c>
      <c r="K514" s="661">
        <f t="shared" si="194"/>
        <v>603.31349530200009</v>
      </c>
      <c r="L514" s="661">
        <f t="shared" si="194"/>
        <v>603.31349530200009</v>
      </c>
      <c r="M514" s="661">
        <f t="shared" si="194"/>
        <v>603.31349530200009</v>
      </c>
      <c r="N514" s="661">
        <f t="shared" si="194"/>
        <v>603.31349530200009</v>
      </c>
      <c r="O514" s="661">
        <f t="shared" si="194"/>
        <v>603.31349530200009</v>
      </c>
    </row>
    <row r="515" spans="2:15" x14ac:dyDescent="0.3">
      <c r="B515" s="663" t="str">
        <f t="shared" ref="B515:C515" si="209">B413</f>
        <v>Incorporated</v>
      </c>
      <c r="C515" s="663">
        <f t="shared" si="209"/>
        <v>45</v>
      </c>
      <c r="D515" s="661">
        <f t="shared" si="141"/>
        <v>436.86</v>
      </c>
      <c r="E515" s="661">
        <f t="shared" ref="E515" si="210">IF($B$470=$A$61,E105+E311+E413,IF($B$470=$A$62,E208+E311+E413,E311+E413))</f>
        <v>448.10999999999996</v>
      </c>
      <c r="F515" s="661">
        <f t="shared" si="194"/>
        <v>512.05680000000007</v>
      </c>
      <c r="G515" s="661">
        <f t="shared" si="194"/>
        <v>537.65963999999997</v>
      </c>
      <c r="H515" s="661">
        <f t="shared" si="194"/>
        <v>563.71102200000007</v>
      </c>
      <c r="I515" s="661">
        <f t="shared" si="194"/>
        <v>590.16684510000016</v>
      </c>
      <c r="J515" s="661">
        <f t="shared" si="194"/>
        <v>617.89356751500009</v>
      </c>
      <c r="K515" s="661">
        <f t="shared" si="194"/>
        <v>617.89356751500009</v>
      </c>
      <c r="L515" s="661">
        <f t="shared" si="194"/>
        <v>617.89356751500009</v>
      </c>
      <c r="M515" s="661">
        <f t="shared" si="194"/>
        <v>617.89356751500009</v>
      </c>
      <c r="N515" s="661">
        <f t="shared" si="194"/>
        <v>617.89356751500009</v>
      </c>
      <c r="O515" s="661">
        <f t="shared" si="194"/>
        <v>617.89356751500009</v>
      </c>
    </row>
    <row r="516" spans="2:15" x14ac:dyDescent="0.3">
      <c r="B516" s="663" t="str">
        <f t="shared" ref="B516:C516" si="211">B414</f>
        <v>Incorporated</v>
      </c>
      <c r="C516" s="663">
        <f t="shared" si="211"/>
        <v>46</v>
      </c>
      <c r="D516" s="661">
        <f t="shared" si="141"/>
        <v>447.2</v>
      </c>
      <c r="E516" s="661">
        <f t="shared" ref="E516" si="212">IF($B$470=$A$61,E106+E312+E414,IF($B$470=$A$62,E209+E312+E414,E312+E414))</f>
        <v>458.71999999999997</v>
      </c>
      <c r="F516" s="661">
        <f t="shared" si="194"/>
        <v>524.13440000000003</v>
      </c>
      <c r="G516" s="661">
        <f t="shared" si="194"/>
        <v>550.34112000000005</v>
      </c>
      <c r="H516" s="661">
        <f t="shared" si="194"/>
        <v>577.00809600000002</v>
      </c>
      <c r="I516" s="661">
        <f t="shared" si="194"/>
        <v>604.09033440000007</v>
      </c>
      <c r="J516" s="661">
        <f t="shared" si="194"/>
        <v>632.47363972800008</v>
      </c>
      <c r="K516" s="661">
        <f t="shared" si="194"/>
        <v>632.47363972800008</v>
      </c>
      <c r="L516" s="661">
        <f t="shared" si="194"/>
        <v>632.47363972800008</v>
      </c>
      <c r="M516" s="661">
        <f t="shared" si="194"/>
        <v>632.47363972800008</v>
      </c>
      <c r="N516" s="661">
        <f t="shared" si="194"/>
        <v>632.47363972800008</v>
      </c>
      <c r="O516" s="661">
        <f t="shared" si="194"/>
        <v>632.47363972800008</v>
      </c>
    </row>
    <row r="517" spans="2:15" x14ac:dyDescent="0.3">
      <c r="B517" s="663" t="str">
        <f t="shared" ref="B517:C517" si="213">B415</f>
        <v>Incorporated</v>
      </c>
      <c r="C517" s="663">
        <f t="shared" si="213"/>
        <v>47</v>
      </c>
      <c r="D517" s="661">
        <f t="shared" si="141"/>
        <v>457.54</v>
      </c>
      <c r="E517" s="661">
        <f t="shared" ref="E517" si="214">IF($B$470=$A$61,E107+E313+E415,IF($B$470=$A$62,E210+E313+E415,E313+E415))</f>
        <v>469.33000000000004</v>
      </c>
      <c r="F517" s="661">
        <f t="shared" si="194"/>
        <v>536.21199999999999</v>
      </c>
      <c r="G517" s="661">
        <f t="shared" si="194"/>
        <v>563.02260000000001</v>
      </c>
      <c r="H517" s="661">
        <f t="shared" si="194"/>
        <v>590.30517000000009</v>
      </c>
      <c r="I517" s="661">
        <f t="shared" si="194"/>
        <v>618.0138237000001</v>
      </c>
      <c r="J517" s="661">
        <f t="shared" si="194"/>
        <v>647.05371194100007</v>
      </c>
      <c r="K517" s="661">
        <f t="shared" si="194"/>
        <v>647.05371194100007</v>
      </c>
      <c r="L517" s="661">
        <f t="shared" si="194"/>
        <v>647.05371194100007</v>
      </c>
      <c r="M517" s="661">
        <f t="shared" si="194"/>
        <v>647.05371194100007</v>
      </c>
      <c r="N517" s="661">
        <f t="shared" si="194"/>
        <v>647.05371194100007</v>
      </c>
      <c r="O517" s="661">
        <f t="shared" si="194"/>
        <v>647.05371194100007</v>
      </c>
    </row>
    <row r="518" spans="2:15" x14ac:dyDescent="0.3">
      <c r="B518" s="663" t="str">
        <f t="shared" ref="B518:C518" si="215">B416</f>
        <v>Incorporated</v>
      </c>
      <c r="C518" s="663">
        <f t="shared" si="215"/>
        <v>48</v>
      </c>
      <c r="D518" s="661">
        <f t="shared" si="141"/>
        <v>467.87999999999994</v>
      </c>
      <c r="E518" s="661">
        <f t="shared" ref="E518" si="216">IF($B$470=$A$61,E108+E314+E416,IF($B$470=$A$62,E211+E314+E416,E314+E416))</f>
        <v>479.94</v>
      </c>
      <c r="F518" s="661">
        <f t="shared" si="194"/>
        <v>548.28960000000006</v>
      </c>
      <c r="G518" s="661">
        <f t="shared" si="194"/>
        <v>575.70407999999998</v>
      </c>
      <c r="H518" s="661">
        <f t="shared" si="194"/>
        <v>603.60224400000016</v>
      </c>
      <c r="I518" s="661">
        <f t="shared" si="194"/>
        <v>631.93731300000013</v>
      </c>
      <c r="J518" s="661">
        <f t="shared" si="194"/>
        <v>661.63378415400007</v>
      </c>
      <c r="K518" s="661">
        <f t="shared" si="194"/>
        <v>661.63378415400007</v>
      </c>
      <c r="L518" s="661">
        <f t="shared" si="194"/>
        <v>661.63378415400007</v>
      </c>
      <c r="M518" s="661">
        <f t="shared" si="194"/>
        <v>661.63378415400007</v>
      </c>
      <c r="N518" s="661">
        <f t="shared" si="194"/>
        <v>661.63378415400007</v>
      </c>
      <c r="O518" s="661">
        <f t="shared" si="194"/>
        <v>661.63378415400007</v>
      </c>
    </row>
    <row r="519" spans="2:15" x14ac:dyDescent="0.3">
      <c r="B519" s="663" t="str">
        <f t="shared" ref="B519:C519" si="217">B417</f>
        <v>Incorporated</v>
      </c>
      <c r="C519" s="663">
        <f t="shared" si="217"/>
        <v>49</v>
      </c>
      <c r="D519" s="661">
        <f t="shared" si="141"/>
        <v>478.21999999999991</v>
      </c>
      <c r="E519" s="661">
        <f t="shared" ref="E519" si="218">IF($B$470=$A$61,E109+E315+E417,IF($B$470=$A$62,E212+E315+E417,E315+E417))</f>
        <v>490.54999999999995</v>
      </c>
      <c r="F519" s="661">
        <f t="shared" si="194"/>
        <v>560.36720000000003</v>
      </c>
      <c r="G519" s="661">
        <f t="shared" si="194"/>
        <v>588.38556000000005</v>
      </c>
      <c r="H519" s="661">
        <f t="shared" si="194"/>
        <v>616.89931800000011</v>
      </c>
      <c r="I519" s="661">
        <f t="shared" si="194"/>
        <v>645.86080230000016</v>
      </c>
      <c r="J519" s="661">
        <f t="shared" si="194"/>
        <v>676.21385636700006</v>
      </c>
      <c r="K519" s="661">
        <f t="shared" si="194"/>
        <v>676.21385636700006</v>
      </c>
      <c r="L519" s="661">
        <f t="shared" si="194"/>
        <v>676.21385636700006</v>
      </c>
      <c r="M519" s="661">
        <f t="shared" si="194"/>
        <v>676.21385636700006</v>
      </c>
      <c r="N519" s="661">
        <f t="shared" si="194"/>
        <v>676.21385636700006</v>
      </c>
      <c r="O519" s="661">
        <f t="shared" si="194"/>
        <v>676.21385636700006</v>
      </c>
    </row>
    <row r="520" spans="2:15" x14ac:dyDescent="0.3">
      <c r="B520" s="663" t="str">
        <f t="shared" ref="B520:C520" si="219">B418</f>
        <v>Incorporated</v>
      </c>
      <c r="C520" s="663">
        <f t="shared" si="219"/>
        <v>50</v>
      </c>
      <c r="D520" s="661">
        <f t="shared" si="141"/>
        <v>488.55999999999995</v>
      </c>
      <c r="E520" s="661">
        <f t="shared" ref="E520" si="220">IF($B$470=$A$61,E110+E316+E418,IF($B$470=$A$62,E213+E316+E418,E316+E418))</f>
        <v>501.15999999999997</v>
      </c>
      <c r="F520" s="661">
        <f t="shared" si="194"/>
        <v>572.44479999999999</v>
      </c>
      <c r="G520" s="661">
        <f t="shared" si="194"/>
        <v>601.06704000000002</v>
      </c>
      <c r="H520" s="661">
        <f t="shared" si="194"/>
        <v>630.19639200000006</v>
      </c>
      <c r="I520" s="661">
        <f t="shared" si="194"/>
        <v>659.78429160000007</v>
      </c>
      <c r="J520" s="661">
        <f t="shared" si="194"/>
        <v>690.79392858000006</v>
      </c>
      <c r="K520" s="661">
        <f t="shared" si="194"/>
        <v>690.79392858000006</v>
      </c>
      <c r="L520" s="661">
        <f t="shared" si="194"/>
        <v>690.79392858000006</v>
      </c>
      <c r="M520" s="661">
        <f t="shared" si="194"/>
        <v>690.79392858000006</v>
      </c>
      <c r="N520" s="661">
        <f t="shared" si="194"/>
        <v>690.79392858000006</v>
      </c>
      <c r="O520" s="661">
        <f t="shared" si="194"/>
        <v>690.79392858000006</v>
      </c>
    </row>
    <row r="521" spans="2:15" x14ac:dyDescent="0.3">
      <c r="B521" s="663" t="str">
        <f t="shared" ref="B521:C521" si="221">B419</f>
        <v>Incorporated</v>
      </c>
      <c r="C521" s="663">
        <f t="shared" si="221"/>
        <v>51</v>
      </c>
      <c r="D521" s="661">
        <f t="shared" si="141"/>
        <v>498.89999999999992</v>
      </c>
      <c r="E521" s="661">
        <f t="shared" ref="E521" si="222">IF($B$470=$A$61,E111+E317+E419,IF($B$470=$A$62,E214+E317+E419,E317+E419))</f>
        <v>511.77</v>
      </c>
      <c r="F521" s="661">
        <f t="shared" si="194"/>
        <v>584.52240000000006</v>
      </c>
      <c r="G521" s="661">
        <f t="shared" si="194"/>
        <v>613.7485200000001</v>
      </c>
      <c r="H521" s="661">
        <f t="shared" si="194"/>
        <v>643.49346600000001</v>
      </c>
      <c r="I521" s="661">
        <f t="shared" si="194"/>
        <v>673.70778089999999</v>
      </c>
      <c r="J521" s="661">
        <f t="shared" si="194"/>
        <v>705.37400079300005</v>
      </c>
      <c r="K521" s="661">
        <f t="shared" si="194"/>
        <v>705.37400079300005</v>
      </c>
      <c r="L521" s="661">
        <f t="shared" si="194"/>
        <v>705.37400079300005</v>
      </c>
      <c r="M521" s="661">
        <f t="shared" si="194"/>
        <v>705.37400079300005</v>
      </c>
      <c r="N521" s="661">
        <f t="shared" si="194"/>
        <v>705.37400079300005</v>
      </c>
      <c r="O521" s="661">
        <f t="shared" si="194"/>
        <v>705.37400079300005</v>
      </c>
    </row>
    <row r="522" spans="2:15" x14ac:dyDescent="0.3">
      <c r="B522" s="663" t="str">
        <f t="shared" ref="B522:C522" si="223">B420</f>
        <v>Incorporated</v>
      </c>
      <c r="C522" s="663">
        <f t="shared" si="223"/>
        <v>52</v>
      </c>
      <c r="D522" s="661">
        <f t="shared" si="141"/>
        <v>509.23999999999995</v>
      </c>
      <c r="E522" s="661">
        <f t="shared" ref="E522" si="224">IF($B$470=$A$61,E112+E318+E420,IF($B$470=$A$62,E215+E318+E420,E318+E420))</f>
        <v>522.38</v>
      </c>
      <c r="F522" s="661">
        <f t="shared" si="194"/>
        <v>596.6</v>
      </c>
      <c r="G522" s="661">
        <f t="shared" si="194"/>
        <v>626.43000000000006</v>
      </c>
      <c r="H522" s="661">
        <f t="shared" si="194"/>
        <v>656.79054000000008</v>
      </c>
      <c r="I522" s="661">
        <f t="shared" si="194"/>
        <v>687.63127020000002</v>
      </c>
      <c r="J522" s="661">
        <f t="shared" si="194"/>
        <v>719.95407300600004</v>
      </c>
      <c r="K522" s="661">
        <f t="shared" si="194"/>
        <v>719.95407300600004</v>
      </c>
      <c r="L522" s="661">
        <f t="shared" si="194"/>
        <v>719.95407300600004</v>
      </c>
      <c r="M522" s="661">
        <f t="shared" si="194"/>
        <v>719.95407300600004</v>
      </c>
      <c r="N522" s="661">
        <f t="shared" si="194"/>
        <v>719.95407300600004</v>
      </c>
      <c r="O522" s="661">
        <f t="shared" si="194"/>
        <v>719.95407300600004</v>
      </c>
    </row>
    <row r="523" spans="2:15" x14ac:dyDescent="0.3">
      <c r="B523" s="663" t="str">
        <f t="shared" ref="B523:C523" si="225">B421</f>
        <v>Incorporated</v>
      </c>
      <c r="C523" s="663">
        <f t="shared" si="225"/>
        <v>53</v>
      </c>
      <c r="D523" s="661">
        <f t="shared" si="141"/>
        <v>519.57999999999993</v>
      </c>
      <c r="E523" s="661">
        <f t="shared" ref="E523" si="226">IF($B$470=$A$61,E113+E319+E421,IF($B$470=$A$62,E216+E319+E421,E319+E421))</f>
        <v>532.99</v>
      </c>
      <c r="F523" s="661">
        <f t="shared" ref="F523:O535" si="227">IF($B$470=$A$61,F113+F319+F421,IF($B$470=$A$62,F216+F319+F421,F319+F421))</f>
        <v>608.67759999999998</v>
      </c>
      <c r="G523" s="661">
        <f t="shared" si="227"/>
        <v>639.11148000000003</v>
      </c>
      <c r="H523" s="661">
        <f t="shared" si="227"/>
        <v>670.08761400000003</v>
      </c>
      <c r="I523" s="661">
        <f t="shared" si="227"/>
        <v>701.55475950000016</v>
      </c>
      <c r="J523" s="661">
        <f t="shared" si="227"/>
        <v>734.53414521900004</v>
      </c>
      <c r="K523" s="661">
        <f t="shared" si="227"/>
        <v>734.53414521900004</v>
      </c>
      <c r="L523" s="661">
        <f t="shared" si="227"/>
        <v>734.53414521900004</v>
      </c>
      <c r="M523" s="661">
        <f t="shared" si="227"/>
        <v>734.53414521900004</v>
      </c>
      <c r="N523" s="661">
        <f t="shared" si="227"/>
        <v>734.53414521900004</v>
      </c>
      <c r="O523" s="661">
        <f t="shared" si="227"/>
        <v>734.53414521900004</v>
      </c>
    </row>
    <row r="524" spans="2:15" x14ac:dyDescent="0.3">
      <c r="B524" s="663" t="str">
        <f t="shared" ref="B524:C524" si="228">B422</f>
        <v>Incorporated</v>
      </c>
      <c r="C524" s="663">
        <f t="shared" si="228"/>
        <v>54</v>
      </c>
      <c r="D524" s="661">
        <f t="shared" si="141"/>
        <v>529.91999999999996</v>
      </c>
      <c r="E524" s="661">
        <f t="shared" ref="E524" si="229">IF($B$470=$A$61,E114+E320+E422,IF($B$470=$A$62,E217+E320+E422,E320+E422))</f>
        <v>543.59999999999991</v>
      </c>
      <c r="F524" s="661">
        <f t="shared" si="227"/>
        <v>620.75519999999995</v>
      </c>
      <c r="G524" s="661">
        <f t="shared" si="227"/>
        <v>651.79296000000011</v>
      </c>
      <c r="H524" s="661">
        <f t="shared" si="227"/>
        <v>683.3846880000001</v>
      </c>
      <c r="I524" s="661">
        <f t="shared" si="227"/>
        <v>715.47824880000007</v>
      </c>
      <c r="J524" s="661">
        <f t="shared" si="227"/>
        <v>749.11421743200003</v>
      </c>
      <c r="K524" s="661">
        <f t="shared" si="227"/>
        <v>749.11421743200003</v>
      </c>
      <c r="L524" s="661">
        <f t="shared" si="227"/>
        <v>749.11421743200003</v>
      </c>
      <c r="M524" s="661">
        <f t="shared" si="227"/>
        <v>749.11421743200003</v>
      </c>
      <c r="N524" s="661">
        <f t="shared" si="227"/>
        <v>749.11421743200003</v>
      </c>
      <c r="O524" s="661">
        <f t="shared" si="227"/>
        <v>749.11421743200003</v>
      </c>
    </row>
    <row r="525" spans="2:15" x14ac:dyDescent="0.3">
      <c r="B525" s="663" t="str">
        <f t="shared" ref="B525:C525" si="230">B423</f>
        <v>Incorporated</v>
      </c>
      <c r="C525" s="663">
        <f t="shared" si="230"/>
        <v>55</v>
      </c>
      <c r="D525" s="661">
        <f t="shared" si="141"/>
        <v>540.26</v>
      </c>
      <c r="E525" s="661">
        <f t="shared" ref="E525" si="231">IF($B$470=$A$61,E115+E321+E423,IF($B$470=$A$62,E218+E321+E423,E321+E423))</f>
        <v>554.21</v>
      </c>
      <c r="F525" s="661">
        <f t="shared" si="227"/>
        <v>632.83279999999991</v>
      </c>
      <c r="G525" s="661">
        <f t="shared" si="227"/>
        <v>664.47444000000007</v>
      </c>
      <c r="H525" s="661">
        <f t="shared" si="227"/>
        <v>696.68176200000005</v>
      </c>
      <c r="I525" s="661">
        <f t="shared" si="227"/>
        <v>729.4017381000001</v>
      </c>
      <c r="J525" s="661">
        <f t="shared" si="227"/>
        <v>763.69428964500014</v>
      </c>
      <c r="K525" s="661">
        <f t="shared" si="227"/>
        <v>763.69428964500014</v>
      </c>
      <c r="L525" s="661">
        <f t="shared" si="227"/>
        <v>763.69428964500014</v>
      </c>
      <c r="M525" s="661">
        <f t="shared" si="227"/>
        <v>763.69428964500014</v>
      </c>
      <c r="N525" s="661">
        <f t="shared" si="227"/>
        <v>763.69428964500014</v>
      </c>
      <c r="O525" s="661">
        <f t="shared" si="227"/>
        <v>763.69428964500014</v>
      </c>
    </row>
    <row r="526" spans="2:15" x14ac:dyDescent="0.3">
      <c r="B526" s="663" t="str">
        <f t="shared" ref="B526:C526" si="232">B424</f>
        <v>Incorporated</v>
      </c>
      <c r="C526" s="663">
        <f t="shared" si="232"/>
        <v>56</v>
      </c>
      <c r="D526" s="661">
        <f t="shared" si="141"/>
        <v>550.6</v>
      </c>
      <c r="E526" s="661">
        <f t="shared" ref="E526" si="233">IF($B$470=$A$61,E116+E322+E424,IF($B$470=$A$62,E219+E322+E424,E322+E424))</f>
        <v>564.81999999999994</v>
      </c>
      <c r="F526" s="661">
        <f t="shared" si="227"/>
        <v>644.91039999999998</v>
      </c>
      <c r="G526" s="661">
        <f t="shared" si="227"/>
        <v>677.15592000000015</v>
      </c>
      <c r="H526" s="661">
        <f t="shared" si="227"/>
        <v>709.97883600000011</v>
      </c>
      <c r="I526" s="661">
        <f t="shared" si="227"/>
        <v>743.32522740000013</v>
      </c>
      <c r="J526" s="661">
        <f t="shared" si="227"/>
        <v>778.27436185800013</v>
      </c>
      <c r="K526" s="661">
        <f t="shared" si="227"/>
        <v>778.27436185800013</v>
      </c>
      <c r="L526" s="661">
        <f t="shared" si="227"/>
        <v>778.27436185800013</v>
      </c>
      <c r="M526" s="661">
        <f t="shared" si="227"/>
        <v>778.27436185800013</v>
      </c>
      <c r="N526" s="661">
        <f t="shared" si="227"/>
        <v>778.27436185800013</v>
      </c>
      <c r="O526" s="661">
        <f t="shared" si="227"/>
        <v>778.27436185800013</v>
      </c>
    </row>
    <row r="527" spans="2:15" x14ac:dyDescent="0.3">
      <c r="B527" s="663" t="str">
        <f t="shared" ref="B527:C527" si="234">B425</f>
        <v>Incorporated</v>
      </c>
      <c r="C527" s="663">
        <f t="shared" si="234"/>
        <v>57</v>
      </c>
      <c r="D527" s="661">
        <f t="shared" si="141"/>
        <v>560.93999999999994</v>
      </c>
      <c r="E527" s="661">
        <f t="shared" ref="E527" si="235">IF($B$470=$A$61,E117+E323+E425,IF($B$470=$A$62,E220+E323+E425,E323+E425))</f>
        <v>575.42999999999995</v>
      </c>
      <c r="F527" s="661">
        <f t="shared" si="227"/>
        <v>656.98800000000006</v>
      </c>
      <c r="G527" s="661">
        <f t="shared" si="227"/>
        <v>689.83740000000012</v>
      </c>
      <c r="H527" s="661">
        <f t="shared" si="227"/>
        <v>723.27591000000007</v>
      </c>
      <c r="I527" s="661">
        <f t="shared" si="227"/>
        <v>757.24871670000016</v>
      </c>
      <c r="J527" s="661">
        <f t="shared" si="227"/>
        <v>792.85443407100013</v>
      </c>
      <c r="K527" s="661">
        <f t="shared" si="227"/>
        <v>792.85443407100013</v>
      </c>
      <c r="L527" s="661">
        <f t="shared" si="227"/>
        <v>792.85443407100013</v>
      </c>
      <c r="M527" s="661">
        <f t="shared" si="227"/>
        <v>792.85443407100013</v>
      </c>
      <c r="N527" s="661">
        <f t="shared" si="227"/>
        <v>792.85443407100013</v>
      </c>
      <c r="O527" s="661">
        <f t="shared" si="227"/>
        <v>792.85443407100013</v>
      </c>
    </row>
    <row r="528" spans="2:15" x14ac:dyDescent="0.3">
      <c r="B528" s="663" t="str">
        <f t="shared" ref="B528:C528" si="236">B426</f>
        <v>Incorporated</v>
      </c>
      <c r="C528" s="663">
        <f t="shared" si="236"/>
        <v>58</v>
      </c>
      <c r="D528" s="661">
        <f t="shared" si="141"/>
        <v>571.28</v>
      </c>
      <c r="E528" s="661">
        <f t="shared" ref="E528" si="237">IF($B$470=$A$61,E118+E324+E426,IF($B$470=$A$62,E221+E324+E426,E324+E426))</f>
        <v>586.04000000000008</v>
      </c>
      <c r="F528" s="661">
        <f t="shared" si="227"/>
        <v>669.06560000000002</v>
      </c>
      <c r="G528" s="661">
        <f t="shared" si="227"/>
        <v>702.51888000000008</v>
      </c>
      <c r="H528" s="661">
        <f t="shared" si="227"/>
        <v>736.57298400000002</v>
      </c>
      <c r="I528" s="661">
        <f t="shared" si="227"/>
        <v>771.17220600000007</v>
      </c>
      <c r="J528" s="661">
        <f t="shared" si="227"/>
        <v>807.43450628400012</v>
      </c>
      <c r="K528" s="661">
        <f t="shared" si="227"/>
        <v>807.43450628400012</v>
      </c>
      <c r="L528" s="661">
        <f t="shared" si="227"/>
        <v>807.43450628400012</v>
      </c>
      <c r="M528" s="661">
        <f t="shared" si="227"/>
        <v>807.43450628400012</v>
      </c>
      <c r="N528" s="661">
        <f t="shared" si="227"/>
        <v>807.43450628400012</v>
      </c>
      <c r="O528" s="661">
        <f t="shared" si="227"/>
        <v>807.43450628400012</v>
      </c>
    </row>
    <row r="529" spans="2:15" x14ac:dyDescent="0.3">
      <c r="B529" s="663" t="str">
        <f t="shared" ref="B529:C529" si="238">B427</f>
        <v>Incorporated</v>
      </c>
      <c r="C529" s="663">
        <f t="shared" si="238"/>
        <v>59</v>
      </c>
      <c r="D529" s="661">
        <f t="shared" si="141"/>
        <v>581.61999999999989</v>
      </c>
      <c r="E529" s="661">
        <f t="shared" ref="E529" si="239">IF($B$470=$A$61,E119+E325+E427,IF($B$470=$A$62,E222+E325+E427,E325+E427))</f>
        <v>596.65</v>
      </c>
      <c r="F529" s="661">
        <f t="shared" si="227"/>
        <v>681.14320000000009</v>
      </c>
      <c r="G529" s="661">
        <f t="shared" si="227"/>
        <v>715.20036000000016</v>
      </c>
      <c r="H529" s="661">
        <f t="shared" si="227"/>
        <v>749.87005799999997</v>
      </c>
      <c r="I529" s="661">
        <f t="shared" si="227"/>
        <v>785.09569529999999</v>
      </c>
      <c r="J529" s="661">
        <f t="shared" si="227"/>
        <v>822.01457849700012</v>
      </c>
      <c r="K529" s="661">
        <f t="shared" si="227"/>
        <v>822.01457849700012</v>
      </c>
      <c r="L529" s="661">
        <f t="shared" si="227"/>
        <v>822.01457849700012</v>
      </c>
      <c r="M529" s="661">
        <f t="shared" si="227"/>
        <v>822.01457849700012</v>
      </c>
      <c r="N529" s="661">
        <f t="shared" si="227"/>
        <v>822.01457849700012</v>
      </c>
      <c r="O529" s="661">
        <f t="shared" si="227"/>
        <v>822.01457849700012</v>
      </c>
    </row>
    <row r="530" spans="2:15" x14ac:dyDescent="0.3">
      <c r="B530" s="663" t="str">
        <f t="shared" ref="B530:C530" si="240">B428</f>
        <v>Incorporated</v>
      </c>
      <c r="C530" s="663">
        <f t="shared" si="240"/>
        <v>60</v>
      </c>
      <c r="D530" s="661">
        <f t="shared" si="141"/>
        <v>591.95999999999992</v>
      </c>
      <c r="E530" s="661">
        <f t="shared" ref="E530" si="241">IF($B$470=$A$61,E120+E326+E428,IF($B$470=$A$62,E223+E326+E428,E326+E428))</f>
        <v>607.26</v>
      </c>
      <c r="F530" s="661">
        <f t="shared" si="227"/>
        <v>693.22080000000005</v>
      </c>
      <c r="G530" s="661">
        <f t="shared" si="227"/>
        <v>727.88184000000012</v>
      </c>
      <c r="H530" s="661">
        <f t="shared" si="227"/>
        <v>763.16713200000015</v>
      </c>
      <c r="I530" s="661">
        <f t="shared" si="227"/>
        <v>799.01918460000013</v>
      </c>
      <c r="J530" s="661">
        <f t="shared" si="227"/>
        <v>836.59465071</v>
      </c>
      <c r="K530" s="661">
        <f t="shared" si="227"/>
        <v>836.59465071</v>
      </c>
      <c r="L530" s="661">
        <f t="shared" si="227"/>
        <v>836.59465071</v>
      </c>
      <c r="M530" s="661">
        <f t="shared" si="227"/>
        <v>836.59465071</v>
      </c>
      <c r="N530" s="661">
        <f t="shared" si="227"/>
        <v>836.59465071</v>
      </c>
      <c r="O530" s="661">
        <f t="shared" si="227"/>
        <v>836.59465071</v>
      </c>
    </row>
    <row r="531" spans="2:15" x14ac:dyDescent="0.3">
      <c r="B531" s="663" t="str">
        <f t="shared" ref="B531:C531" si="242">B429</f>
        <v>Incorporated</v>
      </c>
      <c r="C531" s="663">
        <f t="shared" si="242"/>
        <v>61</v>
      </c>
      <c r="D531" s="661">
        <f t="shared" si="141"/>
        <v>602.29999999999995</v>
      </c>
      <c r="E531" s="661">
        <f t="shared" ref="E531" si="243">IF($B$470=$A$61,E121+E327+E429,IF($B$470=$A$62,E224+E327+E429,E327+E429))</f>
        <v>617.87</v>
      </c>
      <c r="F531" s="661">
        <f t="shared" si="227"/>
        <v>705.29840000000002</v>
      </c>
      <c r="G531" s="661">
        <f t="shared" si="227"/>
        <v>740.5633200000002</v>
      </c>
      <c r="H531" s="661">
        <f t="shared" si="227"/>
        <v>776.4642060000001</v>
      </c>
      <c r="I531" s="661">
        <f t="shared" si="227"/>
        <v>812.94267390000016</v>
      </c>
      <c r="J531" s="661">
        <f t="shared" si="227"/>
        <v>851.1747229230001</v>
      </c>
      <c r="K531" s="661">
        <f t="shared" si="227"/>
        <v>851.1747229230001</v>
      </c>
      <c r="L531" s="661">
        <f t="shared" si="227"/>
        <v>851.1747229230001</v>
      </c>
      <c r="M531" s="661">
        <f t="shared" si="227"/>
        <v>851.1747229230001</v>
      </c>
      <c r="N531" s="661">
        <f t="shared" si="227"/>
        <v>851.1747229230001</v>
      </c>
      <c r="O531" s="661">
        <f t="shared" si="227"/>
        <v>851.1747229230001</v>
      </c>
    </row>
    <row r="532" spans="2:15" x14ac:dyDescent="0.3">
      <c r="B532" s="663" t="str">
        <f t="shared" ref="B532:C532" si="244">B430</f>
        <v>Incorporated</v>
      </c>
      <c r="C532" s="663">
        <f t="shared" si="244"/>
        <v>62</v>
      </c>
      <c r="D532" s="661">
        <f t="shared" si="141"/>
        <v>612.6400000000001</v>
      </c>
      <c r="E532" s="661">
        <f t="shared" ref="E532" si="245">IF($B$470=$A$61,E122+E328+E430,IF($B$470=$A$62,E225+E328+E430,E328+E430))</f>
        <v>628.48</v>
      </c>
      <c r="F532" s="661">
        <f t="shared" si="227"/>
        <v>717.37599999999998</v>
      </c>
      <c r="G532" s="661">
        <f t="shared" si="227"/>
        <v>753.24480000000017</v>
      </c>
      <c r="H532" s="661">
        <f t="shared" si="227"/>
        <v>789.76128000000006</v>
      </c>
      <c r="I532" s="661">
        <f t="shared" si="227"/>
        <v>826.86616320000019</v>
      </c>
      <c r="J532" s="661">
        <f t="shared" si="227"/>
        <v>865.75479513600021</v>
      </c>
      <c r="K532" s="661">
        <f t="shared" si="227"/>
        <v>865.75479513600021</v>
      </c>
      <c r="L532" s="661">
        <f t="shared" si="227"/>
        <v>865.75479513600021</v>
      </c>
      <c r="M532" s="661">
        <f t="shared" si="227"/>
        <v>865.75479513600021</v>
      </c>
      <c r="N532" s="661">
        <f t="shared" si="227"/>
        <v>865.75479513600021</v>
      </c>
      <c r="O532" s="661">
        <f t="shared" si="227"/>
        <v>865.75479513600021</v>
      </c>
    </row>
    <row r="533" spans="2:15" x14ac:dyDescent="0.3">
      <c r="B533" s="663" t="str">
        <f t="shared" ref="B533:C533" si="246">B431</f>
        <v>Incorporated</v>
      </c>
      <c r="C533" s="663">
        <f t="shared" si="246"/>
        <v>63</v>
      </c>
      <c r="D533" s="661">
        <f t="shared" si="141"/>
        <v>622.98</v>
      </c>
      <c r="E533" s="661">
        <f t="shared" ref="E533" si="247">IF($B$470=$A$61,E123+E329+E431,IF($B$470=$A$62,E226+E329+E431,E329+E431))</f>
        <v>639.09</v>
      </c>
      <c r="F533" s="661">
        <f t="shared" si="227"/>
        <v>729.45359999999994</v>
      </c>
      <c r="G533" s="661">
        <f t="shared" si="227"/>
        <v>765.92628000000013</v>
      </c>
      <c r="H533" s="661">
        <f t="shared" si="227"/>
        <v>803.05835400000001</v>
      </c>
      <c r="I533" s="661">
        <f t="shared" si="227"/>
        <v>840.7896525000001</v>
      </c>
      <c r="J533" s="661">
        <f t="shared" si="227"/>
        <v>880.33486734899998</v>
      </c>
      <c r="K533" s="661">
        <f t="shared" si="227"/>
        <v>880.33486734899998</v>
      </c>
      <c r="L533" s="661">
        <f t="shared" si="227"/>
        <v>880.33486734899998</v>
      </c>
      <c r="M533" s="661">
        <f t="shared" si="227"/>
        <v>880.33486734899998</v>
      </c>
      <c r="N533" s="661">
        <f t="shared" si="227"/>
        <v>880.33486734899998</v>
      </c>
      <c r="O533" s="661">
        <f t="shared" si="227"/>
        <v>880.33486734899998</v>
      </c>
    </row>
    <row r="534" spans="2:15" x14ac:dyDescent="0.3">
      <c r="B534" s="663" t="str">
        <f t="shared" ref="B534:C534" si="248">B432</f>
        <v>Incorporated</v>
      </c>
      <c r="C534" s="663">
        <f t="shared" si="248"/>
        <v>64</v>
      </c>
      <c r="D534" s="661">
        <f t="shared" si="141"/>
        <v>633.32000000000005</v>
      </c>
      <c r="E534" s="661">
        <f t="shared" ref="E534" si="249">IF($B$470=$A$61,E124+E330+E432,IF($B$470=$A$62,E227+E330+E432,E330+E432))</f>
        <v>649.69999999999993</v>
      </c>
      <c r="F534" s="661">
        <f t="shared" si="227"/>
        <v>741.53120000000001</v>
      </c>
      <c r="G534" s="661">
        <f t="shared" si="227"/>
        <v>778.60776000000021</v>
      </c>
      <c r="H534" s="661">
        <f t="shared" si="227"/>
        <v>816.35542800000007</v>
      </c>
      <c r="I534" s="661">
        <f t="shared" si="227"/>
        <v>854.71314180000013</v>
      </c>
      <c r="J534" s="661">
        <f t="shared" si="227"/>
        <v>894.91493956200009</v>
      </c>
      <c r="K534" s="661">
        <f t="shared" si="227"/>
        <v>894.91493956200009</v>
      </c>
      <c r="L534" s="661">
        <f t="shared" si="227"/>
        <v>894.91493956200009</v>
      </c>
      <c r="M534" s="661">
        <f t="shared" si="227"/>
        <v>894.91493956200009</v>
      </c>
      <c r="N534" s="661">
        <f t="shared" si="227"/>
        <v>894.91493956200009</v>
      </c>
      <c r="O534" s="661">
        <f t="shared" si="227"/>
        <v>894.91493956200009</v>
      </c>
    </row>
    <row r="535" spans="2:15" x14ac:dyDescent="0.3">
      <c r="B535" s="663" t="str">
        <f t="shared" ref="B535:C535" si="250">B433</f>
        <v>Incorporated</v>
      </c>
      <c r="C535" s="663">
        <f t="shared" si="250"/>
        <v>65</v>
      </c>
      <c r="D535" s="661">
        <f t="shared" si="141"/>
        <v>643.66000000000008</v>
      </c>
      <c r="E535" s="661">
        <f t="shared" ref="E535:E557" si="251">IF($B$470=$A$61,E125+E331+E433,IF($B$470=$A$62,E228+E331+E433,E331+E433))</f>
        <v>660.31</v>
      </c>
      <c r="F535" s="661">
        <f t="shared" si="227"/>
        <v>753.60879999999997</v>
      </c>
      <c r="G535" s="661">
        <f t="shared" si="227"/>
        <v>791.28924000000018</v>
      </c>
      <c r="H535" s="661">
        <f t="shared" si="227"/>
        <v>829.65250200000014</v>
      </c>
      <c r="I535" s="661">
        <f t="shared" si="227"/>
        <v>868.63663110000005</v>
      </c>
      <c r="J535" s="661">
        <f t="shared" si="227"/>
        <v>909.49501177500019</v>
      </c>
      <c r="K535" s="661">
        <f t="shared" si="227"/>
        <v>909.49501177500019</v>
      </c>
      <c r="L535" s="661">
        <f t="shared" si="227"/>
        <v>909.49501177500019</v>
      </c>
      <c r="M535" s="661">
        <f t="shared" si="227"/>
        <v>909.49501177500019</v>
      </c>
      <c r="N535" s="661">
        <f t="shared" si="227"/>
        <v>909.49501177500019</v>
      </c>
      <c r="O535" s="661">
        <f t="shared" si="227"/>
        <v>909.49501177500019</v>
      </c>
    </row>
    <row r="536" spans="2:15" x14ac:dyDescent="0.3">
      <c r="B536" s="663" t="str">
        <f t="shared" ref="B536:C536" si="252">B434</f>
        <v>Incorporated</v>
      </c>
      <c r="C536" s="663">
        <f t="shared" si="252"/>
        <v>66</v>
      </c>
      <c r="D536" s="661">
        <f t="shared" ref="D536:O570" si="253">IF($B$470=$A$61,D126+D332+D434,IF($B$470=$A$62,D229+D332+D434,D332+D434))</f>
        <v>654.00000000000011</v>
      </c>
      <c r="E536" s="661">
        <f t="shared" si="251"/>
        <v>670.92</v>
      </c>
      <c r="F536" s="661">
        <f t="shared" si="253"/>
        <v>765.68639999999994</v>
      </c>
      <c r="G536" s="661">
        <f t="shared" si="253"/>
        <v>803.97071999999991</v>
      </c>
      <c r="H536" s="661">
        <f t="shared" si="253"/>
        <v>842.94957600000009</v>
      </c>
      <c r="I536" s="661">
        <f t="shared" si="253"/>
        <v>882.56012040000007</v>
      </c>
      <c r="J536" s="661">
        <f t="shared" si="253"/>
        <v>924.07508398800007</v>
      </c>
      <c r="K536" s="661">
        <f t="shared" si="253"/>
        <v>924.07508398800007</v>
      </c>
      <c r="L536" s="661">
        <f t="shared" si="253"/>
        <v>924.07508398800007</v>
      </c>
      <c r="M536" s="661">
        <f t="shared" si="253"/>
        <v>924.07508398800007</v>
      </c>
      <c r="N536" s="661">
        <f t="shared" si="253"/>
        <v>924.07508398800007</v>
      </c>
      <c r="O536" s="661">
        <f t="shared" si="253"/>
        <v>924.07508398800007</v>
      </c>
    </row>
    <row r="537" spans="2:15" x14ac:dyDescent="0.3">
      <c r="B537" s="663" t="str">
        <f t="shared" ref="B537:C537" si="254">B435</f>
        <v>Incorporated</v>
      </c>
      <c r="C537" s="663">
        <f t="shared" si="254"/>
        <v>67</v>
      </c>
      <c r="D537" s="661">
        <f t="shared" si="253"/>
        <v>664.33999999999992</v>
      </c>
      <c r="E537" s="661">
        <f t="shared" si="251"/>
        <v>681.53</v>
      </c>
      <c r="F537" s="661">
        <f t="shared" si="253"/>
        <v>777.76400000000001</v>
      </c>
      <c r="G537" s="661">
        <f t="shared" si="253"/>
        <v>816.65220000000022</v>
      </c>
      <c r="H537" s="661">
        <f t="shared" si="253"/>
        <v>856.24665000000005</v>
      </c>
      <c r="I537" s="661">
        <f t="shared" si="253"/>
        <v>896.48360970000022</v>
      </c>
      <c r="J537" s="661">
        <f t="shared" si="253"/>
        <v>938.65515620100018</v>
      </c>
      <c r="K537" s="661">
        <f t="shared" si="253"/>
        <v>938.65515620100018</v>
      </c>
      <c r="L537" s="661">
        <f t="shared" si="253"/>
        <v>938.65515620100018</v>
      </c>
      <c r="M537" s="661">
        <f t="shared" si="253"/>
        <v>938.65515620100018</v>
      </c>
      <c r="N537" s="661">
        <f t="shared" si="253"/>
        <v>938.65515620100018</v>
      </c>
      <c r="O537" s="661">
        <f t="shared" si="253"/>
        <v>938.65515620100018</v>
      </c>
    </row>
    <row r="538" spans="2:15" x14ac:dyDescent="0.3">
      <c r="B538" s="663" t="str">
        <f t="shared" ref="B538:C538" si="255">B436</f>
        <v>Incorporated</v>
      </c>
      <c r="C538" s="663">
        <f t="shared" si="255"/>
        <v>68</v>
      </c>
      <c r="D538" s="661">
        <f t="shared" si="253"/>
        <v>674.68</v>
      </c>
      <c r="E538" s="661">
        <f t="shared" si="251"/>
        <v>692.1400000000001</v>
      </c>
      <c r="F538" s="661">
        <f t="shared" si="253"/>
        <v>789.84159999999997</v>
      </c>
      <c r="G538" s="661">
        <f t="shared" si="253"/>
        <v>829.33367999999996</v>
      </c>
      <c r="H538" s="661">
        <f t="shared" si="253"/>
        <v>869.54372400000011</v>
      </c>
      <c r="I538" s="661">
        <f t="shared" si="253"/>
        <v>910.40709900000024</v>
      </c>
      <c r="J538" s="661">
        <f t="shared" si="253"/>
        <v>953.23522841400006</v>
      </c>
      <c r="K538" s="661">
        <f t="shared" si="253"/>
        <v>953.23522841400006</v>
      </c>
      <c r="L538" s="661">
        <f t="shared" si="253"/>
        <v>953.23522841400006</v>
      </c>
      <c r="M538" s="661">
        <f t="shared" si="253"/>
        <v>953.23522841400006</v>
      </c>
      <c r="N538" s="661">
        <f t="shared" si="253"/>
        <v>953.23522841400006</v>
      </c>
      <c r="O538" s="661">
        <f t="shared" si="253"/>
        <v>953.23522841400006</v>
      </c>
    </row>
    <row r="539" spans="2:15" x14ac:dyDescent="0.3">
      <c r="B539" s="663" t="str">
        <f t="shared" ref="B539:C539" si="256">B437</f>
        <v>Incorporated</v>
      </c>
      <c r="C539" s="663">
        <f t="shared" si="256"/>
        <v>69</v>
      </c>
      <c r="D539" s="661">
        <f t="shared" si="253"/>
        <v>685.02</v>
      </c>
      <c r="E539" s="661">
        <f t="shared" si="251"/>
        <v>702.75</v>
      </c>
      <c r="F539" s="661">
        <f t="shared" si="253"/>
        <v>801.91920000000005</v>
      </c>
      <c r="G539" s="661">
        <f t="shared" si="253"/>
        <v>842.01516000000015</v>
      </c>
      <c r="H539" s="661">
        <f t="shared" si="253"/>
        <v>882.84079800000018</v>
      </c>
      <c r="I539" s="661">
        <f t="shared" si="253"/>
        <v>924.33058830000016</v>
      </c>
      <c r="J539" s="661">
        <f t="shared" si="253"/>
        <v>967.81530062700006</v>
      </c>
      <c r="K539" s="661">
        <f t="shared" si="253"/>
        <v>967.81530062700006</v>
      </c>
      <c r="L539" s="661">
        <f t="shared" si="253"/>
        <v>967.81530062700006</v>
      </c>
      <c r="M539" s="661">
        <f t="shared" si="253"/>
        <v>967.81530062700006</v>
      </c>
      <c r="N539" s="661">
        <f t="shared" si="253"/>
        <v>967.81530062700006</v>
      </c>
      <c r="O539" s="661">
        <f t="shared" si="253"/>
        <v>967.81530062700006</v>
      </c>
    </row>
    <row r="540" spans="2:15" x14ac:dyDescent="0.3">
      <c r="B540" s="663" t="str">
        <f t="shared" ref="B540:C540" si="257">B438</f>
        <v>Incorporated</v>
      </c>
      <c r="C540" s="663">
        <f t="shared" si="257"/>
        <v>70</v>
      </c>
      <c r="D540" s="661">
        <f t="shared" si="253"/>
        <v>695.3599999999999</v>
      </c>
      <c r="E540" s="661">
        <f t="shared" si="251"/>
        <v>713.36</v>
      </c>
      <c r="F540" s="661">
        <f t="shared" si="253"/>
        <v>813.99680000000012</v>
      </c>
      <c r="G540" s="661">
        <f t="shared" si="253"/>
        <v>854.69664</v>
      </c>
      <c r="H540" s="661">
        <f t="shared" si="253"/>
        <v>896.13787200000013</v>
      </c>
      <c r="I540" s="661">
        <f t="shared" si="253"/>
        <v>938.25407760000007</v>
      </c>
      <c r="J540" s="661">
        <f t="shared" si="253"/>
        <v>982.39537284000016</v>
      </c>
      <c r="K540" s="661">
        <f t="shared" si="253"/>
        <v>982.39537284000016</v>
      </c>
      <c r="L540" s="661">
        <f t="shared" si="253"/>
        <v>982.39537284000016</v>
      </c>
      <c r="M540" s="661">
        <f t="shared" si="253"/>
        <v>982.39537284000016</v>
      </c>
      <c r="N540" s="661">
        <f t="shared" si="253"/>
        <v>982.39537284000016</v>
      </c>
      <c r="O540" s="661">
        <f t="shared" si="253"/>
        <v>982.39537284000016</v>
      </c>
    </row>
    <row r="541" spans="2:15" x14ac:dyDescent="0.3">
      <c r="B541" s="663" t="str">
        <f t="shared" ref="B541:C541" si="258">B439</f>
        <v>Incorporated</v>
      </c>
      <c r="C541" s="663">
        <f t="shared" si="258"/>
        <v>71</v>
      </c>
      <c r="D541" s="661">
        <f t="shared" si="253"/>
        <v>705.69999999999993</v>
      </c>
      <c r="E541" s="661">
        <f t="shared" si="251"/>
        <v>723.96999999999991</v>
      </c>
      <c r="F541" s="661">
        <f t="shared" si="253"/>
        <v>826.07439999999997</v>
      </c>
      <c r="G541" s="661">
        <f t="shared" si="253"/>
        <v>867.37812000000008</v>
      </c>
      <c r="H541" s="661">
        <f t="shared" si="253"/>
        <v>909.43494600000008</v>
      </c>
      <c r="I541" s="661">
        <f t="shared" si="253"/>
        <v>952.1775669000001</v>
      </c>
      <c r="J541" s="661">
        <f t="shared" si="253"/>
        <v>996.97544505300004</v>
      </c>
      <c r="K541" s="661">
        <f t="shared" si="253"/>
        <v>996.97544505300004</v>
      </c>
      <c r="L541" s="661">
        <f t="shared" si="253"/>
        <v>996.97544505300004</v>
      </c>
      <c r="M541" s="661">
        <f t="shared" si="253"/>
        <v>996.97544505300004</v>
      </c>
      <c r="N541" s="661">
        <f t="shared" si="253"/>
        <v>996.97544505300004</v>
      </c>
      <c r="O541" s="661">
        <f t="shared" si="253"/>
        <v>996.97544505300004</v>
      </c>
    </row>
    <row r="542" spans="2:15" x14ac:dyDescent="0.3">
      <c r="B542" s="663" t="str">
        <f t="shared" ref="B542:C542" si="259">B440</f>
        <v>Incorporated</v>
      </c>
      <c r="C542" s="663">
        <f t="shared" si="259"/>
        <v>72</v>
      </c>
      <c r="D542" s="661">
        <f t="shared" si="253"/>
        <v>716.04</v>
      </c>
      <c r="E542" s="661">
        <f t="shared" si="251"/>
        <v>734.57999999999993</v>
      </c>
      <c r="F542" s="661">
        <f t="shared" si="253"/>
        <v>838.15200000000004</v>
      </c>
      <c r="G542" s="661">
        <f t="shared" si="253"/>
        <v>880.05960000000005</v>
      </c>
      <c r="H542" s="661">
        <f t="shared" si="253"/>
        <v>922.73202000000015</v>
      </c>
      <c r="I542" s="661">
        <f t="shared" si="253"/>
        <v>966.10105620000013</v>
      </c>
      <c r="J542" s="661">
        <f t="shared" si="253"/>
        <v>1011.5555172660002</v>
      </c>
      <c r="K542" s="661">
        <f t="shared" si="253"/>
        <v>1011.5555172660002</v>
      </c>
      <c r="L542" s="661">
        <f t="shared" si="253"/>
        <v>1011.5555172660002</v>
      </c>
      <c r="M542" s="661">
        <f t="shared" si="253"/>
        <v>1011.5555172660002</v>
      </c>
      <c r="N542" s="661">
        <f t="shared" si="253"/>
        <v>1011.5555172660002</v>
      </c>
      <c r="O542" s="661">
        <f t="shared" si="253"/>
        <v>1011.5555172660002</v>
      </c>
    </row>
    <row r="543" spans="2:15" x14ac:dyDescent="0.3">
      <c r="B543" s="663" t="str">
        <f t="shared" ref="B543:C543" si="260">B441</f>
        <v>Incorporated</v>
      </c>
      <c r="C543" s="663">
        <f t="shared" si="260"/>
        <v>73</v>
      </c>
      <c r="D543" s="661">
        <f t="shared" si="253"/>
        <v>726.38</v>
      </c>
      <c r="E543" s="661">
        <f t="shared" si="251"/>
        <v>745.19</v>
      </c>
      <c r="F543" s="661">
        <f t="shared" si="253"/>
        <v>850.22960000000012</v>
      </c>
      <c r="G543" s="661">
        <f t="shared" si="253"/>
        <v>892.74108000000012</v>
      </c>
      <c r="H543" s="661">
        <f t="shared" si="253"/>
        <v>936.0290940000001</v>
      </c>
      <c r="I543" s="661">
        <f t="shared" si="253"/>
        <v>980.02454550000004</v>
      </c>
      <c r="J543" s="661">
        <f t="shared" si="253"/>
        <v>1026.1355894790001</v>
      </c>
      <c r="K543" s="661">
        <f t="shared" si="253"/>
        <v>1026.1355894790001</v>
      </c>
      <c r="L543" s="661">
        <f t="shared" si="253"/>
        <v>1026.1355894790001</v>
      </c>
      <c r="M543" s="661">
        <f t="shared" si="253"/>
        <v>1026.1355894790001</v>
      </c>
      <c r="N543" s="661">
        <f t="shared" si="253"/>
        <v>1026.1355894790001</v>
      </c>
      <c r="O543" s="661">
        <f t="shared" si="253"/>
        <v>1026.1355894790001</v>
      </c>
    </row>
    <row r="544" spans="2:15" x14ac:dyDescent="0.3">
      <c r="B544" s="663" t="str">
        <f t="shared" ref="B544:C544" si="261">B442</f>
        <v>Incorporated</v>
      </c>
      <c r="C544" s="663">
        <f t="shared" si="261"/>
        <v>74</v>
      </c>
      <c r="D544" s="661">
        <f t="shared" si="253"/>
        <v>736.71999999999991</v>
      </c>
      <c r="E544" s="661">
        <f t="shared" si="251"/>
        <v>755.8</v>
      </c>
      <c r="F544" s="661">
        <f t="shared" si="253"/>
        <v>862.30719999999997</v>
      </c>
      <c r="G544" s="661">
        <f t="shared" si="253"/>
        <v>905.42255999999998</v>
      </c>
      <c r="H544" s="661">
        <f t="shared" si="253"/>
        <v>949.32616800000005</v>
      </c>
      <c r="I544" s="661">
        <f t="shared" si="253"/>
        <v>993.94803480000019</v>
      </c>
      <c r="J544" s="661">
        <f t="shared" si="253"/>
        <v>1040.7156616920001</v>
      </c>
      <c r="K544" s="661">
        <f t="shared" si="253"/>
        <v>1040.7156616920001</v>
      </c>
      <c r="L544" s="661">
        <f t="shared" si="253"/>
        <v>1040.7156616920001</v>
      </c>
      <c r="M544" s="661">
        <f t="shared" si="253"/>
        <v>1040.7156616920001</v>
      </c>
      <c r="N544" s="661">
        <f t="shared" si="253"/>
        <v>1040.7156616920001</v>
      </c>
      <c r="O544" s="661">
        <f t="shared" si="253"/>
        <v>1040.7156616920001</v>
      </c>
    </row>
    <row r="545" spans="2:15" x14ac:dyDescent="0.3">
      <c r="B545" s="663" t="str">
        <f t="shared" ref="B545:C545" si="262">B443</f>
        <v>Incorporated</v>
      </c>
      <c r="C545" s="663">
        <f t="shared" si="262"/>
        <v>75</v>
      </c>
      <c r="D545" s="661">
        <f t="shared" si="253"/>
        <v>747.06</v>
      </c>
      <c r="E545" s="661">
        <f t="shared" si="251"/>
        <v>766.41</v>
      </c>
      <c r="F545" s="661">
        <f t="shared" si="253"/>
        <v>874.38480000000004</v>
      </c>
      <c r="G545" s="661">
        <f t="shared" si="253"/>
        <v>918.10404000000017</v>
      </c>
      <c r="H545" s="661">
        <f t="shared" si="253"/>
        <v>962.62324200000012</v>
      </c>
      <c r="I545" s="661">
        <f t="shared" si="253"/>
        <v>1007.8715241000002</v>
      </c>
      <c r="J545" s="661">
        <f t="shared" si="253"/>
        <v>1055.2957339050001</v>
      </c>
      <c r="K545" s="661">
        <f t="shared" si="253"/>
        <v>1055.2957339050001</v>
      </c>
      <c r="L545" s="661">
        <f t="shared" si="253"/>
        <v>1055.2957339050001</v>
      </c>
      <c r="M545" s="661">
        <f t="shared" si="253"/>
        <v>1055.2957339050001</v>
      </c>
      <c r="N545" s="661">
        <f t="shared" si="253"/>
        <v>1055.2957339050001</v>
      </c>
      <c r="O545" s="661">
        <f t="shared" si="253"/>
        <v>1055.2957339050001</v>
      </c>
    </row>
    <row r="546" spans="2:15" x14ac:dyDescent="0.3">
      <c r="B546" s="663" t="str">
        <f t="shared" ref="B546:C546" si="263">B444</f>
        <v>Incorporated</v>
      </c>
      <c r="C546" s="663">
        <f t="shared" si="263"/>
        <v>76</v>
      </c>
      <c r="D546" s="661">
        <f t="shared" si="253"/>
        <v>757.4</v>
      </c>
      <c r="E546" s="661">
        <f t="shared" si="251"/>
        <v>777.02</v>
      </c>
      <c r="F546" s="661">
        <f t="shared" si="253"/>
        <v>886.46239999999989</v>
      </c>
      <c r="G546" s="661">
        <f t="shared" si="253"/>
        <v>930.78552000000002</v>
      </c>
      <c r="H546" s="661">
        <f t="shared" si="253"/>
        <v>975.92031600000018</v>
      </c>
      <c r="I546" s="661">
        <f t="shared" si="253"/>
        <v>1021.7950134000002</v>
      </c>
      <c r="J546" s="661">
        <f t="shared" si="253"/>
        <v>1069.8758061180001</v>
      </c>
      <c r="K546" s="661">
        <f t="shared" si="253"/>
        <v>1069.8758061180001</v>
      </c>
      <c r="L546" s="661">
        <f t="shared" si="253"/>
        <v>1069.8758061180001</v>
      </c>
      <c r="M546" s="661">
        <f t="shared" si="253"/>
        <v>1069.8758061180001</v>
      </c>
      <c r="N546" s="661">
        <f t="shared" si="253"/>
        <v>1069.8758061180001</v>
      </c>
      <c r="O546" s="661">
        <f t="shared" si="253"/>
        <v>1069.8758061180001</v>
      </c>
    </row>
    <row r="547" spans="2:15" x14ac:dyDescent="0.3">
      <c r="B547" s="663" t="str">
        <f t="shared" ref="B547:C547" si="264">B445</f>
        <v>Incorporated</v>
      </c>
      <c r="C547" s="663">
        <f t="shared" si="264"/>
        <v>77</v>
      </c>
      <c r="D547" s="661">
        <f t="shared" si="253"/>
        <v>767.7399999999999</v>
      </c>
      <c r="E547" s="661">
        <f t="shared" si="251"/>
        <v>787.63</v>
      </c>
      <c r="F547" s="661">
        <f t="shared" si="253"/>
        <v>898.54</v>
      </c>
      <c r="G547" s="661">
        <f t="shared" si="253"/>
        <v>943.46700000000021</v>
      </c>
      <c r="H547" s="661">
        <f t="shared" si="253"/>
        <v>989.21739000000014</v>
      </c>
      <c r="I547" s="661">
        <f t="shared" si="253"/>
        <v>1035.7185027</v>
      </c>
      <c r="J547" s="661">
        <f t="shared" si="253"/>
        <v>1084.4558783310001</v>
      </c>
      <c r="K547" s="661">
        <f t="shared" si="253"/>
        <v>1084.4558783310001</v>
      </c>
      <c r="L547" s="661">
        <f t="shared" si="253"/>
        <v>1084.4558783310001</v>
      </c>
      <c r="M547" s="661">
        <f t="shared" si="253"/>
        <v>1084.4558783310001</v>
      </c>
      <c r="N547" s="661">
        <f t="shared" si="253"/>
        <v>1084.4558783310001</v>
      </c>
      <c r="O547" s="661">
        <f t="shared" si="253"/>
        <v>1084.4558783310001</v>
      </c>
    </row>
    <row r="548" spans="2:15" x14ac:dyDescent="0.3">
      <c r="B548" s="663" t="str">
        <f t="shared" ref="B548:C548" si="265">B446</f>
        <v>Incorporated</v>
      </c>
      <c r="C548" s="663">
        <f t="shared" si="265"/>
        <v>78</v>
      </c>
      <c r="D548" s="661">
        <f t="shared" si="253"/>
        <v>778.07999999999993</v>
      </c>
      <c r="E548" s="661">
        <f t="shared" si="251"/>
        <v>798.24000000000012</v>
      </c>
      <c r="F548" s="661">
        <f t="shared" si="253"/>
        <v>910.61760000000004</v>
      </c>
      <c r="G548" s="661">
        <f t="shared" si="253"/>
        <v>956.14848000000006</v>
      </c>
      <c r="H548" s="661">
        <f t="shared" si="253"/>
        <v>1002.5144640000001</v>
      </c>
      <c r="I548" s="661">
        <f t="shared" si="253"/>
        <v>1049.6419920000001</v>
      </c>
      <c r="J548" s="661">
        <f t="shared" si="253"/>
        <v>1099.0359505440001</v>
      </c>
      <c r="K548" s="661">
        <f t="shared" si="253"/>
        <v>1099.0359505440001</v>
      </c>
      <c r="L548" s="661">
        <f t="shared" si="253"/>
        <v>1099.0359505440001</v>
      </c>
      <c r="M548" s="661">
        <f t="shared" si="253"/>
        <v>1099.0359505440001</v>
      </c>
      <c r="N548" s="661">
        <f t="shared" si="253"/>
        <v>1099.0359505440001</v>
      </c>
      <c r="O548" s="661">
        <f t="shared" si="253"/>
        <v>1099.0359505440001</v>
      </c>
    </row>
    <row r="549" spans="2:15" x14ac:dyDescent="0.3">
      <c r="B549" s="663" t="str">
        <f t="shared" ref="B549:C549" si="266">B447</f>
        <v>Incorporated</v>
      </c>
      <c r="C549" s="663">
        <f t="shared" si="266"/>
        <v>79</v>
      </c>
      <c r="D549" s="661">
        <f t="shared" si="253"/>
        <v>788.42</v>
      </c>
      <c r="E549" s="661">
        <f t="shared" si="251"/>
        <v>808.85</v>
      </c>
      <c r="F549" s="661">
        <f t="shared" si="253"/>
        <v>922.69519999999989</v>
      </c>
      <c r="G549" s="661">
        <f t="shared" si="253"/>
        <v>968.82996000000026</v>
      </c>
      <c r="H549" s="661">
        <f t="shared" si="253"/>
        <v>1015.811538</v>
      </c>
      <c r="I549" s="661">
        <f t="shared" si="253"/>
        <v>1063.5654813000001</v>
      </c>
      <c r="J549" s="661">
        <f t="shared" si="253"/>
        <v>1113.6160227570001</v>
      </c>
      <c r="K549" s="661">
        <f t="shared" si="253"/>
        <v>1113.6160227570001</v>
      </c>
      <c r="L549" s="661">
        <f t="shared" si="253"/>
        <v>1113.6160227570001</v>
      </c>
      <c r="M549" s="661">
        <f t="shared" si="253"/>
        <v>1113.6160227570001</v>
      </c>
      <c r="N549" s="661">
        <f t="shared" si="253"/>
        <v>1113.6160227570001</v>
      </c>
      <c r="O549" s="661">
        <f t="shared" si="253"/>
        <v>1113.6160227570001</v>
      </c>
    </row>
    <row r="550" spans="2:15" x14ac:dyDescent="0.3">
      <c r="B550" s="663" t="str">
        <f t="shared" ref="B550:C550" si="267">B448</f>
        <v>Incorporated</v>
      </c>
      <c r="C550" s="663">
        <f t="shared" si="267"/>
        <v>80</v>
      </c>
      <c r="D550" s="661">
        <f t="shared" si="253"/>
        <v>798.76</v>
      </c>
      <c r="E550" s="661">
        <f t="shared" si="251"/>
        <v>819.45999999999992</v>
      </c>
      <c r="F550" s="661">
        <f t="shared" si="253"/>
        <v>934.77279999999996</v>
      </c>
      <c r="G550" s="661">
        <f t="shared" si="253"/>
        <v>981.51144000000011</v>
      </c>
      <c r="H550" s="661">
        <f t="shared" si="253"/>
        <v>1029.1086120000002</v>
      </c>
      <c r="I550" s="661">
        <f t="shared" si="253"/>
        <v>1077.4889705999999</v>
      </c>
      <c r="J550" s="661">
        <f t="shared" si="253"/>
        <v>1128.1960949700001</v>
      </c>
      <c r="K550" s="661">
        <f t="shared" si="253"/>
        <v>1128.1960949700001</v>
      </c>
      <c r="L550" s="661">
        <f t="shared" si="253"/>
        <v>1128.1960949700001</v>
      </c>
      <c r="M550" s="661">
        <f t="shared" si="253"/>
        <v>1128.1960949700001</v>
      </c>
      <c r="N550" s="661">
        <f t="shared" si="253"/>
        <v>1128.1960949700001</v>
      </c>
      <c r="O550" s="661">
        <f t="shared" si="253"/>
        <v>1128.1960949700001</v>
      </c>
    </row>
    <row r="551" spans="2:15" x14ac:dyDescent="0.3">
      <c r="B551" s="663" t="str">
        <f t="shared" ref="B551:C551" si="268">B449</f>
        <v>Incorporated</v>
      </c>
      <c r="C551" s="663">
        <f t="shared" si="268"/>
        <v>81</v>
      </c>
      <c r="D551" s="661">
        <f t="shared" si="253"/>
        <v>809.09999999999991</v>
      </c>
      <c r="E551" s="661">
        <f t="shared" si="251"/>
        <v>830.06999999999994</v>
      </c>
      <c r="F551" s="661">
        <f t="shared" si="253"/>
        <v>946.85040000000004</v>
      </c>
      <c r="G551" s="661">
        <f t="shared" si="253"/>
        <v>994.19292000000019</v>
      </c>
      <c r="H551" s="661">
        <f t="shared" si="253"/>
        <v>1042.4056860000001</v>
      </c>
      <c r="I551" s="661">
        <f t="shared" si="253"/>
        <v>1091.4124599000002</v>
      </c>
      <c r="J551" s="661">
        <f t="shared" si="253"/>
        <v>1142.7761671830001</v>
      </c>
      <c r="K551" s="661">
        <f t="shared" si="253"/>
        <v>1142.7761671830001</v>
      </c>
      <c r="L551" s="661">
        <f t="shared" si="253"/>
        <v>1142.7761671830001</v>
      </c>
      <c r="M551" s="661">
        <f t="shared" si="253"/>
        <v>1142.7761671830001</v>
      </c>
      <c r="N551" s="661">
        <f t="shared" si="253"/>
        <v>1142.7761671830001</v>
      </c>
      <c r="O551" s="661">
        <f t="shared" si="253"/>
        <v>1142.7761671830001</v>
      </c>
    </row>
    <row r="552" spans="2:15" x14ac:dyDescent="0.3">
      <c r="B552" s="663" t="str">
        <f t="shared" ref="B552:C552" si="269">B450</f>
        <v>Incorporated</v>
      </c>
      <c r="C552" s="663">
        <f t="shared" si="269"/>
        <v>82</v>
      </c>
      <c r="D552" s="661">
        <f t="shared" si="253"/>
        <v>819.43999999999994</v>
      </c>
      <c r="E552" s="661">
        <f t="shared" si="251"/>
        <v>840.68</v>
      </c>
      <c r="F552" s="661">
        <f t="shared" si="253"/>
        <v>958.92799999999988</v>
      </c>
      <c r="G552" s="661">
        <f t="shared" si="253"/>
        <v>1006.8744000000002</v>
      </c>
      <c r="H552" s="661">
        <f t="shared" si="253"/>
        <v>1055.7027600000001</v>
      </c>
      <c r="I552" s="661">
        <f t="shared" si="253"/>
        <v>1105.3359492000002</v>
      </c>
      <c r="J552" s="661">
        <f t="shared" si="253"/>
        <v>1157.3562393960001</v>
      </c>
      <c r="K552" s="661">
        <f t="shared" si="253"/>
        <v>1157.3562393960001</v>
      </c>
      <c r="L552" s="661">
        <f t="shared" si="253"/>
        <v>1157.3562393960001</v>
      </c>
      <c r="M552" s="661">
        <f t="shared" si="253"/>
        <v>1157.3562393960001</v>
      </c>
      <c r="N552" s="661">
        <f t="shared" si="253"/>
        <v>1157.3562393960001</v>
      </c>
      <c r="O552" s="661">
        <f t="shared" si="253"/>
        <v>1157.3562393960001</v>
      </c>
    </row>
    <row r="553" spans="2:15" x14ac:dyDescent="0.3">
      <c r="B553" s="663" t="str">
        <f t="shared" ref="B553:C553" si="270">B451</f>
        <v>Incorporated</v>
      </c>
      <c r="C553" s="663">
        <f t="shared" si="270"/>
        <v>83</v>
      </c>
      <c r="D553" s="661">
        <f t="shared" si="253"/>
        <v>829.78</v>
      </c>
      <c r="E553" s="661">
        <f t="shared" si="251"/>
        <v>851.29000000000008</v>
      </c>
      <c r="F553" s="661">
        <f t="shared" si="253"/>
        <v>971.00560000000007</v>
      </c>
      <c r="G553" s="661">
        <f t="shared" si="253"/>
        <v>1019.5558800000002</v>
      </c>
      <c r="H553" s="661">
        <f t="shared" si="253"/>
        <v>1068.9998340000002</v>
      </c>
      <c r="I553" s="661">
        <f t="shared" si="253"/>
        <v>1119.2594385000002</v>
      </c>
      <c r="J553" s="661">
        <f t="shared" si="253"/>
        <v>1171.9363116090001</v>
      </c>
      <c r="K553" s="661">
        <f t="shared" si="253"/>
        <v>1171.9363116090001</v>
      </c>
      <c r="L553" s="661">
        <f t="shared" si="253"/>
        <v>1171.9363116090001</v>
      </c>
      <c r="M553" s="661">
        <f t="shared" si="253"/>
        <v>1171.9363116090001</v>
      </c>
      <c r="N553" s="661">
        <f t="shared" si="253"/>
        <v>1171.9363116090001</v>
      </c>
      <c r="O553" s="661">
        <f t="shared" si="253"/>
        <v>1171.9363116090001</v>
      </c>
    </row>
    <row r="554" spans="2:15" x14ac:dyDescent="0.3">
      <c r="B554" s="663" t="str">
        <f t="shared" ref="B554:C554" si="271">B452</f>
        <v>Incorporated</v>
      </c>
      <c r="C554" s="663">
        <f t="shared" si="271"/>
        <v>84</v>
      </c>
      <c r="D554" s="661">
        <f t="shared" si="253"/>
        <v>840.12</v>
      </c>
      <c r="E554" s="661">
        <f t="shared" si="251"/>
        <v>861.90000000000009</v>
      </c>
      <c r="F554" s="661">
        <f t="shared" si="253"/>
        <v>983.08320000000003</v>
      </c>
      <c r="G554" s="661">
        <f t="shared" si="253"/>
        <v>1032.2373600000001</v>
      </c>
      <c r="H554" s="661">
        <f t="shared" si="253"/>
        <v>1082.296908</v>
      </c>
      <c r="I554" s="661">
        <f t="shared" si="253"/>
        <v>1133.1829278</v>
      </c>
      <c r="J554" s="661">
        <f t="shared" si="253"/>
        <v>1186.5163838220001</v>
      </c>
      <c r="K554" s="661">
        <f t="shared" si="253"/>
        <v>1186.5163838220001</v>
      </c>
      <c r="L554" s="661">
        <f t="shared" si="253"/>
        <v>1186.5163838220001</v>
      </c>
      <c r="M554" s="661">
        <f t="shared" si="253"/>
        <v>1186.5163838220001</v>
      </c>
      <c r="N554" s="661">
        <f t="shared" si="253"/>
        <v>1186.5163838220001</v>
      </c>
      <c r="O554" s="661">
        <f t="shared" si="253"/>
        <v>1186.5163838220001</v>
      </c>
    </row>
    <row r="555" spans="2:15" x14ac:dyDescent="0.3">
      <c r="B555" s="663" t="str">
        <f t="shared" ref="B555:C555" si="272">B453</f>
        <v>Incorporated</v>
      </c>
      <c r="C555" s="663">
        <f t="shared" si="272"/>
        <v>85</v>
      </c>
      <c r="D555" s="661">
        <f t="shared" si="253"/>
        <v>850.45999999999992</v>
      </c>
      <c r="E555" s="661">
        <f t="shared" si="251"/>
        <v>872.51</v>
      </c>
      <c r="F555" s="661">
        <f t="shared" si="253"/>
        <v>995.16079999999999</v>
      </c>
      <c r="G555" s="661">
        <f t="shared" si="253"/>
        <v>1044.91884</v>
      </c>
      <c r="H555" s="661">
        <f t="shared" si="253"/>
        <v>1095.5939820000003</v>
      </c>
      <c r="I555" s="661">
        <f t="shared" si="253"/>
        <v>1147.1064171</v>
      </c>
      <c r="J555" s="661">
        <f t="shared" si="253"/>
        <v>1201.0964560350003</v>
      </c>
      <c r="K555" s="661">
        <f t="shared" si="253"/>
        <v>1201.0964560350003</v>
      </c>
      <c r="L555" s="661">
        <f t="shared" si="253"/>
        <v>1201.0964560350003</v>
      </c>
      <c r="M555" s="661">
        <f t="shared" si="253"/>
        <v>1201.0964560350003</v>
      </c>
      <c r="N555" s="661">
        <f t="shared" si="253"/>
        <v>1201.0964560350003</v>
      </c>
      <c r="O555" s="661">
        <f t="shared" si="253"/>
        <v>1201.0964560350003</v>
      </c>
    </row>
    <row r="556" spans="2:15" x14ac:dyDescent="0.3">
      <c r="B556" s="663" t="str">
        <f t="shared" ref="B556:C556" si="273">B454</f>
        <v>Incorporated</v>
      </c>
      <c r="C556" s="663">
        <f t="shared" si="273"/>
        <v>86</v>
      </c>
      <c r="D556" s="661">
        <f t="shared" si="253"/>
        <v>860.8</v>
      </c>
      <c r="E556" s="661">
        <f t="shared" si="251"/>
        <v>883.12</v>
      </c>
      <c r="F556" s="661">
        <f t="shared" si="253"/>
        <v>1007.2384</v>
      </c>
      <c r="G556" s="661">
        <f t="shared" si="253"/>
        <v>1057.60032</v>
      </c>
      <c r="H556" s="661">
        <f t="shared" si="253"/>
        <v>1108.8910560000002</v>
      </c>
      <c r="I556" s="661">
        <f t="shared" si="253"/>
        <v>1161.0299064000001</v>
      </c>
      <c r="J556" s="661">
        <f t="shared" si="253"/>
        <v>1215.6765282480001</v>
      </c>
      <c r="K556" s="661">
        <f t="shared" si="253"/>
        <v>1215.6765282480001</v>
      </c>
      <c r="L556" s="661">
        <f t="shared" si="253"/>
        <v>1215.6765282480001</v>
      </c>
      <c r="M556" s="661">
        <f t="shared" si="253"/>
        <v>1215.6765282480001</v>
      </c>
      <c r="N556" s="661">
        <f t="shared" si="253"/>
        <v>1215.6765282480001</v>
      </c>
      <c r="O556" s="661">
        <f t="shared" si="253"/>
        <v>1215.6765282480001</v>
      </c>
    </row>
    <row r="557" spans="2:15" x14ac:dyDescent="0.3">
      <c r="B557" s="663" t="str">
        <f t="shared" ref="B557:C557" si="274">B455</f>
        <v>Incorporated</v>
      </c>
      <c r="C557" s="663">
        <f t="shared" si="274"/>
        <v>87</v>
      </c>
      <c r="D557" s="661">
        <f t="shared" si="253"/>
        <v>871.1400000000001</v>
      </c>
      <c r="E557" s="661">
        <f t="shared" si="251"/>
        <v>893.73</v>
      </c>
      <c r="F557" s="661">
        <f t="shared" si="253"/>
        <v>1019.316</v>
      </c>
      <c r="G557" s="661">
        <f t="shared" si="253"/>
        <v>1070.2818000000002</v>
      </c>
      <c r="H557" s="661">
        <f t="shared" si="253"/>
        <v>1122.18813</v>
      </c>
      <c r="I557" s="661">
        <f t="shared" si="253"/>
        <v>1174.9533957000001</v>
      </c>
      <c r="J557" s="661">
        <f t="shared" si="253"/>
        <v>1230.2566004610001</v>
      </c>
      <c r="K557" s="661">
        <f t="shared" si="253"/>
        <v>1230.2566004610001</v>
      </c>
      <c r="L557" s="661">
        <f t="shared" si="253"/>
        <v>1230.2566004610001</v>
      </c>
      <c r="M557" s="661">
        <f t="shared" si="253"/>
        <v>1230.2566004610001</v>
      </c>
      <c r="N557" s="661">
        <f t="shared" si="253"/>
        <v>1230.2566004610001</v>
      </c>
      <c r="O557" s="661">
        <f t="shared" si="253"/>
        <v>1230.2566004610001</v>
      </c>
    </row>
    <row r="558" spans="2:15" x14ac:dyDescent="0.3">
      <c r="B558" s="663" t="str">
        <f t="shared" ref="B558:C558" si="275">B456</f>
        <v>Incorporated</v>
      </c>
      <c r="C558" s="663">
        <f t="shared" si="275"/>
        <v>88</v>
      </c>
      <c r="D558" s="661">
        <f t="shared" si="253"/>
        <v>881.48</v>
      </c>
      <c r="E558" s="661">
        <f t="shared" ref="E558" si="276">IF($B$470=$A$61,E148+E354+E456,IF($B$470=$A$62,E251+E354+E456,E354+E456))</f>
        <v>904.34</v>
      </c>
      <c r="F558" s="661">
        <f t="shared" ref="F558:O570" si="277">IF($B$470=$A$61,F148+F354+F456,IF($B$470=$A$62,F251+F354+F456,F354+F456))</f>
        <v>1031.3935999999999</v>
      </c>
      <c r="G558" s="661">
        <f t="shared" si="277"/>
        <v>1082.9632799999999</v>
      </c>
      <c r="H558" s="661">
        <f t="shared" si="277"/>
        <v>1135.4852040000001</v>
      </c>
      <c r="I558" s="661">
        <f t="shared" si="277"/>
        <v>1188.8768850000001</v>
      </c>
      <c r="J558" s="661">
        <f t="shared" si="277"/>
        <v>1244.8366726740001</v>
      </c>
      <c r="K558" s="661">
        <f t="shared" si="277"/>
        <v>1244.8366726740001</v>
      </c>
      <c r="L558" s="661">
        <f t="shared" si="277"/>
        <v>1244.8366726740001</v>
      </c>
      <c r="M558" s="661">
        <f t="shared" si="277"/>
        <v>1244.8366726740001</v>
      </c>
      <c r="N558" s="661">
        <f t="shared" si="277"/>
        <v>1244.8366726740001</v>
      </c>
      <c r="O558" s="661">
        <f t="shared" si="277"/>
        <v>1244.8366726740001</v>
      </c>
    </row>
    <row r="559" spans="2:15" x14ac:dyDescent="0.3">
      <c r="B559" s="663" t="str">
        <f t="shared" ref="B559:C559" si="278">B457</f>
        <v>Incorporated</v>
      </c>
      <c r="C559" s="663">
        <f t="shared" si="278"/>
        <v>89</v>
      </c>
      <c r="D559" s="661">
        <f t="shared" si="253"/>
        <v>891.82</v>
      </c>
      <c r="E559" s="661">
        <f t="shared" ref="E559" si="279">IF($B$470=$A$61,E149+E355+E457,IF($B$470=$A$62,E252+E355+E457,E355+E457))</f>
        <v>914.95</v>
      </c>
      <c r="F559" s="661">
        <f t="shared" si="277"/>
        <v>1043.4712</v>
      </c>
      <c r="G559" s="661">
        <f t="shared" si="277"/>
        <v>1095.6447600000001</v>
      </c>
      <c r="H559" s="661">
        <f t="shared" si="277"/>
        <v>1148.7822780000001</v>
      </c>
      <c r="I559" s="661">
        <f t="shared" si="277"/>
        <v>1202.8003743000002</v>
      </c>
      <c r="J559" s="661">
        <f t="shared" si="277"/>
        <v>1259.416744887</v>
      </c>
      <c r="K559" s="661">
        <f t="shared" si="277"/>
        <v>1259.416744887</v>
      </c>
      <c r="L559" s="661">
        <f t="shared" si="277"/>
        <v>1259.416744887</v>
      </c>
      <c r="M559" s="661">
        <f t="shared" si="277"/>
        <v>1259.416744887</v>
      </c>
      <c r="N559" s="661">
        <f t="shared" si="277"/>
        <v>1259.416744887</v>
      </c>
      <c r="O559" s="661">
        <f t="shared" si="277"/>
        <v>1259.416744887</v>
      </c>
    </row>
    <row r="560" spans="2:15" x14ac:dyDescent="0.3">
      <c r="B560" s="663" t="str">
        <f t="shared" ref="B560:C560" si="280">B458</f>
        <v>Incorporated</v>
      </c>
      <c r="C560" s="663">
        <f t="shared" si="280"/>
        <v>90</v>
      </c>
      <c r="D560" s="661">
        <f t="shared" si="253"/>
        <v>902.16000000000008</v>
      </c>
      <c r="E560" s="661">
        <f t="shared" ref="E560" si="281">IF($B$470=$A$61,E150+E356+E458,IF($B$470=$A$62,E253+E356+E458,E356+E458))</f>
        <v>925.56</v>
      </c>
      <c r="F560" s="661">
        <f t="shared" si="277"/>
        <v>1055.5488</v>
      </c>
      <c r="G560" s="661">
        <f t="shared" si="277"/>
        <v>1108.3262400000001</v>
      </c>
      <c r="H560" s="661">
        <f t="shared" si="277"/>
        <v>1162.0793520000002</v>
      </c>
      <c r="I560" s="661">
        <f t="shared" si="277"/>
        <v>1216.7238636000002</v>
      </c>
      <c r="J560" s="661">
        <f t="shared" si="277"/>
        <v>1273.9968171000003</v>
      </c>
      <c r="K560" s="661">
        <f t="shared" si="277"/>
        <v>1273.9968171000003</v>
      </c>
      <c r="L560" s="661">
        <f t="shared" si="277"/>
        <v>1273.9968171000003</v>
      </c>
      <c r="M560" s="661">
        <f t="shared" si="277"/>
        <v>1273.9968171000003</v>
      </c>
      <c r="N560" s="661">
        <f t="shared" si="277"/>
        <v>1273.9968171000003</v>
      </c>
      <c r="O560" s="661">
        <f t="shared" si="277"/>
        <v>1273.9968171000003</v>
      </c>
    </row>
    <row r="561" spans="2:17" x14ac:dyDescent="0.3">
      <c r="B561" s="663" t="str">
        <f t="shared" ref="B561:C561" si="282">B459</f>
        <v>Incorporated</v>
      </c>
      <c r="C561" s="663">
        <f t="shared" si="282"/>
        <v>91</v>
      </c>
      <c r="D561" s="661">
        <f t="shared" si="253"/>
        <v>912.50000000000011</v>
      </c>
      <c r="E561" s="661">
        <f t="shared" ref="E561" si="283">IF($B$470=$A$61,E151+E357+E459,IF($B$470=$A$62,E254+E357+E459,E357+E459))</f>
        <v>936.17</v>
      </c>
      <c r="F561" s="661">
        <f t="shared" si="277"/>
        <v>1067.6263999999999</v>
      </c>
      <c r="G561" s="661">
        <f t="shared" si="277"/>
        <v>1121.0077200000001</v>
      </c>
      <c r="H561" s="661">
        <f t="shared" si="277"/>
        <v>1175.3764260000003</v>
      </c>
      <c r="I561" s="661">
        <f t="shared" si="277"/>
        <v>1230.6473529</v>
      </c>
      <c r="J561" s="661">
        <f t="shared" si="277"/>
        <v>1288.5768893130003</v>
      </c>
      <c r="K561" s="661">
        <f t="shared" si="277"/>
        <v>1288.5768893130003</v>
      </c>
      <c r="L561" s="661">
        <f t="shared" si="277"/>
        <v>1288.5768893130003</v>
      </c>
      <c r="M561" s="661">
        <f t="shared" si="277"/>
        <v>1288.5768893130003</v>
      </c>
      <c r="N561" s="661">
        <f t="shared" si="277"/>
        <v>1288.5768893130003</v>
      </c>
      <c r="O561" s="661">
        <f t="shared" si="277"/>
        <v>1288.5768893130003</v>
      </c>
    </row>
    <row r="562" spans="2:17" x14ac:dyDescent="0.3">
      <c r="B562" s="663" t="str">
        <f t="shared" ref="B562:C562" si="284">B460</f>
        <v>Incorporated</v>
      </c>
      <c r="C562" s="663">
        <f t="shared" si="284"/>
        <v>92</v>
      </c>
      <c r="D562" s="661">
        <f t="shared" si="253"/>
        <v>922.84</v>
      </c>
      <c r="E562" s="661">
        <f t="shared" ref="E562" si="285">IF($B$470=$A$61,E152+E358+E460,IF($B$470=$A$62,E255+E358+E460,E358+E460))</f>
        <v>946.78</v>
      </c>
      <c r="F562" s="661">
        <f t="shared" si="277"/>
        <v>1079.704</v>
      </c>
      <c r="G562" s="661">
        <f t="shared" si="277"/>
        <v>1133.6892</v>
      </c>
      <c r="H562" s="661">
        <f t="shared" si="277"/>
        <v>1188.6735000000001</v>
      </c>
      <c r="I562" s="661">
        <f t="shared" si="277"/>
        <v>1244.5708422</v>
      </c>
      <c r="J562" s="661">
        <f t="shared" si="277"/>
        <v>1303.156961526</v>
      </c>
      <c r="K562" s="661">
        <f t="shared" si="277"/>
        <v>1303.156961526</v>
      </c>
      <c r="L562" s="661">
        <f t="shared" si="277"/>
        <v>1303.156961526</v>
      </c>
      <c r="M562" s="661">
        <f t="shared" si="277"/>
        <v>1303.156961526</v>
      </c>
      <c r="N562" s="661">
        <f t="shared" si="277"/>
        <v>1303.156961526</v>
      </c>
      <c r="O562" s="661">
        <f t="shared" si="277"/>
        <v>1303.156961526</v>
      </c>
    </row>
    <row r="563" spans="2:17" x14ac:dyDescent="0.3">
      <c r="B563" s="663" t="str">
        <f t="shared" ref="B563:C563" si="286">B461</f>
        <v>Incorporated</v>
      </c>
      <c r="C563" s="663">
        <f t="shared" si="286"/>
        <v>93</v>
      </c>
      <c r="D563" s="661">
        <f t="shared" si="253"/>
        <v>933.18</v>
      </c>
      <c r="E563" s="661">
        <f t="shared" ref="E563" si="287">IF($B$470=$A$61,E153+E359+E461,IF($B$470=$A$62,E256+E359+E461,E359+E461))</f>
        <v>957.3900000000001</v>
      </c>
      <c r="F563" s="661">
        <f t="shared" si="277"/>
        <v>1091.7816</v>
      </c>
      <c r="G563" s="661">
        <f t="shared" si="277"/>
        <v>1146.3706800000002</v>
      </c>
      <c r="H563" s="661">
        <f t="shared" si="277"/>
        <v>1201.9705740000002</v>
      </c>
      <c r="I563" s="661">
        <f t="shared" si="277"/>
        <v>1258.4943315000003</v>
      </c>
      <c r="J563" s="661">
        <f t="shared" si="277"/>
        <v>1317.737033739</v>
      </c>
      <c r="K563" s="661">
        <f t="shared" si="277"/>
        <v>1317.737033739</v>
      </c>
      <c r="L563" s="661">
        <f t="shared" si="277"/>
        <v>1317.737033739</v>
      </c>
      <c r="M563" s="661">
        <f t="shared" si="277"/>
        <v>1317.737033739</v>
      </c>
      <c r="N563" s="661">
        <f t="shared" si="277"/>
        <v>1317.737033739</v>
      </c>
      <c r="O563" s="661">
        <f t="shared" si="277"/>
        <v>1317.737033739</v>
      </c>
    </row>
    <row r="564" spans="2:17" x14ac:dyDescent="0.3">
      <c r="B564" s="663" t="str">
        <f t="shared" ref="B564:C564" si="288">B462</f>
        <v>Incorporated</v>
      </c>
      <c r="C564" s="663">
        <f t="shared" si="288"/>
        <v>94</v>
      </c>
      <c r="D564" s="661">
        <f t="shared" si="253"/>
        <v>943.52</v>
      </c>
      <c r="E564" s="661">
        <f t="shared" ref="E564" si="289">IF($B$470=$A$61,E154+E360+E462,IF($B$470=$A$62,E257+E360+E462,E360+E462))</f>
        <v>968.00000000000011</v>
      </c>
      <c r="F564" s="661">
        <f t="shared" si="277"/>
        <v>1103.8591999999999</v>
      </c>
      <c r="G564" s="661">
        <f t="shared" si="277"/>
        <v>1159.0521600000002</v>
      </c>
      <c r="H564" s="661">
        <f t="shared" si="277"/>
        <v>1215.2676480000002</v>
      </c>
      <c r="I564" s="661">
        <f t="shared" si="277"/>
        <v>1272.4178208000003</v>
      </c>
      <c r="J564" s="661">
        <f t="shared" si="277"/>
        <v>1332.317105952</v>
      </c>
      <c r="K564" s="661">
        <f t="shared" si="277"/>
        <v>1332.317105952</v>
      </c>
      <c r="L564" s="661">
        <f t="shared" si="277"/>
        <v>1332.317105952</v>
      </c>
      <c r="M564" s="661">
        <f t="shared" si="277"/>
        <v>1332.317105952</v>
      </c>
      <c r="N564" s="661">
        <f t="shared" si="277"/>
        <v>1332.317105952</v>
      </c>
      <c r="O564" s="661">
        <f t="shared" si="277"/>
        <v>1332.317105952</v>
      </c>
    </row>
    <row r="565" spans="2:17" x14ac:dyDescent="0.3">
      <c r="B565" s="663" t="str">
        <f t="shared" ref="B565:C565" si="290">B463</f>
        <v>Incorporated</v>
      </c>
      <c r="C565" s="663">
        <f t="shared" si="290"/>
        <v>95</v>
      </c>
      <c r="D565" s="661">
        <f t="shared" si="253"/>
        <v>953.8599999999999</v>
      </c>
      <c r="E565" s="661">
        <f t="shared" ref="E565" si="291">IF($B$470=$A$61,E155+E361+E463,IF($B$470=$A$62,E258+E361+E463,E361+E463))</f>
        <v>978.61</v>
      </c>
      <c r="F565" s="661">
        <f t="shared" si="277"/>
        <v>1115.9367999999999</v>
      </c>
      <c r="G565" s="661">
        <f t="shared" si="277"/>
        <v>1171.7336400000002</v>
      </c>
      <c r="H565" s="661">
        <f t="shared" si="277"/>
        <v>1228.5647220000001</v>
      </c>
      <c r="I565" s="661">
        <f t="shared" si="277"/>
        <v>1286.3413101000003</v>
      </c>
      <c r="J565" s="661">
        <f t="shared" si="277"/>
        <v>1346.897178165</v>
      </c>
      <c r="K565" s="661">
        <f t="shared" si="277"/>
        <v>1346.897178165</v>
      </c>
      <c r="L565" s="661">
        <f t="shared" si="277"/>
        <v>1346.897178165</v>
      </c>
      <c r="M565" s="661">
        <f t="shared" si="277"/>
        <v>1346.897178165</v>
      </c>
      <c r="N565" s="661">
        <f t="shared" si="277"/>
        <v>1346.897178165</v>
      </c>
      <c r="O565" s="661">
        <f t="shared" si="277"/>
        <v>1346.897178165</v>
      </c>
    </row>
    <row r="566" spans="2:17" x14ac:dyDescent="0.3">
      <c r="B566" s="663" t="str">
        <f t="shared" ref="B566:C566" si="292">B464</f>
        <v>Incorporated</v>
      </c>
      <c r="C566" s="663">
        <f t="shared" si="292"/>
        <v>96</v>
      </c>
      <c r="D566" s="661">
        <f t="shared" si="253"/>
        <v>964.19999999999993</v>
      </c>
      <c r="E566" s="661">
        <f t="shared" ref="E566" si="293">IF($B$470=$A$61,E156+E362+E464,IF($B$470=$A$62,E259+E362+E464,E362+E464))</f>
        <v>989.21999999999991</v>
      </c>
      <c r="F566" s="661">
        <f t="shared" si="277"/>
        <v>1128.0144</v>
      </c>
      <c r="G566" s="661">
        <f t="shared" si="277"/>
        <v>1184.4151200000001</v>
      </c>
      <c r="H566" s="661">
        <f t="shared" si="277"/>
        <v>1241.8617960000001</v>
      </c>
      <c r="I566" s="661">
        <f t="shared" si="277"/>
        <v>1300.2647994000004</v>
      </c>
      <c r="J566" s="661">
        <f t="shared" si="277"/>
        <v>1361.477250378</v>
      </c>
      <c r="K566" s="661">
        <f t="shared" si="277"/>
        <v>1361.477250378</v>
      </c>
      <c r="L566" s="661">
        <f t="shared" si="277"/>
        <v>1361.477250378</v>
      </c>
      <c r="M566" s="661">
        <f t="shared" si="277"/>
        <v>1361.477250378</v>
      </c>
      <c r="N566" s="661">
        <f t="shared" si="277"/>
        <v>1361.477250378</v>
      </c>
      <c r="O566" s="661">
        <f t="shared" si="277"/>
        <v>1361.477250378</v>
      </c>
    </row>
    <row r="567" spans="2:17" x14ac:dyDescent="0.3">
      <c r="B567" s="663" t="str">
        <f t="shared" ref="B567:C567" si="294">B465</f>
        <v>Incorporated</v>
      </c>
      <c r="C567" s="663">
        <f t="shared" si="294"/>
        <v>97</v>
      </c>
      <c r="D567" s="661">
        <f t="shared" si="253"/>
        <v>974.54</v>
      </c>
      <c r="E567" s="661">
        <f t="shared" ref="E567" si="295">IF($B$470=$A$61,E157+E363+E465,IF($B$470=$A$62,E260+E363+E465,E363+E465))</f>
        <v>999.82999999999993</v>
      </c>
      <c r="F567" s="661">
        <f t="shared" si="277"/>
        <v>1140.0919999999999</v>
      </c>
      <c r="G567" s="661">
        <f t="shared" si="277"/>
        <v>1197.0966000000003</v>
      </c>
      <c r="H567" s="661">
        <f t="shared" si="277"/>
        <v>1255.1588700000002</v>
      </c>
      <c r="I567" s="661">
        <f t="shared" si="277"/>
        <v>1314.1882887000002</v>
      </c>
      <c r="J567" s="661">
        <f t="shared" si="277"/>
        <v>1376.057322591</v>
      </c>
      <c r="K567" s="661">
        <f t="shared" si="277"/>
        <v>1376.057322591</v>
      </c>
      <c r="L567" s="661">
        <f t="shared" si="277"/>
        <v>1376.057322591</v>
      </c>
      <c r="M567" s="661">
        <f t="shared" si="277"/>
        <v>1376.057322591</v>
      </c>
      <c r="N567" s="661">
        <f t="shared" si="277"/>
        <v>1376.057322591</v>
      </c>
      <c r="O567" s="661">
        <f t="shared" si="277"/>
        <v>1376.057322591</v>
      </c>
    </row>
    <row r="568" spans="2:17" x14ac:dyDescent="0.3">
      <c r="B568" s="663" t="str">
        <f t="shared" ref="B568:C568" si="296">B466</f>
        <v>Incorporated</v>
      </c>
      <c r="C568" s="663">
        <f t="shared" si="296"/>
        <v>98</v>
      </c>
      <c r="D568" s="661">
        <f t="shared" si="253"/>
        <v>984.87999999999988</v>
      </c>
      <c r="E568" s="661">
        <f t="shared" ref="E568" si="297">IF($B$470=$A$61,E158+E364+E466,IF($B$470=$A$62,E261+E364+E466,E364+E466))</f>
        <v>1010.44</v>
      </c>
      <c r="F568" s="661">
        <f t="shared" si="277"/>
        <v>1152.1695999999999</v>
      </c>
      <c r="G568" s="661">
        <f t="shared" si="277"/>
        <v>1209.77808</v>
      </c>
      <c r="H568" s="661">
        <f t="shared" si="277"/>
        <v>1268.4559440000003</v>
      </c>
      <c r="I568" s="661">
        <f t="shared" si="277"/>
        <v>1328.1117780000002</v>
      </c>
      <c r="J568" s="661">
        <f t="shared" si="277"/>
        <v>1390.637394804</v>
      </c>
      <c r="K568" s="661">
        <f t="shared" si="277"/>
        <v>1390.637394804</v>
      </c>
      <c r="L568" s="661">
        <f t="shared" si="277"/>
        <v>1390.637394804</v>
      </c>
      <c r="M568" s="661">
        <f t="shared" si="277"/>
        <v>1390.637394804</v>
      </c>
      <c r="N568" s="661">
        <f t="shared" si="277"/>
        <v>1390.637394804</v>
      </c>
      <c r="O568" s="661">
        <f t="shared" si="277"/>
        <v>1390.637394804</v>
      </c>
    </row>
    <row r="569" spans="2:17" x14ac:dyDescent="0.3">
      <c r="B569" s="663" t="str">
        <f t="shared" ref="B569:C570" si="298">B467</f>
        <v>Incorporated</v>
      </c>
      <c r="C569" s="663">
        <f t="shared" si="298"/>
        <v>99</v>
      </c>
      <c r="D569" s="661">
        <f t="shared" si="253"/>
        <v>995.21999999999991</v>
      </c>
      <c r="E569" s="661">
        <f t="shared" ref="E569" si="299">IF($B$470=$A$61,E159+E365+E467,IF($B$470=$A$62,E262+E365+E467,E365+E467))</f>
        <v>1021.0500000000001</v>
      </c>
      <c r="F569" s="661">
        <f t="shared" si="277"/>
        <v>1164.2472</v>
      </c>
      <c r="G569" s="661">
        <f t="shared" si="277"/>
        <v>1222.4595600000002</v>
      </c>
      <c r="H569" s="661">
        <f t="shared" si="277"/>
        <v>1281.7530180000001</v>
      </c>
      <c r="I569" s="661">
        <f t="shared" si="277"/>
        <v>1342.0352673</v>
      </c>
      <c r="J569" s="661">
        <f t="shared" si="277"/>
        <v>1405.217467017</v>
      </c>
      <c r="K569" s="661">
        <f t="shared" si="277"/>
        <v>1405.217467017</v>
      </c>
      <c r="L569" s="661">
        <f t="shared" si="277"/>
        <v>1405.217467017</v>
      </c>
      <c r="M569" s="661">
        <f t="shared" si="277"/>
        <v>1405.217467017</v>
      </c>
      <c r="N569" s="661">
        <f t="shared" si="277"/>
        <v>1405.217467017</v>
      </c>
      <c r="O569" s="661">
        <f t="shared" si="277"/>
        <v>1405.217467017</v>
      </c>
    </row>
    <row r="570" spans="2:17" x14ac:dyDescent="0.3">
      <c r="B570" s="663" t="str">
        <f t="shared" si="298"/>
        <v>Incorporated</v>
      </c>
      <c r="C570" s="663">
        <f t="shared" si="298"/>
        <v>100</v>
      </c>
      <c r="D570" s="661">
        <f t="shared" si="253"/>
        <v>1005.56</v>
      </c>
      <c r="E570" s="661">
        <f t="shared" ref="E570" si="300">IF($B$470=$A$61,E160+E366+E468,IF($B$470=$A$62,E263+E366+E468,E366+E468))</f>
        <v>1031.6599999999999</v>
      </c>
      <c r="F570" s="661">
        <f t="shared" si="277"/>
        <v>1176.3247999999999</v>
      </c>
      <c r="G570" s="661">
        <f t="shared" si="277"/>
        <v>1235.14104</v>
      </c>
      <c r="H570" s="661">
        <f t="shared" si="277"/>
        <v>1295.0500920000002</v>
      </c>
      <c r="I570" s="661">
        <f t="shared" si="277"/>
        <v>1355.9587566</v>
      </c>
      <c r="J570" s="661">
        <f t="shared" si="277"/>
        <v>1419.7975392300002</v>
      </c>
      <c r="K570" s="661">
        <f t="shared" si="277"/>
        <v>1419.7975392300002</v>
      </c>
      <c r="L570" s="661">
        <f t="shared" si="277"/>
        <v>1419.7975392300002</v>
      </c>
      <c r="M570" s="661">
        <f t="shared" si="277"/>
        <v>1419.7975392300002</v>
      </c>
      <c r="N570" s="661">
        <f t="shared" si="277"/>
        <v>1419.7975392300002</v>
      </c>
      <c r="O570" s="661">
        <f t="shared" si="277"/>
        <v>1419.7975392300002</v>
      </c>
    </row>
    <row r="572" spans="2:17" x14ac:dyDescent="0.3">
      <c r="B572" s="967" t="s">
        <v>1968</v>
      </c>
      <c r="C572" s="964" t="str">
        <f>C470</f>
        <v>Total Bi-Monthly Bill</v>
      </c>
    </row>
    <row r="573" spans="2:17" x14ac:dyDescent="0.3">
      <c r="B573" s="964" t="str">
        <f>B471</f>
        <v>Incorporated</v>
      </c>
      <c r="C573" s="964">
        <f>C471</f>
        <v>1</v>
      </c>
      <c r="D573" s="661">
        <f t="shared" ref="D573:O573" si="301">IF($B$572=$A$61,D61+D267+D369,IF($B$572=$A$62,D164+D267+D369,D267+D369))</f>
        <v>16.57</v>
      </c>
      <c r="E573" s="661">
        <f t="shared" ref="E573" si="302">IF($B$572=$A$61,E61+E267+E369,IF($B$572=$A$62,E164+E267+E369,E267+E369))</f>
        <v>16.77</v>
      </c>
      <c r="F573" s="661">
        <f t="shared" si="301"/>
        <v>17.426758958739498</v>
      </c>
      <c r="G573" s="661">
        <f t="shared" si="301"/>
        <v>18.413416293604115</v>
      </c>
      <c r="H573" s="661">
        <f t="shared" si="301"/>
        <v>19.315428423616538</v>
      </c>
      <c r="I573" s="661">
        <f t="shared" si="301"/>
        <v>20.242575447940208</v>
      </c>
      <c r="J573" s="661">
        <f t="shared" si="301"/>
        <v>21.214919052793462</v>
      </c>
      <c r="K573" s="661">
        <f t="shared" si="301"/>
        <v>21.214919052793462</v>
      </c>
      <c r="L573" s="661">
        <f t="shared" si="301"/>
        <v>21.214919052793459</v>
      </c>
      <c r="M573" s="661">
        <f t="shared" si="301"/>
        <v>21.214919052793459</v>
      </c>
      <c r="N573" s="661">
        <f t="shared" si="301"/>
        <v>21.214919052793462</v>
      </c>
      <c r="O573" s="661">
        <f t="shared" si="301"/>
        <v>21.214919052793462</v>
      </c>
    </row>
    <row r="574" spans="2:17" x14ac:dyDescent="0.3">
      <c r="B574" s="964" t="str">
        <f t="shared" ref="B574:C574" si="303">B472</f>
        <v>Incorporated</v>
      </c>
      <c r="C574" s="964">
        <f t="shared" si="303"/>
        <v>2</v>
      </c>
      <c r="D574" s="661">
        <f t="shared" ref="D574:O574" si="304">IF($B$572=$A$61,D62+D268+D370,IF($B$572=$A$62,D165+D268+D370,D268+D370))</f>
        <v>24.14</v>
      </c>
      <c r="E574" s="661">
        <f t="shared" ref="E574" si="305">IF($B$572=$A$61,E62+E268+E370,IF($B$572=$A$62,E165+E268+E370,E268+E370))</f>
        <v>24.54</v>
      </c>
      <c r="F574" s="661">
        <f t="shared" si="304"/>
        <v>25.853517917478992</v>
      </c>
      <c r="G574" s="661">
        <f t="shared" si="304"/>
        <v>27.335275708847057</v>
      </c>
      <c r="H574" s="661">
        <f t="shared" si="304"/>
        <v>28.66491118199702</v>
      </c>
      <c r="I574" s="661">
        <f t="shared" si="304"/>
        <v>30.021104744523122</v>
      </c>
      <c r="J574" s="661">
        <f t="shared" si="304"/>
        <v>31.442794508441807</v>
      </c>
      <c r="K574" s="661">
        <f t="shared" si="304"/>
        <v>31.442794508441811</v>
      </c>
      <c r="L574" s="661">
        <f t="shared" si="304"/>
        <v>31.442794508441803</v>
      </c>
      <c r="M574" s="661">
        <f t="shared" si="304"/>
        <v>31.442794508441803</v>
      </c>
      <c r="N574" s="661">
        <f t="shared" si="304"/>
        <v>31.442794508441811</v>
      </c>
      <c r="O574" s="661">
        <f t="shared" si="304"/>
        <v>31.442794508441807</v>
      </c>
      <c r="Q574" s="661"/>
    </row>
    <row r="575" spans="2:17" x14ac:dyDescent="0.3">
      <c r="B575" s="964" t="str">
        <f t="shared" ref="B575:C575" si="306">B473</f>
        <v>Incorporated</v>
      </c>
      <c r="C575" s="964">
        <f t="shared" si="306"/>
        <v>3</v>
      </c>
      <c r="D575" s="661">
        <f t="shared" ref="D575:O575" si="307">IF($B$572=$A$61,D63+D269+D371,IF($B$572=$A$62,D166+D269+D371,D269+D371))</f>
        <v>31.709999999999997</v>
      </c>
      <c r="E575" s="661">
        <f t="shared" ref="E575" si="308">IF($B$572=$A$61,E63+E269+E371,IF($B$572=$A$62,E166+E269+E371,E269+E371))</f>
        <v>32.31</v>
      </c>
      <c r="F575" s="661">
        <f t="shared" si="307"/>
        <v>34.280276876218494</v>
      </c>
      <c r="G575" s="661">
        <f t="shared" si="307"/>
        <v>36.257135124089992</v>
      </c>
      <c r="H575" s="661">
        <f t="shared" si="307"/>
        <v>38.014393940377509</v>
      </c>
      <c r="I575" s="661">
        <f t="shared" si="307"/>
        <v>39.799634041106032</v>
      </c>
      <c r="J575" s="661">
        <f t="shared" si="307"/>
        <v>41.670669964090152</v>
      </c>
      <c r="K575" s="661">
        <f t="shared" si="307"/>
        <v>41.670669964090152</v>
      </c>
      <c r="L575" s="661">
        <f t="shared" si="307"/>
        <v>41.670669964090152</v>
      </c>
      <c r="M575" s="661">
        <f t="shared" si="307"/>
        <v>41.670669964090152</v>
      </c>
      <c r="N575" s="661">
        <f t="shared" si="307"/>
        <v>41.670669964090152</v>
      </c>
      <c r="O575" s="661">
        <f t="shared" si="307"/>
        <v>41.670669964090152</v>
      </c>
      <c r="Q575" s="661"/>
    </row>
    <row r="576" spans="2:17" x14ac:dyDescent="0.3">
      <c r="B576" s="964" t="str">
        <f t="shared" ref="B576:C576" si="309">B474</f>
        <v>Incorporated</v>
      </c>
      <c r="C576" s="964">
        <f t="shared" si="309"/>
        <v>4</v>
      </c>
      <c r="D576" s="661">
        <f>IF($B$572=$A$61,D64+D270+D372,IF($B$572=$A$62,D167+D270+D372,D270+D372))</f>
        <v>39.28</v>
      </c>
      <c r="E576" s="661">
        <f t="shared" ref="E576:E596" si="310">IF($B$572=$A$61,E64+E270+E372,IF($B$572=$A$62,E167+E270+E372,E270+E372))</f>
        <v>40.08</v>
      </c>
      <c r="F576" s="661">
        <f t="shared" ref="F576:O576" si="311">IF($B$572=$A$61,F64+F270+F372,IF($B$572=$A$62,F167+F270+F372,F270+F372))</f>
        <v>42.707035834957985</v>
      </c>
      <c r="G576" s="661">
        <f t="shared" si="311"/>
        <v>45.178994539332933</v>
      </c>
      <c r="H576" s="661">
        <f t="shared" si="311"/>
        <v>47.363876698757991</v>
      </c>
      <c r="I576" s="661">
        <f t="shared" si="311"/>
        <v>49.578163337688949</v>
      </c>
      <c r="J576" s="661">
        <f t="shared" si="311"/>
        <v>51.898545419738497</v>
      </c>
      <c r="K576" s="661">
        <f t="shared" si="311"/>
        <v>51.898545419738504</v>
      </c>
      <c r="L576" s="661">
        <f t="shared" si="311"/>
        <v>51.89854541973849</v>
      </c>
      <c r="M576" s="661">
        <f t="shared" si="311"/>
        <v>51.89854541973849</v>
      </c>
      <c r="N576" s="661">
        <f t="shared" si="311"/>
        <v>51.898545419738504</v>
      </c>
      <c r="O576" s="661">
        <f t="shared" si="311"/>
        <v>51.898545419738497</v>
      </c>
      <c r="Q576" s="661"/>
    </row>
    <row r="577" spans="2:17" x14ac:dyDescent="0.3">
      <c r="B577" s="964" t="str">
        <f t="shared" ref="B577:C577" si="312">B475</f>
        <v>Incorporated</v>
      </c>
      <c r="C577" s="964">
        <f t="shared" si="312"/>
        <v>5</v>
      </c>
      <c r="D577" s="661">
        <f t="shared" ref="D577:O640" si="313">IF($B$572=$A$61,D65+D271+D373,IF($B$572=$A$62,D168+D271+D373,D271+D373))</f>
        <v>46.85</v>
      </c>
      <c r="E577" s="661">
        <f t="shared" si="310"/>
        <v>47.849999999999994</v>
      </c>
      <c r="F577" s="661">
        <f t="shared" si="313"/>
        <v>51.13379479369749</v>
      </c>
      <c r="G577" s="661">
        <f t="shared" si="313"/>
        <v>54.100853954575868</v>
      </c>
      <c r="H577" s="661">
        <f t="shared" si="313"/>
        <v>56.71335945713848</v>
      </c>
      <c r="I577" s="661">
        <f t="shared" si="313"/>
        <v>59.356692634271859</v>
      </c>
      <c r="J577" s="661">
        <f t="shared" si="313"/>
        <v>62.126420875386842</v>
      </c>
      <c r="K577" s="661">
        <f t="shared" si="313"/>
        <v>62.126420875386849</v>
      </c>
      <c r="L577" s="661">
        <f t="shared" si="313"/>
        <v>62.126420875386835</v>
      </c>
      <c r="M577" s="661">
        <f t="shared" si="313"/>
        <v>62.126420875386835</v>
      </c>
      <c r="N577" s="661">
        <f t="shared" si="313"/>
        <v>62.126420875386842</v>
      </c>
      <c r="O577" s="661">
        <f t="shared" si="313"/>
        <v>62.126420875386842</v>
      </c>
      <c r="Q577" s="661"/>
    </row>
    <row r="578" spans="2:17" x14ac:dyDescent="0.3">
      <c r="B578" s="964" t="str">
        <f t="shared" ref="B578:C578" si="314">B476</f>
        <v>Incorporated</v>
      </c>
      <c r="C578" s="964">
        <f t="shared" si="314"/>
        <v>6</v>
      </c>
      <c r="D578" s="661">
        <f t="shared" si="313"/>
        <v>54.419999999999995</v>
      </c>
      <c r="E578" s="661">
        <f t="shared" si="310"/>
        <v>55.62</v>
      </c>
      <c r="F578" s="661">
        <f t="shared" si="313"/>
        <v>59.560553752436988</v>
      </c>
      <c r="G578" s="661">
        <f t="shared" si="313"/>
        <v>63.022713369818796</v>
      </c>
      <c r="H578" s="661">
        <f t="shared" si="313"/>
        <v>66.06284221551897</v>
      </c>
      <c r="I578" s="661">
        <f t="shared" si="313"/>
        <v>69.135221930854783</v>
      </c>
      <c r="J578" s="661">
        <f t="shared" si="313"/>
        <v>72.354296331035187</v>
      </c>
      <c r="K578" s="661">
        <f t="shared" si="313"/>
        <v>72.354296331035187</v>
      </c>
      <c r="L578" s="661">
        <f t="shared" si="313"/>
        <v>72.354296331035187</v>
      </c>
      <c r="M578" s="661">
        <f t="shared" si="313"/>
        <v>72.354296331035187</v>
      </c>
      <c r="N578" s="661">
        <f t="shared" si="313"/>
        <v>72.354296331035187</v>
      </c>
      <c r="O578" s="661">
        <f t="shared" si="313"/>
        <v>72.354296331035187</v>
      </c>
      <c r="Q578" s="661"/>
    </row>
    <row r="579" spans="2:17" x14ac:dyDescent="0.3">
      <c r="B579" s="964" t="str">
        <f t="shared" ref="B579:C579" si="315">B477</f>
        <v>Incorporated</v>
      </c>
      <c r="C579" s="964">
        <f t="shared" si="315"/>
        <v>7</v>
      </c>
      <c r="D579" s="661">
        <f t="shared" si="313"/>
        <v>61.989999999999995</v>
      </c>
      <c r="E579" s="661">
        <f t="shared" si="310"/>
        <v>63.39</v>
      </c>
      <c r="F579" s="661">
        <f t="shared" si="313"/>
        <v>67.987312711176486</v>
      </c>
      <c r="G579" s="661">
        <f t="shared" si="313"/>
        <v>71.944572785061723</v>
      </c>
      <c r="H579" s="661">
        <f t="shared" si="313"/>
        <v>75.412324973899459</v>
      </c>
      <c r="I579" s="661">
        <f t="shared" si="313"/>
        <v>78.913751227437672</v>
      </c>
      <c r="J579" s="661">
        <f t="shared" si="313"/>
        <v>82.582171786683531</v>
      </c>
      <c r="K579" s="661">
        <f t="shared" si="313"/>
        <v>82.582171786683546</v>
      </c>
      <c r="L579" s="661">
        <f t="shared" si="313"/>
        <v>82.582171786683531</v>
      </c>
      <c r="M579" s="661">
        <f t="shared" si="313"/>
        <v>82.582171786683531</v>
      </c>
      <c r="N579" s="661">
        <f t="shared" si="313"/>
        <v>82.582171786683546</v>
      </c>
      <c r="O579" s="661">
        <f t="shared" si="313"/>
        <v>82.582171786683531</v>
      </c>
      <c r="Q579" s="661"/>
    </row>
    <row r="580" spans="2:17" x14ac:dyDescent="0.3">
      <c r="B580" s="964" t="str">
        <f t="shared" ref="B580:C580" si="316">B478</f>
        <v>Incorporated</v>
      </c>
      <c r="C580" s="964">
        <f t="shared" si="316"/>
        <v>8</v>
      </c>
      <c r="D580" s="661">
        <f t="shared" si="313"/>
        <v>69.56</v>
      </c>
      <c r="E580" s="661">
        <f t="shared" si="310"/>
        <v>71.16</v>
      </c>
      <c r="F580" s="661">
        <f t="shared" si="313"/>
        <v>77.828761409600858</v>
      </c>
      <c r="G580" s="661">
        <f t="shared" si="313"/>
        <v>82.370297054115412</v>
      </c>
      <c r="H580" s="661">
        <f t="shared" si="313"/>
        <v>86.340868421875058</v>
      </c>
      <c r="I580" s="661">
        <f t="shared" si="313"/>
        <v>90.350296948166331</v>
      </c>
      <c r="J580" s="661">
        <f t="shared" si="313"/>
        <v>94.550967299243965</v>
      </c>
      <c r="K580" s="661">
        <f t="shared" si="313"/>
        <v>94.550967299243979</v>
      </c>
      <c r="L580" s="661">
        <f t="shared" si="313"/>
        <v>94.55096729924395</v>
      </c>
      <c r="M580" s="661">
        <f t="shared" si="313"/>
        <v>94.55096729924395</v>
      </c>
      <c r="N580" s="661">
        <f t="shared" si="313"/>
        <v>94.550967299243965</v>
      </c>
      <c r="O580" s="661">
        <f t="shared" si="313"/>
        <v>94.550967299243965</v>
      </c>
      <c r="Q580" s="661"/>
    </row>
    <row r="581" spans="2:17" x14ac:dyDescent="0.3">
      <c r="B581" s="964" t="str">
        <f t="shared" ref="B581:C581" si="317">B479</f>
        <v>Incorporated</v>
      </c>
      <c r="C581" s="964">
        <f t="shared" si="317"/>
        <v>9</v>
      </c>
      <c r="D581" s="661">
        <f t="shared" si="313"/>
        <v>77.13</v>
      </c>
      <c r="E581" s="661">
        <f t="shared" si="310"/>
        <v>78.929999999999993</v>
      </c>
      <c r="F581" s="661">
        <f t="shared" si="313"/>
        <v>87.670210108025231</v>
      </c>
      <c r="G581" s="661">
        <f t="shared" si="313"/>
        <v>92.796021323169072</v>
      </c>
      <c r="H581" s="661">
        <f t="shared" si="313"/>
        <v>97.269411869850671</v>
      </c>
      <c r="I581" s="661">
        <f t="shared" si="313"/>
        <v>101.78684266889498</v>
      </c>
      <c r="J581" s="661">
        <f t="shared" si="313"/>
        <v>106.5197628118044</v>
      </c>
      <c r="K581" s="661">
        <f t="shared" si="313"/>
        <v>106.51976281180441</v>
      </c>
      <c r="L581" s="661">
        <f t="shared" si="313"/>
        <v>106.51976281180438</v>
      </c>
      <c r="M581" s="661">
        <f t="shared" si="313"/>
        <v>106.51976281180438</v>
      </c>
      <c r="N581" s="661">
        <f t="shared" si="313"/>
        <v>106.5197628118044</v>
      </c>
      <c r="O581" s="661">
        <f t="shared" si="313"/>
        <v>106.5197628118044</v>
      </c>
      <c r="Q581" s="661"/>
    </row>
    <row r="582" spans="2:17" x14ac:dyDescent="0.3">
      <c r="B582" s="964" t="str">
        <f t="shared" ref="B582:C582" si="318">B480</f>
        <v>Incorporated</v>
      </c>
      <c r="C582" s="964">
        <f t="shared" si="318"/>
        <v>10</v>
      </c>
      <c r="D582" s="661">
        <f t="shared" si="313"/>
        <v>86.08</v>
      </c>
      <c r="E582" s="661">
        <f t="shared" si="310"/>
        <v>88.11999999999999</v>
      </c>
      <c r="F582" s="661">
        <f t="shared" si="313"/>
        <v>97.511658806449589</v>
      </c>
      <c r="G582" s="661">
        <f t="shared" si="313"/>
        <v>103.22174559222275</v>
      </c>
      <c r="H582" s="661">
        <f t="shared" si="313"/>
        <v>108.19795531782627</v>
      </c>
      <c r="I582" s="661">
        <f t="shared" si="313"/>
        <v>113.22338838962361</v>
      </c>
      <c r="J582" s="661">
        <f t="shared" si="313"/>
        <v>118.48855832436482</v>
      </c>
      <c r="K582" s="661">
        <f t="shared" si="313"/>
        <v>118.48855832436485</v>
      </c>
      <c r="L582" s="661">
        <f t="shared" si="313"/>
        <v>118.48855832436482</v>
      </c>
      <c r="M582" s="661">
        <f t="shared" si="313"/>
        <v>118.48855832436482</v>
      </c>
      <c r="N582" s="661">
        <f t="shared" si="313"/>
        <v>118.48855832436483</v>
      </c>
      <c r="O582" s="661">
        <f t="shared" si="313"/>
        <v>118.48855832436482</v>
      </c>
      <c r="Q582" s="661"/>
    </row>
    <row r="583" spans="2:17" x14ac:dyDescent="0.3">
      <c r="B583" s="964" t="str">
        <f t="shared" ref="B583:C583" si="319">B481</f>
        <v>Incorporated</v>
      </c>
      <c r="C583" s="964">
        <f t="shared" si="319"/>
        <v>11</v>
      </c>
      <c r="D583" s="661">
        <f t="shared" si="313"/>
        <v>95.03</v>
      </c>
      <c r="E583" s="661">
        <f t="shared" si="310"/>
        <v>97.309999999999988</v>
      </c>
      <c r="F583" s="661">
        <f t="shared" si="313"/>
        <v>107.35310750487396</v>
      </c>
      <c r="G583" s="661">
        <f t="shared" si="313"/>
        <v>113.64746986127641</v>
      </c>
      <c r="H583" s="661">
        <f t="shared" si="313"/>
        <v>119.12649876580187</v>
      </c>
      <c r="I583" s="661">
        <f t="shared" si="313"/>
        <v>124.65993411035225</v>
      </c>
      <c r="J583" s="661">
        <f t="shared" si="313"/>
        <v>130.45735383692525</v>
      </c>
      <c r="K583" s="661">
        <f t="shared" si="313"/>
        <v>130.45735383692528</v>
      </c>
      <c r="L583" s="661">
        <f t="shared" si="313"/>
        <v>130.45735383692525</v>
      </c>
      <c r="M583" s="661">
        <f t="shared" si="313"/>
        <v>130.45735383692525</v>
      </c>
      <c r="N583" s="661">
        <f t="shared" si="313"/>
        <v>130.45735383692528</v>
      </c>
      <c r="O583" s="661">
        <f t="shared" si="313"/>
        <v>130.45735383692525</v>
      </c>
      <c r="Q583" s="661"/>
    </row>
    <row r="584" spans="2:17" x14ac:dyDescent="0.3">
      <c r="B584" s="964" t="str">
        <f t="shared" ref="B584:C584" si="320">B482</f>
        <v>Incorporated</v>
      </c>
      <c r="C584" s="964">
        <f t="shared" si="320"/>
        <v>12</v>
      </c>
      <c r="D584" s="661">
        <f t="shared" si="313"/>
        <v>103.98</v>
      </c>
      <c r="E584" s="661">
        <f t="shared" si="310"/>
        <v>106.49999999999999</v>
      </c>
      <c r="F584" s="661">
        <f t="shared" si="313"/>
        <v>117.19455620329835</v>
      </c>
      <c r="G584" s="661">
        <f t="shared" si="313"/>
        <v>124.07319413033009</v>
      </c>
      <c r="H584" s="661">
        <f t="shared" si="313"/>
        <v>130.05504221377748</v>
      </c>
      <c r="I584" s="661">
        <f t="shared" si="313"/>
        <v>136.0964798310809</v>
      </c>
      <c r="J584" s="661">
        <f t="shared" si="313"/>
        <v>142.42614934948568</v>
      </c>
      <c r="K584" s="661">
        <f t="shared" si="313"/>
        <v>142.42614934948568</v>
      </c>
      <c r="L584" s="661">
        <f t="shared" si="313"/>
        <v>142.42614934948568</v>
      </c>
      <c r="M584" s="661">
        <f t="shared" si="313"/>
        <v>142.42614934948568</v>
      </c>
      <c r="N584" s="661">
        <f t="shared" si="313"/>
        <v>142.42614934948568</v>
      </c>
      <c r="O584" s="661">
        <f t="shared" si="313"/>
        <v>142.42614934948568</v>
      </c>
      <c r="Q584" s="661"/>
    </row>
    <row r="585" spans="2:17" x14ac:dyDescent="0.3">
      <c r="B585" s="964" t="str">
        <f t="shared" ref="B585:C585" si="321">B483</f>
        <v>Incorporated</v>
      </c>
      <c r="C585" s="964">
        <f t="shared" si="321"/>
        <v>13</v>
      </c>
      <c r="D585" s="661">
        <f t="shared" si="313"/>
        <v>112.92999999999999</v>
      </c>
      <c r="E585" s="661">
        <f t="shared" si="310"/>
        <v>115.69000000000001</v>
      </c>
      <c r="F585" s="661">
        <f t="shared" si="313"/>
        <v>128.45069464140758</v>
      </c>
      <c r="G585" s="661">
        <f t="shared" si="313"/>
        <v>136.00278325319451</v>
      </c>
      <c r="H585" s="661">
        <f t="shared" si="313"/>
        <v>142.56264635134821</v>
      </c>
      <c r="I585" s="661">
        <f t="shared" si="313"/>
        <v>149.19104197595527</v>
      </c>
      <c r="J585" s="661">
        <f t="shared" si="313"/>
        <v>156.13586491895819</v>
      </c>
      <c r="K585" s="661">
        <f t="shared" si="313"/>
        <v>156.13586491895822</v>
      </c>
      <c r="L585" s="661">
        <f t="shared" si="313"/>
        <v>156.13586491895819</v>
      </c>
      <c r="M585" s="661">
        <f t="shared" si="313"/>
        <v>156.13586491895819</v>
      </c>
      <c r="N585" s="661">
        <f t="shared" si="313"/>
        <v>156.13586491895819</v>
      </c>
      <c r="O585" s="661">
        <f t="shared" si="313"/>
        <v>156.13586491895819</v>
      </c>
      <c r="Q585" s="661"/>
    </row>
    <row r="586" spans="2:17" x14ac:dyDescent="0.3">
      <c r="B586" s="964" t="str">
        <f t="shared" ref="B586:C586" si="322">B484</f>
        <v>Incorporated</v>
      </c>
      <c r="C586" s="964">
        <f t="shared" si="322"/>
        <v>14</v>
      </c>
      <c r="D586" s="661">
        <f t="shared" si="313"/>
        <v>121.88000000000002</v>
      </c>
      <c r="E586" s="661">
        <f t="shared" si="310"/>
        <v>124.88</v>
      </c>
      <c r="F586" s="661">
        <f t="shared" si="313"/>
        <v>139.70683307951683</v>
      </c>
      <c r="G586" s="661">
        <f t="shared" si="313"/>
        <v>147.93237237605888</v>
      </c>
      <c r="H586" s="661">
        <f t="shared" si="313"/>
        <v>155.07025048891893</v>
      </c>
      <c r="I586" s="661">
        <f t="shared" si="313"/>
        <v>162.28560412082965</v>
      </c>
      <c r="J586" s="661">
        <f t="shared" si="313"/>
        <v>169.84558048843073</v>
      </c>
      <c r="K586" s="661">
        <f t="shared" si="313"/>
        <v>169.84558048843076</v>
      </c>
      <c r="L586" s="661">
        <f t="shared" si="313"/>
        <v>169.84558048843073</v>
      </c>
      <c r="M586" s="661">
        <f t="shared" si="313"/>
        <v>169.84558048843073</v>
      </c>
      <c r="N586" s="661">
        <f t="shared" si="313"/>
        <v>169.84558048843073</v>
      </c>
      <c r="O586" s="661">
        <f t="shared" si="313"/>
        <v>169.84558048843073</v>
      </c>
      <c r="Q586" s="661"/>
    </row>
    <row r="587" spans="2:17" x14ac:dyDescent="0.3">
      <c r="B587" s="964" t="str">
        <f t="shared" ref="B587:C587" si="323">B485</f>
        <v>Incorporated</v>
      </c>
      <c r="C587" s="964">
        <f t="shared" si="323"/>
        <v>15</v>
      </c>
      <c r="D587" s="661">
        <f t="shared" si="313"/>
        <v>130.82999999999998</v>
      </c>
      <c r="E587" s="661">
        <f t="shared" si="310"/>
        <v>134.07</v>
      </c>
      <c r="F587" s="661">
        <f t="shared" si="313"/>
        <v>150.96297151762607</v>
      </c>
      <c r="G587" s="661">
        <f t="shared" si="313"/>
        <v>159.86196149892331</v>
      </c>
      <c r="H587" s="661">
        <f t="shared" si="313"/>
        <v>167.57785462648965</v>
      </c>
      <c r="I587" s="661">
        <f t="shared" si="313"/>
        <v>175.38016626570399</v>
      </c>
      <c r="J587" s="661">
        <f t="shared" si="313"/>
        <v>183.55529605790323</v>
      </c>
      <c r="K587" s="661">
        <f t="shared" si="313"/>
        <v>183.55529605790326</v>
      </c>
      <c r="L587" s="661">
        <f t="shared" si="313"/>
        <v>183.55529605790323</v>
      </c>
      <c r="M587" s="661">
        <f t="shared" si="313"/>
        <v>183.55529605790323</v>
      </c>
      <c r="N587" s="661">
        <f t="shared" si="313"/>
        <v>183.55529605790323</v>
      </c>
      <c r="O587" s="661">
        <f t="shared" si="313"/>
        <v>183.55529605790323</v>
      </c>
      <c r="Q587" s="661"/>
    </row>
    <row r="588" spans="2:17" x14ac:dyDescent="0.3">
      <c r="B588" s="964" t="str">
        <f t="shared" ref="B588:C588" si="324">B486</f>
        <v>Incorporated</v>
      </c>
      <c r="C588" s="964">
        <f t="shared" si="324"/>
        <v>16</v>
      </c>
      <c r="D588" s="661">
        <f t="shared" si="313"/>
        <v>139.78</v>
      </c>
      <c r="E588" s="661">
        <f t="shared" si="310"/>
        <v>143.26</v>
      </c>
      <c r="F588" s="661">
        <f t="shared" si="313"/>
        <v>162.21910995573532</v>
      </c>
      <c r="G588" s="661">
        <f t="shared" si="313"/>
        <v>171.79155062178771</v>
      </c>
      <c r="H588" s="661">
        <f t="shared" si="313"/>
        <v>180.08545876406038</v>
      </c>
      <c r="I588" s="661">
        <f t="shared" si="313"/>
        <v>188.47472841057836</v>
      </c>
      <c r="J588" s="661">
        <f t="shared" si="313"/>
        <v>197.26501162737574</v>
      </c>
      <c r="K588" s="661">
        <f t="shared" si="313"/>
        <v>197.26501162737577</v>
      </c>
      <c r="L588" s="661">
        <f t="shared" si="313"/>
        <v>197.26501162737574</v>
      </c>
      <c r="M588" s="661">
        <f t="shared" si="313"/>
        <v>197.26501162737574</v>
      </c>
      <c r="N588" s="661">
        <f t="shared" si="313"/>
        <v>197.26501162737577</v>
      </c>
      <c r="O588" s="661">
        <f t="shared" si="313"/>
        <v>197.26501162737574</v>
      </c>
      <c r="Q588" s="661"/>
    </row>
    <row r="589" spans="2:17" x14ac:dyDescent="0.3">
      <c r="B589" s="964" t="str">
        <f t="shared" ref="B589:C589" si="325">B487</f>
        <v>Incorporated</v>
      </c>
      <c r="C589" s="964">
        <f t="shared" si="325"/>
        <v>17</v>
      </c>
      <c r="D589" s="661">
        <f t="shared" si="313"/>
        <v>148.73000000000002</v>
      </c>
      <c r="E589" s="661">
        <f t="shared" si="310"/>
        <v>152.45000000000002</v>
      </c>
      <c r="F589" s="661">
        <f t="shared" si="313"/>
        <v>173.47524839384459</v>
      </c>
      <c r="G589" s="661">
        <f t="shared" si="313"/>
        <v>183.72113974465211</v>
      </c>
      <c r="H589" s="661">
        <f t="shared" si="313"/>
        <v>192.59306290163113</v>
      </c>
      <c r="I589" s="661">
        <f t="shared" si="313"/>
        <v>201.56929055545274</v>
      </c>
      <c r="J589" s="661">
        <f t="shared" si="313"/>
        <v>210.97472719684825</v>
      </c>
      <c r="K589" s="661">
        <f t="shared" si="313"/>
        <v>210.97472719684831</v>
      </c>
      <c r="L589" s="661">
        <f t="shared" si="313"/>
        <v>210.97472719684825</v>
      </c>
      <c r="M589" s="661">
        <f t="shared" si="313"/>
        <v>210.97472719684825</v>
      </c>
      <c r="N589" s="661">
        <f t="shared" si="313"/>
        <v>210.97472719684825</v>
      </c>
      <c r="O589" s="661">
        <f t="shared" si="313"/>
        <v>210.97472719684825</v>
      </c>
      <c r="Q589" s="661"/>
    </row>
    <row r="590" spans="2:17" x14ac:dyDescent="0.3">
      <c r="B590" s="964" t="str">
        <f t="shared" ref="B590:C590" si="326">B488</f>
        <v>Incorporated</v>
      </c>
      <c r="C590" s="964">
        <f t="shared" si="326"/>
        <v>18</v>
      </c>
      <c r="D590" s="661">
        <f t="shared" si="313"/>
        <v>157.68</v>
      </c>
      <c r="E590" s="661">
        <f t="shared" si="310"/>
        <v>161.63999999999999</v>
      </c>
      <c r="F590" s="661">
        <f t="shared" si="313"/>
        <v>184.73138683195384</v>
      </c>
      <c r="G590" s="661">
        <f t="shared" si="313"/>
        <v>195.65072886751653</v>
      </c>
      <c r="H590" s="661">
        <f t="shared" si="313"/>
        <v>205.10066703920185</v>
      </c>
      <c r="I590" s="661">
        <f t="shared" si="313"/>
        <v>214.66385270032711</v>
      </c>
      <c r="J590" s="661">
        <f t="shared" si="313"/>
        <v>224.68444276632079</v>
      </c>
      <c r="K590" s="661">
        <f t="shared" si="313"/>
        <v>224.68444276632084</v>
      </c>
      <c r="L590" s="661">
        <f t="shared" si="313"/>
        <v>224.68444276632079</v>
      </c>
      <c r="M590" s="661">
        <f t="shared" si="313"/>
        <v>224.68444276632079</v>
      </c>
      <c r="N590" s="661">
        <f t="shared" si="313"/>
        <v>224.68444276632081</v>
      </c>
      <c r="O590" s="661">
        <f t="shared" si="313"/>
        <v>224.68444276632079</v>
      </c>
      <c r="Q590" s="661"/>
    </row>
    <row r="591" spans="2:17" x14ac:dyDescent="0.3">
      <c r="B591" s="964" t="str">
        <f t="shared" ref="B591:C591" si="327">B489</f>
        <v>Incorporated</v>
      </c>
      <c r="C591" s="964">
        <f t="shared" si="327"/>
        <v>19</v>
      </c>
      <c r="D591" s="661">
        <f t="shared" si="313"/>
        <v>168.02</v>
      </c>
      <c r="E591" s="661">
        <f t="shared" si="310"/>
        <v>172.25</v>
      </c>
      <c r="F591" s="661">
        <f t="shared" si="313"/>
        <v>195.98752527006303</v>
      </c>
      <c r="G591" s="661">
        <f t="shared" si="313"/>
        <v>207.58031799038093</v>
      </c>
      <c r="H591" s="661">
        <f t="shared" si="313"/>
        <v>217.6082711767726</v>
      </c>
      <c r="I591" s="661">
        <f t="shared" si="313"/>
        <v>227.75841484520149</v>
      </c>
      <c r="J591" s="661">
        <f t="shared" si="313"/>
        <v>238.39415833579329</v>
      </c>
      <c r="K591" s="661">
        <f t="shared" si="313"/>
        <v>238.39415833579335</v>
      </c>
      <c r="L591" s="661">
        <f t="shared" si="313"/>
        <v>238.39415833579329</v>
      </c>
      <c r="M591" s="661">
        <f t="shared" si="313"/>
        <v>238.39415833579329</v>
      </c>
      <c r="N591" s="661">
        <f t="shared" si="313"/>
        <v>238.39415833579335</v>
      </c>
      <c r="O591" s="661">
        <f t="shared" si="313"/>
        <v>238.39415833579329</v>
      </c>
      <c r="Q591" s="661"/>
    </row>
    <row r="592" spans="2:17" x14ac:dyDescent="0.3">
      <c r="B592" s="964" t="str">
        <f t="shared" ref="B592:C592" si="328">B490</f>
        <v>Incorporated</v>
      </c>
      <c r="C592" s="964">
        <f t="shared" si="328"/>
        <v>20</v>
      </c>
      <c r="D592" s="661">
        <f t="shared" si="313"/>
        <v>178.36</v>
      </c>
      <c r="E592" s="661">
        <f t="shared" si="310"/>
        <v>182.85999999999999</v>
      </c>
      <c r="F592" s="661">
        <f t="shared" si="313"/>
        <v>207.24366370817233</v>
      </c>
      <c r="G592" s="661">
        <f t="shared" si="313"/>
        <v>219.50990711324533</v>
      </c>
      <c r="H592" s="661">
        <f t="shared" si="313"/>
        <v>230.11587531434333</v>
      </c>
      <c r="I592" s="661">
        <f t="shared" si="313"/>
        <v>240.85297699007583</v>
      </c>
      <c r="J592" s="661">
        <f t="shared" si="313"/>
        <v>252.1038739052658</v>
      </c>
      <c r="K592" s="661">
        <f t="shared" si="313"/>
        <v>252.10387390526586</v>
      </c>
      <c r="L592" s="661">
        <f t="shared" si="313"/>
        <v>252.1038739052658</v>
      </c>
      <c r="M592" s="661">
        <f t="shared" si="313"/>
        <v>252.1038739052658</v>
      </c>
      <c r="N592" s="661">
        <f t="shared" si="313"/>
        <v>252.10387390526583</v>
      </c>
      <c r="O592" s="661">
        <f t="shared" si="313"/>
        <v>252.1038739052658</v>
      </c>
      <c r="Q592" s="661"/>
    </row>
    <row r="593" spans="2:17" x14ac:dyDescent="0.3">
      <c r="B593" s="964" t="str">
        <f t="shared" ref="B593:C593" si="329">B491</f>
        <v>Incorporated</v>
      </c>
      <c r="C593" s="964">
        <f t="shared" si="329"/>
        <v>21</v>
      </c>
      <c r="D593" s="661">
        <f t="shared" si="313"/>
        <v>188.69999999999996</v>
      </c>
      <c r="E593" s="661">
        <f t="shared" si="310"/>
        <v>193.47</v>
      </c>
      <c r="F593" s="661">
        <f t="shared" si="313"/>
        <v>218.49980214628155</v>
      </c>
      <c r="G593" s="661">
        <f t="shared" si="313"/>
        <v>231.43949623610976</v>
      </c>
      <c r="H593" s="661">
        <f t="shared" si="313"/>
        <v>242.62347945191402</v>
      </c>
      <c r="I593" s="661">
        <f t="shared" si="313"/>
        <v>253.9475391349502</v>
      </c>
      <c r="J593" s="661">
        <f t="shared" si="313"/>
        <v>265.81358947473836</v>
      </c>
      <c r="K593" s="661">
        <f t="shared" si="313"/>
        <v>265.81358947473842</v>
      </c>
      <c r="L593" s="661">
        <f t="shared" si="313"/>
        <v>265.81358947473836</v>
      </c>
      <c r="M593" s="661">
        <f t="shared" si="313"/>
        <v>265.81358947473836</v>
      </c>
      <c r="N593" s="661">
        <f t="shared" si="313"/>
        <v>265.81358947473836</v>
      </c>
      <c r="O593" s="661">
        <f t="shared" si="313"/>
        <v>265.81358947473836</v>
      </c>
      <c r="Q593" s="661"/>
    </row>
    <row r="594" spans="2:17" x14ac:dyDescent="0.3">
      <c r="B594" s="964" t="str">
        <f t="shared" ref="B594:C594" si="330">B492</f>
        <v>Incorporated</v>
      </c>
      <c r="C594" s="964">
        <f t="shared" si="330"/>
        <v>22</v>
      </c>
      <c r="D594" s="661">
        <f t="shared" si="313"/>
        <v>199.03999999999996</v>
      </c>
      <c r="E594" s="661">
        <f t="shared" si="310"/>
        <v>204.08</v>
      </c>
      <c r="F594" s="661">
        <f t="shared" si="313"/>
        <v>229.7559405843908</v>
      </c>
      <c r="G594" s="661">
        <f t="shared" si="313"/>
        <v>243.36908535897413</v>
      </c>
      <c r="H594" s="661">
        <f t="shared" si="313"/>
        <v>255.13108358948477</v>
      </c>
      <c r="I594" s="661">
        <f t="shared" si="313"/>
        <v>267.04210127982458</v>
      </c>
      <c r="J594" s="661">
        <f t="shared" si="313"/>
        <v>279.52330504421082</v>
      </c>
      <c r="K594" s="661">
        <f t="shared" si="313"/>
        <v>279.52330504421093</v>
      </c>
      <c r="L594" s="661">
        <f t="shared" si="313"/>
        <v>279.52330504421082</v>
      </c>
      <c r="M594" s="661">
        <f t="shared" si="313"/>
        <v>279.52330504421082</v>
      </c>
      <c r="N594" s="661">
        <f t="shared" si="313"/>
        <v>279.52330504421087</v>
      </c>
      <c r="O594" s="661">
        <f t="shared" si="313"/>
        <v>279.52330504421082</v>
      </c>
      <c r="Q594" s="661"/>
    </row>
    <row r="595" spans="2:17" x14ac:dyDescent="0.3">
      <c r="B595" s="964" t="str">
        <f t="shared" ref="B595:C595" si="331">B493</f>
        <v>Incorporated</v>
      </c>
      <c r="C595" s="964">
        <f t="shared" si="331"/>
        <v>23</v>
      </c>
      <c r="D595" s="661">
        <f t="shared" si="313"/>
        <v>209.38</v>
      </c>
      <c r="E595" s="661">
        <f t="shared" si="310"/>
        <v>214.69</v>
      </c>
      <c r="F595" s="661">
        <f t="shared" si="313"/>
        <v>242.42676876218491</v>
      </c>
      <c r="G595" s="661">
        <f t="shared" si="313"/>
        <v>256.80253933564927</v>
      </c>
      <c r="H595" s="661">
        <f t="shared" si="313"/>
        <v>269.21774841665064</v>
      </c>
      <c r="I595" s="661">
        <f t="shared" si="313"/>
        <v>281.79467984884468</v>
      </c>
      <c r="J595" s="661">
        <f t="shared" si="313"/>
        <v>294.97394067059543</v>
      </c>
      <c r="K595" s="661">
        <f t="shared" si="313"/>
        <v>294.97394067059548</v>
      </c>
      <c r="L595" s="661">
        <f t="shared" si="313"/>
        <v>294.97394067059543</v>
      </c>
      <c r="M595" s="661">
        <f t="shared" si="313"/>
        <v>294.97394067059543</v>
      </c>
      <c r="N595" s="661">
        <f t="shared" si="313"/>
        <v>294.97394067059548</v>
      </c>
      <c r="O595" s="661">
        <f t="shared" si="313"/>
        <v>294.97394067059543</v>
      </c>
      <c r="Q595" s="661"/>
    </row>
    <row r="596" spans="2:17" x14ac:dyDescent="0.3">
      <c r="B596" s="964" t="str">
        <f t="shared" ref="B596:C596" si="332">B494</f>
        <v>Incorporated</v>
      </c>
      <c r="C596" s="964">
        <f t="shared" si="332"/>
        <v>24</v>
      </c>
      <c r="D596" s="661">
        <f t="shared" si="313"/>
        <v>219.72</v>
      </c>
      <c r="E596" s="661">
        <f t="shared" si="310"/>
        <v>225.29999999999998</v>
      </c>
      <c r="F596" s="661">
        <f t="shared" si="313"/>
        <v>255.09759693997907</v>
      </c>
      <c r="G596" s="661">
        <f t="shared" ref="F596:O611" si="333">IF($B$572=$A$61,G84+G290+G392,IF($B$572=$A$62,G187+G290+G392,G290+G392))</f>
        <v>270.23599331232441</v>
      </c>
      <c r="H596" s="661">
        <f t="shared" si="333"/>
        <v>283.3044132438165</v>
      </c>
      <c r="I596" s="661">
        <f t="shared" si="333"/>
        <v>296.54725841786478</v>
      </c>
      <c r="J596" s="661">
        <f t="shared" si="333"/>
        <v>310.42457629698004</v>
      </c>
      <c r="K596" s="661">
        <f t="shared" si="333"/>
        <v>310.42457629698015</v>
      </c>
      <c r="L596" s="661">
        <f t="shared" si="333"/>
        <v>310.42457629698004</v>
      </c>
      <c r="M596" s="661">
        <f t="shared" si="333"/>
        <v>310.42457629698004</v>
      </c>
      <c r="N596" s="661">
        <f t="shared" si="333"/>
        <v>310.42457629698004</v>
      </c>
      <c r="O596" s="661">
        <f t="shared" si="333"/>
        <v>310.42457629698004</v>
      </c>
      <c r="Q596" s="661"/>
    </row>
    <row r="597" spans="2:17" x14ac:dyDescent="0.3">
      <c r="B597" s="964" t="str">
        <f t="shared" ref="B597:C597" si="334">B495</f>
        <v>Incorporated</v>
      </c>
      <c r="C597" s="964">
        <f t="shared" si="334"/>
        <v>25</v>
      </c>
      <c r="D597" s="661">
        <f t="shared" si="313"/>
        <v>230.06</v>
      </c>
      <c r="E597" s="661">
        <f t="shared" ref="E597" si="335">IF($B$572=$A$61,E85+E291+E393,IF($B$572=$A$62,E188+E291+E393,E291+E393))</f>
        <v>235.91</v>
      </c>
      <c r="F597" s="661">
        <f t="shared" si="333"/>
        <v>267.76842511777318</v>
      </c>
      <c r="G597" s="661">
        <f t="shared" si="333"/>
        <v>283.66944728899955</v>
      </c>
      <c r="H597" s="661">
        <f t="shared" si="333"/>
        <v>297.39107807098236</v>
      </c>
      <c r="I597" s="661">
        <f t="shared" si="333"/>
        <v>311.29983698688488</v>
      </c>
      <c r="J597" s="661">
        <f t="shared" si="333"/>
        <v>325.87521192336465</v>
      </c>
      <c r="K597" s="661">
        <f t="shared" si="333"/>
        <v>325.8752119233647</v>
      </c>
      <c r="L597" s="661">
        <f t="shared" si="333"/>
        <v>325.87521192336465</v>
      </c>
      <c r="M597" s="661">
        <f t="shared" si="333"/>
        <v>325.87521192336465</v>
      </c>
      <c r="N597" s="661">
        <f t="shared" si="333"/>
        <v>325.8752119233647</v>
      </c>
      <c r="O597" s="661">
        <f t="shared" si="333"/>
        <v>325.87521192336465</v>
      </c>
      <c r="Q597" s="661"/>
    </row>
    <row r="598" spans="2:17" x14ac:dyDescent="0.3">
      <c r="B598" s="964" t="str">
        <f t="shared" ref="B598:C598" si="336">B496</f>
        <v>Incorporated</v>
      </c>
      <c r="C598" s="964">
        <f t="shared" si="336"/>
        <v>26</v>
      </c>
      <c r="D598" s="661">
        <f t="shared" si="313"/>
        <v>240.4</v>
      </c>
      <c r="E598" s="661">
        <f t="shared" ref="E598" si="337">IF($B$572=$A$61,E86+E292+E394,IF($B$572=$A$62,E189+E292+E394,E292+E394))</f>
        <v>246.52</v>
      </c>
      <c r="F598" s="661">
        <f t="shared" si="333"/>
        <v>280.43925329556731</v>
      </c>
      <c r="G598" s="661">
        <f t="shared" si="333"/>
        <v>297.10290126567469</v>
      </c>
      <c r="H598" s="661">
        <f t="shared" si="333"/>
        <v>311.47774289814816</v>
      </c>
      <c r="I598" s="661">
        <f t="shared" si="333"/>
        <v>326.05241555590499</v>
      </c>
      <c r="J598" s="661">
        <f t="shared" si="333"/>
        <v>341.3258475497492</v>
      </c>
      <c r="K598" s="661">
        <f t="shared" si="333"/>
        <v>341.32584754974931</v>
      </c>
      <c r="L598" s="661">
        <f t="shared" si="333"/>
        <v>341.3258475497492</v>
      </c>
      <c r="M598" s="661">
        <f t="shared" si="333"/>
        <v>341.3258475497492</v>
      </c>
      <c r="N598" s="661">
        <f t="shared" si="333"/>
        <v>341.32584754974926</v>
      </c>
      <c r="O598" s="661">
        <f t="shared" si="333"/>
        <v>341.3258475497492</v>
      </c>
      <c r="Q598" s="661"/>
    </row>
    <row r="599" spans="2:17" x14ac:dyDescent="0.3">
      <c r="B599" s="964" t="str">
        <f t="shared" ref="B599:C599" si="338">B497</f>
        <v>Incorporated</v>
      </c>
      <c r="C599" s="964">
        <f t="shared" si="338"/>
        <v>27</v>
      </c>
      <c r="D599" s="661">
        <f t="shared" si="313"/>
        <v>250.74</v>
      </c>
      <c r="E599" s="661">
        <f t="shared" ref="E599" si="339">IF($B$572=$A$61,E87+E293+E395,IF($B$572=$A$62,E190+E293+E395,E293+E395))</f>
        <v>257.13</v>
      </c>
      <c r="F599" s="661">
        <f t="shared" si="333"/>
        <v>293.11008147336139</v>
      </c>
      <c r="G599" s="661">
        <f t="shared" si="333"/>
        <v>310.53635524234983</v>
      </c>
      <c r="H599" s="661">
        <f t="shared" si="333"/>
        <v>325.56440772531403</v>
      </c>
      <c r="I599" s="661">
        <f t="shared" si="333"/>
        <v>340.80499412492509</v>
      </c>
      <c r="J599" s="661">
        <f t="shared" si="333"/>
        <v>356.77648317613387</v>
      </c>
      <c r="K599" s="661">
        <f t="shared" si="333"/>
        <v>356.77648317613387</v>
      </c>
      <c r="L599" s="661">
        <f t="shared" si="333"/>
        <v>356.77648317613387</v>
      </c>
      <c r="M599" s="661">
        <f t="shared" si="333"/>
        <v>356.77648317613387</v>
      </c>
      <c r="N599" s="661">
        <f t="shared" si="333"/>
        <v>356.77648317613387</v>
      </c>
      <c r="O599" s="661">
        <f t="shared" si="333"/>
        <v>356.77648317613387</v>
      </c>
      <c r="Q599" s="661"/>
    </row>
    <row r="600" spans="2:17" x14ac:dyDescent="0.3">
      <c r="B600" s="964" t="str">
        <f t="shared" ref="B600:C600" si="340">B498</f>
        <v>Incorporated</v>
      </c>
      <c r="C600" s="964">
        <f t="shared" si="340"/>
        <v>28</v>
      </c>
      <c r="D600" s="661">
        <f t="shared" si="313"/>
        <v>261.08</v>
      </c>
      <c r="E600" s="661">
        <f t="shared" ref="E600" si="341">IF($B$572=$A$61,E88+E294+E396,IF($B$572=$A$62,E191+E294+E396,E294+E396))</f>
        <v>267.74</v>
      </c>
      <c r="F600" s="661">
        <f t="shared" si="333"/>
        <v>305.78090965115553</v>
      </c>
      <c r="G600" s="661">
        <f t="shared" si="333"/>
        <v>323.96980921902502</v>
      </c>
      <c r="H600" s="661">
        <f t="shared" si="333"/>
        <v>339.65107255247989</v>
      </c>
      <c r="I600" s="661">
        <f t="shared" si="333"/>
        <v>355.55757269394519</v>
      </c>
      <c r="J600" s="661">
        <f t="shared" si="333"/>
        <v>372.22711880251848</v>
      </c>
      <c r="K600" s="661">
        <f t="shared" si="333"/>
        <v>372.22711880251859</v>
      </c>
      <c r="L600" s="661">
        <f t="shared" si="333"/>
        <v>372.22711880251848</v>
      </c>
      <c r="M600" s="661">
        <f t="shared" si="333"/>
        <v>372.22711880251848</v>
      </c>
      <c r="N600" s="661">
        <f t="shared" si="333"/>
        <v>372.22711880251848</v>
      </c>
      <c r="O600" s="661">
        <f t="shared" si="333"/>
        <v>372.22711880251848</v>
      </c>
      <c r="Q600" s="661"/>
    </row>
    <row r="601" spans="2:17" x14ac:dyDescent="0.3">
      <c r="B601" s="964" t="str">
        <f t="shared" ref="B601:C601" si="342">B499</f>
        <v>Incorporated</v>
      </c>
      <c r="C601" s="964">
        <f t="shared" si="342"/>
        <v>29</v>
      </c>
      <c r="D601" s="661">
        <f t="shared" si="313"/>
        <v>271.41999999999996</v>
      </c>
      <c r="E601" s="661">
        <f t="shared" ref="E601" si="343">IF($B$572=$A$61,E89+E295+E397,IF($B$572=$A$62,E192+E295+E397,E295+E397))</f>
        <v>278.35000000000002</v>
      </c>
      <c r="F601" s="661">
        <f t="shared" si="333"/>
        <v>318.45173782894966</v>
      </c>
      <c r="G601" s="661">
        <f t="shared" si="333"/>
        <v>337.40326319570005</v>
      </c>
      <c r="H601" s="661">
        <f t="shared" si="333"/>
        <v>353.73773737964569</v>
      </c>
      <c r="I601" s="661">
        <f t="shared" si="333"/>
        <v>370.31015126296529</v>
      </c>
      <c r="J601" s="661">
        <f t="shared" si="333"/>
        <v>387.67775442890309</v>
      </c>
      <c r="K601" s="661">
        <f t="shared" si="333"/>
        <v>387.67775442890309</v>
      </c>
      <c r="L601" s="661">
        <f t="shared" si="333"/>
        <v>387.67775442890297</v>
      </c>
      <c r="M601" s="661">
        <f t="shared" si="333"/>
        <v>387.67775442890297</v>
      </c>
      <c r="N601" s="661">
        <f t="shared" si="333"/>
        <v>387.67775442890309</v>
      </c>
      <c r="O601" s="661">
        <f t="shared" si="333"/>
        <v>387.67775442890309</v>
      </c>
      <c r="Q601" s="661"/>
    </row>
    <row r="602" spans="2:17" x14ac:dyDescent="0.3">
      <c r="B602" s="964" t="str">
        <f t="shared" ref="B602:C602" si="344">B500</f>
        <v>Incorporated</v>
      </c>
      <c r="C602" s="964">
        <f t="shared" si="344"/>
        <v>30</v>
      </c>
      <c r="D602" s="661">
        <f t="shared" si="313"/>
        <v>281.76</v>
      </c>
      <c r="E602" s="661">
        <f t="shared" ref="E602" si="345">IF($B$572=$A$61,E90+E296+E398,IF($B$572=$A$62,E193+E296+E398,E296+E398))</f>
        <v>288.95999999999998</v>
      </c>
      <c r="F602" s="661">
        <f t="shared" si="333"/>
        <v>331.1225660067438</v>
      </c>
      <c r="G602" s="661">
        <f t="shared" si="333"/>
        <v>350.83671717237524</v>
      </c>
      <c r="H602" s="661">
        <f t="shared" si="333"/>
        <v>367.82440220681161</v>
      </c>
      <c r="I602" s="661">
        <f t="shared" si="333"/>
        <v>385.06272983198539</v>
      </c>
      <c r="J602" s="661">
        <f t="shared" si="333"/>
        <v>403.12839005528764</v>
      </c>
      <c r="K602" s="661">
        <f t="shared" si="333"/>
        <v>403.12839005528775</v>
      </c>
      <c r="L602" s="661">
        <f t="shared" si="333"/>
        <v>403.12839005528764</v>
      </c>
      <c r="M602" s="661">
        <f t="shared" si="333"/>
        <v>403.12839005528764</v>
      </c>
      <c r="N602" s="661">
        <f t="shared" si="333"/>
        <v>403.12839005528764</v>
      </c>
      <c r="O602" s="661">
        <f t="shared" si="333"/>
        <v>403.12839005528764</v>
      </c>
      <c r="Q602" s="661"/>
    </row>
    <row r="603" spans="2:17" x14ac:dyDescent="0.3">
      <c r="B603" s="964" t="str">
        <f t="shared" ref="B603:C603" si="346">B501</f>
        <v>Incorporated</v>
      </c>
      <c r="C603" s="964">
        <f t="shared" si="346"/>
        <v>31</v>
      </c>
      <c r="D603" s="661">
        <f t="shared" si="313"/>
        <v>292.10000000000002</v>
      </c>
      <c r="E603" s="661">
        <f t="shared" ref="E603" si="347">IF($B$572=$A$61,E91+E297+E399,IF($B$572=$A$62,E194+E297+E399,E297+E399))</f>
        <v>299.57</v>
      </c>
      <c r="F603" s="661">
        <f t="shared" si="333"/>
        <v>343.79339418453787</v>
      </c>
      <c r="G603" s="661">
        <f t="shared" si="333"/>
        <v>364.27017114905038</v>
      </c>
      <c r="H603" s="661">
        <f t="shared" si="333"/>
        <v>381.91106703397742</v>
      </c>
      <c r="I603" s="661">
        <f t="shared" si="333"/>
        <v>399.8153084010055</v>
      </c>
      <c r="J603" s="661">
        <f t="shared" si="333"/>
        <v>418.57902568167231</v>
      </c>
      <c r="K603" s="661">
        <f t="shared" si="333"/>
        <v>418.57902568167231</v>
      </c>
      <c r="L603" s="661">
        <f t="shared" si="333"/>
        <v>418.57902568167219</v>
      </c>
      <c r="M603" s="661">
        <f t="shared" si="333"/>
        <v>418.57902568167219</v>
      </c>
      <c r="N603" s="661">
        <f t="shared" si="333"/>
        <v>418.57902568167231</v>
      </c>
      <c r="O603" s="661">
        <f t="shared" si="333"/>
        <v>418.57902568167231</v>
      </c>
      <c r="Q603" s="661"/>
    </row>
    <row r="604" spans="2:17" x14ac:dyDescent="0.3">
      <c r="B604" s="964" t="str">
        <f t="shared" ref="B604:C604" si="348">B502</f>
        <v>Incorporated</v>
      </c>
      <c r="C604" s="964">
        <f t="shared" si="348"/>
        <v>32</v>
      </c>
      <c r="D604" s="661">
        <f t="shared" si="313"/>
        <v>302.44</v>
      </c>
      <c r="E604" s="661">
        <f t="shared" ref="E604" si="349">IF($B$572=$A$61,E92+E298+E400,IF($B$572=$A$62,E195+E298+E400,E298+E400))</f>
        <v>310.18</v>
      </c>
      <c r="F604" s="661">
        <f t="shared" si="333"/>
        <v>356.46422236233201</v>
      </c>
      <c r="G604" s="661">
        <f t="shared" si="333"/>
        <v>377.70362512572552</v>
      </c>
      <c r="H604" s="661">
        <f t="shared" si="333"/>
        <v>395.99773186114328</v>
      </c>
      <c r="I604" s="661">
        <f t="shared" si="333"/>
        <v>414.5678869700256</v>
      </c>
      <c r="J604" s="661">
        <f t="shared" si="333"/>
        <v>434.02966130805686</v>
      </c>
      <c r="K604" s="661">
        <f t="shared" si="333"/>
        <v>434.02966130805697</v>
      </c>
      <c r="L604" s="661">
        <f t="shared" si="333"/>
        <v>434.02966130805686</v>
      </c>
      <c r="M604" s="661">
        <f t="shared" si="333"/>
        <v>434.02966130805686</v>
      </c>
      <c r="N604" s="661">
        <f t="shared" si="333"/>
        <v>434.02966130805686</v>
      </c>
      <c r="O604" s="661">
        <f t="shared" si="333"/>
        <v>434.02966130805686</v>
      </c>
      <c r="Q604" s="661"/>
    </row>
    <row r="605" spans="2:17" x14ac:dyDescent="0.3">
      <c r="B605" s="964" t="str">
        <f t="shared" ref="B605:C605" si="350">B503</f>
        <v>Incorporated</v>
      </c>
      <c r="C605" s="964">
        <f t="shared" si="350"/>
        <v>33</v>
      </c>
      <c r="D605" s="661">
        <f t="shared" si="313"/>
        <v>312.78000000000003</v>
      </c>
      <c r="E605" s="661">
        <f t="shared" ref="E605" si="351">IF($B$572=$A$61,E93+E299+E401,IF($B$572=$A$62,E196+E299+E401,E299+E401))</f>
        <v>320.79000000000002</v>
      </c>
      <c r="F605" s="661">
        <f t="shared" si="333"/>
        <v>369.13505054012614</v>
      </c>
      <c r="G605" s="661">
        <f t="shared" si="333"/>
        <v>391.13707910240061</v>
      </c>
      <c r="H605" s="661">
        <f t="shared" si="333"/>
        <v>410.08439668830914</v>
      </c>
      <c r="I605" s="661">
        <f t="shared" si="333"/>
        <v>429.32046553904564</v>
      </c>
      <c r="J605" s="661">
        <f t="shared" si="333"/>
        <v>449.48029693444141</v>
      </c>
      <c r="K605" s="661">
        <f t="shared" si="333"/>
        <v>449.48029693444153</v>
      </c>
      <c r="L605" s="661">
        <f t="shared" si="333"/>
        <v>449.48029693444141</v>
      </c>
      <c r="M605" s="661">
        <f t="shared" si="333"/>
        <v>449.48029693444141</v>
      </c>
      <c r="N605" s="661">
        <f t="shared" si="333"/>
        <v>449.48029693444153</v>
      </c>
      <c r="O605" s="661">
        <f t="shared" si="333"/>
        <v>449.48029693444141</v>
      </c>
      <c r="Q605" s="661"/>
    </row>
    <row r="606" spans="2:17" x14ac:dyDescent="0.3">
      <c r="B606" s="964" t="str">
        <f t="shared" ref="B606:C606" si="352">B504</f>
        <v>Incorporated</v>
      </c>
      <c r="C606" s="964">
        <f t="shared" si="352"/>
        <v>34</v>
      </c>
      <c r="D606" s="661">
        <f t="shared" si="313"/>
        <v>323.12</v>
      </c>
      <c r="E606" s="661">
        <f t="shared" ref="E606" si="353">IF($B$572=$A$61,E94+E300+E402,IF($B$572=$A$62,E197+E300+E402,E300+E402))</f>
        <v>331.40000000000003</v>
      </c>
      <c r="F606" s="661">
        <f t="shared" si="333"/>
        <v>381.80587871792022</v>
      </c>
      <c r="G606" s="661">
        <f t="shared" si="333"/>
        <v>404.57053307907574</v>
      </c>
      <c r="H606" s="661">
        <f t="shared" si="333"/>
        <v>424.17106151547495</v>
      </c>
      <c r="I606" s="661">
        <f t="shared" si="333"/>
        <v>444.0730441080658</v>
      </c>
      <c r="J606" s="661">
        <f t="shared" si="333"/>
        <v>464.93093256082608</v>
      </c>
      <c r="K606" s="661">
        <f t="shared" si="333"/>
        <v>464.93093256082619</v>
      </c>
      <c r="L606" s="661">
        <f t="shared" si="333"/>
        <v>464.93093256082608</v>
      </c>
      <c r="M606" s="661">
        <f t="shared" si="333"/>
        <v>464.93093256082608</v>
      </c>
      <c r="N606" s="661">
        <f t="shared" si="333"/>
        <v>464.93093256082608</v>
      </c>
      <c r="O606" s="661">
        <f t="shared" si="333"/>
        <v>464.93093256082608</v>
      </c>
      <c r="Q606" s="661"/>
    </row>
    <row r="607" spans="2:17" x14ac:dyDescent="0.3">
      <c r="B607" s="964" t="str">
        <f t="shared" ref="B607:C607" si="354">B505</f>
        <v>Incorporated</v>
      </c>
      <c r="C607" s="964">
        <f t="shared" si="354"/>
        <v>35</v>
      </c>
      <c r="D607" s="661">
        <f t="shared" si="313"/>
        <v>333.46</v>
      </c>
      <c r="E607" s="661">
        <f t="shared" ref="E607" si="355">IF($B$572=$A$61,E95+E301+E403,IF($B$572=$A$62,E198+E301+E403,E301+E403))</f>
        <v>342.01</v>
      </c>
      <c r="F607" s="661">
        <f t="shared" si="333"/>
        <v>394.47670689571441</v>
      </c>
      <c r="G607" s="661">
        <f t="shared" si="333"/>
        <v>418.00398705575088</v>
      </c>
      <c r="H607" s="661">
        <f t="shared" si="333"/>
        <v>438.25772634264086</v>
      </c>
      <c r="I607" s="661">
        <f t="shared" si="333"/>
        <v>458.82562267708585</v>
      </c>
      <c r="J607" s="661">
        <f t="shared" si="333"/>
        <v>480.38156818721063</v>
      </c>
      <c r="K607" s="661">
        <f t="shared" si="333"/>
        <v>480.38156818721075</v>
      </c>
      <c r="L607" s="661">
        <f t="shared" si="333"/>
        <v>480.38156818721063</v>
      </c>
      <c r="M607" s="661">
        <f t="shared" si="333"/>
        <v>480.38156818721063</v>
      </c>
      <c r="N607" s="661">
        <f t="shared" si="333"/>
        <v>480.38156818721075</v>
      </c>
      <c r="O607" s="661">
        <f t="shared" si="333"/>
        <v>480.38156818721063</v>
      </c>
      <c r="Q607" s="661"/>
    </row>
    <row r="608" spans="2:17" x14ac:dyDescent="0.3">
      <c r="B608" s="964" t="str">
        <f t="shared" ref="B608:C608" si="356">B506</f>
        <v>Incorporated</v>
      </c>
      <c r="C608" s="964">
        <f t="shared" si="356"/>
        <v>36</v>
      </c>
      <c r="D608" s="661">
        <f t="shared" si="313"/>
        <v>343.8</v>
      </c>
      <c r="E608" s="661">
        <f t="shared" ref="E608" si="357">IF($B$572=$A$61,E96+E302+E404,IF($B$572=$A$62,E199+E302+E404,E302+E404))</f>
        <v>352.61999999999995</v>
      </c>
      <c r="F608" s="661">
        <f t="shared" si="333"/>
        <v>407.14753507350849</v>
      </c>
      <c r="G608" s="661">
        <f t="shared" si="333"/>
        <v>431.43744103242602</v>
      </c>
      <c r="H608" s="661">
        <f t="shared" si="333"/>
        <v>452.34439116980667</v>
      </c>
      <c r="I608" s="661">
        <f t="shared" si="333"/>
        <v>473.578201246106</v>
      </c>
      <c r="J608" s="661">
        <f t="shared" si="333"/>
        <v>495.8322038135953</v>
      </c>
      <c r="K608" s="661">
        <f t="shared" si="333"/>
        <v>495.83220381359541</v>
      </c>
      <c r="L608" s="661">
        <f t="shared" si="333"/>
        <v>495.8322038135953</v>
      </c>
      <c r="M608" s="661">
        <f t="shared" si="333"/>
        <v>495.8322038135953</v>
      </c>
      <c r="N608" s="661">
        <f t="shared" si="333"/>
        <v>495.8322038135953</v>
      </c>
      <c r="O608" s="661">
        <f t="shared" si="333"/>
        <v>495.8322038135953</v>
      </c>
      <c r="Q608" s="661"/>
    </row>
    <row r="609" spans="2:17" x14ac:dyDescent="0.3">
      <c r="B609" s="964" t="str">
        <f t="shared" ref="B609:C609" si="358">B507</f>
        <v>Incorporated</v>
      </c>
      <c r="C609" s="964">
        <f t="shared" si="358"/>
        <v>37</v>
      </c>
      <c r="D609" s="661">
        <f t="shared" si="313"/>
        <v>354.14</v>
      </c>
      <c r="E609" s="661">
        <f t="shared" ref="E609" si="359">IF($B$572=$A$61,E97+E303+E405,IF($B$572=$A$62,E200+E303+E405,E303+E405))</f>
        <v>363.23</v>
      </c>
      <c r="F609" s="661">
        <f t="shared" si="333"/>
        <v>419.81836325130263</v>
      </c>
      <c r="G609" s="661">
        <f t="shared" si="333"/>
        <v>444.8708950091011</v>
      </c>
      <c r="H609" s="661">
        <f t="shared" si="333"/>
        <v>466.43105599697253</v>
      </c>
      <c r="I609" s="661">
        <f t="shared" si="333"/>
        <v>488.33077981512605</v>
      </c>
      <c r="J609" s="661">
        <f t="shared" si="333"/>
        <v>511.2828394399798</v>
      </c>
      <c r="K609" s="661">
        <f t="shared" si="333"/>
        <v>511.28283943997991</v>
      </c>
      <c r="L609" s="661">
        <f t="shared" si="333"/>
        <v>511.2828394399798</v>
      </c>
      <c r="M609" s="661">
        <f t="shared" si="333"/>
        <v>511.2828394399798</v>
      </c>
      <c r="N609" s="661">
        <f t="shared" si="333"/>
        <v>511.28283943997991</v>
      </c>
      <c r="O609" s="661">
        <f t="shared" si="333"/>
        <v>511.2828394399798</v>
      </c>
      <c r="Q609" s="661"/>
    </row>
    <row r="610" spans="2:17" x14ac:dyDescent="0.3">
      <c r="B610" s="964" t="str">
        <f t="shared" ref="B610:C610" si="360">B508</f>
        <v>Incorporated</v>
      </c>
      <c r="C610" s="964">
        <f t="shared" si="360"/>
        <v>38</v>
      </c>
      <c r="D610" s="661">
        <f t="shared" si="313"/>
        <v>364.48</v>
      </c>
      <c r="E610" s="661">
        <f t="shared" ref="E610" si="361">IF($B$572=$A$61,E98+E304+E406,IF($B$572=$A$62,E201+E304+E406,E304+E406))</f>
        <v>373.84000000000003</v>
      </c>
      <c r="F610" s="661">
        <f t="shared" si="333"/>
        <v>432.48919142909676</v>
      </c>
      <c r="G610" s="661">
        <f t="shared" si="333"/>
        <v>458.3043489857763</v>
      </c>
      <c r="H610" s="661">
        <f t="shared" si="333"/>
        <v>480.51772082413839</v>
      </c>
      <c r="I610" s="661">
        <f t="shared" si="333"/>
        <v>503.08335838414621</v>
      </c>
      <c r="J610" s="661">
        <f t="shared" si="333"/>
        <v>526.73347506636446</v>
      </c>
      <c r="K610" s="661">
        <f t="shared" si="333"/>
        <v>526.73347506636458</v>
      </c>
      <c r="L610" s="661">
        <f t="shared" si="333"/>
        <v>526.73347506636446</v>
      </c>
      <c r="M610" s="661">
        <f t="shared" si="333"/>
        <v>526.73347506636446</v>
      </c>
      <c r="N610" s="661">
        <f t="shared" si="333"/>
        <v>526.73347506636446</v>
      </c>
      <c r="O610" s="661">
        <f t="shared" si="333"/>
        <v>526.73347506636446</v>
      </c>
      <c r="Q610" s="661"/>
    </row>
    <row r="611" spans="2:17" x14ac:dyDescent="0.3">
      <c r="B611" s="964" t="str">
        <f t="shared" ref="B611:C611" si="362">B509</f>
        <v>Incorporated</v>
      </c>
      <c r="C611" s="964">
        <f t="shared" si="362"/>
        <v>39</v>
      </c>
      <c r="D611" s="661">
        <f t="shared" si="313"/>
        <v>374.82</v>
      </c>
      <c r="E611" s="661">
        <f t="shared" ref="E611" si="363">IF($B$572=$A$61,E99+E305+E407,IF($B$572=$A$62,E202+E305+E407,E305+E407))</f>
        <v>384.45000000000005</v>
      </c>
      <c r="F611" s="661">
        <f t="shared" si="333"/>
        <v>445.16001960689084</v>
      </c>
      <c r="G611" s="661">
        <f t="shared" si="333"/>
        <v>471.7378029624515</v>
      </c>
      <c r="H611" s="661">
        <f t="shared" si="333"/>
        <v>494.6043856513042</v>
      </c>
      <c r="I611" s="661">
        <f t="shared" si="333"/>
        <v>517.83593695316631</v>
      </c>
      <c r="J611" s="661">
        <f t="shared" si="333"/>
        <v>542.18411069274907</v>
      </c>
      <c r="K611" s="661">
        <f t="shared" si="333"/>
        <v>542.18411069274919</v>
      </c>
      <c r="L611" s="661">
        <f t="shared" si="333"/>
        <v>542.18411069274907</v>
      </c>
      <c r="M611" s="661">
        <f t="shared" si="333"/>
        <v>542.18411069274907</v>
      </c>
      <c r="N611" s="661">
        <f t="shared" si="333"/>
        <v>542.18411069274919</v>
      </c>
      <c r="O611" s="661">
        <f t="shared" si="333"/>
        <v>542.18411069274907</v>
      </c>
      <c r="Q611" s="661"/>
    </row>
    <row r="612" spans="2:17" x14ac:dyDescent="0.3">
      <c r="B612" s="964" t="str">
        <f t="shared" ref="B612:C612" si="364">B510</f>
        <v>Incorporated</v>
      </c>
      <c r="C612" s="964">
        <f t="shared" si="364"/>
        <v>40</v>
      </c>
      <c r="D612" s="661">
        <f t="shared" si="313"/>
        <v>385.16</v>
      </c>
      <c r="E612" s="661">
        <f t="shared" ref="E612" si="365">IF($B$572=$A$61,E100+E306+E408,IF($B$572=$A$62,E203+E306+E408,E306+E408))</f>
        <v>395.05999999999995</v>
      </c>
      <c r="F612" s="661">
        <f t="shared" ref="F612:O627" si="366">IF($B$572=$A$61,F100+F306+F408,IF($B$572=$A$62,F203+F306+F408,F306+F408))</f>
        <v>457.83084778468503</v>
      </c>
      <c r="G612" s="661">
        <f t="shared" si="366"/>
        <v>485.17125693912664</v>
      </c>
      <c r="H612" s="661">
        <f t="shared" si="366"/>
        <v>508.69105047847012</v>
      </c>
      <c r="I612" s="661">
        <f t="shared" si="366"/>
        <v>532.5885155221863</v>
      </c>
      <c r="J612" s="661">
        <f t="shared" si="366"/>
        <v>557.63474631913368</v>
      </c>
      <c r="K612" s="661">
        <f t="shared" si="366"/>
        <v>557.6347463191338</v>
      </c>
      <c r="L612" s="661">
        <f t="shared" si="366"/>
        <v>557.63474631913368</v>
      </c>
      <c r="M612" s="661">
        <f t="shared" si="366"/>
        <v>557.63474631913368</v>
      </c>
      <c r="N612" s="661">
        <f t="shared" si="366"/>
        <v>557.63474631913368</v>
      </c>
      <c r="O612" s="661">
        <f t="shared" si="366"/>
        <v>557.63474631913368</v>
      </c>
      <c r="Q612" s="661"/>
    </row>
    <row r="613" spans="2:17" x14ac:dyDescent="0.3">
      <c r="B613" s="964" t="str">
        <f t="shared" ref="B613:C613" si="367">B511</f>
        <v>Incorporated</v>
      </c>
      <c r="C613" s="964">
        <f t="shared" si="367"/>
        <v>41</v>
      </c>
      <c r="D613" s="661">
        <f t="shared" si="313"/>
        <v>395.5</v>
      </c>
      <c r="E613" s="661">
        <f t="shared" ref="E613" si="368">IF($B$572=$A$61,E101+E307+E409,IF($B$572=$A$62,E204+E307+E409,E307+E409))</f>
        <v>405.66999999999996</v>
      </c>
      <c r="F613" s="661">
        <f t="shared" si="366"/>
        <v>470.50167596247911</v>
      </c>
      <c r="G613" s="661">
        <f t="shared" si="366"/>
        <v>498.60471091580177</v>
      </c>
      <c r="H613" s="661">
        <f t="shared" si="366"/>
        <v>522.77771530563587</v>
      </c>
      <c r="I613" s="661">
        <f t="shared" si="366"/>
        <v>547.34109409120651</v>
      </c>
      <c r="J613" s="661">
        <f t="shared" si="366"/>
        <v>573.08538194551829</v>
      </c>
      <c r="K613" s="661">
        <f t="shared" si="366"/>
        <v>573.08538194551841</v>
      </c>
      <c r="L613" s="661">
        <f t="shared" si="366"/>
        <v>573.08538194551829</v>
      </c>
      <c r="M613" s="661">
        <f t="shared" si="366"/>
        <v>573.08538194551829</v>
      </c>
      <c r="N613" s="661">
        <f t="shared" si="366"/>
        <v>573.08538194551841</v>
      </c>
      <c r="O613" s="661">
        <f t="shared" si="366"/>
        <v>573.08538194551829</v>
      </c>
      <c r="Q613" s="661"/>
    </row>
    <row r="614" spans="2:17" x14ac:dyDescent="0.3">
      <c r="B614" s="964" t="str">
        <f t="shared" ref="B614:C614" si="369">B512</f>
        <v>Incorporated</v>
      </c>
      <c r="C614" s="964">
        <f t="shared" si="369"/>
        <v>42</v>
      </c>
      <c r="D614" s="661">
        <f t="shared" si="313"/>
        <v>405.84</v>
      </c>
      <c r="E614" s="661">
        <f t="shared" ref="E614" si="370">IF($B$572=$A$61,E102+E308+E410,IF($B$572=$A$62,E205+E308+E410,E308+E410))</f>
        <v>416.28000000000003</v>
      </c>
      <c r="F614" s="661">
        <f t="shared" si="366"/>
        <v>483.17250414027325</v>
      </c>
      <c r="G614" s="661">
        <f t="shared" si="366"/>
        <v>512.03816489247686</v>
      </c>
      <c r="H614" s="661">
        <f t="shared" si="366"/>
        <v>536.86438013280178</v>
      </c>
      <c r="I614" s="661">
        <f t="shared" si="366"/>
        <v>562.0936726602265</v>
      </c>
      <c r="J614" s="661">
        <f t="shared" si="366"/>
        <v>588.5360175719029</v>
      </c>
      <c r="K614" s="661">
        <f t="shared" si="366"/>
        <v>588.53601757190302</v>
      </c>
      <c r="L614" s="661">
        <f t="shared" si="366"/>
        <v>588.5360175719029</v>
      </c>
      <c r="M614" s="661">
        <f t="shared" si="366"/>
        <v>588.5360175719029</v>
      </c>
      <c r="N614" s="661">
        <f t="shared" si="366"/>
        <v>588.5360175719029</v>
      </c>
      <c r="O614" s="661">
        <f t="shared" si="366"/>
        <v>588.5360175719029</v>
      </c>
      <c r="Q614" s="661"/>
    </row>
    <row r="615" spans="2:17" x14ac:dyDescent="0.3">
      <c r="B615" s="964" t="str">
        <f t="shared" ref="B615:C615" si="371">B513</f>
        <v>Incorporated</v>
      </c>
      <c r="C615" s="964">
        <f t="shared" si="371"/>
        <v>43</v>
      </c>
      <c r="D615" s="661">
        <f t="shared" si="313"/>
        <v>416.17999999999995</v>
      </c>
      <c r="E615" s="661">
        <f t="shared" ref="E615" si="372">IF($B$572=$A$61,E103+E309+E411,IF($B$572=$A$62,E206+E309+E411,E309+E411))</f>
        <v>426.89000000000004</v>
      </c>
      <c r="F615" s="661">
        <f t="shared" si="366"/>
        <v>495.84333231806733</v>
      </c>
      <c r="G615" s="661">
        <f t="shared" si="366"/>
        <v>525.47161886915205</v>
      </c>
      <c r="H615" s="661">
        <f t="shared" si="366"/>
        <v>550.9510449599677</v>
      </c>
      <c r="I615" s="661">
        <f t="shared" si="366"/>
        <v>576.84625122924672</v>
      </c>
      <c r="J615" s="661">
        <f t="shared" si="366"/>
        <v>603.9866531982874</v>
      </c>
      <c r="K615" s="661">
        <f t="shared" si="366"/>
        <v>603.98665319828751</v>
      </c>
      <c r="L615" s="661">
        <f t="shared" si="366"/>
        <v>603.9866531982874</v>
      </c>
      <c r="M615" s="661">
        <f t="shared" si="366"/>
        <v>603.9866531982874</v>
      </c>
      <c r="N615" s="661">
        <f t="shared" si="366"/>
        <v>603.98665319828751</v>
      </c>
      <c r="O615" s="661">
        <f t="shared" si="366"/>
        <v>603.9866531982874</v>
      </c>
      <c r="Q615" s="661"/>
    </row>
    <row r="616" spans="2:17" x14ac:dyDescent="0.3">
      <c r="B616" s="964" t="str">
        <f t="shared" ref="B616:C616" si="373">B514</f>
        <v>Incorporated</v>
      </c>
      <c r="C616" s="964">
        <f t="shared" si="373"/>
        <v>44</v>
      </c>
      <c r="D616" s="661">
        <f t="shared" si="313"/>
        <v>426.52</v>
      </c>
      <c r="E616" s="661">
        <f t="shared" ref="E616" si="374">IF($B$572=$A$61,E104+E310+E412,IF($B$572=$A$62,E207+E310+E412,E310+E412))</f>
        <v>437.5</v>
      </c>
      <c r="F616" s="661">
        <f t="shared" si="366"/>
        <v>508.5141604958614</v>
      </c>
      <c r="G616" s="661">
        <f t="shared" si="366"/>
        <v>538.90507284582714</v>
      </c>
      <c r="H616" s="661">
        <f t="shared" si="366"/>
        <v>565.03770978713351</v>
      </c>
      <c r="I616" s="661">
        <f t="shared" si="366"/>
        <v>591.59882979826671</v>
      </c>
      <c r="J616" s="661">
        <f t="shared" si="366"/>
        <v>619.43728882467212</v>
      </c>
      <c r="K616" s="661">
        <f t="shared" si="366"/>
        <v>619.43728882467224</v>
      </c>
      <c r="L616" s="661">
        <f t="shared" si="366"/>
        <v>619.43728882467212</v>
      </c>
      <c r="M616" s="661">
        <f t="shared" si="366"/>
        <v>619.43728882467212</v>
      </c>
      <c r="N616" s="661">
        <f t="shared" si="366"/>
        <v>619.43728882467212</v>
      </c>
      <c r="O616" s="661">
        <f t="shared" si="366"/>
        <v>619.43728882467212</v>
      </c>
      <c r="Q616" s="661"/>
    </row>
    <row r="617" spans="2:17" x14ac:dyDescent="0.3">
      <c r="B617" s="964" t="str">
        <f t="shared" ref="B617:C617" si="375">B515</f>
        <v>Incorporated</v>
      </c>
      <c r="C617" s="964">
        <f t="shared" si="375"/>
        <v>45</v>
      </c>
      <c r="D617" s="661">
        <f t="shared" si="313"/>
        <v>436.86</v>
      </c>
      <c r="E617" s="661">
        <f t="shared" ref="E617" si="376">IF($B$572=$A$61,E105+E311+E413,IF($B$572=$A$62,E208+E311+E413,E311+E413))</f>
        <v>448.10999999999996</v>
      </c>
      <c r="F617" s="661">
        <f t="shared" si="366"/>
        <v>521.18498867365565</v>
      </c>
      <c r="G617" s="661">
        <f t="shared" si="366"/>
        <v>552.33852682250222</v>
      </c>
      <c r="H617" s="661">
        <f t="shared" si="366"/>
        <v>579.12437461429931</v>
      </c>
      <c r="I617" s="661">
        <f t="shared" si="366"/>
        <v>606.35140836728692</v>
      </c>
      <c r="J617" s="661">
        <f t="shared" si="366"/>
        <v>634.88792445105673</v>
      </c>
      <c r="K617" s="661">
        <f t="shared" si="366"/>
        <v>634.88792445105696</v>
      </c>
      <c r="L617" s="661">
        <f t="shared" si="366"/>
        <v>634.88792445105673</v>
      </c>
      <c r="M617" s="661">
        <f t="shared" si="366"/>
        <v>634.88792445105673</v>
      </c>
      <c r="N617" s="661">
        <f t="shared" si="366"/>
        <v>634.88792445105685</v>
      </c>
      <c r="O617" s="661">
        <f t="shared" si="366"/>
        <v>634.88792445105673</v>
      </c>
      <c r="Q617" s="661"/>
    </row>
    <row r="618" spans="2:17" x14ac:dyDescent="0.3">
      <c r="B618" s="964" t="str">
        <f t="shared" ref="B618:C618" si="377">B516</f>
        <v>Incorporated</v>
      </c>
      <c r="C618" s="964">
        <f t="shared" si="377"/>
        <v>46</v>
      </c>
      <c r="D618" s="661">
        <f t="shared" si="313"/>
        <v>447.2</v>
      </c>
      <c r="E618" s="661">
        <f t="shared" ref="E618" si="378">IF($B$572=$A$61,E106+E312+E414,IF($B$572=$A$62,E209+E312+E414,E312+E414))</f>
        <v>458.71999999999997</v>
      </c>
      <c r="F618" s="661">
        <f t="shared" si="366"/>
        <v>533.85581685144973</v>
      </c>
      <c r="G618" s="661">
        <f t="shared" si="366"/>
        <v>565.77198079917741</v>
      </c>
      <c r="H618" s="661">
        <f t="shared" si="366"/>
        <v>593.21103944146523</v>
      </c>
      <c r="I618" s="661">
        <f t="shared" si="366"/>
        <v>621.10398693630691</v>
      </c>
      <c r="J618" s="661">
        <f t="shared" si="366"/>
        <v>650.33856007744134</v>
      </c>
      <c r="K618" s="661">
        <f t="shared" si="366"/>
        <v>650.33856007744146</v>
      </c>
      <c r="L618" s="661">
        <f t="shared" si="366"/>
        <v>650.33856007744123</v>
      </c>
      <c r="M618" s="661">
        <f t="shared" si="366"/>
        <v>650.33856007744123</v>
      </c>
      <c r="N618" s="661">
        <f t="shared" si="366"/>
        <v>650.33856007744134</v>
      </c>
      <c r="O618" s="661">
        <f t="shared" si="366"/>
        <v>650.33856007744134</v>
      </c>
      <c r="Q618" s="661"/>
    </row>
    <row r="619" spans="2:17" x14ac:dyDescent="0.3">
      <c r="B619" s="964" t="str">
        <f t="shared" ref="B619:C619" si="379">B517</f>
        <v>Incorporated</v>
      </c>
      <c r="C619" s="964">
        <f t="shared" si="379"/>
        <v>47</v>
      </c>
      <c r="D619" s="661">
        <f t="shared" si="313"/>
        <v>457.54</v>
      </c>
      <c r="E619" s="661">
        <f t="shared" ref="E619" si="380">IF($B$572=$A$61,E107+E313+E415,IF($B$572=$A$62,E210+E313+E415,E313+E415))</f>
        <v>469.33000000000004</v>
      </c>
      <c r="F619" s="661">
        <f t="shared" si="366"/>
        <v>546.52664502924381</v>
      </c>
      <c r="G619" s="661">
        <f t="shared" si="366"/>
        <v>579.20543477585261</v>
      </c>
      <c r="H619" s="661">
        <f t="shared" si="366"/>
        <v>607.29770426863104</v>
      </c>
      <c r="I619" s="661">
        <f t="shared" si="366"/>
        <v>635.85656550532701</v>
      </c>
      <c r="J619" s="661">
        <f t="shared" si="366"/>
        <v>665.78919570382584</v>
      </c>
      <c r="K619" s="661">
        <f t="shared" si="366"/>
        <v>665.78919570382607</v>
      </c>
      <c r="L619" s="661">
        <f t="shared" si="366"/>
        <v>665.78919570382584</v>
      </c>
      <c r="M619" s="661">
        <f t="shared" si="366"/>
        <v>665.78919570382584</v>
      </c>
      <c r="N619" s="661">
        <f t="shared" si="366"/>
        <v>665.78919570382595</v>
      </c>
      <c r="O619" s="661">
        <f t="shared" si="366"/>
        <v>665.78919570382584</v>
      </c>
      <c r="Q619" s="661"/>
    </row>
    <row r="620" spans="2:17" x14ac:dyDescent="0.3">
      <c r="B620" s="964" t="str">
        <f t="shared" ref="B620:C620" si="381">B518</f>
        <v>Incorporated</v>
      </c>
      <c r="C620" s="964">
        <f t="shared" si="381"/>
        <v>48</v>
      </c>
      <c r="D620" s="661">
        <f t="shared" si="313"/>
        <v>467.87999999999994</v>
      </c>
      <c r="E620" s="661">
        <f t="shared" ref="E620" si="382">IF($B$572=$A$61,E108+E314+E416,IF($B$572=$A$62,E211+E314+E416,E314+E416))</f>
        <v>479.94</v>
      </c>
      <c r="F620" s="661">
        <f t="shared" si="366"/>
        <v>559.19747320703789</v>
      </c>
      <c r="G620" s="661">
        <f t="shared" si="366"/>
        <v>592.63888875252769</v>
      </c>
      <c r="H620" s="661">
        <f t="shared" si="366"/>
        <v>621.38436909579684</v>
      </c>
      <c r="I620" s="661">
        <f t="shared" si="366"/>
        <v>650.60914407434711</v>
      </c>
      <c r="J620" s="661">
        <f t="shared" si="366"/>
        <v>681.23983133021034</v>
      </c>
      <c r="K620" s="661">
        <f t="shared" si="366"/>
        <v>681.23983133021056</v>
      </c>
      <c r="L620" s="661">
        <f t="shared" si="366"/>
        <v>681.23983133021034</v>
      </c>
      <c r="M620" s="661">
        <f t="shared" si="366"/>
        <v>681.23983133021034</v>
      </c>
      <c r="N620" s="661">
        <f t="shared" si="366"/>
        <v>681.23983133021056</v>
      </c>
      <c r="O620" s="661">
        <f t="shared" si="366"/>
        <v>681.23983133021034</v>
      </c>
      <c r="Q620" s="661"/>
    </row>
    <row r="621" spans="2:17" x14ac:dyDescent="0.3">
      <c r="B621" s="964" t="str">
        <f t="shared" ref="B621:C621" si="383">B519</f>
        <v>Incorporated</v>
      </c>
      <c r="C621" s="964">
        <f t="shared" si="383"/>
        <v>49</v>
      </c>
      <c r="D621" s="661">
        <f t="shared" si="313"/>
        <v>478.21999999999991</v>
      </c>
      <c r="E621" s="661">
        <f t="shared" ref="E621" si="384">IF($B$572=$A$61,E109+E315+E417,IF($B$572=$A$62,E212+E315+E417,E315+E417))</f>
        <v>490.54999999999995</v>
      </c>
      <c r="F621" s="661">
        <f t="shared" si="366"/>
        <v>571.86830138483208</v>
      </c>
      <c r="G621" s="661">
        <f t="shared" si="366"/>
        <v>606.07234272920277</v>
      </c>
      <c r="H621" s="661">
        <f t="shared" si="366"/>
        <v>635.47103392296276</v>
      </c>
      <c r="I621" s="661">
        <f t="shared" si="366"/>
        <v>665.36172264336733</v>
      </c>
      <c r="J621" s="661">
        <f t="shared" si="366"/>
        <v>696.69046695659506</v>
      </c>
      <c r="K621" s="661">
        <f t="shared" si="366"/>
        <v>696.69046695659517</v>
      </c>
      <c r="L621" s="661">
        <f t="shared" si="366"/>
        <v>696.69046695659495</v>
      </c>
      <c r="M621" s="661">
        <f t="shared" si="366"/>
        <v>696.69046695659495</v>
      </c>
      <c r="N621" s="661">
        <f t="shared" si="366"/>
        <v>696.69046695659517</v>
      </c>
      <c r="O621" s="661">
        <f t="shared" si="366"/>
        <v>696.69046695659506</v>
      </c>
      <c r="Q621" s="661"/>
    </row>
    <row r="622" spans="2:17" x14ac:dyDescent="0.3">
      <c r="B622" s="964" t="str">
        <f t="shared" ref="B622:C622" si="385">B520</f>
        <v>Incorporated</v>
      </c>
      <c r="C622" s="964">
        <f t="shared" si="385"/>
        <v>50</v>
      </c>
      <c r="D622" s="661">
        <f t="shared" si="313"/>
        <v>488.55999999999995</v>
      </c>
      <c r="E622" s="661">
        <f t="shared" ref="E622" si="386">IF($B$572=$A$61,E110+E316+E418,IF($B$572=$A$62,E213+E316+E418,E316+E418))</f>
        <v>501.15999999999997</v>
      </c>
      <c r="F622" s="661">
        <f t="shared" si="366"/>
        <v>584.53912956262616</v>
      </c>
      <c r="G622" s="661">
        <f t="shared" si="366"/>
        <v>619.50579670587797</v>
      </c>
      <c r="H622" s="661">
        <f t="shared" si="366"/>
        <v>649.55769875012857</v>
      </c>
      <c r="I622" s="661">
        <f t="shared" si="366"/>
        <v>680.1143012123872</v>
      </c>
      <c r="J622" s="661">
        <f t="shared" si="366"/>
        <v>712.14110258297978</v>
      </c>
      <c r="K622" s="661">
        <f t="shared" si="366"/>
        <v>712.1411025829799</v>
      </c>
      <c r="L622" s="661">
        <f t="shared" si="366"/>
        <v>712.14110258297967</v>
      </c>
      <c r="M622" s="661">
        <f t="shared" si="366"/>
        <v>712.14110258297967</v>
      </c>
      <c r="N622" s="661">
        <f t="shared" si="366"/>
        <v>712.14110258297978</v>
      </c>
      <c r="O622" s="661">
        <f t="shared" si="366"/>
        <v>712.14110258297978</v>
      </c>
      <c r="Q622" s="661"/>
    </row>
    <row r="623" spans="2:17" x14ac:dyDescent="0.3">
      <c r="B623" s="964" t="str">
        <f t="shared" ref="B623:C623" si="387">B521</f>
        <v>Incorporated</v>
      </c>
      <c r="C623" s="964">
        <f t="shared" si="387"/>
        <v>51</v>
      </c>
      <c r="D623" s="661">
        <f t="shared" si="313"/>
        <v>498.89999999999992</v>
      </c>
      <c r="E623" s="661">
        <f t="shared" ref="E623" si="388">IF($B$572=$A$61,E111+E317+E419,IF($B$572=$A$62,E214+E317+E419,E317+E419))</f>
        <v>511.77</v>
      </c>
      <c r="F623" s="661">
        <f t="shared" si="366"/>
        <v>597.20995774042035</v>
      </c>
      <c r="G623" s="661">
        <f t="shared" si="366"/>
        <v>632.93925068255317</v>
      </c>
      <c r="H623" s="661">
        <f t="shared" si="366"/>
        <v>663.64436357729448</v>
      </c>
      <c r="I623" s="661">
        <f t="shared" si="366"/>
        <v>694.86687978140731</v>
      </c>
      <c r="J623" s="661">
        <f t="shared" si="366"/>
        <v>727.59173820936439</v>
      </c>
      <c r="K623" s="661">
        <f t="shared" si="366"/>
        <v>727.59173820936462</v>
      </c>
      <c r="L623" s="661">
        <f t="shared" si="366"/>
        <v>727.59173820936439</v>
      </c>
      <c r="M623" s="661">
        <f t="shared" si="366"/>
        <v>727.59173820936439</v>
      </c>
      <c r="N623" s="661">
        <f t="shared" si="366"/>
        <v>727.59173820936439</v>
      </c>
      <c r="O623" s="661">
        <f t="shared" si="366"/>
        <v>727.59173820936439</v>
      </c>
      <c r="Q623" s="661"/>
    </row>
    <row r="624" spans="2:17" x14ac:dyDescent="0.3">
      <c r="B624" s="964" t="str">
        <f t="shared" ref="B624:C624" si="389">B522</f>
        <v>Incorporated</v>
      </c>
      <c r="C624" s="964">
        <f t="shared" si="389"/>
        <v>52</v>
      </c>
      <c r="D624" s="661">
        <f t="shared" si="313"/>
        <v>509.23999999999995</v>
      </c>
      <c r="E624" s="661">
        <f t="shared" ref="E624" si="390">IF($B$572=$A$61,E112+E318+E420,IF($B$572=$A$62,E215+E318+E420,E318+E420))</f>
        <v>522.38</v>
      </c>
      <c r="F624" s="661">
        <f t="shared" si="366"/>
        <v>609.88078591821443</v>
      </c>
      <c r="G624" s="661">
        <f t="shared" si="366"/>
        <v>646.37270465922825</v>
      </c>
      <c r="H624" s="661">
        <f t="shared" si="366"/>
        <v>677.73102840446029</v>
      </c>
      <c r="I624" s="661">
        <f t="shared" si="366"/>
        <v>709.61945835042752</v>
      </c>
      <c r="J624" s="661">
        <f t="shared" si="366"/>
        <v>743.04237383574878</v>
      </c>
      <c r="K624" s="661">
        <f t="shared" si="366"/>
        <v>743.042373835749</v>
      </c>
      <c r="L624" s="661">
        <f t="shared" si="366"/>
        <v>743.04237383574878</v>
      </c>
      <c r="M624" s="661">
        <f t="shared" si="366"/>
        <v>743.04237383574878</v>
      </c>
      <c r="N624" s="661">
        <f t="shared" si="366"/>
        <v>743.04237383574889</v>
      </c>
      <c r="O624" s="661">
        <f t="shared" si="366"/>
        <v>743.04237383574878</v>
      </c>
      <c r="Q624" s="661"/>
    </row>
    <row r="625" spans="2:17" x14ac:dyDescent="0.3">
      <c r="B625" s="964" t="str">
        <f t="shared" ref="B625:C625" si="391">B523</f>
        <v>Incorporated</v>
      </c>
      <c r="C625" s="964">
        <f t="shared" si="391"/>
        <v>53</v>
      </c>
      <c r="D625" s="661">
        <f t="shared" si="313"/>
        <v>519.57999999999993</v>
      </c>
      <c r="E625" s="661">
        <f t="shared" ref="E625" si="392">IF($B$572=$A$61,E113+E319+E421,IF($B$572=$A$62,E216+E319+E421,E319+E421))</f>
        <v>532.99</v>
      </c>
      <c r="F625" s="661">
        <f t="shared" si="366"/>
        <v>622.55161409600851</v>
      </c>
      <c r="G625" s="661">
        <f t="shared" si="366"/>
        <v>659.80615863590333</v>
      </c>
      <c r="H625" s="661">
        <f t="shared" si="366"/>
        <v>691.81769323162609</v>
      </c>
      <c r="I625" s="661">
        <f t="shared" si="366"/>
        <v>724.37203691944762</v>
      </c>
      <c r="J625" s="661">
        <f t="shared" si="366"/>
        <v>758.4930094621335</v>
      </c>
      <c r="K625" s="661">
        <f t="shared" si="366"/>
        <v>758.49300946213361</v>
      </c>
      <c r="L625" s="661">
        <f t="shared" si="366"/>
        <v>758.49300946213339</v>
      </c>
      <c r="M625" s="661">
        <f t="shared" si="366"/>
        <v>758.49300946213339</v>
      </c>
      <c r="N625" s="661">
        <f t="shared" si="366"/>
        <v>758.49300946213361</v>
      </c>
      <c r="O625" s="661">
        <f t="shared" si="366"/>
        <v>758.4930094621335</v>
      </c>
      <c r="Q625" s="661"/>
    </row>
    <row r="626" spans="2:17" x14ac:dyDescent="0.3">
      <c r="B626" s="964" t="str">
        <f t="shared" ref="B626:C626" si="393">B524</f>
        <v>Incorporated</v>
      </c>
      <c r="C626" s="964">
        <f t="shared" si="393"/>
        <v>54</v>
      </c>
      <c r="D626" s="661">
        <f t="shared" si="313"/>
        <v>529.91999999999996</v>
      </c>
      <c r="E626" s="661">
        <f t="shared" ref="E626" si="394">IF($B$572=$A$61,E114+E320+E422,IF($B$572=$A$62,E217+E320+E422,E320+E422))</f>
        <v>543.59999999999991</v>
      </c>
      <c r="F626" s="661">
        <f t="shared" si="366"/>
        <v>635.22244227380259</v>
      </c>
      <c r="G626" s="661">
        <f t="shared" si="366"/>
        <v>673.23961261257853</v>
      </c>
      <c r="H626" s="661">
        <f t="shared" si="366"/>
        <v>705.90435805879201</v>
      </c>
      <c r="I626" s="661">
        <f t="shared" si="366"/>
        <v>739.12461548846761</v>
      </c>
      <c r="J626" s="661">
        <f t="shared" si="366"/>
        <v>773.94364508851811</v>
      </c>
      <c r="K626" s="661">
        <f t="shared" si="366"/>
        <v>773.94364508851822</v>
      </c>
      <c r="L626" s="661">
        <f t="shared" si="366"/>
        <v>773.943645088518</v>
      </c>
      <c r="M626" s="661">
        <f t="shared" si="366"/>
        <v>773.943645088518</v>
      </c>
      <c r="N626" s="661">
        <f t="shared" si="366"/>
        <v>773.94364508851811</v>
      </c>
      <c r="O626" s="661">
        <f t="shared" si="366"/>
        <v>773.94364508851811</v>
      </c>
      <c r="Q626" s="661"/>
    </row>
    <row r="627" spans="2:17" x14ac:dyDescent="0.3">
      <c r="B627" s="964" t="str">
        <f t="shared" ref="B627:C627" si="395">B525</f>
        <v>Incorporated</v>
      </c>
      <c r="C627" s="964">
        <f t="shared" si="395"/>
        <v>55</v>
      </c>
      <c r="D627" s="661">
        <f t="shared" si="313"/>
        <v>540.26</v>
      </c>
      <c r="E627" s="661">
        <f t="shared" ref="E627" si="396">IF($B$572=$A$61,E115+E321+E423,IF($B$572=$A$62,E218+E321+E423,E321+E423))</f>
        <v>554.21</v>
      </c>
      <c r="F627" s="661">
        <f t="shared" si="366"/>
        <v>647.89327045159666</v>
      </c>
      <c r="G627" s="661">
        <f t="shared" si="366"/>
        <v>686.67306658925361</v>
      </c>
      <c r="H627" s="661">
        <f t="shared" si="366"/>
        <v>719.99102288595782</v>
      </c>
      <c r="I627" s="661">
        <f t="shared" si="366"/>
        <v>753.87719405748771</v>
      </c>
      <c r="J627" s="661">
        <f t="shared" si="366"/>
        <v>789.39428071490272</v>
      </c>
      <c r="K627" s="661">
        <f t="shared" si="366"/>
        <v>789.39428071490295</v>
      </c>
      <c r="L627" s="661">
        <f t="shared" si="366"/>
        <v>789.39428071490272</v>
      </c>
      <c r="M627" s="661">
        <f t="shared" si="366"/>
        <v>789.39428071490272</v>
      </c>
      <c r="N627" s="661">
        <f t="shared" si="366"/>
        <v>789.39428071490283</v>
      </c>
      <c r="O627" s="661">
        <f t="shared" si="366"/>
        <v>789.39428071490272</v>
      </c>
      <c r="Q627" s="661"/>
    </row>
    <row r="628" spans="2:17" x14ac:dyDescent="0.3">
      <c r="B628" s="964" t="str">
        <f t="shared" ref="B628:C628" si="397">B526</f>
        <v>Incorporated</v>
      </c>
      <c r="C628" s="964">
        <f t="shared" si="397"/>
        <v>56</v>
      </c>
      <c r="D628" s="661">
        <f t="shared" si="313"/>
        <v>550.6</v>
      </c>
      <c r="E628" s="661">
        <f t="shared" ref="E628" si="398">IF($B$572=$A$61,E116+E322+E424,IF($B$572=$A$62,E219+E322+E424,E322+E424))</f>
        <v>564.81999999999994</v>
      </c>
      <c r="F628" s="661">
        <f t="shared" ref="F628:O640" si="399">IF($B$572=$A$61,F116+F322+F424,IF($B$572=$A$62,F219+F322+F424,F322+F424))</f>
        <v>660.56409862939086</v>
      </c>
      <c r="G628" s="661">
        <f t="shared" si="399"/>
        <v>700.1065205659288</v>
      </c>
      <c r="H628" s="661">
        <f t="shared" si="399"/>
        <v>734.07768771312374</v>
      </c>
      <c r="I628" s="661">
        <f t="shared" si="399"/>
        <v>768.62977262650793</v>
      </c>
      <c r="J628" s="661">
        <f t="shared" si="399"/>
        <v>804.84491634128733</v>
      </c>
      <c r="K628" s="661">
        <f t="shared" si="399"/>
        <v>804.84491634128756</v>
      </c>
      <c r="L628" s="661">
        <f t="shared" si="399"/>
        <v>804.84491634128733</v>
      </c>
      <c r="M628" s="661">
        <f t="shared" si="399"/>
        <v>804.84491634128733</v>
      </c>
      <c r="N628" s="661">
        <f t="shared" si="399"/>
        <v>804.84491634128744</v>
      </c>
      <c r="O628" s="661">
        <f t="shared" si="399"/>
        <v>804.84491634128733</v>
      </c>
      <c r="Q628" s="661"/>
    </row>
    <row r="629" spans="2:17" x14ac:dyDescent="0.3">
      <c r="B629" s="964" t="str">
        <f t="shared" ref="B629:C629" si="400">B527</f>
        <v>Incorporated</v>
      </c>
      <c r="C629" s="964">
        <f t="shared" si="400"/>
        <v>57</v>
      </c>
      <c r="D629" s="661">
        <f t="shared" si="313"/>
        <v>560.93999999999994</v>
      </c>
      <c r="E629" s="661">
        <f t="shared" ref="E629" si="401">IF($B$572=$A$61,E117+E323+E425,IF($B$572=$A$62,E220+E323+E425,E323+E425))</f>
        <v>575.42999999999995</v>
      </c>
      <c r="F629" s="661">
        <f t="shared" si="399"/>
        <v>673.23492680718505</v>
      </c>
      <c r="G629" s="661">
        <f t="shared" si="399"/>
        <v>713.539974542604</v>
      </c>
      <c r="H629" s="661">
        <f t="shared" si="399"/>
        <v>748.16435254028954</v>
      </c>
      <c r="I629" s="661">
        <f t="shared" si="399"/>
        <v>783.38235119552803</v>
      </c>
      <c r="J629" s="661">
        <f t="shared" si="399"/>
        <v>820.29555196767194</v>
      </c>
      <c r="K629" s="661">
        <f t="shared" si="399"/>
        <v>820.29555196767194</v>
      </c>
      <c r="L629" s="661">
        <f t="shared" si="399"/>
        <v>820.29555196767171</v>
      </c>
      <c r="M629" s="661">
        <f t="shared" si="399"/>
        <v>820.29555196767171</v>
      </c>
      <c r="N629" s="661">
        <f t="shared" si="399"/>
        <v>820.29555196767194</v>
      </c>
      <c r="O629" s="661">
        <f t="shared" si="399"/>
        <v>820.29555196767194</v>
      </c>
      <c r="Q629" s="661"/>
    </row>
    <row r="630" spans="2:17" x14ac:dyDescent="0.3">
      <c r="B630" s="964" t="str">
        <f t="shared" ref="B630:C630" si="402">B528</f>
        <v>Incorporated</v>
      </c>
      <c r="C630" s="964">
        <f t="shared" si="402"/>
        <v>58</v>
      </c>
      <c r="D630" s="661">
        <f t="shared" si="313"/>
        <v>571.28</v>
      </c>
      <c r="E630" s="661">
        <f t="shared" ref="E630" si="403">IF($B$572=$A$61,E118+E324+E426,IF($B$572=$A$62,E221+E324+E426,E324+E426))</f>
        <v>586.04000000000008</v>
      </c>
      <c r="F630" s="661">
        <f t="shared" si="399"/>
        <v>685.90575498497913</v>
      </c>
      <c r="G630" s="661">
        <f t="shared" si="399"/>
        <v>726.97342851927897</v>
      </c>
      <c r="H630" s="661">
        <f t="shared" si="399"/>
        <v>762.25101736745535</v>
      </c>
      <c r="I630" s="661">
        <f t="shared" si="399"/>
        <v>798.13492976454802</v>
      </c>
      <c r="J630" s="661">
        <f t="shared" si="399"/>
        <v>835.74618759405655</v>
      </c>
      <c r="K630" s="661">
        <f t="shared" si="399"/>
        <v>835.74618759405666</v>
      </c>
      <c r="L630" s="661">
        <f t="shared" si="399"/>
        <v>835.74618759405644</v>
      </c>
      <c r="M630" s="661">
        <f t="shared" si="399"/>
        <v>835.74618759405644</v>
      </c>
      <c r="N630" s="661">
        <f t="shared" si="399"/>
        <v>835.74618759405655</v>
      </c>
      <c r="O630" s="661">
        <f t="shared" si="399"/>
        <v>835.74618759405655</v>
      </c>
      <c r="Q630" s="661"/>
    </row>
    <row r="631" spans="2:17" x14ac:dyDescent="0.3">
      <c r="B631" s="964" t="str">
        <f t="shared" ref="B631:C631" si="404">B529</f>
        <v>Incorporated</v>
      </c>
      <c r="C631" s="964">
        <f t="shared" si="404"/>
        <v>59</v>
      </c>
      <c r="D631" s="661">
        <f t="shared" si="313"/>
        <v>581.61999999999989</v>
      </c>
      <c r="E631" s="661">
        <f t="shared" ref="E631" si="405">IF($B$572=$A$61,E119+E325+E427,IF($B$572=$A$62,E222+E325+E427,E325+E427))</f>
        <v>596.65</v>
      </c>
      <c r="F631" s="661">
        <f t="shared" si="399"/>
        <v>698.57658316277332</v>
      </c>
      <c r="G631" s="661">
        <f t="shared" si="399"/>
        <v>740.40688249595428</v>
      </c>
      <c r="H631" s="661">
        <f t="shared" si="399"/>
        <v>776.33768219462127</v>
      </c>
      <c r="I631" s="661">
        <f t="shared" si="399"/>
        <v>812.88750833356812</v>
      </c>
      <c r="J631" s="661">
        <f t="shared" si="399"/>
        <v>851.19682322044116</v>
      </c>
      <c r="K631" s="661">
        <f t="shared" si="399"/>
        <v>851.19682322044139</v>
      </c>
      <c r="L631" s="661">
        <f t="shared" si="399"/>
        <v>851.19682322044116</v>
      </c>
      <c r="M631" s="661">
        <f t="shared" si="399"/>
        <v>851.19682322044116</v>
      </c>
      <c r="N631" s="661">
        <f t="shared" si="399"/>
        <v>851.19682322044127</v>
      </c>
      <c r="O631" s="661">
        <f t="shared" si="399"/>
        <v>851.19682322044116</v>
      </c>
      <c r="Q631" s="661"/>
    </row>
    <row r="632" spans="2:17" x14ac:dyDescent="0.3">
      <c r="B632" s="964" t="str">
        <f t="shared" ref="B632:C632" si="406">B530</f>
        <v>Incorporated</v>
      </c>
      <c r="C632" s="964">
        <f t="shared" si="406"/>
        <v>60</v>
      </c>
      <c r="D632" s="661">
        <f t="shared" si="313"/>
        <v>591.95999999999992</v>
      </c>
      <c r="E632" s="661">
        <f t="shared" ref="E632" si="407">IF($B$572=$A$61,E120+E326+E428,IF($B$572=$A$62,E223+E326+E428,E326+E428))</f>
        <v>607.26</v>
      </c>
      <c r="F632" s="661">
        <f t="shared" si="399"/>
        <v>711.24741134056751</v>
      </c>
      <c r="G632" s="661">
        <f t="shared" si="399"/>
        <v>753.84033647262936</v>
      </c>
      <c r="H632" s="661">
        <f t="shared" si="399"/>
        <v>790.42434702178707</v>
      </c>
      <c r="I632" s="661">
        <f t="shared" si="399"/>
        <v>827.64008690258834</v>
      </c>
      <c r="J632" s="661">
        <f t="shared" si="399"/>
        <v>866.64745884682566</v>
      </c>
      <c r="K632" s="661">
        <f t="shared" si="399"/>
        <v>866.64745884682588</v>
      </c>
      <c r="L632" s="661">
        <f t="shared" si="399"/>
        <v>866.64745884682566</v>
      </c>
      <c r="M632" s="661">
        <f t="shared" si="399"/>
        <v>866.64745884682566</v>
      </c>
      <c r="N632" s="661">
        <f t="shared" si="399"/>
        <v>866.64745884682577</v>
      </c>
      <c r="O632" s="661">
        <f t="shared" si="399"/>
        <v>866.64745884682566</v>
      </c>
      <c r="Q632" s="661"/>
    </row>
    <row r="633" spans="2:17" x14ac:dyDescent="0.3">
      <c r="B633" s="964" t="str">
        <f t="shared" ref="B633:C633" si="408">B531</f>
        <v>Incorporated</v>
      </c>
      <c r="C633" s="964">
        <f t="shared" si="408"/>
        <v>61</v>
      </c>
      <c r="D633" s="661">
        <f t="shared" si="313"/>
        <v>602.29999999999995</v>
      </c>
      <c r="E633" s="661">
        <f t="shared" ref="E633" si="409">IF($B$572=$A$61,E121+E327+E429,IF($B$572=$A$62,E224+E327+E429,E327+E429))</f>
        <v>617.87</v>
      </c>
      <c r="F633" s="661">
        <f t="shared" si="399"/>
        <v>723.91823951836147</v>
      </c>
      <c r="G633" s="661">
        <f t="shared" si="399"/>
        <v>767.27379044930444</v>
      </c>
      <c r="H633" s="661">
        <f t="shared" si="399"/>
        <v>804.51101184895299</v>
      </c>
      <c r="I633" s="661">
        <f t="shared" si="399"/>
        <v>842.39266547160844</v>
      </c>
      <c r="J633" s="661">
        <f t="shared" si="399"/>
        <v>882.09809447321038</v>
      </c>
      <c r="K633" s="661">
        <f t="shared" si="399"/>
        <v>882.09809447321049</v>
      </c>
      <c r="L633" s="661">
        <f t="shared" si="399"/>
        <v>882.09809447321027</v>
      </c>
      <c r="M633" s="661">
        <f t="shared" si="399"/>
        <v>882.09809447321027</v>
      </c>
      <c r="N633" s="661">
        <f t="shared" si="399"/>
        <v>882.09809447321049</v>
      </c>
      <c r="O633" s="661">
        <f t="shared" si="399"/>
        <v>882.09809447321038</v>
      </c>
      <c r="Q633" s="661"/>
    </row>
    <row r="634" spans="2:17" x14ac:dyDescent="0.3">
      <c r="B634" s="964" t="str">
        <f t="shared" ref="B634:C634" si="410">B532</f>
        <v>Incorporated</v>
      </c>
      <c r="C634" s="964">
        <f t="shared" si="410"/>
        <v>62</v>
      </c>
      <c r="D634" s="661">
        <f t="shared" si="313"/>
        <v>612.6400000000001</v>
      </c>
      <c r="E634" s="661">
        <f t="shared" ref="E634" si="411">IF($B$572=$A$61,E122+E328+E430,IF($B$572=$A$62,E225+E328+E430,E328+E430))</f>
        <v>628.48</v>
      </c>
      <c r="F634" s="661">
        <f t="shared" si="399"/>
        <v>736.58906769615555</v>
      </c>
      <c r="G634" s="661">
        <f t="shared" si="399"/>
        <v>780.70724442597964</v>
      </c>
      <c r="H634" s="661">
        <f t="shared" si="399"/>
        <v>818.59767667611879</v>
      </c>
      <c r="I634" s="661">
        <f t="shared" si="399"/>
        <v>857.14524404062843</v>
      </c>
      <c r="J634" s="661">
        <f t="shared" si="399"/>
        <v>897.5487300995951</v>
      </c>
      <c r="K634" s="661">
        <f t="shared" si="399"/>
        <v>897.5487300995951</v>
      </c>
      <c r="L634" s="661">
        <f t="shared" si="399"/>
        <v>897.54873009959488</v>
      </c>
      <c r="M634" s="661">
        <f t="shared" si="399"/>
        <v>897.54873009959488</v>
      </c>
      <c r="N634" s="661">
        <f t="shared" si="399"/>
        <v>897.5487300995951</v>
      </c>
      <c r="O634" s="661">
        <f t="shared" si="399"/>
        <v>897.5487300995951</v>
      </c>
      <c r="Q634" s="661"/>
    </row>
    <row r="635" spans="2:17" x14ac:dyDescent="0.3">
      <c r="B635" s="964" t="str">
        <f t="shared" ref="B635:C635" si="412">B533</f>
        <v>Incorporated</v>
      </c>
      <c r="C635" s="964">
        <f t="shared" si="412"/>
        <v>63</v>
      </c>
      <c r="D635" s="661">
        <f t="shared" si="313"/>
        <v>622.98</v>
      </c>
      <c r="E635" s="661">
        <f t="shared" ref="E635" si="413">IF($B$572=$A$61,E123+E329+E431,IF($B$572=$A$62,E226+E329+E431,E329+E431))</f>
        <v>639.09</v>
      </c>
      <c r="F635" s="661">
        <f t="shared" si="399"/>
        <v>749.25989587394974</v>
      </c>
      <c r="G635" s="661">
        <f t="shared" si="399"/>
        <v>794.14069840265472</v>
      </c>
      <c r="H635" s="661">
        <f t="shared" si="399"/>
        <v>832.6843415032846</v>
      </c>
      <c r="I635" s="661">
        <f t="shared" si="399"/>
        <v>871.89782260964853</v>
      </c>
      <c r="J635" s="661">
        <f t="shared" si="399"/>
        <v>912.99936572597949</v>
      </c>
      <c r="K635" s="661">
        <f t="shared" si="399"/>
        <v>912.99936572597971</v>
      </c>
      <c r="L635" s="661">
        <f t="shared" si="399"/>
        <v>912.99936572597937</v>
      </c>
      <c r="M635" s="661">
        <f t="shared" si="399"/>
        <v>912.99936572597937</v>
      </c>
      <c r="N635" s="661">
        <f t="shared" si="399"/>
        <v>912.9993657259796</v>
      </c>
      <c r="O635" s="661">
        <f t="shared" si="399"/>
        <v>912.99936572597949</v>
      </c>
      <c r="Q635" s="661"/>
    </row>
    <row r="636" spans="2:17" x14ac:dyDescent="0.3">
      <c r="B636" s="964" t="str">
        <f t="shared" ref="B636:C636" si="414">B534</f>
        <v>Incorporated</v>
      </c>
      <c r="C636" s="964">
        <f t="shared" si="414"/>
        <v>64</v>
      </c>
      <c r="D636" s="661">
        <f t="shared" si="313"/>
        <v>633.32000000000005</v>
      </c>
      <c r="E636" s="661">
        <f t="shared" ref="E636" si="415">IF($B$572=$A$61,E124+E330+E432,IF($B$572=$A$62,E227+E330+E432,E330+E432))</f>
        <v>649.69999999999993</v>
      </c>
      <c r="F636" s="661">
        <f t="shared" si="399"/>
        <v>761.93072405174382</v>
      </c>
      <c r="G636" s="661">
        <f t="shared" si="399"/>
        <v>807.57415237933003</v>
      </c>
      <c r="H636" s="661">
        <f t="shared" si="399"/>
        <v>846.77100633045052</v>
      </c>
      <c r="I636" s="661">
        <f t="shared" si="399"/>
        <v>886.65040117866874</v>
      </c>
      <c r="J636" s="661">
        <f t="shared" si="399"/>
        <v>928.4500013523641</v>
      </c>
      <c r="K636" s="661">
        <f t="shared" si="399"/>
        <v>928.45000135236432</v>
      </c>
      <c r="L636" s="661">
        <f t="shared" si="399"/>
        <v>928.4500013523641</v>
      </c>
      <c r="M636" s="661">
        <f t="shared" si="399"/>
        <v>928.4500013523641</v>
      </c>
      <c r="N636" s="661">
        <f t="shared" si="399"/>
        <v>928.45000135236421</v>
      </c>
      <c r="O636" s="661">
        <f t="shared" si="399"/>
        <v>928.4500013523641</v>
      </c>
      <c r="Q636" s="661"/>
    </row>
    <row r="637" spans="2:17" x14ac:dyDescent="0.3">
      <c r="B637" s="964" t="str">
        <f t="shared" ref="B637:C637" si="416">B535</f>
        <v>Incorporated</v>
      </c>
      <c r="C637" s="964">
        <f t="shared" si="416"/>
        <v>65</v>
      </c>
      <c r="D637" s="661">
        <f t="shared" si="313"/>
        <v>643.66000000000008</v>
      </c>
      <c r="E637" s="661">
        <f t="shared" ref="E637" si="417">IF($B$572=$A$61,E125+E331+E433,IF($B$572=$A$62,E228+E331+E433,E331+E433))</f>
        <v>660.31</v>
      </c>
      <c r="F637" s="661">
        <f t="shared" si="399"/>
        <v>774.60155222953802</v>
      </c>
      <c r="G637" s="661">
        <f t="shared" si="399"/>
        <v>821.007606356005</v>
      </c>
      <c r="H637" s="661">
        <f t="shared" si="399"/>
        <v>860.85767115761632</v>
      </c>
      <c r="I637" s="661">
        <f t="shared" si="399"/>
        <v>901.40297974768873</v>
      </c>
      <c r="J637" s="661">
        <f t="shared" si="399"/>
        <v>943.90063697874871</v>
      </c>
      <c r="K637" s="661">
        <f t="shared" si="399"/>
        <v>943.90063697874893</v>
      </c>
      <c r="L637" s="661">
        <f t="shared" si="399"/>
        <v>943.90063697874871</v>
      </c>
      <c r="M637" s="661">
        <f t="shared" si="399"/>
        <v>943.90063697874871</v>
      </c>
      <c r="N637" s="661">
        <f t="shared" si="399"/>
        <v>943.90063697874893</v>
      </c>
      <c r="O637" s="661">
        <f t="shared" si="399"/>
        <v>943.90063697874871</v>
      </c>
      <c r="Q637" s="661"/>
    </row>
    <row r="638" spans="2:17" x14ac:dyDescent="0.3">
      <c r="B638" s="964" t="str">
        <f t="shared" ref="B638:C638" si="418">B536</f>
        <v>Incorporated</v>
      </c>
      <c r="C638" s="964">
        <f t="shared" si="418"/>
        <v>66</v>
      </c>
      <c r="D638" s="661">
        <f t="shared" si="313"/>
        <v>654.00000000000011</v>
      </c>
      <c r="E638" s="661">
        <f t="shared" ref="E638" si="419">IF($B$572=$A$61,E126+E332+E434,IF($B$572=$A$62,E229+E332+E434,E332+E434))</f>
        <v>670.92</v>
      </c>
      <c r="F638" s="661">
        <f t="shared" si="399"/>
        <v>787.27238040733209</v>
      </c>
      <c r="G638" s="661">
        <f t="shared" si="399"/>
        <v>834.44106033268019</v>
      </c>
      <c r="H638" s="661">
        <f t="shared" si="399"/>
        <v>874.94433598478224</v>
      </c>
      <c r="I638" s="661">
        <f t="shared" si="399"/>
        <v>916.15555831670883</v>
      </c>
      <c r="J638" s="661">
        <f t="shared" si="399"/>
        <v>959.35127260513332</v>
      </c>
      <c r="K638" s="661">
        <f t="shared" si="399"/>
        <v>959.35127260513366</v>
      </c>
      <c r="L638" s="661">
        <f t="shared" si="399"/>
        <v>959.35127260513332</v>
      </c>
      <c r="M638" s="661">
        <f t="shared" si="399"/>
        <v>959.35127260513332</v>
      </c>
      <c r="N638" s="661">
        <f t="shared" si="399"/>
        <v>959.35127260513343</v>
      </c>
      <c r="O638" s="661">
        <f t="shared" si="399"/>
        <v>959.35127260513332</v>
      </c>
      <c r="Q638" s="661"/>
    </row>
    <row r="639" spans="2:17" x14ac:dyDescent="0.3">
      <c r="B639" s="964" t="str">
        <f t="shared" ref="B639:C639" si="420">B537</f>
        <v>Incorporated</v>
      </c>
      <c r="C639" s="964">
        <f t="shared" si="420"/>
        <v>67</v>
      </c>
      <c r="D639" s="661">
        <f t="shared" si="313"/>
        <v>664.33999999999992</v>
      </c>
      <c r="E639" s="661">
        <f t="shared" ref="E639" si="421">IF($B$572=$A$61,E127+E333+E435,IF($B$572=$A$62,E230+E333+E435,E333+E435))</f>
        <v>681.53</v>
      </c>
      <c r="F639" s="661">
        <f t="shared" si="399"/>
        <v>799.94320858512617</v>
      </c>
      <c r="G639" s="661">
        <f t="shared" si="399"/>
        <v>847.87451430935539</v>
      </c>
      <c r="H639" s="661">
        <f t="shared" si="399"/>
        <v>889.03100081194805</v>
      </c>
      <c r="I639" s="661">
        <f t="shared" si="399"/>
        <v>930.90813688572894</v>
      </c>
      <c r="J639" s="661">
        <f t="shared" si="399"/>
        <v>974.80190823151804</v>
      </c>
      <c r="K639" s="661">
        <f t="shared" si="399"/>
        <v>974.80190823151827</v>
      </c>
      <c r="L639" s="661">
        <f t="shared" si="399"/>
        <v>974.80190823151793</v>
      </c>
      <c r="M639" s="661">
        <f t="shared" si="399"/>
        <v>974.80190823151793</v>
      </c>
      <c r="N639" s="661">
        <f t="shared" si="399"/>
        <v>974.80190823151804</v>
      </c>
      <c r="O639" s="661">
        <f t="shared" si="399"/>
        <v>974.80190823151804</v>
      </c>
      <c r="Q639" s="661"/>
    </row>
    <row r="640" spans="2:17" x14ac:dyDescent="0.3">
      <c r="B640" s="964" t="str">
        <f t="shared" ref="B640:C640" si="422">B538</f>
        <v>Incorporated</v>
      </c>
      <c r="C640" s="964">
        <f t="shared" si="422"/>
        <v>68</v>
      </c>
      <c r="D640" s="661">
        <f t="shared" si="313"/>
        <v>674.68</v>
      </c>
      <c r="E640" s="661">
        <f t="shared" ref="E640:E663" si="423">IF($B$572=$A$61,E128+E334+E436,IF($B$572=$A$62,E231+E334+E436,E334+E436))</f>
        <v>692.1400000000001</v>
      </c>
      <c r="F640" s="661">
        <f t="shared" si="399"/>
        <v>812.61403676292025</v>
      </c>
      <c r="G640" s="661">
        <f t="shared" si="399"/>
        <v>861.30796828603036</v>
      </c>
      <c r="H640" s="661">
        <f t="shared" si="399"/>
        <v>903.11766563911385</v>
      </c>
      <c r="I640" s="661">
        <f t="shared" si="399"/>
        <v>945.66071545474915</v>
      </c>
      <c r="J640" s="661">
        <f t="shared" si="399"/>
        <v>990.25254385790242</v>
      </c>
      <c r="K640" s="661">
        <f t="shared" si="399"/>
        <v>990.25254385790265</v>
      </c>
      <c r="L640" s="661">
        <f t="shared" si="399"/>
        <v>990.25254385790242</v>
      </c>
      <c r="M640" s="661">
        <f t="shared" si="399"/>
        <v>990.25254385790242</v>
      </c>
      <c r="N640" s="661">
        <f t="shared" si="399"/>
        <v>990.25254385790265</v>
      </c>
      <c r="O640" s="661">
        <f t="shared" si="399"/>
        <v>990.25254385790242</v>
      </c>
      <c r="Q640" s="661"/>
    </row>
    <row r="641" spans="2:17" x14ac:dyDescent="0.3">
      <c r="B641" s="964" t="str">
        <f t="shared" ref="B641:C641" si="424">B539</f>
        <v>Incorporated</v>
      </c>
      <c r="C641" s="964">
        <f t="shared" si="424"/>
        <v>69</v>
      </c>
      <c r="D641" s="661">
        <f t="shared" ref="D641:O671" si="425">IF($B$572=$A$61,D129+D335+D437,IF($B$572=$A$62,D232+D335+D437,D335+D437))</f>
        <v>685.02</v>
      </c>
      <c r="E641" s="661">
        <f t="shared" si="423"/>
        <v>702.75</v>
      </c>
      <c r="F641" s="661">
        <f t="shared" si="425"/>
        <v>825.28486494071444</v>
      </c>
      <c r="G641" s="661">
        <f t="shared" si="425"/>
        <v>874.74142226270556</v>
      </c>
      <c r="H641" s="661">
        <f t="shared" si="425"/>
        <v>917.20433046627977</v>
      </c>
      <c r="I641" s="661">
        <f t="shared" si="425"/>
        <v>960.41329402376903</v>
      </c>
      <c r="J641" s="661">
        <f t="shared" si="425"/>
        <v>1005.7031794842871</v>
      </c>
      <c r="K641" s="661">
        <f t="shared" si="425"/>
        <v>1005.7031794842873</v>
      </c>
      <c r="L641" s="661">
        <f t="shared" si="425"/>
        <v>1005.703179484287</v>
      </c>
      <c r="M641" s="661">
        <f t="shared" si="425"/>
        <v>1005.703179484287</v>
      </c>
      <c r="N641" s="661">
        <f t="shared" si="425"/>
        <v>1005.7031794842873</v>
      </c>
      <c r="O641" s="661">
        <f t="shared" si="425"/>
        <v>1005.7031794842871</v>
      </c>
      <c r="Q641" s="661"/>
    </row>
    <row r="642" spans="2:17" x14ac:dyDescent="0.3">
      <c r="B642" s="964" t="str">
        <f t="shared" ref="B642:C642" si="426">B540</f>
        <v>Incorporated</v>
      </c>
      <c r="C642" s="964">
        <f t="shared" si="426"/>
        <v>70</v>
      </c>
      <c r="D642" s="661">
        <f t="shared" si="425"/>
        <v>695.3599999999999</v>
      </c>
      <c r="E642" s="661">
        <f t="shared" si="423"/>
        <v>713.36</v>
      </c>
      <c r="F642" s="661">
        <f t="shared" si="425"/>
        <v>837.95569311850863</v>
      </c>
      <c r="G642" s="661">
        <f t="shared" si="425"/>
        <v>888.17487623938064</v>
      </c>
      <c r="H642" s="661">
        <f t="shared" si="425"/>
        <v>931.29099529344569</v>
      </c>
      <c r="I642" s="661">
        <f t="shared" si="425"/>
        <v>975.16587259278913</v>
      </c>
      <c r="J642" s="661">
        <f t="shared" si="425"/>
        <v>1021.1538151106718</v>
      </c>
      <c r="K642" s="661">
        <f t="shared" si="425"/>
        <v>1021.153815110672</v>
      </c>
      <c r="L642" s="661">
        <f t="shared" si="425"/>
        <v>1021.1538151106715</v>
      </c>
      <c r="M642" s="661">
        <f t="shared" si="425"/>
        <v>1021.1538151106715</v>
      </c>
      <c r="N642" s="661">
        <f t="shared" si="425"/>
        <v>1021.1538151106718</v>
      </c>
      <c r="O642" s="661">
        <f t="shared" si="425"/>
        <v>1021.1538151106718</v>
      </c>
      <c r="Q642" s="661"/>
    </row>
    <row r="643" spans="2:17" x14ac:dyDescent="0.3">
      <c r="B643" s="964" t="str">
        <f t="shared" ref="B643:C643" si="427">B541</f>
        <v>Incorporated</v>
      </c>
      <c r="C643" s="964">
        <f t="shared" si="427"/>
        <v>71</v>
      </c>
      <c r="D643" s="661">
        <f t="shared" si="425"/>
        <v>705.69999999999993</v>
      </c>
      <c r="E643" s="661">
        <f t="shared" si="423"/>
        <v>723.96999999999991</v>
      </c>
      <c r="F643" s="661">
        <f t="shared" si="425"/>
        <v>850.62652129630271</v>
      </c>
      <c r="G643" s="661">
        <f t="shared" si="425"/>
        <v>901.60833021605583</v>
      </c>
      <c r="H643" s="661">
        <f t="shared" si="425"/>
        <v>945.37766012061149</v>
      </c>
      <c r="I643" s="661">
        <f t="shared" si="425"/>
        <v>989.91845116180934</v>
      </c>
      <c r="J643" s="661">
        <f t="shared" si="425"/>
        <v>1036.6044507370564</v>
      </c>
      <c r="K643" s="661">
        <f t="shared" si="425"/>
        <v>1036.6044507370566</v>
      </c>
      <c r="L643" s="661">
        <f t="shared" si="425"/>
        <v>1036.6044507370564</v>
      </c>
      <c r="M643" s="661">
        <f t="shared" si="425"/>
        <v>1036.6044507370564</v>
      </c>
      <c r="N643" s="661">
        <f t="shared" si="425"/>
        <v>1036.6044507370564</v>
      </c>
      <c r="O643" s="661">
        <f t="shared" si="425"/>
        <v>1036.6044507370564</v>
      </c>
      <c r="Q643" s="661"/>
    </row>
    <row r="644" spans="2:17" x14ac:dyDescent="0.3">
      <c r="B644" s="964" t="str">
        <f t="shared" ref="B644:C644" si="428">B542</f>
        <v>Incorporated</v>
      </c>
      <c r="C644" s="964">
        <f t="shared" si="428"/>
        <v>72</v>
      </c>
      <c r="D644" s="661">
        <f t="shared" si="425"/>
        <v>716.04</v>
      </c>
      <c r="E644" s="661">
        <f t="shared" si="423"/>
        <v>734.57999999999993</v>
      </c>
      <c r="F644" s="661">
        <f t="shared" si="425"/>
        <v>863.29734947409679</v>
      </c>
      <c r="G644" s="661">
        <f t="shared" si="425"/>
        <v>915.04178419273103</v>
      </c>
      <c r="H644" s="661">
        <f t="shared" si="425"/>
        <v>959.4643249477773</v>
      </c>
      <c r="I644" s="661">
        <f t="shared" si="425"/>
        <v>1004.6710297308296</v>
      </c>
      <c r="J644" s="661">
        <f t="shared" si="425"/>
        <v>1052.055086363441</v>
      </c>
      <c r="K644" s="661">
        <f t="shared" si="425"/>
        <v>1052.0550863634412</v>
      </c>
      <c r="L644" s="661">
        <f t="shared" si="425"/>
        <v>1052.0550863634408</v>
      </c>
      <c r="M644" s="661">
        <f t="shared" si="425"/>
        <v>1052.0550863634408</v>
      </c>
      <c r="N644" s="661">
        <f t="shared" si="425"/>
        <v>1052.055086363441</v>
      </c>
      <c r="O644" s="661">
        <f t="shared" si="425"/>
        <v>1052.055086363441</v>
      </c>
      <c r="Q644" s="661"/>
    </row>
    <row r="645" spans="2:17" x14ac:dyDescent="0.3">
      <c r="B645" s="964" t="str">
        <f t="shared" ref="B645:C645" si="429">B543</f>
        <v>Incorporated</v>
      </c>
      <c r="C645" s="964">
        <f t="shared" si="429"/>
        <v>73</v>
      </c>
      <c r="D645" s="661">
        <f t="shared" si="425"/>
        <v>726.38</v>
      </c>
      <c r="E645" s="661">
        <f t="shared" si="423"/>
        <v>745.19</v>
      </c>
      <c r="F645" s="661">
        <f t="shared" si="425"/>
        <v>875.96817765189098</v>
      </c>
      <c r="G645" s="661">
        <f t="shared" si="425"/>
        <v>928.47523816940611</v>
      </c>
      <c r="H645" s="661">
        <f t="shared" si="425"/>
        <v>973.5509897749431</v>
      </c>
      <c r="I645" s="661">
        <f t="shared" si="425"/>
        <v>1019.4236082998494</v>
      </c>
      <c r="J645" s="661">
        <f t="shared" si="425"/>
        <v>1067.5057219898256</v>
      </c>
      <c r="K645" s="661">
        <f t="shared" si="425"/>
        <v>1067.5057219898258</v>
      </c>
      <c r="L645" s="661">
        <f t="shared" si="425"/>
        <v>1067.5057219898256</v>
      </c>
      <c r="M645" s="661">
        <f t="shared" si="425"/>
        <v>1067.5057219898256</v>
      </c>
      <c r="N645" s="661">
        <f t="shared" si="425"/>
        <v>1067.5057219898258</v>
      </c>
      <c r="O645" s="661">
        <f t="shared" si="425"/>
        <v>1067.5057219898256</v>
      </c>
      <c r="Q645" s="661"/>
    </row>
    <row r="646" spans="2:17" x14ac:dyDescent="0.3">
      <c r="B646" s="964" t="str">
        <f t="shared" ref="B646:C646" si="430">B544</f>
        <v>Incorporated</v>
      </c>
      <c r="C646" s="964">
        <f t="shared" si="430"/>
        <v>74</v>
      </c>
      <c r="D646" s="661">
        <f t="shared" si="425"/>
        <v>736.71999999999991</v>
      </c>
      <c r="E646" s="661">
        <f t="shared" si="423"/>
        <v>755.8</v>
      </c>
      <c r="F646" s="661">
        <f t="shared" si="425"/>
        <v>888.63900582968506</v>
      </c>
      <c r="G646" s="661">
        <f t="shared" si="425"/>
        <v>941.90869214608119</v>
      </c>
      <c r="H646" s="661">
        <f t="shared" si="425"/>
        <v>987.63765460210902</v>
      </c>
      <c r="I646" s="661">
        <f t="shared" si="425"/>
        <v>1034.1761868688695</v>
      </c>
      <c r="J646" s="661">
        <f t="shared" si="425"/>
        <v>1082.95635761621</v>
      </c>
      <c r="K646" s="661">
        <f t="shared" si="425"/>
        <v>1082.9563576162104</v>
      </c>
      <c r="L646" s="661">
        <f t="shared" si="425"/>
        <v>1082.95635761621</v>
      </c>
      <c r="M646" s="661">
        <f t="shared" si="425"/>
        <v>1082.95635761621</v>
      </c>
      <c r="N646" s="661">
        <f t="shared" si="425"/>
        <v>1082.9563576162102</v>
      </c>
      <c r="O646" s="661">
        <f t="shared" si="425"/>
        <v>1082.95635761621</v>
      </c>
    </row>
    <row r="647" spans="2:17" x14ac:dyDescent="0.3">
      <c r="B647" s="964" t="str">
        <f t="shared" ref="B647:C647" si="431">B545</f>
        <v>Incorporated</v>
      </c>
      <c r="C647" s="964">
        <f t="shared" si="431"/>
        <v>75</v>
      </c>
      <c r="D647" s="661">
        <f t="shared" si="425"/>
        <v>747.06</v>
      </c>
      <c r="E647" s="661">
        <f t="shared" si="423"/>
        <v>766.41</v>
      </c>
      <c r="F647" s="661">
        <f t="shared" si="425"/>
        <v>901.30983400747925</v>
      </c>
      <c r="G647" s="661">
        <f t="shared" si="425"/>
        <v>955.34214612275639</v>
      </c>
      <c r="H647" s="661">
        <f t="shared" si="425"/>
        <v>1001.7243194292749</v>
      </c>
      <c r="I647" s="661">
        <f t="shared" si="425"/>
        <v>1048.9287654378898</v>
      </c>
      <c r="J647" s="661">
        <f t="shared" si="425"/>
        <v>1098.4069932425948</v>
      </c>
      <c r="K647" s="661">
        <f t="shared" si="425"/>
        <v>1098.406993242595</v>
      </c>
      <c r="L647" s="661">
        <f t="shared" si="425"/>
        <v>1098.4069932425946</v>
      </c>
      <c r="M647" s="661">
        <f t="shared" si="425"/>
        <v>1098.4069932425946</v>
      </c>
      <c r="N647" s="661">
        <f t="shared" si="425"/>
        <v>1098.4069932425948</v>
      </c>
      <c r="O647" s="661">
        <f t="shared" si="425"/>
        <v>1098.4069932425948</v>
      </c>
    </row>
    <row r="648" spans="2:17" x14ac:dyDescent="0.3">
      <c r="B648" s="964" t="str">
        <f t="shared" ref="B648:C648" si="432">B546</f>
        <v>Incorporated</v>
      </c>
      <c r="C648" s="964">
        <f t="shared" si="432"/>
        <v>76</v>
      </c>
      <c r="D648" s="661">
        <f t="shared" si="425"/>
        <v>757.4</v>
      </c>
      <c r="E648" s="661">
        <f t="shared" si="423"/>
        <v>777.02</v>
      </c>
      <c r="F648" s="661">
        <f t="shared" si="425"/>
        <v>913.98066218527333</v>
      </c>
      <c r="G648" s="661">
        <f t="shared" si="425"/>
        <v>968.77560009943147</v>
      </c>
      <c r="H648" s="661">
        <f t="shared" si="425"/>
        <v>1015.8109842564407</v>
      </c>
      <c r="I648" s="661">
        <f t="shared" si="425"/>
        <v>1063.68134400691</v>
      </c>
      <c r="J648" s="661">
        <f t="shared" si="425"/>
        <v>1113.8576288689794</v>
      </c>
      <c r="K648" s="661">
        <f t="shared" si="425"/>
        <v>1113.8576288689796</v>
      </c>
      <c r="L648" s="661">
        <f t="shared" si="425"/>
        <v>1113.8576288689792</v>
      </c>
      <c r="M648" s="661">
        <f t="shared" si="425"/>
        <v>1113.8576288689792</v>
      </c>
      <c r="N648" s="661">
        <f t="shared" si="425"/>
        <v>1113.8576288689794</v>
      </c>
      <c r="O648" s="661">
        <f t="shared" si="425"/>
        <v>1113.8576288689794</v>
      </c>
    </row>
    <row r="649" spans="2:17" x14ac:dyDescent="0.3">
      <c r="B649" s="964" t="str">
        <f t="shared" ref="B649:C649" si="433">B547</f>
        <v>Incorporated</v>
      </c>
      <c r="C649" s="964">
        <f t="shared" si="433"/>
        <v>77</v>
      </c>
      <c r="D649" s="661">
        <f t="shared" si="425"/>
        <v>767.7399999999999</v>
      </c>
      <c r="E649" s="661">
        <f t="shared" si="423"/>
        <v>787.63</v>
      </c>
      <c r="F649" s="661">
        <f t="shared" si="425"/>
        <v>926.6514903630673</v>
      </c>
      <c r="G649" s="661">
        <f t="shared" si="425"/>
        <v>982.20905407610678</v>
      </c>
      <c r="H649" s="661">
        <f t="shared" si="425"/>
        <v>1029.8976490836067</v>
      </c>
      <c r="I649" s="661">
        <f t="shared" si="425"/>
        <v>1078.43392257593</v>
      </c>
      <c r="J649" s="661">
        <f t="shared" si="425"/>
        <v>1129.308264495364</v>
      </c>
      <c r="K649" s="661">
        <f t="shared" si="425"/>
        <v>1129.3082644953643</v>
      </c>
      <c r="L649" s="661">
        <f t="shared" si="425"/>
        <v>1129.3082644953638</v>
      </c>
      <c r="M649" s="661">
        <f t="shared" si="425"/>
        <v>1129.3082644953638</v>
      </c>
      <c r="N649" s="661">
        <f t="shared" si="425"/>
        <v>1129.3082644953643</v>
      </c>
      <c r="O649" s="661">
        <f t="shared" si="425"/>
        <v>1129.308264495364</v>
      </c>
    </row>
    <row r="650" spans="2:17" x14ac:dyDescent="0.3">
      <c r="B650" s="964" t="str">
        <f t="shared" ref="B650:C650" si="434">B548</f>
        <v>Incorporated</v>
      </c>
      <c r="C650" s="964">
        <f t="shared" si="434"/>
        <v>78</v>
      </c>
      <c r="D650" s="661">
        <f t="shared" si="425"/>
        <v>778.07999999999993</v>
      </c>
      <c r="E650" s="661">
        <f t="shared" si="423"/>
        <v>798.24000000000012</v>
      </c>
      <c r="F650" s="661">
        <f t="shared" si="425"/>
        <v>939.32231854086149</v>
      </c>
      <c r="G650" s="661">
        <f t="shared" si="425"/>
        <v>995.64250805278186</v>
      </c>
      <c r="H650" s="661">
        <f t="shared" si="425"/>
        <v>1043.9843139107725</v>
      </c>
      <c r="I650" s="661">
        <f t="shared" si="425"/>
        <v>1093.1865011449499</v>
      </c>
      <c r="J650" s="661">
        <f t="shared" si="425"/>
        <v>1144.7589001217486</v>
      </c>
      <c r="K650" s="661">
        <f t="shared" si="425"/>
        <v>1144.7589001217489</v>
      </c>
      <c r="L650" s="661">
        <f t="shared" si="425"/>
        <v>1144.7589001217484</v>
      </c>
      <c r="M650" s="661">
        <f t="shared" si="425"/>
        <v>1144.7589001217484</v>
      </c>
      <c r="N650" s="661">
        <f t="shared" si="425"/>
        <v>1144.7589001217486</v>
      </c>
      <c r="O650" s="661">
        <f t="shared" si="425"/>
        <v>1144.7589001217486</v>
      </c>
    </row>
    <row r="651" spans="2:17" x14ac:dyDescent="0.3">
      <c r="B651" s="964" t="str">
        <f t="shared" ref="B651:C651" si="435">B549</f>
        <v>Incorporated</v>
      </c>
      <c r="C651" s="964">
        <f t="shared" si="435"/>
        <v>79</v>
      </c>
      <c r="D651" s="661">
        <f t="shared" si="425"/>
        <v>788.42</v>
      </c>
      <c r="E651" s="661">
        <f t="shared" si="423"/>
        <v>808.85</v>
      </c>
      <c r="F651" s="661">
        <f t="shared" si="425"/>
        <v>951.99314671865568</v>
      </c>
      <c r="G651" s="661">
        <f t="shared" si="425"/>
        <v>1009.0759620294571</v>
      </c>
      <c r="H651" s="661">
        <f t="shared" si="425"/>
        <v>1058.0709787379383</v>
      </c>
      <c r="I651" s="661">
        <f t="shared" si="425"/>
        <v>1107.9390797139702</v>
      </c>
      <c r="J651" s="661">
        <f t="shared" si="425"/>
        <v>1160.2095357481332</v>
      </c>
      <c r="K651" s="661">
        <f t="shared" si="425"/>
        <v>1160.2095357481335</v>
      </c>
      <c r="L651" s="661">
        <f t="shared" si="425"/>
        <v>1160.2095357481332</v>
      </c>
      <c r="M651" s="661">
        <f t="shared" si="425"/>
        <v>1160.2095357481332</v>
      </c>
      <c r="N651" s="661">
        <f t="shared" si="425"/>
        <v>1160.2095357481332</v>
      </c>
      <c r="O651" s="661">
        <f t="shared" si="425"/>
        <v>1160.2095357481332</v>
      </c>
    </row>
    <row r="652" spans="2:17" x14ac:dyDescent="0.3">
      <c r="B652" s="964" t="str">
        <f t="shared" ref="B652:C652" si="436">B550</f>
        <v>Incorporated</v>
      </c>
      <c r="C652" s="964">
        <f t="shared" si="436"/>
        <v>80</v>
      </c>
      <c r="D652" s="661">
        <f t="shared" si="425"/>
        <v>798.76</v>
      </c>
      <c r="E652" s="661">
        <f t="shared" si="423"/>
        <v>819.45999999999992</v>
      </c>
      <c r="F652" s="661">
        <f t="shared" si="425"/>
        <v>964.66397489644987</v>
      </c>
      <c r="G652" s="661">
        <f t="shared" si="425"/>
        <v>1022.5094160061321</v>
      </c>
      <c r="H652" s="661">
        <f t="shared" si="425"/>
        <v>1072.1576435651041</v>
      </c>
      <c r="I652" s="661">
        <f t="shared" si="425"/>
        <v>1122.6916582829901</v>
      </c>
      <c r="J652" s="661">
        <f t="shared" si="425"/>
        <v>1175.6601713745176</v>
      </c>
      <c r="K652" s="661">
        <f t="shared" si="425"/>
        <v>1175.6601713745181</v>
      </c>
      <c r="L652" s="661">
        <f t="shared" si="425"/>
        <v>1175.6601713745176</v>
      </c>
      <c r="M652" s="661">
        <f t="shared" si="425"/>
        <v>1175.6601713745176</v>
      </c>
      <c r="N652" s="661">
        <f t="shared" si="425"/>
        <v>1175.6601713745179</v>
      </c>
      <c r="O652" s="661">
        <f t="shared" si="425"/>
        <v>1175.6601713745176</v>
      </c>
    </row>
    <row r="653" spans="2:17" x14ac:dyDescent="0.3">
      <c r="B653" s="964" t="str">
        <f t="shared" ref="B653:C653" si="437">B551</f>
        <v>Incorporated</v>
      </c>
      <c r="C653" s="964">
        <f t="shared" si="437"/>
        <v>81</v>
      </c>
      <c r="D653" s="661">
        <f t="shared" si="425"/>
        <v>809.09999999999991</v>
      </c>
      <c r="E653" s="661">
        <f t="shared" si="423"/>
        <v>830.06999999999994</v>
      </c>
      <c r="F653" s="661">
        <f t="shared" si="425"/>
        <v>977.33480307424406</v>
      </c>
      <c r="G653" s="661">
        <f t="shared" si="425"/>
        <v>1035.9428699828072</v>
      </c>
      <c r="H653" s="661">
        <f t="shared" si="425"/>
        <v>1086.2443083922699</v>
      </c>
      <c r="I653" s="661">
        <f t="shared" si="425"/>
        <v>1137.4442368520104</v>
      </c>
      <c r="J653" s="661">
        <f t="shared" si="425"/>
        <v>1191.1108070009025</v>
      </c>
      <c r="K653" s="661">
        <f t="shared" si="425"/>
        <v>1191.1108070009025</v>
      </c>
      <c r="L653" s="661">
        <f t="shared" si="425"/>
        <v>1191.1108070009022</v>
      </c>
      <c r="M653" s="661">
        <f t="shared" si="425"/>
        <v>1191.1108070009022</v>
      </c>
      <c r="N653" s="661">
        <f t="shared" si="425"/>
        <v>1191.1108070009025</v>
      </c>
      <c r="O653" s="661">
        <f t="shared" si="425"/>
        <v>1191.1108070009025</v>
      </c>
    </row>
    <row r="654" spans="2:17" x14ac:dyDescent="0.3">
      <c r="B654" s="964" t="str">
        <f t="shared" ref="B654:C654" si="438">B552</f>
        <v>Incorporated</v>
      </c>
      <c r="C654" s="964">
        <f t="shared" si="438"/>
        <v>82</v>
      </c>
      <c r="D654" s="661">
        <f t="shared" si="425"/>
        <v>819.43999999999994</v>
      </c>
      <c r="E654" s="661">
        <f t="shared" si="423"/>
        <v>840.68</v>
      </c>
      <c r="F654" s="661">
        <f t="shared" si="425"/>
        <v>990.00563125203803</v>
      </c>
      <c r="G654" s="661">
        <f t="shared" si="425"/>
        <v>1049.3763239594823</v>
      </c>
      <c r="H654" s="661">
        <f t="shared" si="425"/>
        <v>1100.3309732194357</v>
      </c>
      <c r="I654" s="661">
        <f t="shared" si="425"/>
        <v>1152.1968154210304</v>
      </c>
      <c r="J654" s="661">
        <f t="shared" si="425"/>
        <v>1206.5614426272871</v>
      </c>
      <c r="K654" s="661">
        <f t="shared" si="425"/>
        <v>1206.5614426272873</v>
      </c>
      <c r="L654" s="661">
        <f t="shared" si="425"/>
        <v>1206.5614426272869</v>
      </c>
      <c r="M654" s="661">
        <f t="shared" si="425"/>
        <v>1206.5614426272869</v>
      </c>
      <c r="N654" s="661">
        <f t="shared" si="425"/>
        <v>1206.5614426272871</v>
      </c>
      <c r="O654" s="661">
        <f t="shared" si="425"/>
        <v>1206.5614426272871</v>
      </c>
    </row>
    <row r="655" spans="2:17" x14ac:dyDescent="0.3">
      <c r="B655" s="964" t="str">
        <f t="shared" ref="B655:C655" si="439">B553</f>
        <v>Incorporated</v>
      </c>
      <c r="C655" s="964">
        <f t="shared" si="439"/>
        <v>83</v>
      </c>
      <c r="D655" s="661">
        <f t="shared" si="425"/>
        <v>829.78</v>
      </c>
      <c r="E655" s="661">
        <f t="shared" si="423"/>
        <v>851.29000000000008</v>
      </c>
      <c r="F655" s="661">
        <f t="shared" si="425"/>
        <v>1002.6764594298321</v>
      </c>
      <c r="G655" s="661">
        <f t="shared" si="425"/>
        <v>1062.8097779361576</v>
      </c>
      <c r="H655" s="661">
        <f t="shared" si="425"/>
        <v>1114.4176380466015</v>
      </c>
      <c r="I655" s="661">
        <f t="shared" si="425"/>
        <v>1166.9493939900506</v>
      </c>
      <c r="J655" s="661">
        <f t="shared" si="425"/>
        <v>1222.0120782536717</v>
      </c>
      <c r="K655" s="661">
        <f t="shared" si="425"/>
        <v>1222.0120782536719</v>
      </c>
      <c r="L655" s="661">
        <f t="shared" si="425"/>
        <v>1222.0120782536715</v>
      </c>
      <c r="M655" s="661">
        <f t="shared" si="425"/>
        <v>1222.0120782536715</v>
      </c>
      <c r="N655" s="661">
        <f t="shared" si="425"/>
        <v>1222.0120782536717</v>
      </c>
      <c r="O655" s="661">
        <f t="shared" si="425"/>
        <v>1222.0120782536717</v>
      </c>
    </row>
    <row r="656" spans="2:17" x14ac:dyDescent="0.3">
      <c r="B656" s="964" t="str">
        <f t="shared" ref="B656:C656" si="440">B554</f>
        <v>Incorporated</v>
      </c>
      <c r="C656" s="964">
        <f t="shared" si="440"/>
        <v>84</v>
      </c>
      <c r="D656" s="661">
        <f t="shared" si="425"/>
        <v>840.12</v>
      </c>
      <c r="E656" s="661">
        <f t="shared" si="423"/>
        <v>861.90000000000009</v>
      </c>
      <c r="F656" s="661">
        <f t="shared" si="425"/>
        <v>1015.3472876076263</v>
      </c>
      <c r="G656" s="661">
        <f t="shared" si="425"/>
        <v>1076.2432319128327</v>
      </c>
      <c r="H656" s="661">
        <f t="shared" si="425"/>
        <v>1128.5043028737675</v>
      </c>
      <c r="I656" s="661">
        <f t="shared" si="425"/>
        <v>1181.7019725590706</v>
      </c>
      <c r="J656" s="661">
        <f t="shared" si="425"/>
        <v>1237.4627138800563</v>
      </c>
      <c r="K656" s="661">
        <f t="shared" si="425"/>
        <v>1237.4627138800565</v>
      </c>
      <c r="L656" s="661">
        <f t="shared" si="425"/>
        <v>1237.4627138800561</v>
      </c>
      <c r="M656" s="661">
        <f t="shared" si="425"/>
        <v>1237.4627138800561</v>
      </c>
      <c r="N656" s="661">
        <f t="shared" si="425"/>
        <v>1237.4627138800563</v>
      </c>
      <c r="O656" s="661">
        <f t="shared" si="425"/>
        <v>1237.4627138800563</v>
      </c>
    </row>
    <row r="657" spans="2:15" x14ac:dyDescent="0.3">
      <c r="B657" s="964" t="str">
        <f t="shared" ref="B657:C657" si="441">B555</f>
        <v>Incorporated</v>
      </c>
      <c r="C657" s="964">
        <f t="shared" si="441"/>
        <v>85</v>
      </c>
      <c r="D657" s="661">
        <f t="shared" si="425"/>
        <v>850.45999999999992</v>
      </c>
      <c r="E657" s="661">
        <f t="shared" si="423"/>
        <v>872.51</v>
      </c>
      <c r="F657" s="661">
        <f t="shared" si="425"/>
        <v>1028.0181157854204</v>
      </c>
      <c r="G657" s="661">
        <f t="shared" si="425"/>
        <v>1089.6766858895078</v>
      </c>
      <c r="H657" s="661">
        <f t="shared" si="425"/>
        <v>1142.5909677009336</v>
      </c>
      <c r="I657" s="661">
        <f t="shared" si="425"/>
        <v>1196.4545511280908</v>
      </c>
      <c r="J657" s="661">
        <f t="shared" si="425"/>
        <v>1252.9133495064407</v>
      </c>
      <c r="K657" s="661">
        <f t="shared" si="425"/>
        <v>1252.9133495064411</v>
      </c>
      <c r="L657" s="661">
        <f t="shared" si="425"/>
        <v>1252.9133495064407</v>
      </c>
      <c r="M657" s="661">
        <f t="shared" si="425"/>
        <v>1252.9133495064407</v>
      </c>
      <c r="N657" s="661">
        <f t="shared" si="425"/>
        <v>1252.9133495064411</v>
      </c>
      <c r="O657" s="661">
        <f t="shared" si="425"/>
        <v>1252.9133495064407</v>
      </c>
    </row>
    <row r="658" spans="2:15" x14ac:dyDescent="0.3">
      <c r="B658" s="964" t="str">
        <f t="shared" ref="B658:C658" si="442">B556</f>
        <v>Incorporated</v>
      </c>
      <c r="C658" s="964">
        <f t="shared" si="442"/>
        <v>86</v>
      </c>
      <c r="D658" s="661">
        <f t="shared" si="425"/>
        <v>860.8</v>
      </c>
      <c r="E658" s="661">
        <f t="shared" si="423"/>
        <v>883.12</v>
      </c>
      <c r="F658" s="661">
        <f t="shared" si="425"/>
        <v>1040.6889439632146</v>
      </c>
      <c r="G658" s="661">
        <f t="shared" si="425"/>
        <v>1103.1101398661831</v>
      </c>
      <c r="H658" s="661">
        <f t="shared" si="425"/>
        <v>1156.6776325280994</v>
      </c>
      <c r="I658" s="661">
        <f t="shared" si="425"/>
        <v>1211.2071296971108</v>
      </c>
      <c r="J658" s="661">
        <f t="shared" si="425"/>
        <v>1268.3639851328253</v>
      </c>
      <c r="K658" s="661">
        <f t="shared" si="425"/>
        <v>1268.3639851328257</v>
      </c>
      <c r="L658" s="661">
        <f t="shared" si="425"/>
        <v>1268.3639851328253</v>
      </c>
      <c r="M658" s="661">
        <f t="shared" si="425"/>
        <v>1268.3639851328253</v>
      </c>
      <c r="N658" s="661">
        <f t="shared" si="425"/>
        <v>1268.3639851328255</v>
      </c>
      <c r="O658" s="661">
        <f t="shared" si="425"/>
        <v>1268.3639851328253</v>
      </c>
    </row>
    <row r="659" spans="2:15" x14ac:dyDescent="0.3">
      <c r="B659" s="964" t="str">
        <f t="shared" ref="B659:C659" si="443">B557</f>
        <v>Incorporated</v>
      </c>
      <c r="C659" s="964">
        <f t="shared" si="443"/>
        <v>87</v>
      </c>
      <c r="D659" s="661">
        <f t="shared" si="425"/>
        <v>871.1400000000001</v>
      </c>
      <c r="E659" s="661">
        <f t="shared" si="423"/>
        <v>893.73</v>
      </c>
      <c r="F659" s="661">
        <f t="shared" si="425"/>
        <v>1053.3597721410088</v>
      </c>
      <c r="G659" s="661">
        <f t="shared" si="425"/>
        <v>1116.5435938428579</v>
      </c>
      <c r="H659" s="661">
        <f t="shared" si="425"/>
        <v>1170.7642973552652</v>
      </c>
      <c r="I659" s="661">
        <f t="shared" si="425"/>
        <v>1225.959708266131</v>
      </c>
      <c r="J659" s="661">
        <f t="shared" si="425"/>
        <v>1283.8146207592099</v>
      </c>
      <c r="K659" s="661">
        <f t="shared" si="425"/>
        <v>1283.8146207592104</v>
      </c>
      <c r="L659" s="661">
        <f t="shared" si="425"/>
        <v>1283.8146207592099</v>
      </c>
      <c r="M659" s="661">
        <f t="shared" si="425"/>
        <v>1283.8146207592099</v>
      </c>
      <c r="N659" s="661">
        <f t="shared" si="425"/>
        <v>1283.8146207592099</v>
      </c>
      <c r="O659" s="661">
        <f t="shared" si="425"/>
        <v>1283.8146207592099</v>
      </c>
    </row>
    <row r="660" spans="2:15" x14ac:dyDescent="0.3">
      <c r="B660" s="964" t="str">
        <f t="shared" ref="B660:C660" si="444">B558</f>
        <v>Incorporated</v>
      </c>
      <c r="C660" s="964">
        <f t="shared" si="444"/>
        <v>88</v>
      </c>
      <c r="D660" s="661">
        <f t="shared" si="425"/>
        <v>881.48</v>
      </c>
      <c r="E660" s="661">
        <f t="shared" si="423"/>
        <v>904.34</v>
      </c>
      <c r="F660" s="661">
        <f t="shared" si="425"/>
        <v>1066.0306003188025</v>
      </c>
      <c r="G660" s="661">
        <f t="shared" si="425"/>
        <v>1129.977047819533</v>
      </c>
      <c r="H660" s="661">
        <f t="shared" si="425"/>
        <v>1184.850962182431</v>
      </c>
      <c r="I660" s="661">
        <f t="shared" si="425"/>
        <v>1240.712286835151</v>
      </c>
      <c r="J660" s="661">
        <f t="shared" si="425"/>
        <v>1299.2652563855945</v>
      </c>
      <c r="K660" s="661">
        <f t="shared" si="425"/>
        <v>1299.2652563855947</v>
      </c>
      <c r="L660" s="661">
        <f t="shared" si="425"/>
        <v>1299.2652563855945</v>
      </c>
      <c r="M660" s="661">
        <f t="shared" si="425"/>
        <v>1299.2652563855945</v>
      </c>
      <c r="N660" s="661">
        <f t="shared" si="425"/>
        <v>1299.2652563855947</v>
      </c>
      <c r="O660" s="661">
        <f t="shared" si="425"/>
        <v>1299.2652563855945</v>
      </c>
    </row>
    <row r="661" spans="2:15" x14ac:dyDescent="0.3">
      <c r="B661" s="964" t="str">
        <f t="shared" ref="B661:C661" si="445">B559</f>
        <v>Incorporated</v>
      </c>
      <c r="C661" s="964">
        <f t="shared" si="445"/>
        <v>89</v>
      </c>
      <c r="D661" s="661">
        <f t="shared" si="425"/>
        <v>891.82</v>
      </c>
      <c r="E661" s="661">
        <f t="shared" si="423"/>
        <v>914.95</v>
      </c>
      <c r="F661" s="661">
        <f t="shared" si="425"/>
        <v>1078.7014284965969</v>
      </c>
      <c r="G661" s="661">
        <f t="shared" si="425"/>
        <v>1143.4105017962083</v>
      </c>
      <c r="H661" s="661">
        <f t="shared" si="425"/>
        <v>1198.9376270095968</v>
      </c>
      <c r="I661" s="661">
        <f t="shared" si="425"/>
        <v>1255.464865404171</v>
      </c>
      <c r="J661" s="661">
        <f t="shared" si="425"/>
        <v>1314.7158920119793</v>
      </c>
      <c r="K661" s="661">
        <f t="shared" si="425"/>
        <v>1314.7158920119798</v>
      </c>
      <c r="L661" s="661">
        <f t="shared" si="425"/>
        <v>1314.7158920119791</v>
      </c>
      <c r="M661" s="661">
        <f t="shared" si="425"/>
        <v>1314.7158920119791</v>
      </c>
      <c r="N661" s="661">
        <f t="shared" si="425"/>
        <v>1314.7158920119796</v>
      </c>
      <c r="O661" s="661">
        <f t="shared" si="425"/>
        <v>1314.7158920119793</v>
      </c>
    </row>
    <row r="662" spans="2:15" x14ac:dyDescent="0.3">
      <c r="B662" s="964" t="str">
        <f t="shared" ref="B662:C662" si="446">B560</f>
        <v>Incorporated</v>
      </c>
      <c r="C662" s="964">
        <f t="shared" si="446"/>
        <v>90</v>
      </c>
      <c r="D662" s="661">
        <f t="shared" si="425"/>
        <v>902.16000000000008</v>
      </c>
      <c r="E662" s="661">
        <f t="shared" si="423"/>
        <v>925.56</v>
      </c>
      <c r="F662" s="661">
        <f t="shared" si="425"/>
        <v>1091.3722566743911</v>
      </c>
      <c r="G662" s="661">
        <f t="shared" si="425"/>
        <v>1156.8439557728834</v>
      </c>
      <c r="H662" s="661">
        <f t="shared" si="425"/>
        <v>1213.0242918367626</v>
      </c>
      <c r="I662" s="661">
        <f t="shared" si="425"/>
        <v>1270.2174439731912</v>
      </c>
      <c r="J662" s="661">
        <f t="shared" si="425"/>
        <v>1330.1665276383642</v>
      </c>
      <c r="K662" s="661">
        <f t="shared" si="425"/>
        <v>1330.1665276383644</v>
      </c>
      <c r="L662" s="661">
        <f t="shared" si="425"/>
        <v>1330.166527638364</v>
      </c>
      <c r="M662" s="661">
        <f t="shared" si="425"/>
        <v>1330.166527638364</v>
      </c>
      <c r="N662" s="661">
        <f t="shared" si="425"/>
        <v>1330.1665276383642</v>
      </c>
      <c r="O662" s="661">
        <f t="shared" si="425"/>
        <v>1330.1665276383642</v>
      </c>
    </row>
    <row r="663" spans="2:15" x14ac:dyDescent="0.3">
      <c r="B663" s="964" t="str">
        <f t="shared" ref="B663:C663" si="447">B561</f>
        <v>Incorporated</v>
      </c>
      <c r="C663" s="964">
        <f t="shared" si="447"/>
        <v>91</v>
      </c>
      <c r="D663" s="661">
        <f t="shared" si="425"/>
        <v>912.50000000000011</v>
      </c>
      <c r="E663" s="661">
        <f t="shared" si="423"/>
        <v>936.17</v>
      </c>
      <c r="F663" s="661">
        <f t="shared" si="425"/>
        <v>1104.0430848521851</v>
      </c>
      <c r="G663" s="661">
        <f t="shared" si="425"/>
        <v>1170.2774097495585</v>
      </c>
      <c r="H663" s="661">
        <f t="shared" si="425"/>
        <v>1227.1109566639284</v>
      </c>
      <c r="I663" s="661">
        <f t="shared" si="425"/>
        <v>1284.9700225422112</v>
      </c>
      <c r="J663" s="661">
        <f t="shared" ref="F663:O671" si="448">IF($B$572=$A$61,J151+J357+J459,IF($B$572=$A$62,J254+J357+J459,J357+J459))</f>
        <v>1345.6171632647488</v>
      </c>
      <c r="K663" s="661">
        <f t="shared" si="448"/>
        <v>1345.6171632647488</v>
      </c>
      <c r="L663" s="661">
        <f t="shared" si="448"/>
        <v>1345.6171632647483</v>
      </c>
      <c r="M663" s="661">
        <f t="shared" si="448"/>
        <v>1345.6171632647483</v>
      </c>
      <c r="N663" s="661">
        <f t="shared" si="448"/>
        <v>1345.6171632647488</v>
      </c>
      <c r="O663" s="661">
        <f t="shared" si="448"/>
        <v>1345.6171632647488</v>
      </c>
    </row>
    <row r="664" spans="2:15" x14ac:dyDescent="0.3">
      <c r="B664" s="964" t="str">
        <f t="shared" ref="B664:C664" si="449">B562</f>
        <v>Incorporated</v>
      </c>
      <c r="C664" s="964">
        <f t="shared" si="449"/>
        <v>92</v>
      </c>
      <c r="D664" s="661">
        <f t="shared" si="425"/>
        <v>922.84</v>
      </c>
      <c r="E664" s="661">
        <f t="shared" ref="E664" si="450">IF($B$572=$A$61,E152+E358+E460,IF($B$572=$A$62,E255+E358+E460,E358+E460))</f>
        <v>946.78</v>
      </c>
      <c r="F664" s="661">
        <f t="shared" si="448"/>
        <v>1116.7139130299793</v>
      </c>
      <c r="G664" s="661">
        <f t="shared" si="448"/>
        <v>1183.7108637262338</v>
      </c>
      <c r="H664" s="661">
        <f t="shared" si="448"/>
        <v>1241.1976214910942</v>
      </c>
      <c r="I664" s="661">
        <f t="shared" si="448"/>
        <v>1299.7226011112314</v>
      </c>
      <c r="J664" s="661">
        <f t="shared" si="448"/>
        <v>1361.0677988911332</v>
      </c>
      <c r="K664" s="661">
        <f t="shared" si="448"/>
        <v>1361.0677988911334</v>
      </c>
      <c r="L664" s="661">
        <f t="shared" si="448"/>
        <v>1361.0677988911332</v>
      </c>
      <c r="M664" s="661">
        <f t="shared" si="448"/>
        <v>1361.0677988911332</v>
      </c>
      <c r="N664" s="661">
        <f t="shared" si="448"/>
        <v>1361.0677988911334</v>
      </c>
      <c r="O664" s="661">
        <f t="shared" si="448"/>
        <v>1361.0677988911332</v>
      </c>
    </row>
    <row r="665" spans="2:15" x14ac:dyDescent="0.3">
      <c r="B665" s="964" t="str">
        <f t="shared" ref="B665:C665" si="451">B563</f>
        <v>Incorporated</v>
      </c>
      <c r="C665" s="964">
        <f t="shared" si="451"/>
        <v>93</v>
      </c>
      <c r="D665" s="661">
        <f t="shared" si="425"/>
        <v>933.18</v>
      </c>
      <c r="E665" s="661">
        <f t="shared" ref="E665" si="452">IF($B$572=$A$61,E153+E359+E461,IF($B$572=$A$62,E256+E359+E461,E359+E461))</f>
        <v>957.3900000000001</v>
      </c>
      <c r="F665" s="661">
        <f t="shared" si="448"/>
        <v>1129.3847412077732</v>
      </c>
      <c r="G665" s="661">
        <f t="shared" si="448"/>
        <v>1197.1443177029089</v>
      </c>
      <c r="H665" s="661">
        <f t="shared" si="448"/>
        <v>1255.2842863182602</v>
      </c>
      <c r="I665" s="661">
        <f t="shared" si="448"/>
        <v>1314.4751796802516</v>
      </c>
      <c r="J665" s="661">
        <f t="shared" si="448"/>
        <v>1376.5184345175176</v>
      </c>
      <c r="K665" s="661">
        <f t="shared" si="448"/>
        <v>1376.518434517518</v>
      </c>
      <c r="L665" s="661">
        <f t="shared" si="448"/>
        <v>1376.5184345175176</v>
      </c>
      <c r="M665" s="661">
        <f t="shared" si="448"/>
        <v>1376.5184345175176</v>
      </c>
      <c r="N665" s="661">
        <f t="shared" si="448"/>
        <v>1376.5184345175178</v>
      </c>
      <c r="O665" s="661">
        <f t="shared" si="448"/>
        <v>1376.5184345175176</v>
      </c>
    </row>
    <row r="666" spans="2:15" x14ac:dyDescent="0.3">
      <c r="B666" s="964" t="str">
        <f t="shared" ref="B666:C666" si="453">B564</f>
        <v>Incorporated</v>
      </c>
      <c r="C666" s="964">
        <f t="shared" si="453"/>
        <v>94</v>
      </c>
      <c r="D666" s="661">
        <f t="shared" si="425"/>
        <v>943.52</v>
      </c>
      <c r="E666" s="661">
        <f t="shared" ref="E666" si="454">IF($B$572=$A$61,E154+E360+E462,IF($B$572=$A$62,E257+E360+E462,E360+E462))</f>
        <v>968.00000000000011</v>
      </c>
      <c r="F666" s="661">
        <f t="shared" si="448"/>
        <v>1142.0555693855674</v>
      </c>
      <c r="G666" s="661">
        <f t="shared" si="448"/>
        <v>1210.577771679584</v>
      </c>
      <c r="H666" s="661">
        <f t="shared" si="448"/>
        <v>1269.370951145426</v>
      </c>
      <c r="I666" s="661">
        <f t="shared" si="448"/>
        <v>1329.2277582492716</v>
      </c>
      <c r="J666" s="661">
        <f t="shared" si="448"/>
        <v>1391.9690701439022</v>
      </c>
      <c r="K666" s="661">
        <f t="shared" si="448"/>
        <v>1391.9690701439026</v>
      </c>
      <c r="L666" s="661">
        <f t="shared" si="448"/>
        <v>1391.9690701439022</v>
      </c>
      <c r="M666" s="661">
        <f t="shared" si="448"/>
        <v>1391.9690701439022</v>
      </c>
      <c r="N666" s="661">
        <f t="shared" si="448"/>
        <v>1391.9690701439024</v>
      </c>
      <c r="O666" s="661">
        <f t="shared" si="448"/>
        <v>1391.9690701439022</v>
      </c>
    </row>
    <row r="667" spans="2:15" x14ac:dyDescent="0.3">
      <c r="B667" s="964" t="str">
        <f t="shared" ref="B667:C667" si="455">B565</f>
        <v>Incorporated</v>
      </c>
      <c r="C667" s="964">
        <f t="shared" si="455"/>
        <v>95</v>
      </c>
      <c r="D667" s="661">
        <f t="shared" si="425"/>
        <v>953.8599999999999</v>
      </c>
      <c r="E667" s="661">
        <f t="shared" ref="E667" si="456">IF($B$572=$A$61,E155+E361+E463,IF($B$572=$A$62,E258+E361+E463,E361+E463))</f>
        <v>978.61</v>
      </c>
      <c r="F667" s="661">
        <f t="shared" si="448"/>
        <v>1154.7263975633616</v>
      </c>
      <c r="G667" s="661">
        <f t="shared" si="448"/>
        <v>1224.0112256562591</v>
      </c>
      <c r="H667" s="661">
        <f t="shared" si="448"/>
        <v>1283.4576159725918</v>
      </c>
      <c r="I667" s="661">
        <f t="shared" si="448"/>
        <v>1343.9803368182918</v>
      </c>
      <c r="J667" s="661">
        <f t="shared" si="448"/>
        <v>1407.4197057702868</v>
      </c>
      <c r="K667" s="661">
        <f t="shared" si="448"/>
        <v>1407.4197057702872</v>
      </c>
      <c r="L667" s="661">
        <f t="shared" si="448"/>
        <v>1407.4197057702868</v>
      </c>
      <c r="M667" s="661">
        <f t="shared" si="448"/>
        <v>1407.4197057702868</v>
      </c>
      <c r="N667" s="661">
        <f t="shared" si="448"/>
        <v>1407.419705770287</v>
      </c>
      <c r="O667" s="661">
        <f t="shared" si="448"/>
        <v>1407.4197057702868</v>
      </c>
    </row>
    <row r="668" spans="2:15" x14ac:dyDescent="0.3">
      <c r="B668" s="964" t="str">
        <f t="shared" ref="B668:C668" si="457">B566</f>
        <v>Incorporated</v>
      </c>
      <c r="C668" s="964">
        <f t="shared" si="457"/>
        <v>96</v>
      </c>
      <c r="D668" s="661">
        <f t="shared" si="425"/>
        <v>964.19999999999993</v>
      </c>
      <c r="E668" s="661">
        <f t="shared" ref="E668" si="458">IF($B$572=$A$61,E156+E362+E464,IF($B$572=$A$62,E259+E362+E464,E362+E464))</f>
        <v>989.21999999999991</v>
      </c>
      <c r="F668" s="661">
        <f t="shared" si="448"/>
        <v>1167.3972257411558</v>
      </c>
      <c r="G668" s="661">
        <f t="shared" si="448"/>
        <v>1237.4446796329344</v>
      </c>
      <c r="H668" s="661">
        <f t="shared" si="448"/>
        <v>1297.5442807997576</v>
      </c>
      <c r="I668" s="661">
        <f t="shared" si="448"/>
        <v>1358.732915387312</v>
      </c>
      <c r="J668" s="661">
        <f t="shared" si="448"/>
        <v>1422.8703413966714</v>
      </c>
      <c r="K668" s="661">
        <f t="shared" si="448"/>
        <v>1422.8703413966718</v>
      </c>
      <c r="L668" s="661">
        <f t="shared" si="448"/>
        <v>1422.8703413966714</v>
      </c>
      <c r="M668" s="661">
        <f t="shared" si="448"/>
        <v>1422.8703413966714</v>
      </c>
      <c r="N668" s="661">
        <f t="shared" si="448"/>
        <v>1422.8703413966718</v>
      </c>
      <c r="O668" s="661">
        <f t="shared" si="448"/>
        <v>1422.8703413966714</v>
      </c>
    </row>
    <row r="669" spans="2:15" x14ac:dyDescent="0.3">
      <c r="B669" s="964" t="str">
        <f t="shared" ref="B669:C669" si="459">B567</f>
        <v>Incorporated</v>
      </c>
      <c r="C669" s="964">
        <f t="shared" si="459"/>
        <v>97</v>
      </c>
      <c r="D669" s="661">
        <f t="shared" si="425"/>
        <v>974.54</v>
      </c>
      <c r="E669" s="661">
        <f t="shared" ref="E669" si="460">IF($B$572=$A$61,E157+E363+E465,IF($B$572=$A$62,E260+E363+E465,E363+E465))</f>
        <v>999.82999999999993</v>
      </c>
      <c r="F669" s="661">
        <f t="shared" si="448"/>
        <v>1180.0680539189498</v>
      </c>
      <c r="G669" s="661">
        <f t="shared" si="448"/>
        <v>1250.8781336096094</v>
      </c>
      <c r="H669" s="661">
        <f t="shared" si="448"/>
        <v>1311.6309456269234</v>
      </c>
      <c r="I669" s="661">
        <f t="shared" si="448"/>
        <v>1373.4854939563318</v>
      </c>
      <c r="J669" s="661">
        <f t="shared" si="448"/>
        <v>1438.320977023056</v>
      </c>
      <c r="K669" s="661">
        <f t="shared" si="448"/>
        <v>1438.3209770230565</v>
      </c>
      <c r="L669" s="661">
        <f t="shared" si="448"/>
        <v>1438.3209770230558</v>
      </c>
      <c r="M669" s="661">
        <f t="shared" si="448"/>
        <v>1438.3209770230558</v>
      </c>
      <c r="N669" s="661">
        <f t="shared" si="448"/>
        <v>1438.3209770230562</v>
      </c>
      <c r="O669" s="661">
        <f t="shared" si="448"/>
        <v>1438.320977023056</v>
      </c>
    </row>
    <row r="670" spans="2:15" x14ac:dyDescent="0.3">
      <c r="B670" s="964" t="str">
        <f t="shared" ref="B670:C670" si="461">B568</f>
        <v>Incorporated</v>
      </c>
      <c r="C670" s="964">
        <f t="shared" si="461"/>
        <v>98</v>
      </c>
      <c r="D670" s="661">
        <f t="shared" si="425"/>
        <v>984.87999999999988</v>
      </c>
      <c r="E670" s="661">
        <f t="shared" ref="E670" si="462">IF($B$572=$A$61,E158+E364+E466,IF($B$572=$A$62,E261+E364+E466,E364+E466))</f>
        <v>1010.44</v>
      </c>
      <c r="F670" s="661">
        <f t="shared" si="448"/>
        <v>1192.738882096744</v>
      </c>
      <c r="G670" s="661">
        <f t="shared" si="448"/>
        <v>1264.3115875862845</v>
      </c>
      <c r="H670" s="661">
        <f t="shared" si="448"/>
        <v>1325.7176104540895</v>
      </c>
      <c r="I670" s="661">
        <f t="shared" si="448"/>
        <v>1388.238072525352</v>
      </c>
      <c r="J670" s="661">
        <f t="shared" si="448"/>
        <v>1453.7716126494408</v>
      </c>
      <c r="K670" s="661">
        <f t="shared" si="448"/>
        <v>1453.7716126494411</v>
      </c>
      <c r="L670" s="661">
        <f t="shared" si="448"/>
        <v>1453.7716126494406</v>
      </c>
      <c r="M670" s="661">
        <f t="shared" si="448"/>
        <v>1453.7716126494406</v>
      </c>
      <c r="N670" s="661">
        <f t="shared" si="448"/>
        <v>1453.7716126494408</v>
      </c>
      <c r="O670" s="661">
        <f t="shared" si="448"/>
        <v>1453.7716126494408</v>
      </c>
    </row>
    <row r="671" spans="2:15" x14ac:dyDescent="0.3">
      <c r="B671" s="964" t="str">
        <f t="shared" ref="B671:C671" si="463">B569</f>
        <v>Incorporated</v>
      </c>
      <c r="C671" s="964">
        <f t="shared" si="463"/>
        <v>99</v>
      </c>
      <c r="D671" s="661">
        <f t="shared" si="425"/>
        <v>995.21999999999991</v>
      </c>
      <c r="E671" s="661">
        <f t="shared" ref="E671" si="464">IF($B$572=$A$61,E159+E365+E467,IF($B$572=$A$62,E262+E365+E467,E365+E467))</f>
        <v>1021.0500000000001</v>
      </c>
      <c r="F671" s="661">
        <f t="shared" si="448"/>
        <v>1205.4097102745379</v>
      </c>
      <c r="G671" s="661">
        <f t="shared" si="448"/>
        <v>1277.7450415629596</v>
      </c>
      <c r="H671" s="661">
        <f t="shared" si="448"/>
        <v>1339.8042752812553</v>
      </c>
      <c r="I671" s="661">
        <f t="shared" si="448"/>
        <v>1402.990651094372</v>
      </c>
      <c r="J671" s="661">
        <f t="shared" si="448"/>
        <v>1469.2222482758255</v>
      </c>
      <c r="K671" s="661">
        <f t="shared" si="448"/>
        <v>1469.2222482758257</v>
      </c>
      <c r="L671" s="661">
        <f t="shared" si="448"/>
        <v>1469.2222482758252</v>
      </c>
      <c r="M671" s="661">
        <f t="shared" si="448"/>
        <v>1469.2222482758252</v>
      </c>
      <c r="N671" s="661">
        <f t="shared" si="448"/>
        <v>1469.2222482758255</v>
      </c>
      <c r="O671" s="661">
        <f t="shared" si="448"/>
        <v>1469.2222482758255</v>
      </c>
    </row>
    <row r="672" spans="2:15" x14ac:dyDescent="0.3">
      <c r="B672" s="964" t="str">
        <f t="shared" ref="B672:C672" si="465">B570</f>
        <v>Incorporated</v>
      </c>
      <c r="C672" s="964">
        <f t="shared" si="465"/>
        <v>100</v>
      </c>
      <c r="D672" s="661">
        <f t="shared" ref="D672:O672" si="466">IF($B$572=$A$61,D160+D366+D468,IF($B$572=$A$62,D263+D366+D468,D366+D468))</f>
        <v>1005.56</v>
      </c>
      <c r="E672" s="661">
        <f t="shared" ref="E672" si="467">IF($B$572=$A$61,E160+E366+E468,IF($B$572=$A$62,E263+E366+E468,E366+E468))</f>
        <v>1031.6599999999999</v>
      </c>
      <c r="F672" s="661">
        <f t="shared" si="466"/>
        <v>1218.0805384523321</v>
      </c>
      <c r="G672" s="661">
        <f t="shared" si="466"/>
        <v>1291.1784955396347</v>
      </c>
      <c r="H672" s="661">
        <f t="shared" si="466"/>
        <v>1353.8909401084211</v>
      </c>
      <c r="I672" s="661">
        <f t="shared" si="466"/>
        <v>1417.7432296633922</v>
      </c>
      <c r="J672" s="661">
        <f t="shared" si="466"/>
        <v>1484.6728839022101</v>
      </c>
      <c r="K672" s="661">
        <f t="shared" si="466"/>
        <v>1484.6728839022103</v>
      </c>
      <c r="L672" s="661">
        <f t="shared" si="466"/>
        <v>1484.6728839022101</v>
      </c>
      <c r="M672" s="661">
        <f t="shared" si="466"/>
        <v>1484.6728839022101</v>
      </c>
      <c r="N672" s="661">
        <f t="shared" si="466"/>
        <v>1484.6728839022103</v>
      </c>
      <c r="O672" s="661">
        <f t="shared" si="466"/>
        <v>1484.6728839022101</v>
      </c>
    </row>
    <row r="674" spans="3:21" x14ac:dyDescent="0.3">
      <c r="C674" s="1215"/>
      <c r="D674" s="1216"/>
      <c r="E674" s="1216" t="s">
        <v>2298</v>
      </c>
      <c r="F674" s="1217" t="s">
        <v>2299</v>
      </c>
      <c r="G674" s="1233"/>
      <c r="H674" s="1233"/>
      <c r="I674" s="1233" t="s">
        <v>2298</v>
      </c>
      <c r="J674" s="1241" t="s">
        <v>2299</v>
      </c>
      <c r="K674" s="1235"/>
      <c r="L674" s="1236"/>
      <c r="M674" s="1236" t="s">
        <v>2298</v>
      </c>
      <c r="N674" s="1237" t="s">
        <v>2299</v>
      </c>
      <c r="Q674" s="155" t="s">
        <v>2301</v>
      </c>
      <c r="R674" s="1216" t="s">
        <v>2333</v>
      </c>
      <c r="S674" s="1216" t="s">
        <v>2333</v>
      </c>
      <c r="T674" s="155" t="s">
        <v>2301</v>
      </c>
      <c r="U674" s="1216" t="s">
        <v>2333</v>
      </c>
    </row>
    <row r="675" spans="3:21" x14ac:dyDescent="0.3">
      <c r="C675" s="155" t="s">
        <v>2301</v>
      </c>
      <c r="D675" s="604">
        <v>2015</v>
      </c>
      <c r="E675" s="604">
        <v>2016</v>
      </c>
      <c r="F675" s="1218" t="s">
        <v>2300</v>
      </c>
      <c r="G675" s="1234" t="s">
        <v>2301</v>
      </c>
      <c r="H675" s="1234">
        <v>2015</v>
      </c>
      <c r="I675" s="1234">
        <v>2016</v>
      </c>
      <c r="J675" s="1242" t="s">
        <v>2300</v>
      </c>
      <c r="K675" s="1238" t="s">
        <v>2301</v>
      </c>
      <c r="L675" s="1239">
        <v>2015</v>
      </c>
      <c r="M675" s="1239">
        <v>2016</v>
      </c>
      <c r="N675" s="1240" t="s">
        <v>2300</v>
      </c>
      <c r="Q675" s="155" t="s">
        <v>2332</v>
      </c>
      <c r="R675" s="604" t="s">
        <v>2334</v>
      </c>
      <c r="S675" s="604" t="s">
        <v>2335</v>
      </c>
      <c r="T675" s="155" t="s">
        <v>2332</v>
      </c>
      <c r="U675" s="604" t="s">
        <v>2335</v>
      </c>
    </row>
    <row r="676" spans="3:21" x14ac:dyDescent="0.3">
      <c r="C676" s="1228">
        <v>1</v>
      </c>
      <c r="D676" s="1227">
        <f>D573</f>
        <v>16.57</v>
      </c>
      <c r="E676" s="1227">
        <f t="shared" ref="E676:E708" si="468">F573</f>
        <v>17.426758958739498</v>
      </c>
      <c r="F676" s="1229">
        <f t="shared" ref="F676:F708" si="469">(E676-D676)/D676</f>
        <v>5.1705429012643189E-2</v>
      </c>
      <c r="G676" s="1226">
        <v>34</v>
      </c>
      <c r="H676" s="1227">
        <f>D606</f>
        <v>323.12</v>
      </c>
      <c r="I676" s="1227">
        <f t="shared" ref="I676:I708" si="470">F606</f>
        <v>381.80587871792022</v>
      </c>
      <c r="J676" s="1229">
        <f t="shared" ref="J676:J708" si="471">(I676-H676)/H676</f>
        <v>0.18162255112007991</v>
      </c>
      <c r="K676" s="1228">
        <v>67</v>
      </c>
      <c r="L676" s="1227">
        <f>D639</f>
        <v>664.33999999999992</v>
      </c>
      <c r="M676" s="1227">
        <f t="shared" ref="M676:M709" si="472">F639</f>
        <v>799.94320858512617</v>
      </c>
      <c r="N676" s="1229">
        <f t="shared" ref="N676:N709" si="473">(M676-L676)/L676</f>
        <v>0.20411718184231911</v>
      </c>
      <c r="Q676" s="1285">
        <v>4000</v>
      </c>
      <c r="R676" s="661" t="e">
        <f>#REF!</f>
        <v>#REF!</v>
      </c>
      <c r="S676" s="661">
        <f>E679</f>
        <v>42.707035834957985</v>
      </c>
    </row>
    <row r="677" spans="3:21" x14ac:dyDescent="0.3">
      <c r="C677" s="1219">
        <v>2</v>
      </c>
      <c r="D677" s="1220">
        <f t="shared" ref="D677" si="474">D574</f>
        <v>24.14</v>
      </c>
      <c r="E677" s="1220">
        <f t="shared" si="468"/>
        <v>25.853517917478992</v>
      </c>
      <c r="F677" s="1221">
        <f t="shared" si="469"/>
        <v>7.0982515222824852E-2</v>
      </c>
      <c r="G677" s="1225">
        <v>35</v>
      </c>
      <c r="H677" s="1220">
        <f t="shared" ref="H677:H708" si="475">D607</f>
        <v>333.46</v>
      </c>
      <c r="I677" s="1220">
        <f t="shared" si="470"/>
        <v>394.47670689571441</v>
      </c>
      <c r="J677" s="1221">
        <f t="shared" si="471"/>
        <v>0.18298058806367912</v>
      </c>
      <c r="K677" s="1219">
        <v>68</v>
      </c>
      <c r="L677" s="1220">
        <f t="shared" ref="L677:L709" si="476">D640</f>
        <v>674.68</v>
      </c>
      <c r="M677" s="1220">
        <f t="shared" si="472"/>
        <v>812.61403676292025</v>
      </c>
      <c r="N677" s="1221">
        <f t="shared" si="473"/>
        <v>0.20444364256079967</v>
      </c>
      <c r="Q677" s="1285">
        <v>8000</v>
      </c>
      <c r="R677" s="661" t="e">
        <f>#REF!</f>
        <v>#REF!</v>
      </c>
      <c r="S677" s="661">
        <f>E683</f>
        <v>77.828761409600858</v>
      </c>
    </row>
    <row r="678" spans="3:21" x14ac:dyDescent="0.3">
      <c r="C678" s="1228">
        <v>3</v>
      </c>
      <c r="D678" s="1227">
        <f t="shared" ref="D678" si="477">D575</f>
        <v>31.709999999999997</v>
      </c>
      <c r="E678" s="1227">
        <f t="shared" si="468"/>
        <v>34.280276876218494</v>
      </c>
      <c r="F678" s="1229">
        <f t="shared" si="469"/>
        <v>8.1055719842904342E-2</v>
      </c>
      <c r="G678" s="1226">
        <v>36</v>
      </c>
      <c r="H678" s="1227">
        <f t="shared" si="475"/>
        <v>343.8</v>
      </c>
      <c r="I678" s="1227">
        <f t="shared" si="470"/>
        <v>407.14753507350849</v>
      </c>
      <c r="J678" s="1229">
        <f t="shared" si="471"/>
        <v>0.18425693738658661</v>
      </c>
      <c r="K678" s="1228">
        <v>69</v>
      </c>
      <c r="L678" s="1227">
        <f t="shared" si="476"/>
        <v>685.02</v>
      </c>
      <c r="M678" s="1227">
        <f t="shared" si="472"/>
        <v>825.28486494071444</v>
      </c>
      <c r="N678" s="1229">
        <f t="shared" si="473"/>
        <v>0.20476024778942872</v>
      </c>
      <c r="Q678" s="1285">
        <v>12000</v>
      </c>
      <c r="R678" s="661" t="e">
        <f>#REF!</f>
        <v>#REF!</v>
      </c>
      <c r="S678" s="661">
        <f>E687</f>
        <v>117.19455620329835</v>
      </c>
    </row>
    <row r="679" spans="3:21" x14ac:dyDescent="0.3">
      <c r="C679" s="1219">
        <v>4</v>
      </c>
      <c r="D679" s="1220">
        <f t="shared" ref="D679" si="478">D576</f>
        <v>39.28</v>
      </c>
      <c r="E679" s="1220">
        <f t="shared" si="468"/>
        <v>42.707035834957985</v>
      </c>
      <c r="F679" s="1221">
        <f t="shared" si="469"/>
        <v>8.72463298105393E-2</v>
      </c>
      <c r="G679" s="1225">
        <v>37</v>
      </c>
      <c r="H679" s="1220">
        <f t="shared" si="475"/>
        <v>354.14</v>
      </c>
      <c r="I679" s="1220">
        <f t="shared" si="470"/>
        <v>419.81836325130263</v>
      </c>
      <c r="J679" s="1221">
        <f t="shared" si="471"/>
        <v>0.18545875430988493</v>
      </c>
      <c r="K679" s="1219">
        <v>70</v>
      </c>
      <c r="L679" s="1220">
        <f t="shared" si="476"/>
        <v>695.3599999999999</v>
      </c>
      <c r="M679" s="1220">
        <f t="shared" si="472"/>
        <v>837.95569311850863</v>
      </c>
      <c r="N679" s="1221">
        <f t="shared" si="473"/>
        <v>0.20506743718147255</v>
      </c>
      <c r="Q679" s="1285">
        <v>16000</v>
      </c>
    </row>
    <row r="680" spans="3:21" x14ac:dyDescent="0.3">
      <c r="C680" s="1228">
        <v>5</v>
      </c>
      <c r="D680" s="1227">
        <f t="shared" ref="D680" si="479">D577</f>
        <v>46.85</v>
      </c>
      <c r="E680" s="1227">
        <f t="shared" si="468"/>
        <v>51.13379479369749</v>
      </c>
      <c r="F680" s="1229">
        <f t="shared" si="469"/>
        <v>9.1436388339327393E-2</v>
      </c>
      <c r="G680" s="1226">
        <v>38</v>
      </c>
      <c r="H680" s="1227">
        <f t="shared" si="475"/>
        <v>364.48</v>
      </c>
      <c r="I680" s="1227">
        <f t="shared" si="470"/>
        <v>432.48919142909676</v>
      </c>
      <c r="J680" s="1229">
        <f t="shared" si="471"/>
        <v>0.18659238210353585</v>
      </c>
      <c r="K680" s="1228">
        <v>71</v>
      </c>
      <c r="L680" s="1227">
        <f t="shared" si="476"/>
        <v>705.69999999999993</v>
      </c>
      <c r="M680" s="1227">
        <f t="shared" si="472"/>
        <v>850.62652129630271</v>
      </c>
      <c r="N680" s="1229">
        <f t="shared" si="473"/>
        <v>0.20536562462278984</v>
      </c>
      <c r="Q680" s="1285">
        <v>20000</v>
      </c>
    </row>
    <row r="681" spans="3:21" x14ac:dyDescent="0.3">
      <c r="C681" s="1219">
        <v>6</v>
      </c>
      <c r="D681" s="1220">
        <f t="shared" ref="D681" si="480">D578</f>
        <v>54.419999999999995</v>
      </c>
      <c r="E681" s="1220">
        <f t="shared" si="468"/>
        <v>59.560553752436988</v>
      </c>
      <c r="F681" s="1221">
        <f t="shared" si="469"/>
        <v>9.4460745175247954E-2</v>
      </c>
      <c r="G681" s="1225">
        <v>39</v>
      </c>
      <c r="H681" s="1220">
        <f t="shared" si="475"/>
        <v>374.82</v>
      </c>
      <c r="I681" s="1220">
        <f t="shared" si="470"/>
        <v>445.16001960689084</v>
      </c>
      <c r="J681" s="1221">
        <f t="shared" si="471"/>
        <v>0.18766346408113455</v>
      </c>
      <c r="K681" s="1219">
        <v>72</v>
      </c>
      <c r="L681" s="1220">
        <f t="shared" si="476"/>
        <v>716.04</v>
      </c>
      <c r="M681" s="1220">
        <f t="shared" si="472"/>
        <v>863.29734947409679</v>
      </c>
      <c r="N681" s="1221">
        <f t="shared" si="473"/>
        <v>0.20565520009230887</v>
      </c>
      <c r="Q681" s="1285">
        <v>24000</v>
      </c>
    </row>
    <row r="682" spans="3:21" x14ac:dyDescent="0.3">
      <c r="C682" s="1228">
        <v>7</v>
      </c>
      <c r="D682" s="1227">
        <f t="shared" ref="D682" si="481">D579</f>
        <v>61.989999999999995</v>
      </c>
      <c r="E682" s="1227">
        <f t="shared" si="468"/>
        <v>67.987312711176486</v>
      </c>
      <c r="F682" s="1229">
        <f t="shared" si="469"/>
        <v>9.6746454447112301E-2</v>
      </c>
      <c r="G682" s="1226">
        <v>40</v>
      </c>
      <c r="H682" s="1227">
        <f t="shared" si="475"/>
        <v>385.16</v>
      </c>
      <c r="I682" s="1227">
        <f t="shared" si="470"/>
        <v>457.83084778468503</v>
      </c>
      <c r="J682" s="1229">
        <f t="shared" si="471"/>
        <v>0.18867703755500312</v>
      </c>
      <c r="K682" s="1228">
        <v>73</v>
      </c>
      <c r="L682" s="1227">
        <f t="shared" si="476"/>
        <v>726.38</v>
      </c>
      <c r="M682" s="1227">
        <f t="shared" si="472"/>
        <v>875.96817765189098</v>
      </c>
      <c r="N682" s="1229">
        <f t="shared" si="473"/>
        <v>0.20593653136359893</v>
      </c>
      <c r="Q682" s="1285">
        <v>28000</v>
      </c>
    </row>
    <row r="683" spans="3:21" x14ac:dyDescent="0.3">
      <c r="C683" s="1219">
        <v>8</v>
      </c>
      <c r="D683" s="1220">
        <f t="shared" ref="D683" si="482">D580</f>
        <v>69.56</v>
      </c>
      <c r="E683" s="1220">
        <f t="shared" si="468"/>
        <v>77.828761409600858</v>
      </c>
      <c r="F683" s="1221">
        <f t="shared" si="469"/>
        <v>0.11887236069006406</v>
      </c>
      <c r="G683" s="1225">
        <v>41</v>
      </c>
      <c r="H683" s="1220">
        <f t="shared" si="475"/>
        <v>395.5</v>
      </c>
      <c r="I683" s="1220">
        <f t="shared" si="470"/>
        <v>470.50167596247911</v>
      </c>
      <c r="J683" s="1221">
        <f t="shared" si="471"/>
        <v>0.18963761305304452</v>
      </c>
      <c r="K683" s="1219">
        <v>74</v>
      </c>
      <c r="L683" s="1220">
        <f t="shared" si="476"/>
        <v>736.71999999999991</v>
      </c>
      <c r="M683" s="1220">
        <f t="shared" si="472"/>
        <v>888.63900582968506</v>
      </c>
      <c r="N683" s="1221">
        <f t="shared" si="473"/>
        <v>0.20620996556315177</v>
      </c>
      <c r="Q683" s="1285">
        <v>32000</v>
      </c>
    </row>
    <row r="684" spans="3:21" x14ac:dyDescent="0.3">
      <c r="C684" s="1228">
        <v>9</v>
      </c>
      <c r="D684" s="1227">
        <f t="shared" ref="D684" si="483">D581</f>
        <v>77.13</v>
      </c>
      <c r="E684" s="1227">
        <f t="shared" si="468"/>
        <v>87.670210108025231</v>
      </c>
      <c r="F684" s="1229">
        <f t="shared" si="469"/>
        <v>0.13665512910703015</v>
      </c>
      <c r="G684" s="1226">
        <v>42</v>
      </c>
      <c r="H684" s="1227">
        <f t="shared" si="475"/>
        <v>405.84</v>
      </c>
      <c r="I684" s="1227">
        <f t="shared" si="470"/>
        <v>483.17250414027325</v>
      </c>
      <c r="J684" s="1229">
        <f t="shared" si="471"/>
        <v>0.19054924142586555</v>
      </c>
      <c r="K684" s="1228">
        <v>75</v>
      </c>
      <c r="L684" s="1227">
        <f t="shared" si="476"/>
        <v>747.06</v>
      </c>
      <c r="M684" s="1227">
        <f t="shared" si="472"/>
        <v>901.30983400747925</v>
      </c>
      <c r="N684" s="1229">
        <f t="shared" si="473"/>
        <v>0.20647583059925484</v>
      </c>
      <c r="Q684" s="1285">
        <v>36000</v>
      </c>
    </row>
    <row r="685" spans="3:21" x14ac:dyDescent="0.3">
      <c r="C685" s="1219">
        <v>10</v>
      </c>
      <c r="D685" s="1220">
        <f t="shared" ref="D685" si="484">D582</f>
        <v>86.08</v>
      </c>
      <c r="E685" s="1220">
        <f t="shared" si="468"/>
        <v>97.511658806449589</v>
      </c>
      <c r="F685" s="1221">
        <f t="shared" si="469"/>
        <v>0.13280272777009283</v>
      </c>
      <c r="G685" s="1225">
        <v>43</v>
      </c>
      <c r="H685" s="1220">
        <f t="shared" si="475"/>
        <v>416.17999999999995</v>
      </c>
      <c r="I685" s="1220">
        <f t="shared" si="470"/>
        <v>495.84333231806733</v>
      </c>
      <c r="J685" s="1221">
        <f t="shared" si="471"/>
        <v>0.19141557095023159</v>
      </c>
      <c r="K685" s="1219">
        <v>76</v>
      </c>
      <c r="L685" s="1220">
        <f t="shared" si="476"/>
        <v>757.4</v>
      </c>
      <c r="M685" s="1220">
        <f t="shared" si="472"/>
        <v>913.98066218527333</v>
      </c>
      <c r="N685" s="1221">
        <f t="shared" si="473"/>
        <v>0.20673443647382275</v>
      </c>
      <c r="Q685" s="1285">
        <v>40000</v>
      </c>
    </row>
    <row r="686" spans="3:21" x14ac:dyDescent="0.3">
      <c r="C686" s="1228">
        <v>11</v>
      </c>
      <c r="D686" s="1227">
        <f t="shared" ref="D686" si="485">D583</f>
        <v>95.03</v>
      </c>
      <c r="E686" s="1227">
        <f t="shared" si="468"/>
        <v>107.35310750487396</v>
      </c>
      <c r="F686" s="1229">
        <f t="shared" si="469"/>
        <v>0.12967597079736884</v>
      </c>
      <c r="G686" s="1226">
        <v>44</v>
      </c>
      <c r="H686" s="1227">
        <f t="shared" si="475"/>
        <v>426.52</v>
      </c>
      <c r="I686" s="1227">
        <f t="shared" si="470"/>
        <v>508.5141604958614</v>
      </c>
      <c r="J686" s="1229">
        <f t="shared" si="471"/>
        <v>0.19223989612646869</v>
      </c>
      <c r="K686" s="1228">
        <v>77</v>
      </c>
      <c r="L686" s="1227">
        <f t="shared" si="476"/>
        <v>767.7399999999999</v>
      </c>
      <c r="M686" s="1227">
        <f t="shared" si="472"/>
        <v>926.6514903630673</v>
      </c>
      <c r="N686" s="1229">
        <f t="shared" si="473"/>
        <v>0.20698607648822182</v>
      </c>
      <c r="Q686" s="1285">
        <v>80000</v>
      </c>
    </row>
    <row r="687" spans="3:21" x14ac:dyDescent="0.3">
      <c r="C687" s="1219">
        <v>12</v>
      </c>
      <c r="D687" s="1220">
        <f t="shared" ref="D687" si="486">D584</f>
        <v>103.98</v>
      </c>
      <c r="E687" s="1220">
        <f t="shared" si="468"/>
        <v>117.19455620329835</v>
      </c>
      <c r="F687" s="1221">
        <f t="shared" si="469"/>
        <v>0.12708748031639105</v>
      </c>
      <c r="G687" s="1225">
        <v>45</v>
      </c>
      <c r="H687" s="1220">
        <f t="shared" si="475"/>
        <v>436.86</v>
      </c>
      <c r="I687" s="1220">
        <f t="shared" si="470"/>
        <v>521.18498867365565</v>
      </c>
      <c r="J687" s="1221">
        <f t="shared" si="471"/>
        <v>0.19302519954597727</v>
      </c>
      <c r="K687" s="1219">
        <v>78</v>
      </c>
      <c r="L687" s="1220">
        <f t="shared" si="476"/>
        <v>778.07999999999993</v>
      </c>
      <c r="M687" s="1220">
        <f t="shared" si="472"/>
        <v>939.32231854086149</v>
      </c>
      <c r="N687" s="1221">
        <f t="shared" si="473"/>
        <v>0.20723102835294774</v>
      </c>
      <c r="Q687" s="1285">
        <v>120000</v>
      </c>
    </row>
    <row r="688" spans="3:21" x14ac:dyDescent="0.3">
      <c r="C688" s="1228">
        <v>13</v>
      </c>
      <c r="D688" s="1227">
        <f t="shared" ref="D688" si="487">D585</f>
        <v>112.92999999999999</v>
      </c>
      <c r="E688" s="1227">
        <f t="shared" si="468"/>
        <v>128.45069464140758</v>
      </c>
      <c r="F688" s="1229">
        <f t="shared" si="469"/>
        <v>0.13743641761628964</v>
      </c>
      <c r="G688" s="1226">
        <v>46</v>
      </c>
      <c r="H688" s="1227">
        <f t="shared" si="475"/>
        <v>447.2</v>
      </c>
      <c r="I688" s="1227">
        <f t="shared" si="470"/>
        <v>533.85581685144973</v>
      </c>
      <c r="J688" s="1229">
        <f t="shared" si="471"/>
        <v>0.19377418795046902</v>
      </c>
      <c r="K688" s="1228">
        <v>79</v>
      </c>
      <c r="L688" s="1227">
        <f t="shared" si="476"/>
        <v>788.42</v>
      </c>
      <c r="M688" s="1227">
        <f t="shared" si="472"/>
        <v>951.99314671865568</v>
      </c>
      <c r="N688" s="1229">
        <f t="shared" si="473"/>
        <v>0.2074695552099842</v>
      </c>
    </row>
    <row r="689" spans="3:14" x14ac:dyDescent="0.3">
      <c r="C689" s="1219">
        <v>14</v>
      </c>
      <c r="D689" s="1220">
        <f t="shared" ref="D689" si="488">D586</f>
        <v>121.88000000000002</v>
      </c>
      <c r="E689" s="1220">
        <f t="shared" si="468"/>
        <v>139.70683307951683</v>
      </c>
      <c r="F689" s="1221">
        <f t="shared" si="469"/>
        <v>0.14626545027499835</v>
      </c>
      <c r="G689" s="1225">
        <v>47</v>
      </c>
      <c r="H689" s="1220">
        <f t="shared" si="475"/>
        <v>457.54</v>
      </c>
      <c r="I689" s="1220">
        <f t="shared" si="470"/>
        <v>546.52664502924381</v>
      </c>
      <c r="J689" s="1221">
        <f t="shared" si="471"/>
        <v>0.1944893234017655</v>
      </c>
      <c r="K689" s="1219">
        <v>80</v>
      </c>
      <c r="L689" s="1220">
        <f t="shared" si="476"/>
        <v>798.76</v>
      </c>
      <c r="M689" s="1220">
        <f t="shared" si="472"/>
        <v>964.66397489644987</v>
      </c>
      <c r="N689" s="1221">
        <f t="shared" si="473"/>
        <v>0.20770190657575477</v>
      </c>
    </row>
    <row r="690" spans="3:14" x14ac:dyDescent="0.3">
      <c r="C690" s="1228">
        <v>15</v>
      </c>
      <c r="D690" s="1227">
        <f t="shared" ref="D690" si="489">D587</f>
        <v>130.82999999999998</v>
      </c>
      <c r="E690" s="1227">
        <f t="shared" si="468"/>
        <v>150.96297151762607</v>
      </c>
      <c r="F690" s="1229">
        <f t="shared" si="469"/>
        <v>0.15388650552339747</v>
      </c>
      <c r="G690" s="1226">
        <v>48</v>
      </c>
      <c r="H690" s="1227">
        <f t="shared" si="475"/>
        <v>467.87999999999994</v>
      </c>
      <c r="I690" s="1227">
        <f t="shared" si="470"/>
        <v>559.19747320703789</v>
      </c>
      <c r="J690" s="1229">
        <f t="shared" si="471"/>
        <v>0.19517285031853887</v>
      </c>
      <c r="K690" s="1228">
        <v>81</v>
      </c>
      <c r="L690" s="1227">
        <f t="shared" si="476"/>
        <v>809.09999999999991</v>
      </c>
      <c r="M690" s="1227">
        <f t="shared" si="472"/>
        <v>977.33480307424406</v>
      </c>
      <c r="N690" s="1229">
        <f t="shared" si="473"/>
        <v>0.20792831921177132</v>
      </c>
    </row>
    <row r="691" spans="3:14" x14ac:dyDescent="0.3">
      <c r="C691" s="1219">
        <v>16</v>
      </c>
      <c r="D691" s="1220">
        <f t="shared" ref="D691" si="490">D588</f>
        <v>139.78</v>
      </c>
      <c r="E691" s="1220">
        <f t="shared" si="468"/>
        <v>162.21910995573532</v>
      </c>
      <c r="F691" s="1221">
        <f t="shared" si="469"/>
        <v>0.16053162080222722</v>
      </c>
      <c r="G691" s="1225">
        <v>49</v>
      </c>
      <c r="H691" s="1220">
        <f t="shared" si="475"/>
        <v>478.21999999999991</v>
      </c>
      <c r="I691" s="1220">
        <f t="shared" si="470"/>
        <v>571.86830138483208</v>
      </c>
      <c r="J691" s="1221">
        <f t="shared" si="471"/>
        <v>0.19582681900554594</v>
      </c>
      <c r="K691" s="1219">
        <v>82</v>
      </c>
      <c r="L691" s="1220">
        <f t="shared" si="476"/>
        <v>819.43999999999994</v>
      </c>
      <c r="M691" s="1220">
        <f t="shared" si="472"/>
        <v>990.00563125203803</v>
      </c>
      <c r="N691" s="1221">
        <f t="shared" si="473"/>
        <v>0.20814901792936408</v>
      </c>
    </row>
    <row r="692" spans="3:14" x14ac:dyDescent="0.3">
      <c r="C692" s="1228">
        <v>17</v>
      </c>
      <c r="D692" s="1227">
        <f t="shared" ref="D692" si="491">D589</f>
        <v>148.73000000000002</v>
      </c>
      <c r="E692" s="1227">
        <f t="shared" si="468"/>
        <v>173.47524839384459</v>
      </c>
      <c r="F692" s="1229">
        <f t="shared" si="469"/>
        <v>0.16637698106531684</v>
      </c>
      <c r="G692" s="1226">
        <v>50</v>
      </c>
      <c r="H692" s="1227">
        <f t="shared" si="475"/>
        <v>488.55999999999995</v>
      </c>
      <c r="I692" s="1227">
        <f t="shared" si="470"/>
        <v>584.53912956262616</v>
      </c>
      <c r="J692" s="1229">
        <f t="shared" si="471"/>
        <v>0.1964531061949939</v>
      </c>
      <c r="K692" s="1228">
        <v>83</v>
      </c>
      <c r="L692" s="1227">
        <f t="shared" si="476"/>
        <v>829.78</v>
      </c>
      <c r="M692" s="1227">
        <f t="shared" si="472"/>
        <v>1002.6764594298321</v>
      </c>
      <c r="N692" s="1229">
        <f t="shared" si="473"/>
        <v>0.20836421633424779</v>
      </c>
    </row>
    <row r="693" spans="3:14" x14ac:dyDescent="0.3">
      <c r="C693" s="1219">
        <v>18</v>
      </c>
      <c r="D693" s="1220">
        <f t="shared" ref="D693" si="492">D590</f>
        <v>157.68</v>
      </c>
      <c r="E693" s="1220">
        <f t="shared" si="468"/>
        <v>184.73138683195384</v>
      </c>
      <c r="F693" s="1221">
        <f t="shared" si="469"/>
        <v>0.17155876986272092</v>
      </c>
      <c r="G693" s="1225">
        <v>51</v>
      </c>
      <c r="H693" s="1220">
        <f t="shared" si="475"/>
        <v>498.89999999999992</v>
      </c>
      <c r="I693" s="1220">
        <f t="shared" si="470"/>
        <v>597.20995774042035</v>
      </c>
      <c r="J693" s="1221">
        <f t="shared" si="471"/>
        <v>0.19705343303351464</v>
      </c>
      <c r="K693" s="1219">
        <v>84</v>
      </c>
      <c r="L693" s="1220">
        <f t="shared" si="476"/>
        <v>840.12</v>
      </c>
      <c r="M693" s="1220">
        <f t="shared" si="472"/>
        <v>1015.3472876076263</v>
      </c>
      <c r="N693" s="1221">
        <f t="shared" si="473"/>
        <v>0.20857411751610044</v>
      </c>
    </row>
    <row r="694" spans="3:14" x14ac:dyDescent="0.3">
      <c r="C694" s="1228">
        <v>19</v>
      </c>
      <c r="D694" s="1227">
        <f t="shared" ref="D694" si="493">D591</f>
        <v>168.02</v>
      </c>
      <c r="E694" s="1227">
        <f t="shared" si="468"/>
        <v>195.98752527006303</v>
      </c>
      <c r="F694" s="1229">
        <f t="shared" si="469"/>
        <v>0.16645354880408891</v>
      </c>
      <c r="G694" s="1226">
        <v>52</v>
      </c>
      <c r="H694" s="1227">
        <f t="shared" si="475"/>
        <v>509.23999999999995</v>
      </c>
      <c r="I694" s="1227">
        <f t="shared" si="470"/>
        <v>609.88078591821443</v>
      </c>
      <c r="J694" s="1229">
        <f t="shared" si="471"/>
        <v>0.1976293808778071</v>
      </c>
      <c r="K694" s="1228">
        <v>85</v>
      </c>
      <c r="L694" s="1227">
        <f t="shared" si="476"/>
        <v>850.45999999999992</v>
      </c>
      <c r="M694" s="1227">
        <f t="shared" si="472"/>
        <v>1028.0181157854204</v>
      </c>
      <c r="N694" s="1229">
        <f t="shared" si="473"/>
        <v>0.20877891468784007</v>
      </c>
    </row>
    <row r="695" spans="3:14" x14ac:dyDescent="0.3">
      <c r="C695" s="1219">
        <v>20</v>
      </c>
      <c r="D695" s="1220">
        <f t="shared" ref="D695" si="494">D592</f>
        <v>178.36</v>
      </c>
      <c r="E695" s="1220">
        <f t="shared" si="468"/>
        <v>207.24366370817233</v>
      </c>
      <c r="F695" s="1221">
        <f t="shared" si="469"/>
        <v>0.16194025402653239</v>
      </c>
      <c r="G695" s="1225">
        <v>53</v>
      </c>
      <c r="H695" s="1220">
        <f t="shared" si="475"/>
        <v>519.57999999999993</v>
      </c>
      <c r="I695" s="1220">
        <f t="shared" si="470"/>
        <v>622.55161409600851</v>
      </c>
      <c r="J695" s="1221">
        <f t="shared" si="471"/>
        <v>0.19818240520421992</v>
      </c>
      <c r="K695" s="1219">
        <v>86</v>
      </c>
      <c r="L695" s="1220">
        <f t="shared" si="476"/>
        <v>860.8</v>
      </c>
      <c r="M695" s="1220">
        <f t="shared" si="472"/>
        <v>1040.6889439632146</v>
      </c>
      <c r="N695" s="1221">
        <f t="shared" si="473"/>
        <v>0.20897879177882739</v>
      </c>
    </row>
    <row r="696" spans="3:14" x14ac:dyDescent="0.3">
      <c r="C696" s="1228">
        <v>21</v>
      </c>
      <c r="D696" s="1227">
        <f t="shared" ref="D696" si="495">D593</f>
        <v>188.69999999999996</v>
      </c>
      <c r="E696" s="1227">
        <f t="shared" si="468"/>
        <v>218.49980214628155</v>
      </c>
      <c r="F696" s="1229">
        <f t="shared" si="469"/>
        <v>0.15792158000149231</v>
      </c>
      <c r="G696" s="1226">
        <v>54</v>
      </c>
      <c r="H696" s="1227">
        <f t="shared" si="475"/>
        <v>529.91999999999996</v>
      </c>
      <c r="I696" s="1227">
        <f t="shared" si="470"/>
        <v>635.22244227380259</v>
      </c>
      <c r="J696" s="1229">
        <f t="shared" si="471"/>
        <v>0.19871384788987514</v>
      </c>
      <c r="K696" s="1228">
        <v>87</v>
      </c>
      <c r="L696" s="1227">
        <f t="shared" si="476"/>
        <v>871.1400000000001</v>
      </c>
      <c r="M696" s="1227">
        <f t="shared" si="472"/>
        <v>1053.3597721410088</v>
      </c>
      <c r="N696" s="1229">
        <f t="shared" si="473"/>
        <v>0.2091739239858216</v>
      </c>
    </row>
    <row r="697" spans="3:14" x14ac:dyDescent="0.3">
      <c r="C697" s="1219">
        <v>22</v>
      </c>
      <c r="D697" s="1220">
        <f t="shared" ref="D697" si="496">D594</f>
        <v>199.03999999999996</v>
      </c>
      <c r="E697" s="1220">
        <f t="shared" si="468"/>
        <v>229.7559405843908</v>
      </c>
      <c r="F697" s="1221">
        <f t="shared" si="469"/>
        <v>0.15432044103894113</v>
      </c>
      <c r="G697" s="1225">
        <v>55</v>
      </c>
      <c r="H697" s="1220">
        <f t="shared" si="475"/>
        <v>540.26</v>
      </c>
      <c r="I697" s="1220">
        <f t="shared" si="470"/>
        <v>647.89327045159666</v>
      </c>
      <c r="J697" s="1221">
        <f t="shared" si="471"/>
        <v>0.19922494808350918</v>
      </c>
      <c r="K697" s="1219">
        <v>88</v>
      </c>
      <c r="L697" s="1220">
        <f t="shared" si="476"/>
        <v>881.48</v>
      </c>
      <c r="M697" s="1220">
        <f t="shared" si="472"/>
        <v>1066.0306003188025</v>
      </c>
      <c r="N697" s="1221">
        <f t="shared" si="473"/>
        <v>0.20936447828515958</v>
      </c>
    </row>
    <row r="698" spans="3:14" x14ac:dyDescent="0.3">
      <c r="C698" s="1228">
        <v>23</v>
      </c>
      <c r="D698" s="1227">
        <f t="shared" ref="D698" si="497">D595</f>
        <v>209.38</v>
      </c>
      <c r="E698" s="1227">
        <f t="shared" si="468"/>
        <v>242.42676876218491</v>
      </c>
      <c r="F698" s="1229">
        <f t="shared" si="469"/>
        <v>0.15783154437952485</v>
      </c>
      <c r="G698" s="1226">
        <v>56</v>
      </c>
      <c r="H698" s="1227">
        <f t="shared" si="475"/>
        <v>550.6</v>
      </c>
      <c r="I698" s="1227">
        <f t="shared" si="470"/>
        <v>660.56409862939086</v>
      </c>
      <c r="J698" s="1229">
        <f t="shared" si="471"/>
        <v>0.19971685185141813</v>
      </c>
      <c r="K698" s="1228">
        <v>89</v>
      </c>
      <c r="L698" s="1227">
        <f t="shared" si="476"/>
        <v>891.82</v>
      </c>
      <c r="M698" s="1227">
        <f t="shared" si="472"/>
        <v>1078.7014284965969</v>
      </c>
      <c r="N698" s="1229">
        <f t="shared" si="473"/>
        <v>0.20955061390930552</v>
      </c>
    </row>
    <row r="699" spans="3:14" x14ac:dyDescent="0.3">
      <c r="C699" s="1219">
        <v>24</v>
      </c>
      <c r="D699" s="1220">
        <f t="shared" ref="D699" si="498">D596</f>
        <v>219.72</v>
      </c>
      <c r="E699" s="1220">
        <f t="shared" si="468"/>
        <v>255.09759693997907</v>
      </c>
      <c r="F699" s="1221">
        <f t="shared" si="469"/>
        <v>0.16101218341516052</v>
      </c>
      <c r="G699" s="1225">
        <v>57</v>
      </c>
      <c r="H699" s="1220">
        <f t="shared" si="475"/>
        <v>560.93999999999994</v>
      </c>
      <c r="I699" s="1220">
        <f t="shared" si="470"/>
        <v>673.23492680718505</v>
      </c>
      <c r="J699" s="1221">
        <f t="shared" si="471"/>
        <v>0.20019062075656063</v>
      </c>
      <c r="K699" s="1219">
        <v>90</v>
      </c>
      <c r="L699" s="1220">
        <f t="shared" si="476"/>
        <v>902.16000000000008</v>
      </c>
      <c r="M699" s="1220">
        <f t="shared" si="472"/>
        <v>1091.3722566743911</v>
      </c>
      <c r="N699" s="1221">
        <f t="shared" si="473"/>
        <v>0.20973248279062584</v>
      </c>
    </row>
    <row r="700" spans="3:14" x14ac:dyDescent="0.3">
      <c r="C700" s="1228">
        <v>25</v>
      </c>
      <c r="D700" s="1227">
        <f t="shared" ref="D700" si="499">D597</f>
        <v>230.06</v>
      </c>
      <c r="E700" s="1227">
        <f t="shared" si="468"/>
        <v>267.76842511777318</v>
      </c>
      <c r="F700" s="1229">
        <f t="shared" si="469"/>
        <v>0.16390691609916183</v>
      </c>
      <c r="G700" s="1226">
        <v>58</v>
      </c>
      <c r="H700" s="1227">
        <f t="shared" si="475"/>
        <v>571.28</v>
      </c>
      <c r="I700" s="1227">
        <f t="shared" si="470"/>
        <v>685.90575498497913</v>
      </c>
      <c r="J700" s="1229">
        <f t="shared" si="471"/>
        <v>0.20064723950598509</v>
      </c>
      <c r="K700" s="1228">
        <v>91</v>
      </c>
      <c r="L700" s="1227">
        <f t="shared" si="476"/>
        <v>912.50000000000011</v>
      </c>
      <c r="M700" s="1227">
        <f t="shared" si="472"/>
        <v>1104.0430848521851</v>
      </c>
      <c r="N700" s="1229">
        <f t="shared" si="473"/>
        <v>0.2099102299749972</v>
      </c>
    </row>
    <row r="701" spans="3:14" x14ac:dyDescent="0.3">
      <c r="C701" s="1219">
        <v>26</v>
      </c>
      <c r="D701" s="1220">
        <f t="shared" ref="D701" si="500">D598</f>
        <v>240.4</v>
      </c>
      <c r="E701" s="1220">
        <f t="shared" si="468"/>
        <v>280.43925329556731</v>
      </c>
      <c r="F701" s="1221">
        <f t="shared" si="469"/>
        <v>0.16655263434096218</v>
      </c>
      <c r="G701" s="1225">
        <v>59</v>
      </c>
      <c r="H701" s="1220">
        <f t="shared" si="475"/>
        <v>581.61999999999989</v>
      </c>
      <c r="I701" s="1220">
        <f t="shared" si="470"/>
        <v>698.57658316277332</v>
      </c>
      <c r="J701" s="1221">
        <f t="shared" si="471"/>
        <v>0.20108762278252718</v>
      </c>
      <c r="K701" s="1219">
        <v>92</v>
      </c>
      <c r="L701" s="1220">
        <f t="shared" si="476"/>
        <v>922.84</v>
      </c>
      <c r="M701" s="1220">
        <f t="shared" si="472"/>
        <v>1116.7139130299793</v>
      </c>
      <c r="N701" s="1221">
        <f t="shared" si="473"/>
        <v>0.21008399400760611</v>
      </c>
    </row>
    <row r="702" spans="3:14" x14ac:dyDescent="0.3">
      <c r="C702" s="1228">
        <v>27</v>
      </c>
      <c r="D702" s="1227">
        <f t="shared" ref="D702" si="501">D599</f>
        <v>250.74</v>
      </c>
      <c r="E702" s="1227">
        <f t="shared" si="468"/>
        <v>293.11008147336139</v>
      </c>
      <c r="F702" s="1229">
        <f t="shared" si="469"/>
        <v>0.16898014466523642</v>
      </c>
      <c r="G702" s="1226">
        <v>60</v>
      </c>
      <c r="H702" s="1227">
        <f t="shared" si="475"/>
        <v>591.95999999999992</v>
      </c>
      <c r="I702" s="1227">
        <f t="shared" si="470"/>
        <v>711.24741134056751</v>
      </c>
      <c r="J702" s="1229">
        <f t="shared" si="471"/>
        <v>0.20151262136051018</v>
      </c>
      <c r="K702" s="1228">
        <v>93</v>
      </c>
      <c r="L702" s="1227">
        <f t="shared" si="476"/>
        <v>933.18</v>
      </c>
      <c r="M702" s="1227">
        <f t="shared" si="472"/>
        <v>1129.3847412077732</v>
      </c>
      <c r="N702" s="1229">
        <f t="shared" si="473"/>
        <v>0.21025390729309812</v>
      </c>
    </row>
    <row r="703" spans="3:14" x14ac:dyDescent="0.3">
      <c r="C703" s="1219">
        <v>28</v>
      </c>
      <c r="D703" s="1220">
        <f t="shared" ref="D703" si="502">D600</f>
        <v>261.08</v>
      </c>
      <c r="E703" s="1220">
        <f t="shared" si="468"/>
        <v>305.78090965115553</v>
      </c>
      <c r="F703" s="1221">
        <f t="shared" si="469"/>
        <v>0.17121537326166517</v>
      </c>
      <c r="G703" s="1225">
        <v>61</v>
      </c>
      <c r="H703" s="1220">
        <f t="shared" si="475"/>
        <v>602.29999999999995</v>
      </c>
      <c r="I703" s="1220">
        <f t="shared" si="470"/>
        <v>723.91823951836147</v>
      </c>
      <c r="J703" s="1221">
        <f t="shared" si="471"/>
        <v>0.2019230275915018</v>
      </c>
      <c r="K703" s="1219">
        <v>94</v>
      </c>
      <c r="L703" s="1220">
        <f t="shared" si="476"/>
        <v>943.52</v>
      </c>
      <c r="M703" s="1220">
        <f t="shared" si="472"/>
        <v>1142.0555693855674</v>
      </c>
      <c r="N703" s="1221">
        <f t="shared" si="473"/>
        <v>0.21042009643204962</v>
      </c>
    </row>
    <row r="704" spans="3:14" x14ac:dyDescent="0.3">
      <c r="C704" s="1228">
        <v>29</v>
      </c>
      <c r="D704" s="1227">
        <f t="shared" ref="D704" si="503">D601</f>
        <v>271.41999999999996</v>
      </c>
      <c r="E704" s="1227">
        <f t="shared" si="468"/>
        <v>318.45173782894966</v>
      </c>
      <c r="F704" s="1229">
        <f t="shared" si="469"/>
        <v>0.17328029558967545</v>
      </c>
      <c r="G704" s="1226">
        <v>62</v>
      </c>
      <c r="H704" s="1227">
        <f t="shared" si="475"/>
        <v>612.6400000000001</v>
      </c>
      <c r="I704" s="1227">
        <f t="shared" si="470"/>
        <v>736.58906769615555</v>
      </c>
      <c r="J704" s="1229">
        <f t="shared" si="471"/>
        <v>0.20231958033454464</v>
      </c>
      <c r="K704" s="1228">
        <v>95</v>
      </c>
      <c r="L704" s="1227">
        <f t="shared" si="476"/>
        <v>953.8599999999999</v>
      </c>
      <c r="M704" s="1227">
        <f t="shared" si="472"/>
        <v>1154.7263975633616</v>
      </c>
      <c r="N704" s="1229">
        <f t="shared" si="473"/>
        <v>0.21058268253555212</v>
      </c>
    </row>
    <row r="705" spans="3:14" x14ac:dyDescent="0.3">
      <c r="C705" s="1219">
        <v>30</v>
      </c>
      <c r="D705" s="1220">
        <f t="shared" ref="D705" si="504">D602</f>
        <v>281.76</v>
      </c>
      <c r="E705" s="1220">
        <f t="shared" si="468"/>
        <v>331.1225660067438</v>
      </c>
      <c r="F705" s="1221">
        <f t="shared" si="469"/>
        <v>0.17519366129593911</v>
      </c>
      <c r="G705" s="1225">
        <v>63</v>
      </c>
      <c r="H705" s="1220">
        <f t="shared" si="475"/>
        <v>622.98</v>
      </c>
      <c r="I705" s="1220">
        <f t="shared" si="470"/>
        <v>749.25989587394974</v>
      </c>
      <c r="J705" s="1221">
        <f t="shared" si="471"/>
        <v>0.2027029693954055</v>
      </c>
      <c r="K705" s="1219">
        <v>96</v>
      </c>
      <c r="L705" s="1220">
        <f t="shared" si="476"/>
        <v>964.19999999999993</v>
      </c>
      <c r="M705" s="1220">
        <f t="shared" si="472"/>
        <v>1167.3972257411558</v>
      </c>
      <c r="N705" s="1221">
        <f t="shared" si="473"/>
        <v>0.210741781519556</v>
      </c>
    </row>
    <row r="706" spans="3:14" x14ac:dyDescent="0.3">
      <c r="C706" s="1228">
        <v>31</v>
      </c>
      <c r="D706" s="1227">
        <f t="shared" ref="D706:D708" si="505">D603</f>
        <v>292.10000000000002</v>
      </c>
      <c r="E706" s="1227">
        <f t="shared" si="468"/>
        <v>343.79339418453787</v>
      </c>
      <c r="F706" s="1229">
        <f t="shared" si="469"/>
        <v>0.17697156516445686</v>
      </c>
      <c r="G706" s="1226">
        <v>64</v>
      </c>
      <c r="H706" s="1227">
        <f t="shared" si="475"/>
        <v>633.32000000000005</v>
      </c>
      <c r="I706" s="1227">
        <f t="shared" si="470"/>
        <v>761.93072405174382</v>
      </c>
      <c r="J706" s="1229">
        <f t="shared" si="471"/>
        <v>0.20307383953095395</v>
      </c>
      <c r="K706" s="1228">
        <v>97</v>
      </c>
      <c r="L706" s="1227">
        <f t="shared" si="476"/>
        <v>974.54</v>
      </c>
      <c r="M706" s="1227">
        <f t="shared" si="472"/>
        <v>1180.0680539189498</v>
      </c>
      <c r="N706" s="1229">
        <f t="shared" si="473"/>
        <v>0.21089750438047675</v>
      </c>
    </row>
    <row r="707" spans="3:14" x14ac:dyDescent="0.3">
      <c r="C707" s="1219">
        <v>32</v>
      </c>
      <c r="D707" s="1220">
        <f t="shared" si="505"/>
        <v>302.44</v>
      </c>
      <c r="E707" s="1220">
        <f t="shared" si="468"/>
        <v>356.46422236233201</v>
      </c>
      <c r="F707" s="1221">
        <f t="shared" si="469"/>
        <v>0.17862790094673989</v>
      </c>
      <c r="G707" s="1225">
        <v>65</v>
      </c>
      <c r="H707" s="1220">
        <f t="shared" si="475"/>
        <v>643.66000000000008</v>
      </c>
      <c r="I707" s="1220">
        <f t="shared" si="470"/>
        <v>774.60155222953802</v>
      </c>
      <c r="J707" s="1221">
        <f t="shared" si="471"/>
        <v>0.20343279406757903</v>
      </c>
      <c r="K707" s="1219">
        <v>98</v>
      </c>
      <c r="L707" s="1220">
        <f t="shared" si="476"/>
        <v>984.87999999999988</v>
      </c>
      <c r="M707" s="1220">
        <f t="shared" si="472"/>
        <v>1192.738882096744</v>
      </c>
      <c r="N707" s="1221">
        <f t="shared" si="473"/>
        <v>0.21104995745344013</v>
      </c>
    </row>
    <row r="708" spans="3:14" x14ac:dyDescent="0.3">
      <c r="C708" s="1243">
        <v>33</v>
      </c>
      <c r="D708" s="1244">
        <f t="shared" si="505"/>
        <v>312.78000000000003</v>
      </c>
      <c r="E708" s="1244">
        <f t="shared" si="468"/>
        <v>369.13505054012614</v>
      </c>
      <c r="F708" s="1245">
        <f t="shared" si="469"/>
        <v>0.18017472517464705</v>
      </c>
      <c r="G708" s="1246">
        <v>66</v>
      </c>
      <c r="H708" s="1244">
        <f t="shared" si="475"/>
        <v>654.00000000000011</v>
      </c>
      <c r="I708" s="1244">
        <f t="shared" si="470"/>
        <v>787.27238040733209</v>
      </c>
      <c r="J708" s="1245">
        <f t="shared" si="471"/>
        <v>0.20378039817634855</v>
      </c>
      <c r="K708" s="1228">
        <v>99</v>
      </c>
      <c r="L708" s="1227">
        <f t="shared" si="476"/>
        <v>995.21999999999991</v>
      </c>
      <c r="M708" s="1227">
        <f t="shared" si="472"/>
        <v>1205.4097102745379</v>
      </c>
      <c r="N708" s="1229">
        <f t="shared" si="473"/>
        <v>0.21119924265442619</v>
      </c>
    </row>
    <row r="709" spans="3:14" x14ac:dyDescent="0.3">
      <c r="C709" s="1230"/>
      <c r="D709" s="1231"/>
      <c r="E709" s="1231"/>
      <c r="F709" s="1232"/>
      <c r="G709" s="1231"/>
      <c r="H709" s="1231"/>
      <c r="I709" s="1231"/>
      <c r="J709" s="1231"/>
      <c r="K709" s="1222">
        <v>100</v>
      </c>
      <c r="L709" s="1223">
        <f t="shared" si="476"/>
        <v>1005.56</v>
      </c>
      <c r="M709" s="1223">
        <f t="shared" si="472"/>
        <v>1218.0805384523321</v>
      </c>
      <c r="N709" s="1224">
        <f t="shared" si="473"/>
        <v>0.21134545770747862</v>
      </c>
    </row>
  </sheetData>
  <dataValidations disablePrompts="1" count="2">
    <dataValidation type="list" allowBlank="1" showInputMessage="1" showErrorMessage="1" sqref="B61:B160">
      <formula1>$A$64:$A$160</formula1>
    </dataValidation>
    <dataValidation type="list" allowBlank="1" showInputMessage="1" showErrorMessage="1" sqref="B470">
      <formula1>$A$61:$A$63</formula1>
    </dataValidation>
  </dataValidations>
  <pageMargins left="0.7" right="0.7" top="0.75" bottom="0.75" header="0.3" footer="0.3"/>
  <pageSetup scale="82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77"/>
  <sheetViews>
    <sheetView topLeftCell="A54" workbookViewId="0">
      <selection activeCell="P66" sqref="P66"/>
    </sheetView>
  </sheetViews>
  <sheetFormatPr defaultColWidth="9" defaultRowHeight="15.6" x14ac:dyDescent="0.3"/>
  <cols>
    <col min="1" max="2" width="9" style="1187"/>
    <col min="3" max="3" width="31.19921875" style="1187" bestFit="1" customWidth="1"/>
    <col min="4" max="4" width="11.5" style="1187" bestFit="1" customWidth="1"/>
    <col min="5" max="8" width="12.09765625" style="1187" bestFit="1" customWidth="1"/>
    <col min="9" max="9" width="15.19921875" style="1187" customWidth="1"/>
    <col min="10" max="13" width="10.5" style="1187" customWidth="1"/>
    <col min="14" max="16384" width="9" style="1187"/>
  </cols>
  <sheetData>
    <row r="2" spans="3:9" ht="16.2" thickBot="1" x14ac:dyDescent="0.35">
      <c r="D2" s="1199" t="s">
        <v>1596</v>
      </c>
      <c r="E2" s="1199" t="s">
        <v>1597</v>
      </c>
      <c r="F2" s="1199" t="s">
        <v>1598</v>
      </c>
      <c r="G2" s="1199" t="s">
        <v>1599</v>
      </c>
      <c r="H2" s="1199" t="s">
        <v>1600</v>
      </c>
      <c r="I2" s="1199" t="s">
        <v>1601</v>
      </c>
    </row>
    <row r="3" spans="3:9" ht="16.2" thickBot="1" x14ac:dyDescent="0.35">
      <c r="C3" s="1188" t="s">
        <v>10</v>
      </c>
      <c r="D3" s="1195"/>
    </row>
    <row r="4" spans="3:9" ht="16.2" thickBot="1" x14ac:dyDescent="0.35">
      <c r="C4" s="1189" t="s">
        <v>2282</v>
      </c>
      <c r="D4" s="1198">
        <f>Dashboard!C52</f>
        <v>0.08</v>
      </c>
      <c r="E4" s="1198">
        <f>Dashboard!D52</f>
        <v>0.05</v>
      </c>
      <c r="F4" s="1198">
        <f>Dashboard!E52</f>
        <v>0.05</v>
      </c>
      <c r="G4" s="1198">
        <f>Dashboard!F52</f>
        <v>0.05</v>
      </c>
      <c r="H4" s="1198">
        <f>Dashboard!G52</f>
        <v>0.05</v>
      </c>
      <c r="I4" s="1198">
        <f>Dashboard!O52</f>
        <v>0</v>
      </c>
    </row>
    <row r="5" spans="3:9" ht="16.2" thickBot="1" x14ac:dyDescent="0.35">
      <c r="C5" s="1190" t="s">
        <v>348</v>
      </c>
      <c r="D5" s="1191">
        <f>'Cash Flows and Cash Balances'!F13</f>
        <v>12519421.224169997</v>
      </c>
      <c r="E5" s="1191">
        <f>'Cash Flows and Cash Balances'!G13</f>
        <v>12918559.413494878</v>
      </c>
      <c r="F5" s="1191">
        <f>'Cash Flows and Cash Balances'!H13</f>
        <v>13330076.727931121</v>
      </c>
      <c r="G5" s="1191">
        <f>'Cash Flows and Cash Balances'!I13</f>
        <v>13755618.888539981</v>
      </c>
      <c r="H5" s="1191">
        <f>'Cash Flows and Cash Balances'!J13</f>
        <v>14195754.508831505</v>
      </c>
      <c r="I5" s="1191">
        <f>'Cash Flows and Cash Balances'!K13</f>
        <v>14606906.19436045</v>
      </c>
    </row>
    <row r="6" spans="3:9" ht="16.2" thickBot="1" x14ac:dyDescent="0.35">
      <c r="C6" s="1190" t="s">
        <v>350</v>
      </c>
      <c r="D6" s="1192">
        <f>'Cash Flows and Cash Balances'!F14+'Cash Flows and Cash Balances'!F15+'Cash Flows and Cash Balances'!F16</f>
        <v>1326276.1200000001</v>
      </c>
      <c r="E6" s="1192">
        <f>'Cash Flows and Cash Balances'!G14+'Cash Flows and Cash Balances'!G15+'Cash Flows and Cash Balances'!G16</f>
        <v>4149588.6999231176</v>
      </c>
      <c r="F6" s="1192">
        <f>'Cash Flows and Cash Balances'!H14+'Cash Flows and Cash Balances'!H15+'Cash Flows and Cash Balances'!H16</f>
        <v>8023704.4051428009</v>
      </c>
      <c r="G6" s="1192">
        <f>'Cash Flows and Cash Balances'!I14+'Cash Flows and Cash Balances'!I15+'Cash Flows and Cash Balances'!I16</f>
        <v>5726066.327658833</v>
      </c>
      <c r="H6" s="1192">
        <f>'Cash Flows and Cash Balances'!J14+'Cash Flows and Cash Balances'!J15+'Cash Flows and Cash Balances'!J16</f>
        <v>4347345.0899064792</v>
      </c>
      <c r="I6" s="1192">
        <f>'Cash Flows and Cash Balances'!K14+'Cash Flows and Cash Balances'!K15+'Cash Flows and Cash Balances'!K16</f>
        <v>4451097.1397277042</v>
      </c>
    </row>
    <row r="7" spans="3:9" ht="16.2" thickBot="1" x14ac:dyDescent="0.35">
      <c r="C7" s="1189" t="s">
        <v>2283</v>
      </c>
      <c r="D7" s="1193">
        <f>D5+D6</f>
        <v>13845697.344169997</v>
      </c>
      <c r="E7" s="1193">
        <f t="shared" ref="E7:I7" si="0">E5+E6</f>
        <v>17068148.113417994</v>
      </c>
      <c r="F7" s="1193">
        <f t="shared" si="0"/>
        <v>21353781.133073922</v>
      </c>
      <c r="G7" s="1193">
        <f t="shared" si="0"/>
        <v>19481685.216198813</v>
      </c>
      <c r="H7" s="1193">
        <f t="shared" si="0"/>
        <v>18543099.598737985</v>
      </c>
      <c r="I7" s="1193">
        <f t="shared" si="0"/>
        <v>19058003.334088154</v>
      </c>
    </row>
    <row r="8" spans="3:9" ht="16.2" thickBot="1" x14ac:dyDescent="0.35">
      <c r="C8" s="1189" t="s">
        <v>1637</v>
      </c>
      <c r="D8" s="1194">
        <f>'Cash Flows and Cash Balances'!F10</f>
        <v>16585104.426261144</v>
      </c>
      <c r="E8" s="1194">
        <f>'Cash Flows and Cash Balances'!G10</f>
        <v>17564802.106439628</v>
      </c>
      <c r="F8" s="1194">
        <f>'Cash Flows and Cash Balances'!H10</f>
        <v>18407164.663655844</v>
      </c>
      <c r="G8" s="1194">
        <f>'Cash Flows and Cash Balances'!I10</f>
        <v>19290267.22908704</v>
      </c>
      <c r="H8" s="1194">
        <f>'Cash Flows and Cash Balances'!J10</f>
        <v>20216082.816706531</v>
      </c>
      <c r="I8" s="1194">
        <f>'Cash Flows and Cash Balances'!K10</f>
        <v>20171941.748126697</v>
      </c>
    </row>
    <row r="9" spans="3:9" ht="16.2" thickBot="1" x14ac:dyDescent="0.35">
      <c r="C9" s="1196"/>
      <c r="D9" s="1197"/>
    </row>
    <row r="10" spans="3:9" ht="16.2" thickBot="1" x14ac:dyDescent="0.35">
      <c r="C10" s="1189" t="s">
        <v>2284</v>
      </c>
      <c r="D10" s="1191">
        <f>'Cash Flows and Cash Balances'!F19</f>
        <v>2739407.0820911471</v>
      </c>
      <c r="E10" s="1191">
        <f>'Cash Flows and Cash Balances'!G19</f>
        <v>496653.99302163348</v>
      </c>
      <c r="F10" s="1191">
        <f>'Cash Flows and Cash Balances'!H19</f>
        <v>-2946616.4694180749</v>
      </c>
      <c r="G10" s="1191">
        <f>'Cash Flows and Cash Balances'!I19</f>
        <v>-191417.98711177334</v>
      </c>
      <c r="H10" s="1191">
        <f>'Cash Flows and Cash Balances'!J19</f>
        <v>1672983.2179685459</v>
      </c>
      <c r="I10" s="1191">
        <f>'Cash Flows and Cash Balances'!K19</f>
        <v>1113938.4140385464</v>
      </c>
    </row>
    <row r="12" spans="3:9" ht="16.2" thickBot="1" x14ac:dyDescent="0.35"/>
    <row r="13" spans="3:9" ht="16.2" thickBot="1" x14ac:dyDescent="0.35">
      <c r="C13" s="1188" t="s">
        <v>13</v>
      </c>
      <c r="D13" s="1195"/>
    </row>
    <row r="14" spans="3:9" ht="16.2" thickBot="1" x14ac:dyDescent="0.35">
      <c r="C14" s="1189" t="s">
        <v>2282</v>
      </c>
      <c r="D14" s="1198">
        <f>Dashboard!C67</f>
        <v>0.2</v>
      </c>
      <c r="E14" s="1198">
        <f>Dashboard!D67</f>
        <v>0.05</v>
      </c>
      <c r="F14" s="1198">
        <f>Dashboard!E67</f>
        <v>0.05</v>
      </c>
      <c r="G14" s="1198">
        <f>Dashboard!F67</f>
        <v>0.05</v>
      </c>
      <c r="H14" s="1198">
        <f>Dashboard!G67</f>
        <v>0.05</v>
      </c>
      <c r="I14" s="1198">
        <f>Dashboard!O67</f>
        <v>0</v>
      </c>
    </row>
    <row r="15" spans="3:9" ht="16.2" thickBot="1" x14ac:dyDescent="0.35">
      <c r="C15" s="1190" t="s">
        <v>348</v>
      </c>
      <c r="D15" s="1191">
        <f>'Cash Flows and Cash Balances'!F52</f>
        <v>1263535.619465</v>
      </c>
      <c r="E15" s="1191">
        <f>'Cash Flows and Cash Balances'!G52</f>
        <v>1258850.3912375541</v>
      </c>
      <c r="F15" s="1191">
        <f>'Cash Flows and Cash Balances'!H52</f>
        <v>1306082.6230100906</v>
      </c>
      <c r="G15" s="1191">
        <f>'Cash Flows and Cash Balances'!I52</f>
        <v>1355330.0612126112</v>
      </c>
      <c r="H15" s="1191">
        <f>'Cash Flows and Cash Balances'!J52</f>
        <v>1406696.6431072163</v>
      </c>
      <c r="I15" s="1191">
        <f>'Cash Flows and Cash Balances'!K52</f>
        <v>1460292.9688936626</v>
      </c>
    </row>
    <row r="16" spans="3:9" ht="16.2" thickBot="1" x14ac:dyDescent="0.35">
      <c r="C16" s="1190" t="s">
        <v>350</v>
      </c>
      <c r="D16" s="1192">
        <f>'Cash Flows and Cash Balances'!F53+'Cash Flows and Cash Balances'!F54+'Cash Flows and Cash Balances'!F55</f>
        <v>530000</v>
      </c>
      <c r="E16" s="1192">
        <f>'Cash Flows and Cash Balances'!G53+'Cash Flows and Cash Balances'!G54+'Cash Flows and Cash Balances'!G55</f>
        <v>750000</v>
      </c>
      <c r="F16" s="1192">
        <f>'Cash Flows and Cash Balances'!H53+'Cash Flows and Cash Balances'!H54+'Cash Flows and Cash Balances'!H55</f>
        <v>650000</v>
      </c>
      <c r="G16" s="1192">
        <f>'Cash Flows and Cash Balances'!I53+'Cash Flows and Cash Balances'!I54+'Cash Flows and Cash Balances'!I55</f>
        <v>650000</v>
      </c>
      <c r="H16" s="1192">
        <f>'Cash Flows and Cash Balances'!J53+'Cash Flows and Cash Balances'!J54+'Cash Flows and Cash Balances'!J55</f>
        <v>670000</v>
      </c>
      <c r="I16" s="1192">
        <f>'Cash Flows and Cash Balances'!K53+'Cash Flows and Cash Balances'!K54+'Cash Flows and Cash Balances'!K55</f>
        <v>650000</v>
      </c>
    </row>
    <row r="17" spans="3:9" ht="16.2" thickBot="1" x14ac:dyDescent="0.35">
      <c r="C17" s="1189" t="s">
        <v>2283</v>
      </c>
      <c r="D17" s="1193">
        <f>D15+D16</f>
        <v>1793535.619465</v>
      </c>
      <c r="E17" s="1193">
        <f t="shared" ref="E17:I17" si="1">E15+E16</f>
        <v>2008850.3912375541</v>
      </c>
      <c r="F17" s="1193">
        <f t="shared" si="1"/>
        <v>1956082.6230100906</v>
      </c>
      <c r="G17" s="1193">
        <f t="shared" si="1"/>
        <v>2005330.0612126112</v>
      </c>
      <c r="H17" s="1193">
        <f t="shared" si="1"/>
        <v>2076696.6431072163</v>
      </c>
      <c r="I17" s="1193">
        <f t="shared" si="1"/>
        <v>2110292.9688936626</v>
      </c>
    </row>
    <row r="18" spans="3:9" ht="16.2" thickBot="1" x14ac:dyDescent="0.35">
      <c r="C18" s="1189" t="s">
        <v>1637</v>
      </c>
      <c r="D18" s="1194">
        <f>'Cash Flows and Cash Balances'!F49</f>
        <v>2014486.7404212153</v>
      </c>
      <c r="E18" s="1194">
        <f>'Cash Flows and Cash Balances'!G49</f>
        <v>2186669.0107777338</v>
      </c>
      <c r="F18" s="1194">
        <f>'Cash Flows and Cash Balances'!H49</f>
        <v>2291745.8293711236</v>
      </c>
      <c r="G18" s="1194">
        <f>'Cash Flows and Cash Balances'!I49</f>
        <v>2401869.7114201393</v>
      </c>
      <c r="H18" s="1194">
        <f>'Cash Flows and Cash Balances'!J49</f>
        <v>2517282.5950940968</v>
      </c>
      <c r="I18" s="1194">
        <f>'Cash Flows and Cash Balances'!K49</f>
        <v>2508498.454372257</v>
      </c>
    </row>
    <row r="19" spans="3:9" ht="16.2" thickBot="1" x14ac:dyDescent="0.35">
      <c r="C19" s="1196"/>
      <c r="D19" s="1197"/>
      <c r="E19" s="1197"/>
      <c r="F19" s="1197"/>
      <c r="G19" s="1197"/>
      <c r="H19" s="1197"/>
      <c r="I19" s="1197"/>
    </row>
    <row r="20" spans="3:9" ht="16.2" thickBot="1" x14ac:dyDescent="0.35">
      <c r="C20" s="1189" t="s">
        <v>2284</v>
      </c>
      <c r="D20" s="1191">
        <f>'Cash Flows and Cash Balances'!F58</f>
        <v>220951.12095621531</v>
      </c>
      <c r="E20" s="1191">
        <f>'Cash Flows and Cash Balances'!G58</f>
        <v>177818.61954017961</v>
      </c>
      <c r="F20" s="1191">
        <f>'Cash Flows and Cash Balances'!H58</f>
        <v>335663.20636103302</v>
      </c>
      <c r="G20" s="1191">
        <f>'Cash Flows and Cash Balances'!I58</f>
        <v>396539.65020752815</v>
      </c>
      <c r="H20" s="1191">
        <f>'Cash Flows and Cash Balances'!J58</f>
        <v>440585.95198688051</v>
      </c>
      <c r="I20" s="1191">
        <f>'Cash Flows and Cash Balances'!K58</f>
        <v>398205.48547859443</v>
      </c>
    </row>
    <row r="21" spans="3:9" ht="16.2" thickBot="1" x14ac:dyDescent="0.35"/>
    <row r="22" spans="3:9" ht="16.2" thickBot="1" x14ac:dyDescent="0.35">
      <c r="C22" s="1188" t="s">
        <v>347</v>
      </c>
      <c r="D22" s="1195"/>
    </row>
    <row r="23" spans="3:9" ht="16.2" thickBot="1" x14ac:dyDescent="0.35">
      <c r="C23" s="1189" t="s">
        <v>2282</v>
      </c>
      <c r="D23" s="1198">
        <f>Dashboard!C82</f>
        <v>1</v>
      </c>
      <c r="E23" s="1198">
        <f>Dashboard!D82</f>
        <v>0.05</v>
      </c>
      <c r="F23" s="1198">
        <f>Dashboard!E82</f>
        <v>0.04</v>
      </c>
      <c r="G23" s="1198">
        <f>Dashboard!F82</f>
        <v>0.03</v>
      </c>
      <c r="H23" s="1198">
        <f>Dashboard!G82</f>
        <v>0.03</v>
      </c>
      <c r="I23" s="1198">
        <f>Dashboard!O82</f>
        <v>0</v>
      </c>
    </row>
    <row r="24" spans="3:9" ht="16.2" thickBot="1" x14ac:dyDescent="0.35">
      <c r="C24" s="1190" t="s">
        <v>348</v>
      </c>
      <c r="D24" s="1191">
        <f>'Cash Flows and Cash Balances'!F91</f>
        <v>1444815.619465</v>
      </c>
      <c r="E24" s="1191">
        <f>'Cash Flows and Cash Balances'!G91</f>
        <v>1497035.7966835687</v>
      </c>
      <c r="F24" s="1191">
        <f>'Cash Flows and Cash Balances'!H91</f>
        <v>1551380.0827007389</v>
      </c>
      <c r="G24" s="1191">
        <f>'Cash Flows and Cash Balances'!I91</f>
        <v>1607952.4180057009</v>
      </c>
      <c r="H24" s="1191">
        <f>'Cash Flows and Cash Balances'!J91</f>
        <v>1666863.1197873186</v>
      </c>
      <c r="I24" s="1191">
        <f>'Cash Flows and Cash Balances'!K91</f>
        <v>1728229.3596213614</v>
      </c>
    </row>
    <row r="25" spans="3:9" ht="16.2" thickBot="1" x14ac:dyDescent="0.35">
      <c r="C25" s="1190" t="s">
        <v>350</v>
      </c>
      <c r="D25" s="1192">
        <f>'Cash Flows and Cash Balances'!F92+'Cash Flows and Cash Balances'!F93+'Cash Flows and Cash Balances'!F94</f>
        <v>2625460</v>
      </c>
      <c r="E25" s="1192">
        <f>'Cash Flows and Cash Balances'!G92+'Cash Flows and Cash Balances'!G93+'Cash Flows and Cash Balances'!G94</f>
        <v>500000</v>
      </c>
      <c r="F25" s="1192">
        <f>'Cash Flows and Cash Balances'!H92+'Cash Flows and Cash Balances'!H93+'Cash Flows and Cash Balances'!H94</f>
        <v>1469409.9848699169</v>
      </c>
      <c r="G25" s="1192">
        <f>'Cash Flows and Cash Balances'!I92+'Cash Flows and Cash Balances'!I93+'Cash Flows and Cash Balances'!I94</f>
        <v>1783534.6616034971</v>
      </c>
      <c r="H25" s="1192">
        <f>'Cash Flows and Cash Balances'!J92+'Cash Flows and Cash Balances'!J93+'Cash Flows and Cash Balances'!J94</f>
        <v>1861360.1338537412</v>
      </c>
      <c r="I25" s="1192">
        <f>'Cash Flows and Cash Balances'!K92+'Cash Flows and Cash Balances'!K93+'Cash Flows and Cash Balances'!K94</f>
        <v>1900272.8699788633</v>
      </c>
    </row>
    <row r="26" spans="3:9" ht="16.2" thickBot="1" x14ac:dyDescent="0.35">
      <c r="C26" s="1189" t="s">
        <v>2283</v>
      </c>
      <c r="D26" s="1193">
        <f>D24+D25</f>
        <v>4070275.619465</v>
      </c>
      <c r="E26" s="1193">
        <f t="shared" ref="E26:I26" si="2">E24+E25</f>
        <v>1997035.7966835687</v>
      </c>
      <c r="F26" s="1193">
        <f t="shared" si="2"/>
        <v>3020790.0675706556</v>
      </c>
      <c r="G26" s="1193">
        <f t="shared" si="2"/>
        <v>3391487.079609198</v>
      </c>
      <c r="H26" s="1193">
        <f t="shared" si="2"/>
        <v>3528223.2536410596</v>
      </c>
      <c r="I26" s="1193">
        <f t="shared" si="2"/>
        <v>3628502.2296002246</v>
      </c>
    </row>
    <row r="27" spans="3:9" ht="16.2" thickBot="1" x14ac:dyDescent="0.35">
      <c r="C27" s="1189" t="s">
        <v>1637</v>
      </c>
      <c r="D27" s="1194">
        <f>'Cash Flows and Cash Balances'!F88</f>
        <v>2835033.9833587706</v>
      </c>
      <c r="E27" s="1194">
        <f>'Cash Flows and Cash Balances'!G88</f>
        <v>3377392.5110479337</v>
      </c>
      <c r="F27" s="1194">
        <f>'Cash Flows and Cash Balances'!H88</f>
        <v>3509657.7630403033</v>
      </c>
      <c r="G27" s="1194">
        <f>'Cash Flows and Cash Balances'!I88</f>
        <v>3612601.6405871967</v>
      </c>
      <c r="H27" s="1194">
        <f>'Cash Flows and Cash Balances'!J88</f>
        <v>3718496.2217229782</v>
      </c>
      <c r="I27" s="1194">
        <f>'Cash Flows and Cash Balances'!K88</f>
        <v>3702263.4557108507</v>
      </c>
    </row>
    <row r="28" spans="3:9" ht="16.2" thickBot="1" x14ac:dyDescent="0.35">
      <c r="C28" s="1196"/>
      <c r="D28" s="1197"/>
      <c r="E28" s="1197"/>
      <c r="F28" s="1197"/>
      <c r="G28" s="1197"/>
      <c r="H28" s="1197"/>
      <c r="I28" s="1197"/>
    </row>
    <row r="29" spans="3:9" ht="16.2" thickBot="1" x14ac:dyDescent="0.35">
      <c r="C29" s="1189" t="s">
        <v>2284</v>
      </c>
      <c r="D29" s="1191">
        <f>'Cash Flows and Cash Balances'!F97</f>
        <v>-1235241.6361062294</v>
      </c>
      <c r="E29" s="1191">
        <f>'Cash Flows and Cash Balances'!G97</f>
        <v>1380356.714364365</v>
      </c>
      <c r="F29" s="1191">
        <f>'Cash Flows and Cash Balances'!H97</f>
        <v>488867.69546964718</v>
      </c>
      <c r="G29" s="1191">
        <f>'Cash Flows and Cash Balances'!I97</f>
        <v>221114.56097799819</v>
      </c>
      <c r="H29" s="1191">
        <f>'Cash Flows and Cash Balances'!J97</f>
        <v>190272.96808191855</v>
      </c>
      <c r="I29" s="1191">
        <f>'Cash Flows and Cash Balances'!K97</f>
        <v>73761.226110626012</v>
      </c>
    </row>
    <row r="32" spans="3:9" ht="16.2" thickBot="1" x14ac:dyDescent="0.35"/>
    <row r="33" spans="3:8" x14ac:dyDescent="0.3">
      <c r="C33" s="1332" t="s">
        <v>2285</v>
      </c>
      <c r="D33" s="1200" t="s">
        <v>2286</v>
      </c>
      <c r="E33" s="1200" t="s">
        <v>1700</v>
      </c>
      <c r="F33" s="1334" t="s">
        <v>2287</v>
      </c>
      <c r="G33" s="1249" t="s">
        <v>2286</v>
      </c>
      <c r="H33" s="1249" t="s">
        <v>1700</v>
      </c>
    </row>
    <row r="34" spans="3:8" ht="16.2" thickBot="1" x14ac:dyDescent="0.35">
      <c r="C34" s="1333"/>
      <c r="D34" s="1201" t="s">
        <v>4</v>
      </c>
      <c r="E34" s="1201" t="s">
        <v>1596</v>
      </c>
      <c r="F34" s="1335"/>
      <c r="G34" s="1250" t="s">
        <v>4</v>
      </c>
      <c r="H34" s="1250" t="s">
        <v>1596</v>
      </c>
    </row>
    <row r="35" spans="3:8" ht="16.8" thickTop="1" thickBot="1" x14ac:dyDescent="0.35">
      <c r="C35" s="1205" t="s">
        <v>2288</v>
      </c>
      <c r="D35" s="1202">
        <v>9</v>
      </c>
      <c r="E35" s="1202">
        <v>9</v>
      </c>
      <c r="F35" s="1202">
        <v>9</v>
      </c>
    </row>
    <row r="36" spans="3:8" ht="16.2" thickBot="1" x14ac:dyDescent="0.35">
      <c r="C36" s="1206"/>
      <c r="D36" s="1203"/>
      <c r="E36" s="1203"/>
      <c r="F36" s="1203"/>
    </row>
    <row r="37" spans="3:8" ht="16.2" thickBot="1" x14ac:dyDescent="0.35">
      <c r="C37" s="1206" t="s">
        <v>2289</v>
      </c>
      <c r="D37" s="1203"/>
      <c r="E37" s="1203"/>
      <c r="F37" s="1203"/>
    </row>
    <row r="38" spans="3:8" ht="16.2" thickBot="1" x14ac:dyDescent="0.35">
      <c r="C38" s="1206" t="s">
        <v>2290</v>
      </c>
      <c r="D38" s="1204">
        <v>5.85</v>
      </c>
      <c r="E38" s="1204">
        <f>D38*1.027</f>
        <v>6.0079499999999992</v>
      </c>
      <c r="F38" s="1203"/>
      <c r="G38" s="1267">
        <f>D38*9+D39*4+D35</f>
        <v>90.57</v>
      </c>
      <c r="H38" s="1267">
        <f>E38*9+E39*4+E35</f>
        <v>92.772390000000001</v>
      </c>
    </row>
    <row r="39" spans="3:8" ht="16.2" thickBot="1" x14ac:dyDescent="0.35">
      <c r="C39" s="1206" t="s">
        <v>2291</v>
      </c>
      <c r="D39" s="1204">
        <v>7.23</v>
      </c>
      <c r="E39" s="1204">
        <f t="shared" ref="E39:E40" si="3">D39*1.027</f>
        <v>7.4252099999999999</v>
      </c>
      <c r="F39" s="1203"/>
    </row>
    <row r="40" spans="3:8" ht="16.2" thickBot="1" x14ac:dyDescent="0.35">
      <c r="C40" s="1206" t="s">
        <v>2292</v>
      </c>
      <c r="D40" s="1204">
        <v>8.6199999999999992</v>
      </c>
      <c r="E40" s="1204">
        <f t="shared" si="3"/>
        <v>8.8527399999999989</v>
      </c>
      <c r="F40" s="1203"/>
    </row>
    <row r="41" spans="3:8" ht="16.2" thickBot="1" x14ac:dyDescent="0.35">
      <c r="C41" s="1206"/>
      <c r="D41" s="1203"/>
      <c r="E41" s="1203"/>
      <c r="F41" s="1203"/>
    </row>
    <row r="42" spans="3:8" ht="16.2" thickBot="1" x14ac:dyDescent="0.35">
      <c r="C42" s="1206"/>
      <c r="D42" s="1203"/>
      <c r="E42" s="1203"/>
      <c r="F42" s="1203"/>
    </row>
    <row r="43" spans="3:8" ht="16.2" thickBot="1" x14ac:dyDescent="0.35">
      <c r="C43" s="1206" t="s">
        <v>2293</v>
      </c>
      <c r="D43" s="1203"/>
      <c r="E43" s="1203"/>
      <c r="F43" s="1204">
        <f>'Water Rate Projections'!G79</f>
        <v>5.6587589587394973</v>
      </c>
    </row>
    <row r="44" spans="3:8" ht="16.2" thickBot="1" x14ac:dyDescent="0.35">
      <c r="C44" s="1206" t="s">
        <v>2294</v>
      </c>
      <c r="D44" s="1203"/>
      <c r="E44" s="1203"/>
      <c r="F44" s="1204">
        <f>'Water Rate Projections'!G80</f>
        <v>7.0734486984243716</v>
      </c>
    </row>
    <row r="45" spans="3:8" ht="16.2" thickBot="1" x14ac:dyDescent="0.35">
      <c r="C45" s="1206" t="s">
        <v>2295</v>
      </c>
      <c r="D45" s="1203"/>
      <c r="E45" s="1203"/>
      <c r="F45" s="1204">
        <f>'Water Rate Projections'!G81</f>
        <v>8.488138438109246</v>
      </c>
    </row>
    <row r="46" spans="3:8" ht="16.2" thickBot="1" x14ac:dyDescent="0.35">
      <c r="C46" s="1206" t="s">
        <v>2296</v>
      </c>
      <c r="D46" s="1203"/>
      <c r="E46" s="1203"/>
      <c r="F46" s="1204">
        <f>'Water Rate Projections'!G82</f>
        <v>9.9028281777941203</v>
      </c>
    </row>
    <row r="48" spans="3:8" ht="16.2" thickBot="1" x14ac:dyDescent="0.35"/>
    <row r="49" spans="3:13" x14ac:dyDescent="0.3">
      <c r="C49" s="1332"/>
      <c r="D49" s="1200" t="s">
        <v>2286</v>
      </c>
      <c r="E49" s="1200" t="s">
        <v>1700</v>
      </c>
      <c r="F49" s="1334" t="s">
        <v>2287</v>
      </c>
    </row>
    <row r="50" spans="3:13" ht="16.2" thickBot="1" x14ac:dyDescent="0.35">
      <c r="C50" s="1333"/>
      <c r="D50" s="1201" t="s">
        <v>4</v>
      </c>
      <c r="E50" s="1201" t="s">
        <v>1596</v>
      </c>
      <c r="F50" s="1335"/>
    </row>
    <row r="51" spans="3:13" ht="16.8" thickTop="1" thickBot="1" x14ac:dyDescent="0.35">
      <c r="C51" s="1205" t="s">
        <v>1843</v>
      </c>
      <c r="D51" s="1202"/>
      <c r="E51" s="1202"/>
      <c r="F51" s="1202"/>
    </row>
    <row r="52" spans="3:13" ht="16.2" thickBot="1" x14ac:dyDescent="0.35">
      <c r="C52" s="1206" t="s">
        <v>2289</v>
      </c>
      <c r="D52" s="1207">
        <f>'Sewer Rate Projections'!D9</f>
        <v>0.84</v>
      </c>
      <c r="E52" s="1207">
        <f>D52*1.027</f>
        <v>0.86267999999999989</v>
      </c>
      <c r="F52" s="1207">
        <f>'Sewer Rate Projections'!E9</f>
        <v>1.008</v>
      </c>
      <c r="G52" s="1267">
        <f>D52*13</f>
        <v>10.92</v>
      </c>
      <c r="H52" s="1267">
        <f>E52*13</f>
        <v>11.214839999999999</v>
      </c>
    </row>
    <row r="53" spans="3:13" ht="16.2" thickBot="1" x14ac:dyDescent="0.35"/>
    <row r="54" spans="3:13" ht="16.8" thickTop="1" thickBot="1" x14ac:dyDescent="0.35">
      <c r="C54" s="1205" t="s">
        <v>1844</v>
      </c>
    </row>
    <row r="55" spans="3:13" ht="16.2" thickBot="1" x14ac:dyDescent="0.35">
      <c r="C55" s="1206" t="s">
        <v>2289</v>
      </c>
      <c r="D55" s="1207">
        <f>'Stormwater Rate Projections'!E9</f>
        <v>0.88</v>
      </c>
      <c r="E55" s="1207">
        <f>D55*1.027</f>
        <v>0.9037599999999999</v>
      </c>
      <c r="F55" s="1207">
        <f>'Stormwater Rate Projections'!F9</f>
        <v>1.76</v>
      </c>
      <c r="G55" s="1267">
        <f>D55*13</f>
        <v>11.44</v>
      </c>
      <c r="H55" s="1267">
        <f>E55*13</f>
        <v>11.748879999999998</v>
      </c>
    </row>
    <row r="58" spans="3:13" ht="16.2" thickBot="1" x14ac:dyDescent="0.35">
      <c r="G58" s="1267">
        <f>SUM(G38:G55)</f>
        <v>112.92999999999999</v>
      </c>
      <c r="H58" s="1267">
        <f>SUM(H38:H55)</f>
        <v>115.73611</v>
      </c>
    </row>
    <row r="59" spans="3:13" x14ac:dyDescent="0.3">
      <c r="C59" s="1332" t="s">
        <v>2297</v>
      </c>
      <c r="D59" s="1200" t="s">
        <v>2286</v>
      </c>
      <c r="E59" s="1334" t="s">
        <v>2287</v>
      </c>
      <c r="F59" s="1334" t="s">
        <v>1537</v>
      </c>
      <c r="I59"/>
      <c r="J59"/>
      <c r="K59"/>
      <c r="L59"/>
      <c r="M59"/>
    </row>
    <row r="60" spans="3:13" ht="16.2" thickBot="1" x14ac:dyDescent="0.35">
      <c r="C60" s="1333"/>
      <c r="D60" s="1201" t="s">
        <v>4</v>
      </c>
      <c r="E60" s="1335"/>
      <c r="F60" s="1335"/>
      <c r="I60"/>
      <c r="J60"/>
      <c r="K60"/>
      <c r="L60"/>
      <c r="M60"/>
    </row>
    <row r="61" spans="3:13" ht="16.2" thickTop="1" x14ac:dyDescent="0.3">
      <c r="C61" s="1209">
        <f>'Sample Bills'!C61*1000</f>
        <v>8000</v>
      </c>
      <c r="D61" s="1210">
        <f>'Sample Bills'!D92</f>
        <v>69.56</v>
      </c>
      <c r="E61" s="1210">
        <f>'Sample Bills'!F99</f>
        <v>77.828761409600858</v>
      </c>
      <c r="F61" s="1211">
        <f>(E61-D61)/D61</f>
        <v>0.11887236069006406</v>
      </c>
      <c r="I61"/>
      <c r="J61"/>
      <c r="K61"/>
      <c r="L61"/>
      <c r="M61"/>
    </row>
    <row r="62" spans="3:13" x14ac:dyDescent="0.3">
      <c r="C62" s="1209">
        <f>'Sample Bills'!C62*1000</f>
        <v>13000</v>
      </c>
      <c r="D62" s="1210">
        <f>'Sample Bills'!D93</f>
        <v>112.92999999999999</v>
      </c>
      <c r="E62" s="1210">
        <f>'Sample Bills'!F100</f>
        <v>128.45069464140758</v>
      </c>
      <c r="F62" s="1211">
        <f t="shared" ref="F62:F65" si="4">(E62-D62)/D62</f>
        <v>0.13743641761628964</v>
      </c>
      <c r="I62"/>
      <c r="J62"/>
      <c r="K62"/>
      <c r="L62"/>
      <c r="M62"/>
    </row>
    <row r="63" spans="3:13" x14ac:dyDescent="0.3">
      <c r="C63" s="1209">
        <f>'Sample Bills'!C63*1000</f>
        <v>20000</v>
      </c>
      <c r="D63" s="1210">
        <f>'Sample Bills'!D94</f>
        <v>178.36</v>
      </c>
      <c r="E63" s="1210">
        <f>'Sample Bills'!F101</f>
        <v>207.24366370817233</v>
      </c>
      <c r="F63" s="1211">
        <f t="shared" si="4"/>
        <v>0.16194025402653239</v>
      </c>
      <c r="I63"/>
      <c r="J63"/>
      <c r="K63"/>
      <c r="L63"/>
      <c r="M63"/>
    </row>
    <row r="64" spans="3:13" x14ac:dyDescent="0.3">
      <c r="C64" s="1209">
        <f>'Sample Bills'!C64*1000</f>
        <v>40000</v>
      </c>
      <c r="D64" s="1210">
        <f>'Sample Bills'!D95</f>
        <v>385.16</v>
      </c>
      <c r="E64" s="1210">
        <f>'Sample Bills'!F102</f>
        <v>457.83084778468503</v>
      </c>
      <c r="F64" s="1211">
        <f t="shared" si="4"/>
        <v>0.18867703755500312</v>
      </c>
      <c r="I64"/>
      <c r="J64"/>
      <c r="K64"/>
      <c r="L64"/>
      <c r="M64"/>
    </row>
    <row r="65" spans="3:13" x14ac:dyDescent="0.3">
      <c r="C65" s="1209">
        <f>'Sample Bills'!C65*1000</f>
        <v>80000</v>
      </c>
      <c r="D65" s="1210">
        <f>'Sample Bills'!D96</f>
        <v>798.76</v>
      </c>
      <c r="E65" s="1210">
        <f>'Sample Bills'!F103</f>
        <v>964.66397489644987</v>
      </c>
      <c r="F65" s="1211">
        <f t="shared" si="4"/>
        <v>0.20770190657575477</v>
      </c>
      <c r="I65"/>
      <c r="J65"/>
      <c r="K65"/>
      <c r="L65"/>
      <c r="M65"/>
    </row>
    <row r="66" spans="3:13" x14ac:dyDescent="0.3">
      <c r="C66" s="1208"/>
    </row>
    <row r="67" spans="3:13" x14ac:dyDescent="0.3">
      <c r="I67" s="1291"/>
      <c r="J67" s="1291"/>
      <c r="K67" s="1291"/>
      <c r="L67" s="1292"/>
    </row>
    <row r="68" spans="3:13" ht="18" x14ac:dyDescent="0.35">
      <c r="I68" s="1291"/>
      <c r="J68" s="1299" t="s">
        <v>2342</v>
      </c>
      <c r="K68" s="1329" t="s">
        <v>2343</v>
      </c>
      <c r="L68" s="1330"/>
      <c r="M68" s="1331"/>
    </row>
    <row r="69" spans="3:13" ht="31.2" x14ac:dyDescent="0.3">
      <c r="I69" s="1298"/>
      <c r="J69" s="1297" t="s">
        <v>2341</v>
      </c>
      <c r="K69" s="1297" t="s">
        <v>2340</v>
      </c>
      <c r="L69" s="1297" t="s">
        <v>2338</v>
      </c>
      <c r="M69" s="1297" t="s">
        <v>2339</v>
      </c>
    </row>
    <row r="70" spans="3:13" x14ac:dyDescent="0.3">
      <c r="I70" s="1293" t="s">
        <v>2336</v>
      </c>
      <c r="J70" s="1294">
        <v>13000</v>
      </c>
      <c r="K70" s="1294">
        <v>13000</v>
      </c>
      <c r="L70" s="1294">
        <v>12000</v>
      </c>
      <c r="M70" s="1294">
        <v>11000</v>
      </c>
    </row>
    <row r="71" spans="3:13" x14ac:dyDescent="0.3">
      <c r="I71" s="1295" t="s">
        <v>2337</v>
      </c>
      <c r="J71" s="1296">
        <f>'Customer Impact Table'!D688</f>
        <v>112.92999999999999</v>
      </c>
      <c r="K71" s="1296">
        <f>'Customer Impact Table'!E688</f>
        <v>128.45069464140758</v>
      </c>
      <c r="L71" s="1296">
        <f>'Customer Impact Table'!E687</f>
        <v>117.19455620329835</v>
      </c>
      <c r="M71" s="1296">
        <f>'Customer Impact Table'!E686</f>
        <v>107.35310750487396</v>
      </c>
    </row>
    <row r="72" spans="3:13" x14ac:dyDescent="0.3">
      <c r="I72" s="1290"/>
      <c r="J72" s="1289"/>
      <c r="L72"/>
      <c r="M72"/>
    </row>
    <row r="73" spans="3:13" x14ac:dyDescent="0.3">
      <c r="J73" s="1289"/>
      <c r="L73"/>
      <c r="M73"/>
    </row>
    <row r="74" spans="3:13" x14ac:dyDescent="0.3">
      <c r="J74" s="1289"/>
      <c r="K74" s="1289"/>
      <c r="L74"/>
      <c r="M74"/>
    </row>
    <row r="75" spans="3:13" x14ac:dyDescent="0.3">
      <c r="J75" s="1289"/>
      <c r="K75" s="1289"/>
      <c r="L75"/>
      <c r="M75"/>
    </row>
    <row r="76" spans="3:13" x14ac:dyDescent="0.3">
      <c r="L76"/>
      <c r="M76"/>
    </row>
    <row r="77" spans="3:13" x14ac:dyDescent="0.3">
      <c r="L77"/>
      <c r="M77"/>
    </row>
  </sheetData>
  <mergeCells count="8">
    <mergeCell ref="K68:M68"/>
    <mergeCell ref="C33:C34"/>
    <mergeCell ref="F33:F34"/>
    <mergeCell ref="C49:C50"/>
    <mergeCell ref="F49:F50"/>
    <mergeCell ref="C59:C60"/>
    <mergeCell ref="E59:E60"/>
    <mergeCell ref="F59:F60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B19" sqref="B19"/>
    </sheetView>
  </sheetViews>
  <sheetFormatPr defaultRowHeight="15.6" x14ac:dyDescent="0.3"/>
  <cols>
    <col min="1" max="1" width="30.69921875" bestFit="1" customWidth="1"/>
    <col min="10" max="10" width="30.69921875" bestFit="1" customWidth="1"/>
  </cols>
  <sheetData>
    <row r="1" spans="1:15" x14ac:dyDescent="0.3">
      <c r="A1" s="1109"/>
      <c r="B1" s="1282">
        <v>2016</v>
      </c>
      <c r="C1" s="1282">
        <v>2017</v>
      </c>
      <c r="D1" s="1282">
        <v>2018</v>
      </c>
      <c r="E1" s="1282">
        <v>2019</v>
      </c>
      <c r="F1" s="1282">
        <v>2020</v>
      </c>
      <c r="J1" s="1109"/>
      <c r="K1" s="1282">
        <v>2016</v>
      </c>
      <c r="L1" s="1282">
        <v>2017</v>
      </c>
      <c r="M1" s="1282">
        <v>2018</v>
      </c>
      <c r="N1" s="1282">
        <v>2019</v>
      </c>
      <c r="O1" s="1282">
        <v>2020</v>
      </c>
    </row>
    <row r="2" spans="1:15" x14ac:dyDescent="0.3">
      <c r="A2" s="1278" t="s">
        <v>2321</v>
      </c>
      <c r="B2" s="1282"/>
      <c r="C2" s="1282"/>
      <c r="D2" s="1282"/>
      <c r="E2" s="1282"/>
      <c r="F2" s="1282"/>
      <c r="J2" s="1278" t="s">
        <v>2321</v>
      </c>
      <c r="K2" s="1282"/>
      <c r="L2" s="1282"/>
      <c r="M2" s="1282"/>
      <c r="N2" s="1282"/>
      <c r="O2" s="1282"/>
    </row>
    <row r="3" spans="1:15" x14ac:dyDescent="0.3">
      <c r="A3" s="1279" t="s">
        <v>1725</v>
      </c>
      <c r="B3" s="1277">
        <f>'Water Rate Projections'!G78</f>
        <v>9</v>
      </c>
      <c r="C3" s="1277">
        <f>'Water Rate Projections'!H78</f>
        <v>9.4915568783611821</v>
      </c>
      <c r="D3" s="1277">
        <f>'Water Rate Projections'!I78</f>
        <v>9.9659456652360525</v>
      </c>
      <c r="E3" s="1277">
        <f>'Water Rate Projections'!J78</f>
        <v>10.464046151357293</v>
      </c>
      <c r="F3" s="1277">
        <f>'Water Rate Projections'!K78</f>
        <v>10.987043597145117</v>
      </c>
      <c r="J3" s="1279" t="s">
        <v>1725</v>
      </c>
      <c r="K3" s="1277">
        <v>9</v>
      </c>
      <c r="L3" s="1277">
        <v>9.4915568783611821</v>
      </c>
      <c r="M3" s="1277">
        <v>9.9659456652360525</v>
      </c>
      <c r="N3" s="1277">
        <v>10.464046151357293</v>
      </c>
      <c r="O3" s="1277">
        <v>10.987043597145117</v>
      </c>
    </row>
    <row r="4" spans="1:15" x14ac:dyDescent="0.3">
      <c r="A4" s="1280" t="s">
        <v>2317</v>
      </c>
      <c r="B4" s="1277">
        <f>'Water Rate Projections'!G79</f>
        <v>5.6587589587394973</v>
      </c>
      <c r="C4" s="1277">
        <f>'Water Rate Projections'!H79</f>
        <v>6.0154594152429359</v>
      </c>
      <c r="D4" s="1277">
        <f>'Water Rate Projections'!I79</f>
        <v>6.3162427583804854</v>
      </c>
      <c r="E4" s="1277">
        <f>'Water Rate Projections'!J79</f>
        <v>6.632065696582913</v>
      </c>
      <c r="F4" s="1277">
        <f>'Water Rate Projections'!K79</f>
        <v>6.9636802276483447</v>
      </c>
      <c r="J4" s="1280" t="s">
        <v>2317</v>
      </c>
      <c r="K4" s="1277">
        <v>5.6587589587394973</v>
      </c>
      <c r="L4" s="1277">
        <v>6.0154594152429359</v>
      </c>
      <c r="M4" s="1277">
        <v>6.3162427583804854</v>
      </c>
      <c r="N4" s="1277">
        <v>6.632065696582913</v>
      </c>
      <c r="O4" s="1277">
        <v>6.9636802276483447</v>
      </c>
    </row>
    <row r="5" spans="1:15" x14ac:dyDescent="0.3">
      <c r="A5" s="1280" t="s">
        <v>2318</v>
      </c>
      <c r="B5" s="1277">
        <f>'Water Rate Projections'!G80</f>
        <v>7.0734486984243716</v>
      </c>
      <c r="C5" s="1277">
        <f>'Water Rate Projections'!H80</f>
        <v>7.5193242690536701</v>
      </c>
      <c r="D5" s="1277">
        <f>'Water Rate Projections'!I80</f>
        <v>7.895303447975607</v>
      </c>
      <c r="E5" s="1277">
        <f>'Water Rate Projections'!J80</f>
        <v>8.2900821207286413</v>
      </c>
      <c r="F5" s="1277">
        <f>'Water Rate Projections'!K80</f>
        <v>8.7046002845604313</v>
      </c>
      <c r="J5" s="1280" t="s">
        <v>2318</v>
      </c>
      <c r="K5" s="1277">
        <v>7.0734486984243716</v>
      </c>
      <c r="L5" s="1277">
        <v>7.5193242690536701</v>
      </c>
      <c r="M5" s="1277">
        <v>7.895303447975607</v>
      </c>
      <c r="N5" s="1277">
        <v>8.2900821207286413</v>
      </c>
      <c r="O5" s="1277">
        <v>8.7046002845604313</v>
      </c>
    </row>
    <row r="6" spans="1:15" x14ac:dyDescent="0.3">
      <c r="A6" s="1280" t="s">
        <v>2319</v>
      </c>
      <c r="B6" s="1277">
        <f>'Water Rate Projections'!G81</f>
        <v>8.488138438109246</v>
      </c>
      <c r="C6" s="1277">
        <f>'Water Rate Projections'!H81</f>
        <v>9.0231891228644034</v>
      </c>
      <c r="D6" s="1277">
        <f>'Water Rate Projections'!I81</f>
        <v>9.4743641375707277</v>
      </c>
      <c r="E6" s="1277">
        <f>'Water Rate Projections'!J81</f>
        <v>9.9480985448743695</v>
      </c>
      <c r="F6" s="1277">
        <f>'Water Rate Projections'!K81</f>
        <v>10.445520341472516</v>
      </c>
      <c r="J6" s="1280" t="s">
        <v>2319</v>
      </c>
      <c r="K6" s="1277">
        <v>8.488138438109246</v>
      </c>
      <c r="L6" s="1277">
        <v>9.0231891228644034</v>
      </c>
      <c r="M6" s="1277">
        <v>9.4743641375707277</v>
      </c>
      <c r="N6" s="1277">
        <v>9.9480985448743695</v>
      </c>
      <c r="O6" s="1277">
        <v>10.445520341472516</v>
      </c>
    </row>
    <row r="7" spans="1:15" x14ac:dyDescent="0.3">
      <c r="A7" s="1280" t="s">
        <v>2320</v>
      </c>
      <c r="B7" s="1277">
        <f>'Water Rate Projections'!G82</f>
        <v>9.9028281777941203</v>
      </c>
      <c r="C7" s="1277">
        <f>'Water Rate Projections'!H82</f>
        <v>10.527053976675138</v>
      </c>
      <c r="D7" s="1277">
        <f>'Water Rate Projections'!I82</f>
        <v>11.05342482716585</v>
      </c>
      <c r="E7" s="1277">
        <f>'Water Rate Projections'!J82</f>
        <v>11.606114969020098</v>
      </c>
      <c r="F7" s="1277">
        <f>'Water Rate Projections'!K82</f>
        <v>12.186440398384603</v>
      </c>
      <c r="J7" s="1280" t="s">
        <v>2320</v>
      </c>
      <c r="K7" s="1277">
        <v>9.9028281777941203</v>
      </c>
      <c r="L7" s="1277">
        <v>10.527053976675138</v>
      </c>
      <c r="M7" s="1277">
        <v>11.05342482716585</v>
      </c>
      <c r="N7" s="1277">
        <v>11.606114969020098</v>
      </c>
      <c r="O7" s="1277">
        <v>12.186440398384603</v>
      </c>
    </row>
    <row r="8" spans="1:15" x14ac:dyDescent="0.3">
      <c r="A8" s="1109"/>
      <c r="B8" s="1109"/>
      <c r="C8" s="1109"/>
      <c r="D8" s="1109"/>
      <c r="E8" s="1109"/>
      <c r="F8" s="1109"/>
      <c r="J8" s="1109"/>
      <c r="K8" s="1109"/>
      <c r="L8" s="1109"/>
      <c r="M8" s="1109"/>
      <c r="N8" s="1109"/>
      <c r="O8" s="1109"/>
    </row>
    <row r="9" spans="1:15" x14ac:dyDescent="0.3">
      <c r="A9" s="1278" t="s">
        <v>2322</v>
      </c>
      <c r="B9" s="1109"/>
      <c r="C9" s="1109"/>
      <c r="D9" s="1109"/>
      <c r="E9" s="1109"/>
      <c r="F9" s="1109"/>
      <c r="J9" s="1278" t="s">
        <v>2322</v>
      </c>
      <c r="K9" s="1109"/>
      <c r="L9" s="1109"/>
      <c r="M9" s="1109"/>
      <c r="N9" s="1109"/>
      <c r="O9" s="1109"/>
    </row>
    <row r="10" spans="1:15" x14ac:dyDescent="0.3">
      <c r="A10" s="1279" t="s">
        <v>1725</v>
      </c>
      <c r="B10" s="1277">
        <f>'Water Rate Projections'!G85</f>
        <v>9</v>
      </c>
      <c r="C10" s="1277">
        <f>'Water Rate Projections'!H85</f>
        <v>9.4915568783611821</v>
      </c>
      <c r="D10" s="1277">
        <f>'Water Rate Projections'!I85</f>
        <v>9.9659456652360525</v>
      </c>
      <c r="E10" s="1277">
        <f>'Water Rate Projections'!J85</f>
        <v>10.464046151357293</v>
      </c>
      <c r="F10" s="1277">
        <f>'Water Rate Projections'!K85</f>
        <v>10.987043597145117</v>
      </c>
      <c r="J10" s="1279" t="s">
        <v>1725</v>
      </c>
      <c r="K10" s="1277">
        <v>9</v>
      </c>
      <c r="L10" s="1277">
        <v>9.4915568783611821</v>
      </c>
      <c r="M10" s="1277">
        <v>9.9659456652360525</v>
      </c>
      <c r="N10" s="1277">
        <v>10.464046151357293</v>
      </c>
      <c r="O10" s="1277">
        <v>10.987043597145117</v>
      </c>
    </row>
    <row r="11" spans="1:15" x14ac:dyDescent="0.3">
      <c r="A11" s="1280" t="s">
        <v>2317</v>
      </c>
      <c r="B11" s="1277">
        <f>'Water Rate Projections'!G86</f>
        <v>8.2052004901722704</v>
      </c>
      <c r="C11" s="1277">
        <f>'Water Rate Projections'!H86</f>
        <v>8.722416152102257</v>
      </c>
      <c r="D11" s="1277">
        <f>'Water Rate Projections'!I86</f>
        <v>9.1585519996517029</v>
      </c>
      <c r="E11" s="1277">
        <f>'Water Rate Projections'!J86</f>
        <v>9.6164952600452231</v>
      </c>
      <c r="F11" s="1277">
        <f>'Water Rate Projections'!K86</f>
        <v>10.0973363300901</v>
      </c>
      <c r="J11" s="1280" t="s">
        <v>2317</v>
      </c>
      <c r="K11" s="1277">
        <v>8.2052004901722704</v>
      </c>
      <c r="L11" s="1277">
        <v>8.722416152102257</v>
      </c>
      <c r="M11" s="1277">
        <v>9.1585519996517029</v>
      </c>
      <c r="N11" s="1277">
        <v>9.6164952600452231</v>
      </c>
      <c r="O11" s="1277">
        <v>10.0973363300901</v>
      </c>
    </row>
    <row r="12" spans="1:15" x14ac:dyDescent="0.3">
      <c r="A12" s="1280" t="s">
        <v>2318</v>
      </c>
      <c r="B12" s="1277">
        <f>'Water Rate Projections'!G87</f>
        <v>10.256500612715337</v>
      </c>
      <c r="C12" s="1277">
        <f>'Water Rate Projections'!H87</f>
        <v>10.903020190127821</v>
      </c>
      <c r="D12" s="1277">
        <f>'Water Rate Projections'!I87</f>
        <v>11.448189999564628</v>
      </c>
      <c r="E12" s="1277">
        <f>'Water Rate Projections'!J87</f>
        <v>12.020619075056528</v>
      </c>
      <c r="F12" s="1277">
        <f>'Water Rate Projections'!K87</f>
        <v>12.621670412612623</v>
      </c>
      <c r="J12" s="1280" t="s">
        <v>2318</v>
      </c>
      <c r="K12" s="1277">
        <v>10.256500612715337</v>
      </c>
      <c r="L12" s="1277">
        <v>10.903020190127821</v>
      </c>
      <c r="M12" s="1277">
        <v>11.448189999564628</v>
      </c>
      <c r="N12" s="1277">
        <v>12.020619075056528</v>
      </c>
      <c r="O12" s="1277">
        <v>12.621670412612623</v>
      </c>
    </row>
    <row r="13" spans="1:15" x14ac:dyDescent="0.3">
      <c r="A13" s="1280" t="s">
        <v>2319</v>
      </c>
      <c r="B13" s="1277">
        <f>'Water Rate Projections'!G88</f>
        <v>12.307800735258406</v>
      </c>
      <c r="C13" s="1277">
        <f>'Water Rate Projections'!H88</f>
        <v>13.083624228153385</v>
      </c>
      <c r="D13" s="1277">
        <f>'Water Rate Projections'!I88</f>
        <v>13.737827999477554</v>
      </c>
      <c r="E13" s="1277">
        <f>'Water Rate Projections'!J88</f>
        <v>14.424742890067835</v>
      </c>
      <c r="F13" s="1277">
        <f>'Water Rate Projections'!K88</f>
        <v>15.146004495135148</v>
      </c>
      <c r="J13" s="1280" t="s">
        <v>2319</v>
      </c>
      <c r="K13" s="1277">
        <v>12.307800735258406</v>
      </c>
      <c r="L13" s="1277">
        <v>13.083624228153385</v>
      </c>
      <c r="M13" s="1277">
        <v>13.737827999477554</v>
      </c>
      <c r="N13" s="1277">
        <v>14.424742890067835</v>
      </c>
      <c r="O13" s="1277">
        <v>15.146004495135148</v>
      </c>
    </row>
    <row r="14" spans="1:15" x14ac:dyDescent="0.3">
      <c r="A14" s="1280" t="s">
        <v>2320</v>
      </c>
      <c r="B14" s="1277">
        <f>'Water Rate Projections'!G89</f>
        <v>14.359100857801474</v>
      </c>
      <c r="C14" s="1277">
        <f>'Water Rate Projections'!H89</f>
        <v>15.26422826617895</v>
      </c>
      <c r="D14" s="1277">
        <f>'Water Rate Projections'!I89</f>
        <v>16.027465999390483</v>
      </c>
      <c r="E14" s="1277">
        <f>'Water Rate Projections'!J89</f>
        <v>16.828866705079143</v>
      </c>
      <c r="F14" s="1277">
        <f>'Water Rate Projections'!K89</f>
        <v>17.670338577657674</v>
      </c>
      <c r="J14" s="1280" t="s">
        <v>2320</v>
      </c>
      <c r="K14" s="1277">
        <v>14.359100857801474</v>
      </c>
      <c r="L14" s="1277">
        <v>15.26422826617895</v>
      </c>
      <c r="M14" s="1277">
        <v>16.027465999390483</v>
      </c>
      <c r="N14" s="1277">
        <v>16.828866705079143</v>
      </c>
      <c r="O14" s="1277">
        <v>17.670338577657674</v>
      </c>
    </row>
    <row r="15" spans="1:15" x14ac:dyDescent="0.3">
      <c r="A15" s="1109"/>
      <c r="B15" s="1109"/>
      <c r="C15" s="1109"/>
      <c r="D15" s="1109"/>
      <c r="E15" s="1109"/>
      <c r="F15" s="1109"/>
      <c r="J15" s="1109"/>
      <c r="K15" s="1109"/>
      <c r="L15" s="1109"/>
      <c r="M15" s="1109"/>
      <c r="N15" s="1109"/>
      <c r="O15" s="1109"/>
    </row>
    <row r="16" spans="1:15" x14ac:dyDescent="0.3">
      <c r="A16" s="1281" t="s">
        <v>2323</v>
      </c>
      <c r="B16" s="1277">
        <f>'Water Rate Projections'!G91</f>
        <v>6.8579999999999997</v>
      </c>
      <c r="C16" s="1277">
        <f>'Water Rate Projections'!H91</f>
        <v>7.2008999999999999</v>
      </c>
      <c r="D16" s="1277">
        <f>'Water Rate Projections'!I91</f>
        <v>7.5609450000000002</v>
      </c>
      <c r="E16" s="1277">
        <f>'Water Rate Projections'!J91</f>
        <v>7.938992250000001</v>
      </c>
      <c r="F16" s="1277">
        <f>'Water Rate Projections'!K91</f>
        <v>8.3359418625000021</v>
      </c>
      <c r="J16" s="1281" t="s">
        <v>2323</v>
      </c>
      <c r="K16" s="1277">
        <v>6.8579999999999997</v>
      </c>
      <c r="L16" s="1277">
        <v>7.2008999999999999</v>
      </c>
      <c r="M16" s="1277">
        <v>7.5609450000000002</v>
      </c>
      <c r="N16" s="1277">
        <v>7.938992250000001</v>
      </c>
      <c r="O16" s="1277">
        <v>8.3359418625000021</v>
      </c>
    </row>
    <row r="17" spans="1:15" x14ac:dyDescent="0.3">
      <c r="A17" s="1109"/>
      <c r="B17" s="1109"/>
      <c r="C17" s="1109"/>
      <c r="D17" s="1109"/>
      <c r="E17" s="1109"/>
      <c r="F17" s="1109"/>
      <c r="J17" s="1109"/>
      <c r="K17" s="1109"/>
      <c r="L17" s="1109"/>
      <c r="M17" s="1109"/>
      <c r="N17" s="1109"/>
      <c r="O17" s="1109"/>
    </row>
    <row r="18" spans="1:15" x14ac:dyDescent="0.3">
      <c r="A18" s="1278" t="s">
        <v>1843</v>
      </c>
      <c r="B18" s="1109"/>
      <c r="C18" s="1109"/>
      <c r="D18" s="1109"/>
      <c r="E18" s="1109"/>
      <c r="F18" s="1109"/>
      <c r="J18" s="1278" t="s">
        <v>1843</v>
      </c>
      <c r="K18" s="1109"/>
      <c r="L18" s="1109"/>
      <c r="M18" s="1109"/>
      <c r="N18" s="1109"/>
      <c r="O18" s="1109"/>
    </row>
    <row r="19" spans="1:15" x14ac:dyDescent="0.3">
      <c r="A19" s="1280" t="s">
        <v>2325</v>
      </c>
      <c r="B19" s="1277">
        <f>'Sewer Rate Projections'!E9</f>
        <v>1.008</v>
      </c>
      <c r="C19" s="1277">
        <f>'Sewer Rate Projections'!F9</f>
        <v>1.0584</v>
      </c>
      <c r="D19" s="1277">
        <f>'Sewer Rate Projections'!G9</f>
        <v>1.1113200000000001</v>
      </c>
      <c r="E19" s="1277">
        <f>'Sewer Rate Projections'!H9</f>
        <v>1.1668860000000001</v>
      </c>
      <c r="F19" s="1277">
        <f>'Sewer Rate Projections'!I9</f>
        <v>1.2252303000000002</v>
      </c>
      <c r="J19" s="1280" t="s">
        <v>2325</v>
      </c>
      <c r="K19" s="1277">
        <v>1.008</v>
      </c>
      <c r="L19" s="1277">
        <v>1.0584</v>
      </c>
      <c r="M19" s="1277">
        <v>1.1113200000000001</v>
      </c>
      <c r="N19" s="1277">
        <v>1.1668860000000001</v>
      </c>
      <c r="O19" s="1277">
        <v>1.2252303000000002</v>
      </c>
    </row>
    <row r="20" spans="1:15" x14ac:dyDescent="0.3">
      <c r="A20" s="1280" t="s">
        <v>2326</v>
      </c>
      <c r="B20" s="1283">
        <f>B19*33</f>
        <v>33.264000000000003</v>
      </c>
      <c r="C20" s="1283">
        <f t="shared" ref="C20:F20" si="0">C19*33</f>
        <v>34.927199999999999</v>
      </c>
      <c r="D20" s="1283">
        <f t="shared" si="0"/>
        <v>36.673560000000002</v>
      </c>
      <c r="E20" s="1283">
        <f t="shared" si="0"/>
        <v>38.507238000000001</v>
      </c>
      <c r="F20" s="1283">
        <f t="shared" si="0"/>
        <v>40.432599900000007</v>
      </c>
      <c r="J20" s="1280" t="s">
        <v>2326</v>
      </c>
      <c r="K20" s="1283">
        <v>33.264000000000003</v>
      </c>
      <c r="L20" s="1283">
        <v>34.927199999999999</v>
      </c>
      <c r="M20" s="1283">
        <v>36.673560000000002</v>
      </c>
      <c r="N20" s="1283">
        <v>38.507238000000001</v>
      </c>
      <c r="O20" s="1283">
        <v>40.432599900000007</v>
      </c>
    </row>
    <row r="21" spans="1:15" x14ac:dyDescent="0.3">
      <c r="A21" s="1280" t="s">
        <v>2328</v>
      </c>
      <c r="B21" s="1283">
        <f>'Sewer Rate Projections'!E12</f>
        <v>2.2919999999999998</v>
      </c>
      <c r="C21" s="1283">
        <f>'Sewer Rate Projections'!F12</f>
        <v>2.4066000000000001</v>
      </c>
      <c r="D21" s="1283">
        <f>'Sewer Rate Projections'!G12</f>
        <v>2.5269300000000001</v>
      </c>
      <c r="E21" s="1283">
        <f>'Sewer Rate Projections'!H12</f>
        <v>2.6532765</v>
      </c>
      <c r="F21" s="1283">
        <f>'Sewer Rate Projections'!I12</f>
        <v>2.7859403250000003</v>
      </c>
      <c r="J21" s="1280" t="s">
        <v>2328</v>
      </c>
      <c r="K21" s="1283">
        <v>2.2919999999999998</v>
      </c>
      <c r="L21" s="1283">
        <v>2.4066000000000001</v>
      </c>
      <c r="M21" s="1283">
        <v>2.5269300000000001</v>
      </c>
      <c r="N21" s="1283">
        <v>2.6532765</v>
      </c>
      <c r="O21" s="1283">
        <v>2.7859403250000003</v>
      </c>
    </row>
    <row r="22" spans="1:15" x14ac:dyDescent="0.3">
      <c r="A22" s="1109"/>
      <c r="B22" s="1280"/>
      <c r="C22" s="1280"/>
      <c r="D22" s="1280"/>
      <c r="E22" s="1280"/>
      <c r="F22" s="1280"/>
      <c r="J22" s="1109"/>
      <c r="K22" s="1280"/>
      <c r="L22" s="1280"/>
      <c r="M22" s="1280"/>
      <c r="N22" s="1280"/>
      <c r="O22" s="1280"/>
    </row>
    <row r="23" spans="1:15" x14ac:dyDescent="0.3">
      <c r="A23" s="1278" t="s">
        <v>2324</v>
      </c>
      <c r="B23" s="1280"/>
      <c r="C23" s="1280"/>
      <c r="D23" s="1280"/>
      <c r="E23" s="1280"/>
      <c r="F23" s="1280"/>
      <c r="J23" s="1278" t="s">
        <v>2324</v>
      </c>
      <c r="K23" s="1280"/>
      <c r="L23" s="1280"/>
      <c r="M23" s="1280"/>
      <c r="N23" s="1280"/>
      <c r="O23" s="1280"/>
    </row>
    <row r="24" spans="1:15" x14ac:dyDescent="0.3">
      <c r="A24" s="1280" t="s">
        <v>2327</v>
      </c>
      <c r="B24" s="1283">
        <f>'Stormwater Rate Projections'!F9</f>
        <v>1.76</v>
      </c>
      <c r="C24" s="1283">
        <f>'Stormwater Rate Projections'!G9</f>
        <v>1.8480000000000001</v>
      </c>
      <c r="D24" s="1283">
        <f>'Stormwater Rate Projections'!H9</f>
        <v>1.9219200000000001</v>
      </c>
      <c r="E24" s="1283">
        <f>'Stormwater Rate Projections'!I9</f>
        <v>1.9795776</v>
      </c>
      <c r="F24" s="1283">
        <f>'Stormwater Rate Projections'!J9</f>
        <v>2.038964928</v>
      </c>
      <c r="J24" s="1280" t="s">
        <v>2327</v>
      </c>
      <c r="K24" s="1283">
        <v>1.76</v>
      </c>
      <c r="L24" s="1283">
        <v>1.8480000000000001</v>
      </c>
      <c r="M24" s="1283">
        <v>1.9219200000000001</v>
      </c>
      <c r="N24" s="1283">
        <v>1.9795776</v>
      </c>
      <c r="O24" s="1283">
        <v>2.038964928</v>
      </c>
    </row>
    <row r="25" spans="1:15" x14ac:dyDescent="0.3">
      <c r="A25" s="1280" t="s">
        <v>2329</v>
      </c>
      <c r="B25" s="1283">
        <f>'Stormwater Rate Projections'!F12</f>
        <v>1.32</v>
      </c>
      <c r="C25" s="1283">
        <f>'Stormwater Rate Projections'!G12</f>
        <v>1.3860000000000001</v>
      </c>
      <c r="D25" s="1283">
        <f>'Stormwater Rate Projections'!H12</f>
        <v>1.4414400000000003</v>
      </c>
      <c r="E25" s="1283">
        <f>'Stormwater Rate Projections'!I12</f>
        <v>1.4846832000000003</v>
      </c>
      <c r="F25" s="1283">
        <f>'Stormwater Rate Projections'!J12</f>
        <v>1.5292236960000003</v>
      </c>
      <c r="J25" s="1280" t="s">
        <v>2329</v>
      </c>
      <c r="K25" s="1283">
        <v>1.32</v>
      </c>
      <c r="L25" s="1283">
        <v>1.3860000000000001</v>
      </c>
      <c r="M25" s="1283">
        <v>1.4414400000000003</v>
      </c>
      <c r="N25" s="1283">
        <v>1.4846832000000003</v>
      </c>
      <c r="O25" s="1283">
        <v>1.5292236960000003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91"/>
  <sheetViews>
    <sheetView showGridLines="0" zoomScale="85" zoomScaleNormal="85" workbookViewId="0">
      <pane ySplit="4" topLeftCell="A209" activePane="bottomLeft" state="frozen"/>
      <selection activeCell="B113" sqref="B113"/>
      <selection pane="bottomLeft" activeCell="T478" sqref="T478"/>
    </sheetView>
  </sheetViews>
  <sheetFormatPr defaultColWidth="9" defaultRowHeight="14.4" outlineLevelCol="1" x14ac:dyDescent="0.3"/>
  <cols>
    <col min="1" max="1" width="3" style="123" customWidth="1"/>
    <col min="2" max="2" width="15.3984375" style="123" customWidth="1"/>
    <col min="3" max="3" width="33.5" style="123" customWidth="1"/>
    <col min="4" max="4" width="12.69921875" style="123" bestFit="1" customWidth="1"/>
    <col min="5" max="5" width="11.59765625" style="173" bestFit="1" customWidth="1"/>
    <col min="6" max="6" width="7.09765625" style="123" hidden="1" customWidth="1" outlineLevel="1"/>
    <col min="7" max="15" width="7.69921875" style="123" hidden="1" customWidth="1" outlineLevel="1"/>
    <col min="16" max="16" width="13.09765625" style="146" customWidth="1" collapsed="1"/>
    <col min="17" max="28" width="13.09765625" style="146" customWidth="1"/>
    <col min="29" max="16384" width="9" style="123"/>
  </cols>
  <sheetData>
    <row r="1" spans="1:29" s="114" customFormat="1" x14ac:dyDescent="0.3">
      <c r="A1" s="113"/>
      <c r="E1" s="174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</row>
    <row r="2" spans="1:29" s="117" customFormat="1" x14ac:dyDescent="0.3">
      <c r="B2" s="116" t="s">
        <v>1947</v>
      </c>
      <c r="E2" s="184"/>
      <c r="K2" s="118"/>
      <c r="L2" s="118"/>
      <c r="M2" s="118"/>
      <c r="N2" s="118"/>
      <c r="O2" s="118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20"/>
    </row>
    <row r="3" spans="1:29" s="115" customFormat="1" x14ac:dyDescent="0.3">
      <c r="B3" s="132" t="s">
        <v>345</v>
      </c>
      <c r="C3" s="117"/>
      <c r="D3" s="117"/>
      <c r="E3" s="184"/>
      <c r="F3" s="117"/>
      <c r="G3" s="117"/>
      <c r="H3" s="117"/>
      <c r="I3" s="117"/>
      <c r="J3" s="117"/>
      <c r="K3" s="118"/>
      <c r="L3" s="118"/>
      <c r="M3" s="118"/>
      <c r="N3" s="118"/>
      <c r="O3" s="118"/>
      <c r="P3" s="121" t="s">
        <v>0</v>
      </c>
      <c r="Q3" s="122" t="s">
        <v>0</v>
      </c>
      <c r="R3" s="122" t="s">
        <v>51</v>
      </c>
      <c r="S3" s="122" t="s">
        <v>1</v>
      </c>
      <c r="T3" s="122" t="s">
        <v>2</v>
      </c>
      <c r="U3" s="122" t="s">
        <v>2</v>
      </c>
      <c r="V3" s="122" t="s">
        <v>2</v>
      </c>
      <c r="W3" s="122" t="s">
        <v>2</v>
      </c>
      <c r="X3" s="122" t="s">
        <v>2</v>
      </c>
      <c r="Y3" s="122" t="s">
        <v>2</v>
      </c>
      <c r="Z3" s="122" t="s">
        <v>2</v>
      </c>
      <c r="AA3" s="122" t="s">
        <v>2</v>
      </c>
      <c r="AB3" s="122" t="s">
        <v>2</v>
      </c>
      <c r="AC3" s="114"/>
    </row>
    <row r="4" spans="1:29" x14ac:dyDescent="0.3">
      <c r="B4" s="70" t="s">
        <v>53</v>
      </c>
      <c r="C4" s="70" t="s">
        <v>54</v>
      </c>
      <c r="D4" s="70" t="s">
        <v>3</v>
      </c>
      <c r="E4" s="70" t="s">
        <v>15</v>
      </c>
      <c r="F4" s="70">
        <v>2016</v>
      </c>
      <c r="G4" s="70">
        <v>2017</v>
      </c>
      <c r="H4" s="70">
        <v>2018</v>
      </c>
      <c r="I4" s="70">
        <v>2019</v>
      </c>
      <c r="J4" s="70">
        <v>2020</v>
      </c>
      <c r="K4" s="70">
        <v>2021</v>
      </c>
      <c r="L4" s="70">
        <v>2022</v>
      </c>
      <c r="M4" s="70">
        <v>2023</v>
      </c>
      <c r="N4" s="70">
        <v>2024</v>
      </c>
      <c r="O4" s="70">
        <v>2025</v>
      </c>
      <c r="P4" s="70">
        <v>2013</v>
      </c>
      <c r="Q4" s="124">
        <v>2014</v>
      </c>
      <c r="R4" s="124" t="s">
        <v>4</v>
      </c>
      <c r="S4" s="124">
        <v>2016</v>
      </c>
      <c r="T4" s="124">
        <v>2017</v>
      </c>
      <c r="U4" s="124">
        <v>2018</v>
      </c>
      <c r="V4" s="124">
        <v>2019</v>
      </c>
      <c r="W4" s="124">
        <v>2020</v>
      </c>
      <c r="X4" s="124">
        <v>2021</v>
      </c>
      <c r="Y4" s="124">
        <v>2022</v>
      </c>
      <c r="Z4" s="124">
        <v>2023</v>
      </c>
      <c r="AA4" s="124">
        <v>2024</v>
      </c>
      <c r="AB4" s="124">
        <v>2025</v>
      </c>
    </row>
    <row r="5" spans="1:29" x14ac:dyDescent="0.3">
      <c r="B5" s="175" t="s">
        <v>70</v>
      </c>
      <c r="C5" s="91" t="s">
        <v>71</v>
      </c>
      <c r="D5" s="126" t="str">
        <f t="shared" ref="D5:D23" si="0">VLOOKUP(B5,$B$350:$D$387,3,FALSE)</f>
        <v>Personnel</v>
      </c>
      <c r="E5" s="172">
        <v>0.7</v>
      </c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8">
        <f t="shared" ref="P5:AB5" si="1">$E5*P350</f>
        <v>25943.127</v>
      </c>
      <c r="Q5" s="128">
        <f t="shared" si="1"/>
        <v>3208.8420000000001</v>
      </c>
      <c r="R5" s="128">
        <f t="shared" si="1"/>
        <v>0</v>
      </c>
      <c r="S5" s="128">
        <f t="shared" si="1"/>
        <v>0</v>
      </c>
      <c r="T5" s="128">
        <f t="shared" si="1"/>
        <v>0</v>
      </c>
      <c r="U5" s="128">
        <f t="shared" si="1"/>
        <v>0</v>
      </c>
      <c r="V5" s="128">
        <f t="shared" si="1"/>
        <v>0</v>
      </c>
      <c r="W5" s="128">
        <f t="shared" si="1"/>
        <v>0</v>
      </c>
      <c r="X5" s="128">
        <f t="shared" si="1"/>
        <v>0</v>
      </c>
      <c r="Y5" s="128">
        <f t="shared" si="1"/>
        <v>0</v>
      </c>
      <c r="Z5" s="128">
        <f t="shared" si="1"/>
        <v>0</v>
      </c>
      <c r="AA5" s="128">
        <f t="shared" si="1"/>
        <v>0</v>
      </c>
      <c r="AB5" s="128">
        <f t="shared" si="1"/>
        <v>0</v>
      </c>
    </row>
    <row r="6" spans="1:29" x14ac:dyDescent="0.3">
      <c r="B6" s="175" t="s">
        <v>72</v>
      </c>
      <c r="C6" s="91" t="s">
        <v>73</v>
      </c>
      <c r="D6" s="126" t="str">
        <f t="shared" si="0"/>
        <v>Personnel</v>
      </c>
      <c r="E6" s="172">
        <v>0.7</v>
      </c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>
        <f t="shared" ref="P6:AB6" si="2">$E6*P351</f>
        <v>84774.9</v>
      </c>
      <c r="Q6" s="128">
        <f t="shared" si="2"/>
        <v>81871.895000000004</v>
      </c>
      <c r="R6" s="128">
        <f t="shared" si="2"/>
        <v>76535.199999999997</v>
      </c>
      <c r="S6" s="128">
        <f>$E6*S351</f>
        <v>122869.59999999999</v>
      </c>
      <c r="T6" s="128">
        <f t="shared" si="2"/>
        <v>127170.03599999998</v>
      </c>
      <c r="U6" s="128">
        <f t="shared" si="2"/>
        <v>131620.98725999997</v>
      </c>
      <c r="V6" s="128">
        <f t="shared" si="2"/>
        <v>136227.72181409999</v>
      </c>
      <c r="W6" s="128">
        <f t="shared" si="2"/>
        <v>140995.69207759347</v>
      </c>
      <c r="X6" s="128">
        <f t="shared" si="2"/>
        <v>145930.54130030924</v>
      </c>
      <c r="Y6" s="128">
        <f t="shared" si="2"/>
        <v>151038.11024582005</v>
      </c>
      <c r="Z6" s="128">
        <f t="shared" si="2"/>
        <v>156324.44410442375</v>
      </c>
      <c r="AA6" s="128">
        <f t="shared" si="2"/>
        <v>161795.79964807857</v>
      </c>
      <c r="AB6" s="128">
        <f t="shared" si="2"/>
        <v>167458.6526357613</v>
      </c>
    </row>
    <row r="7" spans="1:29" x14ac:dyDescent="0.3">
      <c r="B7" s="175" t="s">
        <v>74</v>
      </c>
      <c r="C7" s="91" t="s">
        <v>75</v>
      </c>
      <c r="D7" s="126" t="str">
        <f t="shared" si="0"/>
        <v>Personnel</v>
      </c>
      <c r="E7" s="172">
        <v>0.7</v>
      </c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>
        <f t="shared" ref="P7:AB7" si="3">$E7*P352</f>
        <v>64215.031999999992</v>
      </c>
      <c r="Q7" s="128">
        <f t="shared" si="3"/>
        <v>70051.45</v>
      </c>
      <c r="R7" s="128">
        <f t="shared" si="3"/>
        <v>68113.5</v>
      </c>
      <c r="S7" s="861">
        <f t="shared" si="3"/>
        <v>0</v>
      </c>
      <c r="T7" s="128">
        <f t="shared" si="3"/>
        <v>0</v>
      </c>
      <c r="U7" s="128">
        <f t="shared" si="3"/>
        <v>0</v>
      </c>
      <c r="V7" s="128">
        <f t="shared" si="3"/>
        <v>0</v>
      </c>
      <c r="W7" s="128">
        <f t="shared" si="3"/>
        <v>0</v>
      </c>
      <c r="X7" s="128">
        <f t="shared" si="3"/>
        <v>0</v>
      </c>
      <c r="Y7" s="128">
        <f t="shared" si="3"/>
        <v>0</v>
      </c>
      <c r="Z7" s="128">
        <f t="shared" si="3"/>
        <v>0</v>
      </c>
      <c r="AA7" s="128">
        <f t="shared" si="3"/>
        <v>0</v>
      </c>
      <c r="AB7" s="128">
        <f t="shared" si="3"/>
        <v>0</v>
      </c>
    </row>
    <row r="8" spans="1:29" x14ac:dyDescent="0.3">
      <c r="B8" s="175" t="s">
        <v>76</v>
      </c>
      <c r="C8" s="91" t="s">
        <v>77</v>
      </c>
      <c r="D8" s="126" t="str">
        <f t="shared" si="0"/>
        <v>Personnel</v>
      </c>
      <c r="E8" s="172">
        <v>0.7</v>
      </c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8">
        <f t="shared" ref="P8:AB8" si="4">$E8*P353</f>
        <v>7.35</v>
      </c>
      <c r="Q8" s="128">
        <f t="shared" si="4"/>
        <v>0</v>
      </c>
      <c r="R8" s="128">
        <f t="shared" si="4"/>
        <v>0</v>
      </c>
      <c r="S8" s="128">
        <f t="shared" si="4"/>
        <v>0</v>
      </c>
      <c r="T8" s="128">
        <f t="shared" si="4"/>
        <v>0</v>
      </c>
      <c r="U8" s="128">
        <f>$E8*U353</f>
        <v>0</v>
      </c>
      <c r="V8" s="128">
        <f t="shared" si="4"/>
        <v>0</v>
      </c>
      <c r="W8" s="128">
        <f t="shared" si="4"/>
        <v>0</v>
      </c>
      <c r="X8" s="128">
        <f t="shared" si="4"/>
        <v>0</v>
      </c>
      <c r="Y8" s="128">
        <f t="shared" si="4"/>
        <v>0</v>
      </c>
      <c r="Z8" s="128">
        <f t="shared" si="4"/>
        <v>0</v>
      </c>
      <c r="AA8" s="128">
        <f t="shared" si="4"/>
        <v>0</v>
      </c>
      <c r="AB8" s="128">
        <f t="shared" si="4"/>
        <v>0</v>
      </c>
    </row>
    <row r="9" spans="1:29" x14ac:dyDescent="0.3">
      <c r="B9" s="175" t="s">
        <v>78</v>
      </c>
      <c r="C9" s="91" t="s">
        <v>79</v>
      </c>
      <c r="D9" s="126" t="str">
        <f t="shared" si="0"/>
        <v>Personnel</v>
      </c>
      <c r="E9" s="172">
        <v>0.7</v>
      </c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8">
        <f t="shared" ref="P9:AB9" si="5">$E9*P354</f>
        <v>1050</v>
      </c>
      <c r="Q9" s="128">
        <f t="shared" si="5"/>
        <v>0</v>
      </c>
      <c r="R9" s="128">
        <f t="shared" si="5"/>
        <v>0</v>
      </c>
      <c r="S9" s="128">
        <f t="shared" si="5"/>
        <v>0</v>
      </c>
      <c r="T9" s="128">
        <f t="shared" si="5"/>
        <v>0</v>
      </c>
      <c r="U9" s="128">
        <f t="shared" si="5"/>
        <v>0</v>
      </c>
      <c r="V9" s="128">
        <f t="shared" si="5"/>
        <v>0</v>
      </c>
      <c r="W9" s="128">
        <f t="shared" si="5"/>
        <v>0</v>
      </c>
      <c r="X9" s="128">
        <f t="shared" si="5"/>
        <v>0</v>
      </c>
      <c r="Y9" s="128">
        <f t="shared" si="5"/>
        <v>0</v>
      </c>
      <c r="Z9" s="128">
        <f t="shared" si="5"/>
        <v>0</v>
      </c>
      <c r="AA9" s="128">
        <f t="shared" si="5"/>
        <v>0</v>
      </c>
      <c r="AB9" s="128">
        <f t="shared" si="5"/>
        <v>0</v>
      </c>
    </row>
    <row r="10" spans="1:29" x14ac:dyDescent="0.3">
      <c r="B10" s="175" t="s">
        <v>80</v>
      </c>
      <c r="C10" s="91" t="s">
        <v>81</v>
      </c>
      <c r="D10" s="126" t="str">
        <f t="shared" si="0"/>
        <v>Personnel</v>
      </c>
      <c r="E10" s="172">
        <v>0.7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8">
        <f t="shared" ref="P10:AB10" si="6">$E10*P355</f>
        <v>0</v>
      </c>
      <c r="Q10" s="128">
        <f t="shared" si="6"/>
        <v>459.774</v>
      </c>
      <c r="R10" s="128">
        <f t="shared" si="6"/>
        <v>0</v>
      </c>
      <c r="S10" s="128">
        <f t="shared" si="6"/>
        <v>0</v>
      </c>
      <c r="T10" s="128">
        <f t="shared" si="6"/>
        <v>0</v>
      </c>
      <c r="U10" s="128">
        <f t="shared" si="6"/>
        <v>0</v>
      </c>
      <c r="V10" s="128">
        <f t="shared" si="6"/>
        <v>0</v>
      </c>
      <c r="W10" s="128">
        <f t="shared" si="6"/>
        <v>0</v>
      </c>
      <c r="X10" s="128">
        <f t="shared" si="6"/>
        <v>0</v>
      </c>
      <c r="Y10" s="128">
        <f t="shared" si="6"/>
        <v>0</v>
      </c>
      <c r="Z10" s="128">
        <f t="shared" si="6"/>
        <v>0</v>
      </c>
      <c r="AA10" s="128">
        <f t="shared" si="6"/>
        <v>0</v>
      </c>
      <c r="AB10" s="128">
        <f t="shared" si="6"/>
        <v>0</v>
      </c>
    </row>
    <row r="11" spans="1:29" x14ac:dyDescent="0.3">
      <c r="B11" s="175" t="s">
        <v>82</v>
      </c>
      <c r="C11" s="91" t="s">
        <v>83</v>
      </c>
      <c r="D11" s="126" t="str">
        <f t="shared" si="0"/>
        <v>Personnel</v>
      </c>
      <c r="E11" s="172">
        <v>0.7</v>
      </c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8">
        <f t="shared" ref="P11:AB11" si="7">$E11*P356</f>
        <v>10796.904999999999</v>
      </c>
      <c r="Q11" s="128">
        <f t="shared" si="7"/>
        <v>8955.3379999999997</v>
      </c>
      <c r="R11" s="128">
        <f t="shared" si="7"/>
        <v>8967.6999999999989</v>
      </c>
      <c r="S11" s="128">
        <f t="shared" si="7"/>
        <v>7617.4</v>
      </c>
      <c r="T11" s="128">
        <f t="shared" si="7"/>
        <v>7884.0089999999991</v>
      </c>
      <c r="U11" s="128">
        <f t="shared" si="7"/>
        <v>8159.949314999998</v>
      </c>
      <c r="V11" s="128">
        <f t="shared" si="7"/>
        <v>8445.5475410249965</v>
      </c>
      <c r="W11" s="128">
        <f t="shared" si="7"/>
        <v>8741.1417049608699</v>
      </c>
      <c r="X11" s="128">
        <f t="shared" si="7"/>
        <v>9047.0816646345011</v>
      </c>
      <c r="Y11" s="128">
        <f t="shared" si="7"/>
        <v>9363.7295228967087</v>
      </c>
      <c r="Z11" s="128">
        <f t="shared" si="7"/>
        <v>9691.4600561980915</v>
      </c>
      <c r="AA11" s="128">
        <f t="shared" si="7"/>
        <v>10030.661158165025</v>
      </c>
      <c r="AB11" s="128">
        <f t="shared" si="7"/>
        <v>10381.7342987008</v>
      </c>
    </row>
    <row r="12" spans="1:29" x14ac:dyDescent="0.3">
      <c r="B12" s="175" t="s">
        <v>84</v>
      </c>
      <c r="C12" s="91" t="s">
        <v>85</v>
      </c>
      <c r="D12" s="126" t="str">
        <f t="shared" si="0"/>
        <v>Personnel</v>
      </c>
      <c r="E12" s="172">
        <v>0.7</v>
      </c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8">
        <f t="shared" ref="P12:AB12" si="8">$E12*P357</f>
        <v>16317.118999999997</v>
      </c>
      <c r="Q12" s="128">
        <f t="shared" si="8"/>
        <v>17112.024999999998</v>
      </c>
      <c r="R12" s="128">
        <f t="shared" si="8"/>
        <v>14536.9</v>
      </c>
      <c r="S12" s="128">
        <f t="shared" si="8"/>
        <v>15137.499999999998</v>
      </c>
      <c r="T12" s="128">
        <f t="shared" si="8"/>
        <v>15667.312499999998</v>
      </c>
      <c r="U12" s="128">
        <f t="shared" si="8"/>
        <v>16215.668437499999</v>
      </c>
      <c r="V12" s="128">
        <f t="shared" si="8"/>
        <v>16783.216832812497</v>
      </c>
      <c r="W12" s="128">
        <f t="shared" si="8"/>
        <v>17370.629421960934</v>
      </c>
      <c r="X12" s="128">
        <f t="shared" si="8"/>
        <v>17978.601451729566</v>
      </c>
      <c r="Y12" s="128">
        <f t="shared" si="8"/>
        <v>18607.8525025401</v>
      </c>
      <c r="Z12" s="128">
        <f t="shared" si="8"/>
        <v>19259.127340129002</v>
      </c>
      <c r="AA12" s="128">
        <f t="shared" si="8"/>
        <v>19933.196797033517</v>
      </c>
      <c r="AB12" s="128">
        <f t="shared" si="8"/>
        <v>20630.858684929688</v>
      </c>
    </row>
    <row r="13" spans="1:29" x14ac:dyDescent="0.3">
      <c r="B13" s="175" t="s">
        <v>86</v>
      </c>
      <c r="C13" s="91" t="s">
        <v>87</v>
      </c>
      <c r="D13" s="126" t="str">
        <f t="shared" si="0"/>
        <v>Health</v>
      </c>
      <c r="E13" s="172">
        <v>0.7</v>
      </c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8">
        <f t="shared" ref="P13:AB13" si="9">$E13*P358</f>
        <v>20814.828999999998</v>
      </c>
      <c r="Q13" s="128">
        <f t="shared" si="9"/>
        <v>14869.973999999998</v>
      </c>
      <c r="R13" s="128">
        <f t="shared" si="9"/>
        <v>15578.499999999998</v>
      </c>
      <c r="S13" s="128">
        <f t="shared" si="9"/>
        <v>23315.599999999999</v>
      </c>
      <c r="T13" s="128">
        <f t="shared" si="9"/>
        <v>24714.536</v>
      </c>
      <c r="U13" s="128">
        <f t="shared" si="9"/>
        <v>26197.408160000003</v>
      </c>
      <c r="V13" s="128">
        <f t="shared" si="9"/>
        <v>27769.252649600006</v>
      </c>
      <c r="W13" s="128">
        <f t="shared" si="9"/>
        <v>29435.407808576008</v>
      </c>
      <c r="X13" s="128">
        <f t="shared" si="9"/>
        <v>31201.53227709057</v>
      </c>
      <c r="Y13" s="128">
        <f t="shared" si="9"/>
        <v>33073.624213716008</v>
      </c>
      <c r="Z13" s="128">
        <f t="shared" si="9"/>
        <v>35058.041666538971</v>
      </c>
      <c r="AA13" s="128">
        <f t="shared" si="9"/>
        <v>37161.524166531308</v>
      </c>
      <c r="AB13" s="128">
        <f t="shared" si="9"/>
        <v>39391.215616523186</v>
      </c>
    </row>
    <row r="14" spans="1:29" x14ac:dyDescent="0.3">
      <c r="B14" s="175" t="s">
        <v>88</v>
      </c>
      <c r="C14" s="91" t="s">
        <v>89</v>
      </c>
      <c r="D14" s="126" t="str">
        <f t="shared" si="0"/>
        <v>Health</v>
      </c>
      <c r="E14" s="172">
        <v>0.7</v>
      </c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8">
        <f t="shared" ref="P14:AB14" si="10">$E14*P359</f>
        <v>2524.8440000000001</v>
      </c>
      <c r="Q14" s="128">
        <f t="shared" si="10"/>
        <v>2094.8969999999999</v>
      </c>
      <c r="R14" s="128">
        <f t="shared" si="10"/>
        <v>2097.1999999999998</v>
      </c>
      <c r="S14" s="128">
        <f t="shared" si="10"/>
        <v>1782.1999999999998</v>
      </c>
      <c r="T14" s="128">
        <f t="shared" si="10"/>
        <v>1889.1320000000001</v>
      </c>
      <c r="U14" s="128">
        <f t="shared" si="10"/>
        <v>2002.47992</v>
      </c>
      <c r="V14" s="128">
        <f t="shared" si="10"/>
        <v>2122.6287152</v>
      </c>
      <c r="W14" s="128">
        <f t="shared" si="10"/>
        <v>2249.9864381120005</v>
      </c>
      <c r="X14" s="128">
        <f t="shared" si="10"/>
        <v>2384.9856243987206</v>
      </c>
      <c r="Y14" s="128">
        <f t="shared" si="10"/>
        <v>2528.084761862644</v>
      </c>
      <c r="Z14" s="128">
        <f t="shared" si="10"/>
        <v>2679.7698475744028</v>
      </c>
      <c r="AA14" s="128">
        <f t="shared" si="10"/>
        <v>2840.5560384288669</v>
      </c>
      <c r="AB14" s="128">
        <f t="shared" si="10"/>
        <v>3010.9894007345997</v>
      </c>
    </row>
    <row r="15" spans="1:29" x14ac:dyDescent="0.3">
      <c r="B15" s="175" t="s">
        <v>90</v>
      </c>
      <c r="C15" s="91" t="s">
        <v>91</v>
      </c>
      <c r="D15" s="126" t="str">
        <f t="shared" si="0"/>
        <v>Personnel</v>
      </c>
      <c r="E15" s="172">
        <v>0.7</v>
      </c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8">
        <f t="shared" ref="P15:AB15" si="11">$E15*P360</f>
        <v>161</v>
      </c>
      <c r="Q15" s="128">
        <f t="shared" si="11"/>
        <v>0</v>
      </c>
      <c r="R15" s="128">
        <f t="shared" si="11"/>
        <v>0</v>
      </c>
      <c r="S15" s="128">
        <f t="shared" si="11"/>
        <v>0</v>
      </c>
      <c r="T15" s="128">
        <f t="shared" si="11"/>
        <v>0</v>
      </c>
      <c r="U15" s="128">
        <f t="shared" si="11"/>
        <v>0</v>
      </c>
      <c r="V15" s="128">
        <f t="shared" si="11"/>
        <v>0</v>
      </c>
      <c r="W15" s="128">
        <f t="shared" si="11"/>
        <v>0</v>
      </c>
      <c r="X15" s="128">
        <f t="shared" si="11"/>
        <v>0</v>
      </c>
      <c r="Y15" s="128">
        <f t="shared" si="11"/>
        <v>0</v>
      </c>
      <c r="Z15" s="128">
        <f t="shared" si="11"/>
        <v>0</v>
      </c>
      <c r="AA15" s="128">
        <f t="shared" si="11"/>
        <v>0</v>
      </c>
      <c r="AB15" s="128">
        <f t="shared" si="11"/>
        <v>0</v>
      </c>
    </row>
    <row r="16" spans="1:29" x14ac:dyDescent="0.3">
      <c r="B16" s="175" t="s">
        <v>92</v>
      </c>
      <c r="C16" s="91" t="s">
        <v>93</v>
      </c>
      <c r="D16" s="126" t="str">
        <f t="shared" si="0"/>
        <v>CPI</v>
      </c>
      <c r="E16" s="172">
        <v>0.7</v>
      </c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8">
        <f t="shared" ref="P16:AB16" si="12">$E16*P361</f>
        <v>392.7</v>
      </c>
      <c r="Q16" s="128">
        <f t="shared" si="12"/>
        <v>0</v>
      </c>
      <c r="R16" s="128">
        <f t="shared" si="12"/>
        <v>0</v>
      </c>
      <c r="S16" s="128">
        <f t="shared" si="12"/>
        <v>0</v>
      </c>
      <c r="T16" s="128">
        <f t="shared" si="12"/>
        <v>0</v>
      </c>
      <c r="U16" s="128">
        <f t="shared" si="12"/>
        <v>0</v>
      </c>
      <c r="V16" s="128">
        <f t="shared" si="12"/>
        <v>0</v>
      </c>
      <c r="W16" s="128">
        <f t="shared" si="12"/>
        <v>0</v>
      </c>
      <c r="X16" s="128">
        <f t="shared" si="12"/>
        <v>0</v>
      </c>
      <c r="Y16" s="128">
        <f t="shared" si="12"/>
        <v>0</v>
      </c>
      <c r="Z16" s="128">
        <f t="shared" si="12"/>
        <v>0</v>
      </c>
      <c r="AA16" s="128">
        <f t="shared" si="12"/>
        <v>0</v>
      </c>
      <c r="AB16" s="128">
        <f t="shared" si="12"/>
        <v>0</v>
      </c>
    </row>
    <row r="17" spans="2:28" x14ac:dyDescent="0.3">
      <c r="B17" s="175" t="s">
        <v>94</v>
      </c>
      <c r="C17" s="91" t="s">
        <v>95</v>
      </c>
      <c r="D17" s="126" t="str">
        <f t="shared" si="0"/>
        <v>Default</v>
      </c>
      <c r="E17" s="172">
        <v>0.7</v>
      </c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8">
        <f t="shared" ref="P17:AB17" si="13">$E17*P362</f>
        <v>27.125</v>
      </c>
      <c r="Q17" s="128">
        <f t="shared" si="13"/>
        <v>0</v>
      </c>
      <c r="R17" s="128">
        <f t="shared" si="13"/>
        <v>35</v>
      </c>
      <c r="S17" s="128">
        <f t="shared" si="13"/>
        <v>0</v>
      </c>
      <c r="T17" s="128">
        <f t="shared" si="13"/>
        <v>0</v>
      </c>
      <c r="U17" s="128">
        <f t="shared" si="13"/>
        <v>0</v>
      </c>
      <c r="V17" s="128">
        <f t="shared" si="13"/>
        <v>0</v>
      </c>
      <c r="W17" s="128">
        <f t="shared" si="13"/>
        <v>0</v>
      </c>
      <c r="X17" s="128">
        <f t="shared" si="13"/>
        <v>0</v>
      </c>
      <c r="Y17" s="128">
        <f t="shared" si="13"/>
        <v>0</v>
      </c>
      <c r="Z17" s="128">
        <f t="shared" si="13"/>
        <v>0</v>
      </c>
      <c r="AA17" s="128">
        <f t="shared" si="13"/>
        <v>0</v>
      </c>
      <c r="AB17" s="128">
        <f t="shared" si="13"/>
        <v>0</v>
      </c>
    </row>
    <row r="18" spans="2:28" x14ac:dyDescent="0.3">
      <c r="B18" s="175" t="s">
        <v>96</v>
      </c>
      <c r="C18" s="91" t="s">
        <v>97</v>
      </c>
      <c r="D18" s="126" t="str">
        <f t="shared" si="0"/>
        <v>Default</v>
      </c>
      <c r="E18" s="172">
        <v>0.7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8">
        <f t="shared" ref="P18:AB18" si="14">$E18*P363</f>
        <v>11059.621999999999</v>
      </c>
      <c r="Q18" s="128">
        <f t="shared" si="14"/>
        <v>15095.241</v>
      </c>
      <c r="R18" s="128">
        <f t="shared" si="14"/>
        <v>11550</v>
      </c>
      <c r="S18" s="128">
        <f t="shared" si="14"/>
        <v>15518.999999999998</v>
      </c>
      <c r="T18" s="128">
        <f t="shared" si="14"/>
        <v>15984.57</v>
      </c>
      <c r="U18" s="128">
        <f t="shared" si="14"/>
        <v>16464.107100000001</v>
      </c>
      <c r="V18" s="128">
        <f t="shared" si="14"/>
        <v>16958.030312999999</v>
      </c>
      <c r="W18" s="128">
        <f t="shared" si="14"/>
        <v>17466.771222390002</v>
      </c>
      <c r="X18" s="128">
        <f t="shared" si="14"/>
        <v>17990.774359061703</v>
      </c>
      <c r="Y18" s="128">
        <f t="shared" si="14"/>
        <v>18530.497589833554</v>
      </c>
      <c r="Z18" s="128">
        <f t="shared" si="14"/>
        <v>19086.412517528559</v>
      </c>
      <c r="AA18" s="128">
        <f t="shared" si="14"/>
        <v>19659.004893054418</v>
      </c>
      <c r="AB18" s="128">
        <f t="shared" si="14"/>
        <v>20248.775039846048</v>
      </c>
    </row>
    <row r="19" spans="2:28" x14ac:dyDescent="0.3">
      <c r="B19" s="175" t="s">
        <v>98</v>
      </c>
      <c r="C19" s="91" t="s">
        <v>99</v>
      </c>
      <c r="D19" s="126" t="str">
        <f t="shared" si="0"/>
        <v>Default</v>
      </c>
      <c r="E19" s="172">
        <v>0.7</v>
      </c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8">
        <f t="shared" ref="P19:AB19" si="15">$E19*P364</f>
        <v>39952.716999999997</v>
      </c>
      <c r="Q19" s="128">
        <f t="shared" si="15"/>
        <v>55446.852999999996</v>
      </c>
      <c r="R19" s="128">
        <f t="shared" si="15"/>
        <v>52016.299999999996</v>
      </c>
      <c r="S19" s="128">
        <f t="shared" si="15"/>
        <v>52016.299999999996</v>
      </c>
      <c r="T19" s="128">
        <f t="shared" si="15"/>
        <v>53576.788999999997</v>
      </c>
      <c r="U19" s="128">
        <f t="shared" si="15"/>
        <v>55184.092670000005</v>
      </c>
      <c r="V19" s="128">
        <f t="shared" si="15"/>
        <v>56839.615450100013</v>
      </c>
      <c r="W19" s="128">
        <f t="shared" si="15"/>
        <v>58544.803913603013</v>
      </c>
      <c r="X19" s="128">
        <f t="shared" si="15"/>
        <v>60301.148031011107</v>
      </c>
      <c r="Y19" s="128">
        <f t="shared" si="15"/>
        <v>62110.182471941444</v>
      </c>
      <c r="Z19" s="128">
        <f t="shared" si="15"/>
        <v>63973.487946099689</v>
      </c>
      <c r="AA19" s="128">
        <f t="shared" si="15"/>
        <v>65892.692584482676</v>
      </c>
      <c r="AB19" s="128">
        <f t="shared" si="15"/>
        <v>67869.473362017161</v>
      </c>
    </row>
    <row r="20" spans="2:28" x14ac:dyDescent="0.3">
      <c r="B20" s="175" t="s">
        <v>100</v>
      </c>
      <c r="C20" s="91" t="s">
        <v>101</v>
      </c>
      <c r="D20" s="126" t="str">
        <f t="shared" si="0"/>
        <v>Default</v>
      </c>
      <c r="E20" s="172">
        <v>0.7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8">
        <f t="shared" ref="P20:AB20" si="16">$E20*P365</f>
        <v>3135.125</v>
      </c>
      <c r="Q20" s="128">
        <f t="shared" si="16"/>
        <v>208.20099999999999</v>
      </c>
      <c r="R20" s="128">
        <f t="shared" si="16"/>
        <v>940.8</v>
      </c>
      <c r="S20" s="128">
        <f t="shared" si="16"/>
        <v>210</v>
      </c>
      <c r="T20" s="128">
        <f t="shared" si="16"/>
        <v>216.29999999999998</v>
      </c>
      <c r="U20" s="128">
        <f t="shared" si="16"/>
        <v>222.78899999999999</v>
      </c>
      <c r="V20" s="128">
        <f t="shared" si="16"/>
        <v>229.47266999999999</v>
      </c>
      <c r="W20" s="128">
        <f t="shared" si="16"/>
        <v>236.3568501</v>
      </c>
      <c r="X20" s="128">
        <f t="shared" si="16"/>
        <v>243.44755560299998</v>
      </c>
      <c r="Y20" s="128">
        <f t="shared" si="16"/>
        <v>250.75098227108998</v>
      </c>
      <c r="Z20" s="128">
        <f t="shared" si="16"/>
        <v>258.27351173922267</v>
      </c>
      <c r="AA20" s="128">
        <f t="shared" si="16"/>
        <v>266.02171709139935</v>
      </c>
      <c r="AB20" s="128">
        <f t="shared" si="16"/>
        <v>274.00236860414134</v>
      </c>
    </row>
    <row r="21" spans="2:28" x14ac:dyDescent="0.3">
      <c r="B21" s="175" t="s">
        <v>102</v>
      </c>
      <c r="C21" s="91" t="s">
        <v>103</v>
      </c>
      <c r="D21" s="126" t="str">
        <f t="shared" si="0"/>
        <v>Default</v>
      </c>
      <c r="E21" s="172">
        <v>0.7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8">
        <f t="shared" ref="P21:AB21" si="17">$E21*P366</f>
        <v>4049.8359999999993</v>
      </c>
      <c r="Q21" s="128">
        <f t="shared" si="17"/>
        <v>2921.1</v>
      </c>
      <c r="R21" s="128">
        <f t="shared" si="17"/>
        <v>3590.2999999999997</v>
      </c>
      <c r="S21" s="128">
        <f t="shared" si="17"/>
        <v>3679.8999999999996</v>
      </c>
      <c r="T21" s="128">
        <f t="shared" si="17"/>
        <v>3790.2969999999996</v>
      </c>
      <c r="U21" s="128">
        <f t="shared" si="17"/>
        <v>3904.0059099999999</v>
      </c>
      <c r="V21" s="128">
        <f t="shared" si="17"/>
        <v>4021.1260873000001</v>
      </c>
      <c r="W21" s="128">
        <f t="shared" si="17"/>
        <v>4141.7598699190003</v>
      </c>
      <c r="X21" s="128">
        <f t="shared" si="17"/>
        <v>4266.0126660165706</v>
      </c>
      <c r="Y21" s="128">
        <f t="shared" si="17"/>
        <v>4393.9930459970674</v>
      </c>
      <c r="Z21" s="128">
        <f t="shared" si="17"/>
        <v>4525.8128373769796</v>
      </c>
      <c r="AA21" s="128">
        <f t="shared" si="17"/>
        <v>4661.5872224982886</v>
      </c>
      <c r="AB21" s="128">
        <f t="shared" si="17"/>
        <v>4801.4348391732374</v>
      </c>
    </row>
    <row r="22" spans="2:28" x14ac:dyDescent="0.3">
      <c r="B22" s="175" t="s">
        <v>104</v>
      </c>
      <c r="C22" s="91" t="s">
        <v>105</v>
      </c>
      <c r="D22" s="126" t="str">
        <f t="shared" si="0"/>
        <v>Default</v>
      </c>
      <c r="E22" s="172">
        <v>0.7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8">
        <f t="shared" ref="P22:AB22" si="18">$E22*P367</f>
        <v>0</v>
      </c>
      <c r="Q22" s="128">
        <f t="shared" si="18"/>
        <v>28.742000000000001</v>
      </c>
      <c r="R22" s="128">
        <f t="shared" si="18"/>
        <v>35000</v>
      </c>
      <c r="S22" s="128">
        <f t="shared" si="18"/>
        <v>0</v>
      </c>
      <c r="T22" s="128">
        <f t="shared" si="18"/>
        <v>0</v>
      </c>
      <c r="U22" s="128">
        <f t="shared" si="18"/>
        <v>0</v>
      </c>
      <c r="V22" s="128">
        <f t="shared" si="18"/>
        <v>0</v>
      </c>
      <c r="W22" s="128">
        <f t="shared" si="18"/>
        <v>0</v>
      </c>
      <c r="X22" s="128">
        <f t="shared" si="18"/>
        <v>0</v>
      </c>
      <c r="Y22" s="128">
        <f t="shared" si="18"/>
        <v>0</v>
      </c>
      <c r="Z22" s="128">
        <f t="shared" si="18"/>
        <v>0</v>
      </c>
      <c r="AA22" s="128">
        <f t="shared" si="18"/>
        <v>0</v>
      </c>
      <c r="AB22" s="128">
        <f t="shared" si="18"/>
        <v>0</v>
      </c>
    </row>
    <row r="23" spans="2:28" x14ac:dyDescent="0.3">
      <c r="B23" s="175" t="s">
        <v>106</v>
      </c>
      <c r="C23" s="91" t="s">
        <v>107</v>
      </c>
      <c r="D23" s="126" t="str">
        <f t="shared" si="0"/>
        <v>CCI</v>
      </c>
      <c r="E23" s="172">
        <v>0.7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8">
        <f t="shared" ref="P23:AB23" si="19">$E23*P368</f>
        <v>92.372</v>
      </c>
      <c r="Q23" s="128">
        <f t="shared" si="19"/>
        <v>298.78799999999995</v>
      </c>
      <c r="R23" s="128">
        <f t="shared" si="19"/>
        <v>313.59999999999997</v>
      </c>
      <c r="S23" s="128">
        <f t="shared" si="19"/>
        <v>301</v>
      </c>
      <c r="T23" s="128">
        <f t="shared" si="19"/>
        <v>309.68096183014586</v>
      </c>
      <c r="U23" s="128">
        <f t="shared" si="19"/>
        <v>318.61228611310389</v>
      </c>
      <c r="V23" s="128">
        <f t="shared" si="19"/>
        <v>327.80119340334772</v>
      </c>
      <c r="W23" s="128">
        <f t="shared" si="19"/>
        <v>337.25511249906447</v>
      </c>
      <c r="X23" s="128">
        <f t="shared" si="19"/>
        <v>346.9816864479879</v>
      </c>
      <c r="Y23" s="128">
        <f t="shared" si="19"/>
        <v>356.98877872644181</v>
      </c>
      <c r="Z23" s="128">
        <f t="shared" si="19"/>
        <v>367.28447959659019</v>
      </c>
      <c r="AA23" s="128">
        <f t="shared" si="19"/>
        <v>377.87711264703205</v>
      </c>
      <c r="AB23" s="128">
        <f t="shared" si="19"/>
        <v>388.7752415220308</v>
      </c>
    </row>
    <row r="24" spans="2:28" x14ac:dyDescent="0.3">
      <c r="B24" s="175" t="s">
        <v>108</v>
      </c>
      <c r="C24" s="91" t="s">
        <v>16</v>
      </c>
      <c r="D24" s="126"/>
      <c r="E24" s="172">
        <v>1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8">
        <f t="shared" ref="P24:AB24" si="20">$E24*P369</f>
        <v>7784096.7599999998</v>
      </c>
      <c r="Q24" s="128">
        <f t="shared" si="20"/>
        <v>7843744.0999999996</v>
      </c>
      <c r="R24" s="128">
        <f t="shared" si="20"/>
        <v>8477455</v>
      </c>
      <c r="S24" s="128">
        <f t="shared" si="20"/>
        <v>8445616</v>
      </c>
      <c r="T24" s="128">
        <f t="shared" si="20"/>
        <v>8696668.395790318</v>
      </c>
      <c r="U24" s="128">
        <f t="shared" si="20"/>
        <v>8953821.2111674622</v>
      </c>
      <c r="V24" s="128">
        <f t="shared" si="20"/>
        <v>9218384.1330594067</v>
      </c>
      <c r="W24" s="128">
        <f t="shared" si="20"/>
        <v>9490566.6461105086</v>
      </c>
      <c r="X24" s="128">
        <f t="shared" si="20"/>
        <v>9726407.2272663563</v>
      </c>
      <c r="Y24" s="128">
        <f t="shared" si="20"/>
        <v>9968108.4468639232</v>
      </c>
      <c r="Z24" s="128">
        <f t="shared" si="20"/>
        <v>10215815.941768492</v>
      </c>
      <c r="AA24" s="128">
        <f t="shared" si="20"/>
        <v>10469678.96792144</v>
      </c>
      <c r="AB24" s="128">
        <f t="shared" si="20"/>
        <v>10729850.490274286</v>
      </c>
    </row>
    <row r="25" spans="2:28" x14ac:dyDescent="0.3">
      <c r="B25" s="175" t="s">
        <v>111</v>
      </c>
      <c r="C25" s="91" t="s">
        <v>112</v>
      </c>
      <c r="D25" s="126" t="str">
        <f t="shared" ref="D25:D42" si="21">VLOOKUP(B25,$B$350:$D$387,3,FALSE)</f>
        <v>CCI</v>
      </c>
      <c r="E25" s="172">
        <v>0.7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>
        <f t="shared" ref="P25:AB25" si="22">$E25*P370</f>
        <v>37107.034999999996</v>
      </c>
      <c r="Q25" s="128">
        <f t="shared" si="22"/>
        <v>48196.049999999996</v>
      </c>
      <c r="R25" s="128">
        <f t="shared" si="22"/>
        <v>43330</v>
      </c>
      <c r="S25" s="128">
        <f t="shared" si="22"/>
        <v>50603</v>
      </c>
      <c r="T25" s="128">
        <f t="shared" si="22"/>
        <v>52062.411001630804</v>
      </c>
      <c r="U25" s="128">
        <f t="shared" si="22"/>
        <v>53563.912007247163</v>
      </c>
      <c r="V25" s="128">
        <f t="shared" si="22"/>
        <v>55108.716909600014</v>
      </c>
      <c r="W25" s="128">
        <f t="shared" si="22"/>
        <v>56698.074610598531</v>
      </c>
      <c r="X25" s="128">
        <f t="shared" si="22"/>
        <v>58333.270030988468</v>
      </c>
      <c r="Y25" s="128">
        <f t="shared" si="22"/>
        <v>60015.625149149942</v>
      </c>
      <c r="Z25" s="128">
        <f t="shared" si="22"/>
        <v>61746.50006985465</v>
      </c>
      <c r="AA25" s="128">
        <f t="shared" si="22"/>
        <v>63527.294123846368</v>
      </c>
      <c r="AB25" s="128">
        <f t="shared" si="22"/>
        <v>65359.44699913395</v>
      </c>
    </row>
    <row r="26" spans="2:28" x14ac:dyDescent="0.3">
      <c r="B26" s="175" t="s">
        <v>115</v>
      </c>
      <c r="C26" s="91" t="s">
        <v>116</v>
      </c>
      <c r="D26" s="126" t="str">
        <f t="shared" si="21"/>
        <v>Default</v>
      </c>
      <c r="E26" s="172">
        <v>0.7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8">
        <f t="shared" ref="P26:AB26" si="23">$E26*P371</f>
        <v>0</v>
      </c>
      <c r="Q26" s="128">
        <f t="shared" si="23"/>
        <v>0</v>
      </c>
      <c r="R26" s="128">
        <f t="shared" si="23"/>
        <v>0</v>
      </c>
      <c r="S26" s="128">
        <f t="shared" si="23"/>
        <v>0</v>
      </c>
      <c r="T26" s="128">
        <f t="shared" si="23"/>
        <v>0</v>
      </c>
      <c r="U26" s="128">
        <f t="shared" si="23"/>
        <v>0</v>
      </c>
      <c r="V26" s="128">
        <f t="shared" si="23"/>
        <v>0</v>
      </c>
      <c r="W26" s="128">
        <f t="shared" si="23"/>
        <v>0</v>
      </c>
      <c r="X26" s="128">
        <f t="shared" si="23"/>
        <v>0</v>
      </c>
      <c r="Y26" s="128">
        <f t="shared" si="23"/>
        <v>0</v>
      </c>
      <c r="Z26" s="128">
        <f t="shared" si="23"/>
        <v>0</v>
      </c>
      <c r="AA26" s="128">
        <f t="shared" si="23"/>
        <v>0</v>
      </c>
      <c r="AB26" s="128">
        <f t="shared" si="23"/>
        <v>0</v>
      </c>
    </row>
    <row r="27" spans="2:28" x14ac:dyDescent="0.3">
      <c r="B27" s="175" t="s">
        <v>117</v>
      </c>
      <c r="C27" s="91" t="s">
        <v>118</v>
      </c>
      <c r="D27" s="126" t="str">
        <f t="shared" si="21"/>
        <v>Personnel</v>
      </c>
      <c r="E27" s="172">
        <v>0.7</v>
      </c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8">
        <f t="shared" ref="P27:AB27" si="24">$E27*P372</f>
        <v>13154.379000000001</v>
      </c>
      <c r="Q27" s="128">
        <f t="shared" si="24"/>
        <v>10972.395</v>
      </c>
      <c r="R27" s="128">
        <f t="shared" si="24"/>
        <v>12600</v>
      </c>
      <c r="S27" s="128">
        <f t="shared" si="24"/>
        <v>12600</v>
      </c>
      <c r="T27" s="128">
        <f t="shared" si="24"/>
        <v>13041</v>
      </c>
      <c r="U27" s="128">
        <f t="shared" si="24"/>
        <v>13497.434999999999</v>
      </c>
      <c r="V27" s="128">
        <f t="shared" si="24"/>
        <v>13969.845224999997</v>
      </c>
      <c r="W27" s="128">
        <f t="shared" si="24"/>
        <v>14458.789807874995</v>
      </c>
      <c r="X27" s="128">
        <f t="shared" si="24"/>
        <v>14964.847451150617</v>
      </c>
      <c r="Y27" s="128">
        <f t="shared" si="24"/>
        <v>15488.617111940888</v>
      </c>
      <c r="Z27" s="128">
        <f t="shared" si="24"/>
        <v>16030.718710858817</v>
      </c>
      <c r="AA27" s="128">
        <f t="shared" si="24"/>
        <v>16591.793865738873</v>
      </c>
      <c r="AB27" s="128">
        <f t="shared" si="24"/>
        <v>17172.506651039734</v>
      </c>
    </row>
    <row r="28" spans="2:28" x14ac:dyDescent="0.3">
      <c r="B28" s="175" t="s">
        <v>119</v>
      </c>
      <c r="C28" s="91" t="s">
        <v>120</v>
      </c>
      <c r="D28" s="126" t="str">
        <f t="shared" si="21"/>
        <v>CPI</v>
      </c>
      <c r="E28" s="172">
        <v>0.7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8">
        <f t="shared" ref="P28:AB28" si="25">$E28*P373</f>
        <v>599.27</v>
      </c>
      <c r="Q28" s="128">
        <f t="shared" si="25"/>
        <v>607.09599999999989</v>
      </c>
      <c r="R28" s="128">
        <f t="shared" si="25"/>
        <v>580.29999999999995</v>
      </c>
      <c r="S28" s="128">
        <f t="shared" si="25"/>
        <v>600.59999999999991</v>
      </c>
      <c r="T28" s="128">
        <f t="shared" si="25"/>
        <v>613.48456915014106</v>
      </c>
      <c r="U28" s="128">
        <f t="shared" si="25"/>
        <v>626.64554876013028</v>
      </c>
      <c r="V28" s="128">
        <f t="shared" si="25"/>
        <v>640.08886861632072</v>
      </c>
      <c r="W28" s="128">
        <f t="shared" si="25"/>
        <v>653.82058571575885</v>
      </c>
      <c r="X28" s="128">
        <f t="shared" si="25"/>
        <v>667.84688699521348</v>
      </c>
      <c r="Y28" s="128">
        <f t="shared" si="25"/>
        <v>682.17409211875054</v>
      </c>
      <c r="Z28" s="128">
        <f t="shared" si="25"/>
        <v>696.8086563251087</v>
      </c>
      <c r="AA28" s="128">
        <f t="shared" si="25"/>
        <v>711.75717333616058</v>
      </c>
      <c r="AB28" s="128">
        <f t="shared" si="25"/>
        <v>727.02637832776679</v>
      </c>
    </row>
    <row r="29" spans="2:28" x14ac:dyDescent="0.3">
      <c r="B29" s="175" t="s">
        <v>121</v>
      </c>
      <c r="C29" s="91" t="s">
        <v>122</v>
      </c>
      <c r="D29" s="126" t="str">
        <f t="shared" si="21"/>
        <v>CPI</v>
      </c>
      <c r="E29" s="172">
        <v>0.7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8">
        <f t="shared" ref="P29:AB29" si="26">$E29*P374</f>
        <v>2015.7059999999999</v>
      </c>
      <c r="Q29" s="128">
        <f t="shared" si="26"/>
        <v>1994.538</v>
      </c>
      <c r="R29" s="128">
        <f t="shared" si="26"/>
        <v>133</v>
      </c>
      <c r="S29" s="128">
        <f t="shared" si="26"/>
        <v>200.2</v>
      </c>
      <c r="T29" s="128">
        <f t="shared" si="26"/>
        <v>204.49485638338032</v>
      </c>
      <c r="U29" s="128">
        <f t="shared" si="26"/>
        <v>208.88184958671005</v>
      </c>
      <c r="V29" s="128">
        <f t="shared" si="26"/>
        <v>213.36295620544021</v>
      </c>
      <c r="W29" s="128">
        <f t="shared" si="26"/>
        <v>217.94019523858626</v>
      </c>
      <c r="X29" s="128">
        <f t="shared" si="26"/>
        <v>222.61562899840447</v>
      </c>
      <c r="Y29" s="128">
        <f t="shared" si="26"/>
        <v>227.39136403958344</v>
      </c>
      <c r="Z29" s="128">
        <f t="shared" si="26"/>
        <v>232.26955210836951</v>
      </c>
      <c r="AA29" s="128">
        <f t="shared" si="26"/>
        <v>237.25239111205349</v>
      </c>
      <c r="AB29" s="128">
        <f t="shared" si="26"/>
        <v>242.34212610925559</v>
      </c>
    </row>
    <row r="30" spans="2:28" x14ac:dyDescent="0.3">
      <c r="B30" s="175" t="s">
        <v>123</v>
      </c>
      <c r="C30" s="91" t="s">
        <v>124</v>
      </c>
      <c r="D30" s="126" t="str">
        <f t="shared" si="21"/>
        <v>Personnel</v>
      </c>
      <c r="E30" s="172">
        <v>0.7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8">
        <f t="shared" ref="P30:AB30" si="27">$E30*P375</f>
        <v>5254.2</v>
      </c>
      <c r="Q30" s="128">
        <f t="shared" si="27"/>
        <v>95108.327999999994</v>
      </c>
      <c r="R30" s="128">
        <f t="shared" si="27"/>
        <v>641.9</v>
      </c>
      <c r="S30" s="128">
        <f t="shared" si="27"/>
        <v>3230.5</v>
      </c>
      <c r="T30" s="128">
        <f t="shared" si="27"/>
        <v>3343.5674999999997</v>
      </c>
      <c r="U30" s="128">
        <f t="shared" si="27"/>
        <v>3460.5923624999991</v>
      </c>
      <c r="V30" s="128">
        <f t="shared" si="27"/>
        <v>3581.7130951874988</v>
      </c>
      <c r="W30" s="128">
        <f t="shared" si="27"/>
        <v>3707.0730535190614</v>
      </c>
      <c r="X30" s="128">
        <f t="shared" si="27"/>
        <v>3836.820610392228</v>
      </c>
      <c r="Y30" s="128">
        <f t="shared" si="27"/>
        <v>3971.1093317559557</v>
      </c>
      <c r="Z30" s="128">
        <f t="shared" si="27"/>
        <v>4110.0981583674138</v>
      </c>
      <c r="AA30" s="128">
        <f t="shared" si="27"/>
        <v>4253.951593910273</v>
      </c>
      <c r="AB30" s="128">
        <f t="shared" si="27"/>
        <v>4402.8398996971318</v>
      </c>
    </row>
    <row r="31" spans="2:28" x14ac:dyDescent="0.3">
      <c r="B31" s="175" t="s">
        <v>125</v>
      </c>
      <c r="C31" s="91" t="s">
        <v>126</v>
      </c>
      <c r="D31" s="126" t="str">
        <f t="shared" si="21"/>
        <v>Default</v>
      </c>
      <c r="E31" s="172">
        <v>0.7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8">
        <f t="shared" ref="P31:AB31" si="28">$E31*P376</f>
        <v>3506.328</v>
      </c>
      <c r="Q31" s="128">
        <f t="shared" si="28"/>
        <v>242.928</v>
      </c>
      <c r="R31" s="128">
        <f t="shared" si="28"/>
        <v>168</v>
      </c>
      <c r="S31" s="128">
        <f t="shared" si="28"/>
        <v>166.6</v>
      </c>
      <c r="T31" s="128">
        <f t="shared" si="28"/>
        <v>171.59800000000001</v>
      </c>
      <c r="U31" s="128">
        <f t="shared" si="28"/>
        <v>176.74594000000002</v>
      </c>
      <c r="V31" s="128">
        <f t="shared" si="28"/>
        <v>182.04831820000004</v>
      </c>
      <c r="W31" s="128">
        <f t="shared" si="28"/>
        <v>187.50976774600005</v>
      </c>
      <c r="X31" s="128">
        <f t="shared" si="28"/>
        <v>193.13506077838005</v>
      </c>
      <c r="Y31" s="128">
        <f t="shared" si="28"/>
        <v>198.92911260173148</v>
      </c>
      <c r="Z31" s="128">
        <f t="shared" si="28"/>
        <v>204.89698597978344</v>
      </c>
      <c r="AA31" s="128">
        <f t="shared" si="28"/>
        <v>211.04389555917692</v>
      </c>
      <c r="AB31" s="128">
        <f t="shared" si="28"/>
        <v>217.37521242595224</v>
      </c>
    </row>
    <row r="32" spans="2:28" x14ac:dyDescent="0.3">
      <c r="B32" s="175" t="s">
        <v>127</v>
      </c>
      <c r="C32" s="91" t="s">
        <v>128</v>
      </c>
      <c r="D32" s="126" t="str">
        <f t="shared" si="21"/>
        <v>CPI</v>
      </c>
      <c r="E32" s="172">
        <v>0.7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8">
        <f t="shared" ref="P32:AB32" si="29">$E32*P377</f>
        <v>1975.3229999999999</v>
      </c>
      <c r="Q32" s="128">
        <f t="shared" si="29"/>
        <v>816.92099999999994</v>
      </c>
      <c r="R32" s="128">
        <f t="shared" si="29"/>
        <v>1854.9999999999998</v>
      </c>
      <c r="S32" s="128">
        <f t="shared" si="29"/>
        <v>1120</v>
      </c>
      <c r="T32" s="128">
        <f t="shared" si="29"/>
        <v>1144.0271685783516</v>
      </c>
      <c r="U32" s="128">
        <f t="shared" si="29"/>
        <v>1168.5697878976787</v>
      </c>
      <c r="V32" s="128">
        <f t="shared" si="29"/>
        <v>1193.6389158346308</v>
      </c>
      <c r="W32" s="128">
        <f t="shared" si="29"/>
        <v>1219.2458474885946</v>
      </c>
      <c r="X32" s="128">
        <f t="shared" si="29"/>
        <v>1245.4021202707943</v>
      </c>
      <c r="Y32" s="128">
        <f t="shared" si="29"/>
        <v>1272.1195191025647</v>
      </c>
      <c r="Z32" s="128">
        <f t="shared" si="29"/>
        <v>1299.4100817251442</v>
      </c>
      <c r="AA32" s="128">
        <f t="shared" si="29"/>
        <v>1327.2861041233762</v>
      </c>
      <c r="AB32" s="128">
        <f t="shared" si="29"/>
        <v>1355.7601460657654</v>
      </c>
    </row>
    <row r="33" spans="2:28" x14ac:dyDescent="0.3">
      <c r="B33" s="175" t="s">
        <v>129</v>
      </c>
      <c r="C33" s="91" t="s">
        <v>130</v>
      </c>
      <c r="D33" s="126" t="str">
        <f t="shared" si="21"/>
        <v>CPI</v>
      </c>
      <c r="E33" s="172">
        <v>0.7</v>
      </c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8">
        <f t="shared" ref="P33:AB33" si="30">$E33*P378</f>
        <v>0</v>
      </c>
      <c r="Q33" s="128">
        <f t="shared" si="30"/>
        <v>1624</v>
      </c>
      <c r="R33" s="128">
        <f t="shared" si="30"/>
        <v>0</v>
      </c>
      <c r="S33" s="128">
        <f t="shared" si="30"/>
        <v>0</v>
      </c>
      <c r="T33" s="128">
        <f t="shared" si="30"/>
        <v>0</v>
      </c>
      <c r="U33" s="128">
        <f t="shared" si="30"/>
        <v>0</v>
      </c>
      <c r="V33" s="128">
        <f t="shared" si="30"/>
        <v>0</v>
      </c>
      <c r="W33" s="128">
        <f t="shared" si="30"/>
        <v>0</v>
      </c>
      <c r="X33" s="128">
        <f t="shared" si="30"/>
        <v>0</v>
      </c>
      <c r="Y33" s="128">
        <f t="shared" si="30"/>
        <v>0</v>
      </c>
      <c r="Z33" s="128">
        <f t="shared" si="30"/>
        <v>0</v>
      </c>
      <c r="AA33" s="128">
        <f t="shared" si="30"/>
        <v>0</v>
      </c>
      <c r="AB33" s="128">
        <f t="shared" si="30"/>
        <v>0</v>
      </c>
    </row>
    <row r="34" spans="2:28" x14ac:dyDescent="0.3">
      <c r="B34" s="175" t="s">
        <v>131</v>
      </c>
      <c r="C34" s="91" t="s">
        <v>132</v>
      </c>
      <c r="D34" s="126" t="str">
        <f t="shared" si="21"/>
        <v>CPI</v>
      </c>
      <c r="E34" s="172">
        <v>0.7</v>
      </c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8">
        <f t="shared" ref="P34:AB34" si="31">$E34*P379</f>
        <v>0</v>
      </c>
      <c r="Q34" s="128">
        <f t="shared" si="31"/>
        <v>0</v>
      </c>
      <c r="R34" s="128">
        <f t="shared" si="31"/>
        <v>7909.9999999999991</v>
      </c>
      <c r="S34" s="128">
        <f t="shared" si="31"/>
        <v>0</v>
      </c>
      <c r="T34" s="128">
        <f t="shared" si="31"/>
        <v>0</v>
      </c>
      <c r="U34" s="128">
        <f t="shared" si="31"/>
        <v>0</v>
      </c>
      <c r="V34" s="128">
        <f t="shared" si="31"/>
        <v>0</v>
      </c>
      <c r="W34" s="128">
        <f t="shared" si="31"/>
        <v>0</v>
      </c>
      <c r="X34" s="128">
        <f t="shared" si="31"/>
        <v>0</v>
      </c>
      <c r="Y34" s="128">
        <f t="shared" si="31"/>
        <v>0</v>
      </c>
      <c r="Z34" s="128">
        <f t="shared" si="31"/>
        <v>0</v>
      </c>
      <c r="AA34" s="128">
        <f t="shared" si="31"/>
        <v>0</v>
      </c>
      <c r="AB34" s="128">
        <f t="shared" si="31"/>
        <v>0</v>
      </c>
    </row>
    <row r="35" spans="2:28" x14ac:dyDescent="0.3">
      <c r="B35" s="175" t="s">
        <v>133</v>
      </c>
      <c r="C35" s="91" t="s">
        <v>134</v>
      </c>
      <c r="D35" s="126" t="str">
        <f t="shared" si="21"/>
        <v>CPI</v>
      </c>
      <c r="E35" s="172">
        <v>0.7</v>
      </c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8">
        <f t="shared" ref="P35:AB35" si="32">$E35*P380</f>
        <v>1202.7329999999999</v>
      </c>
      <c r="Q35" s="128">
        <f t="shared" si="32"/>
        <v>996.95399999999995</v>
      </c>
      <c r="R35" s="128">
        <f t="shared" si="32"/>
        <v>1750</v>
      </c>
      <c r="S35" s="128">
        <f t="shared" si="32"/>
        <v>1540</v>
      </c>
      <c r="T35" s="128">
        <f t="shared" si="32"/>
        <v>1573.0373567952336</v>
      </c>
      <c r="U35" s="128">
        <f t="shared" si="32"/>
        <v>1606.7834583593083</v>
      </c>
      <c r="V35" s="128">
        <f t="shared" si="32"/>
        <v>1641.2535092726175</v>
      </c>
      <c r="W35" s="128">
        <f t="shared" si="32"/>
        <v>1676.4630402968178</v>
      </c>
      <c r="X35" s="128">
        <f t="shared" si="32"/>
        <v>1712.4279153723426</v>
      </c>
      <c r="Y35" s="128">
        <f t="shared" si="32"/>
        <v>1749.164338766027</v>
      </c>
      <c r="Z35" s="128">
        <f t="shared" si="32"/>
        <v>1786.6888623720738</v>
      </c>
      <c r="AA35" s="128">
        <f t="shared" si="32"/>
        <v>1825.0183931696424</v>
      </c>
      <c r="AB35" s="128">
        <f t="shared" si="32"/>
        <v>1864.1702008404277</v>
      </c>
    </row>
    <row r="36" spans="2:28" x14ac:dyDescent="0.3">
      <c r="B36" s="175" t="s">
        <v>135</v>
      </c>
      <c r="C36" s="91" t="s">
        <v>136</v>
      </c>
      <c r="D36" s="126" t="str">
        <f t="shared" si="21"/>
        <v>CPI</v>
      </c>
      <c r="E36" s="172">
        <v>0.7</v>
      </c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8">
        <f t="shared" ref="P36:AB36" si="33">$E36*P381</f>
        <v>39.199999999999996</v>
      </c>
      <c r="Q36" s="128">
        <f t="shared" si="33"/>
        <v>0</v>
      </c>
      <c r="R36" s="128">
        <f t="shared" si="33"/>
        <v>140</v>
      </c>
      <c r="S36" s="128">
        <f t="shared" si="33"/>
        <v>140</v>
      </c>
      <c r="T36" s="128">
        <f t="shared" si="33"/>
        <v>143.00339607229395</v>
      </c>
      <c r="U36" s="128">
        <f t="shared" si="33"/>
        <v>146.07122348720983</v>
      </c>
      <c r="V36" s="128">
        <f t="shared" si="33"/>
        <v>149.20486447932885</v>
      </c>
      <c r="W36" s="128">
        <f t="shared" si="33"/>
        <v>152.40573093607432</v>
      </c>
      <c r="X36" s="128">
        <f t="shared" si="33"/>
        <v>155.67526503384929</v>
      </c>
      <c r="Y36" s="128">
        <f t="shared" si="33"/>
        <v>159.01493988782059</v>
      </c>
      <c r="Z36" s="128">
        <f t="shared" si="33"/>
        <v>162.42626021564303</v>
      </c>
      <c r="AA36" s="128">
        <f t="shared" si="33"/>
        <v>165.91076301542202</v>
      </c>
      <c r="AB36" s="128">
        <f t="shared" si="33"/>
        <v>169.47001825822068</v>
      </c>
    </row>
    <row r="37" spans="2:28" x14ac:dyDescent="0.3">
      <c r="B37" s="175" t="s">
        <v>137</v>
      </c>
      <c r="C37" s="91" t="s">
        <v>20</v>
      </c>
      <c r="D37" s="126" t="str">
        <f t="shared" si="21"/>
        <v>CPI</v>
      </c>
      <c r="E37" s="172">
        <v>0.7</v>
      </c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8">
        <f t="shared" ref="P37:AB37" si="34">$E37*P382</f>
        <v>15.742999999999999</v>
      </c>
      <c r="Q37" s="128">
        <f t="shared" si="34"/>
        <v>0</v>
      </c>
      <c r="R37" s="128">
        <f t="shared" si="34"/>
        <v>350</v>
      </c>
      <c r="S37" s="128">
        <f t="shared" si="34"/>
        <v>140</v>
      </c>
      <c r="T37" s="128">
        <f t="shared" si="34"/>
        <v>143.00339607229395</v>
      </c>
      <c r="U37" s="128">
        <f t="shared" si="34"/>
        <v>146.07122348720983</v>
      </c>
      <c r="V37" s="128">
        <f t="shared" si="34"/>
        <v>149.20486447932885</v>
      </c>
      <c r="W37" s="128">
        <f t="shared" si="34"/>
        <v>152.40573093607432</v>
      </c>
      <c r="X37" s="128">
        <f t="shared" si="34"/>
        <v>155.67526503384929</v>
      </c>
      <c r="Y37" s="128">
        <f t="shared" si="34"/>
        <v>159.01493988782059</v>
      </c>
      <c r="Z37" s="128">
        <f t="shared" si="34"/>
        <v>162.42626021564303</v>
      </c>
      <c r="AA37" s="128">
        <f t="shared" si="34"/>
        <v>165.91076301542202</v>
      </c>
      <c r="AB37" s="128">
        <f t="shared" si="34"/>
        <v>169.47001825822068</v>
      </c>
    </row>
    <row r="38" spans="2:28" x14ac:dyDescent="0.3">
      <c r="B38" s="175" t="s">
        <v>138</v>
      </c>
      <c r="C38" s="91" t="s">
        <v>130</v>
      </c>
      <c r="D38" s="126" t="str">
        <f t="shared" si="21"/>
        <v>CPI</v>
      </c>
      <c r="E38" s="172">
        <v>0.7</v>
      </c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8">
        <f t="shared" ref="P38:AB38" si="35">$E38*P383</f>
        <v>0</v>
      </c>
      <c r="Q38" s="128">
        <f t="shared" si="35"/>
        <v>0</v>
      </c>
      <c r="R38" s="128">
        <f t="shared" si="35"/>
        <v>0</v>
      </c>
      <c r="S38" s="128">
        <f t="shared" si="35"/>
        <v>0</v>
      </c>
      <c r="T38" s="128">
        <f t="shared" si="35"/>
        <v>0</v>
      </c>
      <c r="U38" s="128">
        <f t="shared" si="35"/>
        <v>0</v>
      </c>
      <c r="V38" s="128">
        <f t="shared" si="35"/>
        <v>0</v>
      </c>
      <c r="W38" s="128">
        <f t="shared" si="35"/>
        <v>0</v>
      </c>
      <c r="X38" s="128">
        <f t="shared" si="35"/>
        <v>0</v>
      </c>
      <c r="Y38" s="128">
        <f t="shared" si="35"/>
        <v>0</v>
      </c>
      <c r="Z38" s="128">
        <f t="shared" si="35"/>
        <v>0</v>
      </c>
      <c r="AA38" s="128">
        <f t="shared" si="35"/>
        <v>0</v>
      </c>
      <c r="AB38" s="128">
        <f t="shared" si="35"/>
        <v>0</v>
      </c>
    </row>
    <row r="39" spans="2:28" x14ac:dyDescent="0.3">
      <c r="B39" s="175" t="s">
        <v>139</v>
      </c>
      <c r="C39" s="91" t="s">
        <v>132</v>
      </c>
      <c r="D39" s="126" t="str">
        <f t="shared" si="21"/>
        <v>CPI</v>
      </c>
      <c r="E39" s="172">
        <v>0.7</v>
      </c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8">
        <f t="shared" ref="P39:AB39" si="36">$E39*P384</f>
        <v>0</v>
      </c>
      <c r="Q39" s="128">
        <f t="shared" si="36"/>
        <v>0</v>
      </c>
      <c r="R39" s="128">
        <f t="shared" si="36"/>
        <v>0</v>
      </c>
      <c r="S39" s="128">
        <f t="shared" si="36"/>
        <v>0</v>
      </c>
      <c r="T39" s="128">
        <f t="shared" si="36"/>
        <v>0</v>
      </c>
      <c r="U39" s="128">
        <f t="shared" si="36"/>
        <v>0</v>
      </c>
      <c r="V39" s="128">
        <f t="shared" si="36"/>
        <v>0</v>
      </c>
      <c r="W39" s="128">
        <f t="shared" si="36"/>
        <v>0</v>
      </c>
      <c r="X39" s="128">
        <f t="shared" si="36"/>
        <v>0</v>
      </c>
      <c r="Y39" s="128">
        <f t="shared" si="36"/>
        <v>0</v>
      </c>
      <c r="Z39" s="128">
        <f t="shared" si="36"/>
        <v>0</v>
      </c>
      <c r="AA39" s="128">
        <f t="shared" si="36"/>
        <v>0</v>
      </c>
      <c r="AB39" s="128">
        <f t="shared" si="36"/>
        <v>0</v>
      </c>
    </row>
    <row r="40" spans="2:28" x14ac:dyDescent="0.3">
      <c r="B40" s="175" t="s">
        <v>140</v>
      </c>
      <c r="C40" s="91" t="s">
        <v>141</v>
      </c>
      <c r="D40" s="126" t="str">
        <f t="shared" si="21"/>
        <v>Personnel</v>
      </c>
      <c r="E40" s="172">
        <v>0.7</v>
      </c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8">
        <f t="shared" ref="P40:AB40" si="37">$E40*P385</f>
        <v>1062136.8633673429</v>
      </c>
      <c r="Q40" s="128">
        <f t="shared" si="37"/>
        <v>1125554.9549999998</v>
      </c>
      <c r="R40" s="128">
        <f t="shared" si="37"/>
        <v>1148066.5</v>
      </c>
      <c r="S40" s="861">
        <f t="shared" si="37"/>
        <v>962673.22417000018</v>
      </c>
      <c r="T40" s="128">
        <f t="shared" si="37"/>
        <v>1006351.3776631466</v>
      </c>
      <c r="U40" s="128">
        <f t="shared" si="37"/>
        <v>1052574.2634684348</v>
      </c>
      <c r="V40" s="128">
        <f t="shared" si="37"/>
        <v>1101533.0715806712</v>
      </c>
      <c r="W40" s="128">
        <f t="shared" si="37"/>
        <v>1153435.9117786742</v>
      </c>
      <c r="X40" s="128">
        <f t="shared" si="37"/>
        <v>1208509.4291008499</v>
      </c>
      <c r="Y40" s="128">
        <f t="shared" si="37"/>
        <v>1267000.5782047797</v>
      </c>
      <c r="Z40" s="128">
        <f t="shared" si="37"/>
        <v>1329178.5724064235</v>
      </c>
      <c r="AA40" s="128">
        <f t="shared" si="37"/>
        <v>1395337.0247708573</v>
      </c>
      <c r="AB40" s="128">
        <f t="shared" si="37"/>
        <v>1465796.3003603122</v>
      </c>
    </row>
    <row r="41" spans="2:28" x14ac:dyDescent="0.3">
      <c r="B41" s="175" t="s">
        <v>142</v>
      </c>
      <c r="C41" s="91" t="s">
        <v>143</v>
      </c>
      <c r="D41" s="126" t="str">
        <f t="shared" si="21"/>
        <v>Personnel</v>
      </c>
      <c r="E41" s="172">
        <v>0.7</v>
      </c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8">
        <f t="shared" ref="P41:AB41" si="38">$E41*P386</f>
        <v>157.5</v>
      </c>
      <c r="Q41" s="128">
        <f t="shared" si="38"/>
        <v>315</v>
      </c>
      <c r="R41" s="128">
        <f t="shared" si="38"/>
        <v>0</v>
      </c>
      <c r="S41" s="128">
        <f t="shared" si="38"/>
        <v>0</v>
      </c>
      <c r="T41" s="128">
        <f t="shared" si="38"/>
        <v>0</v>
      </c>
      <c r="U41" s="128">
        <f t="shared" si="38"/>
        <v>0</v>
      </c>
      <c r="V41" s="128">
        <f t="shared" si="38"/>
        <v>0</v>
      </c>
      <c r="W41" s="128">
        <f t="shared" si="38"/>
        <v>0</v>
      </c>
      <c r="X41" s="128">
        <f t="shared" si="38"/>
        <v>0</v>
      </c>
      <c r="Y41" s="128">
        <f t="shared" si="38"/>
        <v>0</v>
      </c>
      <c r="Z41" s="128">
        <f t="shared" si="38"/>
        <v>0</v>
      </c>
      <c r="AA41" s="128">
        <f t="shared" si="38"/>
        <v>0</v>
      </c>
      <c r="AB41" s="128">
        <f t="shared" si="38"/>
        <v>0</v>
      </c>
    </row>
    <row r="42" spans="2:28" x14ac:dyDescent="0.3">
      <c r="B42" s="175" t="s">
        <v>144</v>
      </c>
      <c r="C42" s="91" t="s">
        <v>145</v>
      </c>
      <c r="D42" s="126" t="str">
        <f t="shared" si="21"/>
        <v>Personnel</v>
      </c>
      <c r="E42" s="172">
        <v>0.7</v>
      </c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8">
        <f t="shared" ref="P42:AB42" si="39">$E42*P387</f>
        <v>0</v>
      </c>
      <c r="Q42" s="128">
        <f t="shared" si="39"/>
        <v>0</v>
      </c>
      <c r="R42" s="128">
        <f t="shared" si="39"/>
        <v>8703.0999999999985</v>
      </c>
      <c r="S42" s="128">
        <f t="shared" si="39"/>
        <v>10890.599999999999</v>
      </c>
      <c r="T42" s="128">
        <f t="shared" si="39"/>
        <v>11271.770999999999</v>
      </c>
      <c r="U42" s="128">
        <f t="shared" si="39"/>
        <v>11666.282984999998</v>
      </c>
      <c r="V42" s="128">
        <f t="shared" si="39"/>
        <v>12074.602889474998</v>
      </c>
      <c r="W42" s="128">
        <f t="shared" si="39"/>
        <v>12497.213990606624</v>
      </c>
      <c r="X42" s="128">
        <f t="shared" si="39"/>
        <v>12934.616480277855</v>
      </c>
      <c r="Y42" s="128">
        <f t="shared" si="39"/>
        <v>13387.32805708758</v>
      </c>
      <c r="Z42" s="128">
        <f t="shared" si="39"/>
        <v>13855.884539085644</v>
      </c>
      <c r="AA42" s="128">
        <f t="shared" si="39"/>
        <v>14340.840497953641</v>
      </c>
      <c r="AB42" s="128">
        <f t="shared" si="39"/>
        <v>14842.769915382016</v>
      </c>
    </row>
    <row r="43" spans="2:28" x14ac:dyDescent="0.3">
      <c r="C43" s="130" t="s">
        <v>284</v>
      </c>
      <c r="D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628">
        <f>SUM(P5:P42)</f>
        <v>9196575.6433673427</v>
      </c>
      <c r="Q43" s="628">
        <f t="shared" ref="Q43:AB43" si="40">SUM(Q5:Q42)</f>
        <v>9402796.3849999979</v>
      </c>
      <c r="R43" s="628">
        <f t="shared" si="40"/>
        <v>9992957.8000000007</v>
      </c>
      <c r="S43" s="628">
        <f t="shared" si="40"/>
        <v>9731969.2241699975</v>
      </c>
      <c r="T43" s="628">
        <f t="shared" si="40"/>
        <v>10037933.834159976</v>
      </c>
      <c r="U43" s="628">
        <f>SUM(U5:U42)</f>
        <v>10352953.56608084</v>
      </c>
      <c r="V43" s="628">
        <f t="shared" si="40"/>
        <v>10678545.29832297</v>
      </c>
      <c r="W43" s="628">
        <f t="shared" si="40"/>
        <v>11015143.304669853</v>
      </c>
      <c r="X43" s="628">
        <f t="shared" si="40"/>
        <v>11319030.095698804</v>
      </c>
      <c r="Y43" s="628">
        <f t="shared" si="40"/>
        <v>11632673.327140648</v>
      </c>
      <c r="Z43" s="628">
        <f t="shared" si="40"/>
        <v>11956506.756619232</v>
      </c>
      <c r="AA43" s="628">
        <f t="shared" si="40"/>
        <v>12290992.973595092</v>
      </c>
      <c r="AB43" s="628">
        <f t="shared" si="40"/>
        <v>12636625.879687948</v>
      </c>
    </row>
    <row r="44" spans="2:28" x14ac:dyDescent="0.3">
      <c r="C44" s="129"/>
      <c r="D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2:28" x14ac:dyDescent="0.3">
      <c r="B45" s="176" t="s">
        <v>285</v>
      </c>
      <c r="C45" s="129"/>
      <c r="D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2:28" x14ac:dyDescent="0.3">
      <c r="B46" s="175" t="s">
        <v>146</v>
      </c>
      <c r="C46" s="91" t="s">
        <v>71</v>
      </c>
      <c r="D46" s="126" t="str">
        <f t="shared" ref="D46:D86" si="41">VLOOKUP(B46,$B$391:$D$431,3,FALSE)</f>
        <v>Personnel</v>
      </c>
      <c r="E46" s="172">
        <v>0.5</v>
      </c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8">
        <f t="shared" ref="P46:AB46" si="42">$E46*P391</f>
        <v>78559.27</v>
      </c>
      <c r="Q46" s="128">
        <f t="shared" si="42"/>
        <v>61170.54</v>
      </c>
      <c r="R46" s="128">
        <f t="shared" si="42"/>
        <v>156263</v>
      </c>
      <c r="S46" s="128">
        <f t="shared" si="42"/>
        <v>163090.5</v>
      </c>
      <c r="T46" s="128">
        <f t="shared" si="42"/>
        <v>168798.66749999998</v>
      </c>
      <c r="U46" s="128">
        <f t="shared" si="42"/>
        <v>174706.62086249996</v>
      </c>
      <c r="V46" s="128">
        <f t="shared" si="42"/>
        <v>180821.35259268744</v>
      </c>
      <c r="W46" s="128">
        <f t="shared" si="42"/>
        <v>187150.09993343148</v>
      </c>
      <c r="X46" s="128">
        <f t="shared" si="42"/>
        <v>193700.35343110157</v>
      </c>
      <c r="Y46" s="128">
        <f t="shared" si="42"/>
        <v>200479.86580119011</v>
      </c>
      <c r="Z46" s="128">
        <f t="shared" si="42"/>
        <v>207496.66110423175</v>
      </c>
      <c r="AA46" s="128">
        <f t="shared" si="42"/>
        <v>214759.04424287984</v>
      </c>
      <c r="AB46" s="128">
        <f t="shared" si="42"/>
        <v>222275.6107913806</v>
      </c>
    </row>
    <row r="47" spans="2:28" x14ac:dyDescent="0.3">
      <c r="B47" s="175" t="s">
        <v>147</v>
      </c>
      <c r="C47" s="91" t="s">
        <v>73</v>
      </c>
      <c r="D47" s="126" t="str">
        <f t="shared" si="41"/>
        <v>Personnel</v>
      </c>
      <c r="E47" s="172">
        <v>0.5</v>
      </c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8">
        <f t="shared" ref="P47:AB47" si="43">$E47*P392</f>
        <v>548856.68999999994</v>
      </c>
      <c r="Q47" s="128">
        <f t="shared" si="43"/>
        <v>532253.6</v>
      </c>
      <c r="R47" s="128">
        <f t="shared" si="43"/>
        <v>595703</v>
      </c>
      <c r="S47" s="861">
        <f t="shared" si="43"/>
        <v>594080.5</v>
      </c>
      <c r="T47" s="128">
        <f t="shared" si="43"/>
        <v>614873.3175</v>
      </c>
      <c r="U47" s="128">
        <f t="shared" si="43"/>
        <v>636393.88361249992</v>
      </c>
      <c r="V47" s="128">
        <f t="shared" si="43"/>
        <v>658667.66953893739</v>
      </c>
      <c r="W47" s="128">
        <f t="shared" si="43"/>
        <v>681721.0379728002</v>
      </c>
      <c r="X47" s="128">
        <f t="shared" si="43"/>
        <v>705581.27430184814</v>
      </c>
      <c r="Y47" s="128">
        <f t="shared" si="43"/>
        <v>730276.61890241283</v>
      </c>
      <c r="Z47" s="128">
        <f t="shared" si="43"/>
        <v>755836.30056399724</v>
      </c>
      <c r="AA47" s="128">
        <f t="shared" si="43"/>
        <v>782290.57108373707</v>
      </c>
      <c r="AB47" s="128">
        <f t="shared" si="43"/>
        <v>809670.74107166776</v>
      </c>
    </row>
    <row r="48" spans="2:28" x14ac:dyDescent="0.3">
      <c r="B48" s="175" t="s">
        <v>148</v>
      </c>
      <c r="C48" s="91" t="s">
        <v>75</v>
      </c>
      <c r="D48" s="126" t="str">
        <f t="shared" si="41"/>
        <v>Personnel</v>
      </c>
      <c r="E48" s="172">
        <v>0.5</v>
      </c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8">
        <f t="shared" ref="P48:AB48" si="44">$E48*P393</f>
        <v>64308.584999999999</v>
      </c>
      <c r="Q48" s="128">
        <f t="shared" si="44"/>
        <v>55314.720000000001</v>
      </c>
      <c r="R48" s="128">
        <f t="shared" si="44"/>
        <v>57051.5</v>
      </c>
      <c r="S48" s="128">
        <f t="shared" si="44"/>
        <v>57218</v>
      </c>
      <c r="T48" s="128">
        <f t="shared" si="44"/>
        <v>59220.63</v>
      </c>
      <c r="U48" s="128">
        <f t="shared" si="44"/>
        <v>61293.352049999994</v>
      </c>
      <c r="V48" s="128">
        <f t="shared" si="44"/>
        <v>63438.619371749992</v>
      </c>
      <c r="W48" s="128">
        <f t="shared" si="44"/>
        <v>65658.97104976124</v>
      </c>
      <c r="X48" s="128">
        <f t="shared" si="44"/>
        <v>67957.035036502872</v>
      </c>
      <c r="Y48" s="128">
        <f t="shared" si="44"/>
        <v>70335.531262780467</v>
      </c>
      <c r="Z48" s="128">
        <f t="shared" si="44"/>
        <v>72797.274856977776</v>
      </c>
      <c r="AA48" s="128">
        <f t="shared" si="44"/>
        <v>75345.179476971985</v>
      </c>
      <c r="AB48" s="128">
        <f t="shared" si="44"/>
        <v>77982.260758666001</v>
      </c>
    </row>
    <row r="49" spans="2:28" x14ac:dyDescent="0.3">
      <c r="B49" s="175" t="s">
        <v>149</v>
      </c>
      <c r="C49" s="91" t="s">
        <v>77</v>
      </c>
      <c r="D49" s="126" t="str">
        <f t="shared" si="41"/>
        <v>Personnel</v>
      </c>
      <c r="E49" s="172">
        <v>0.5</v>
      </c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8">
        <f t="shared" ref="P49:AB49" si="45">$E49*P394</f>
        <v>41059.019999999997</v>
      </c>
      <c r="Q49" s="128">
        <f t="shared" si="45"/>
        <v>59714.385000000002</v>
      </c>
      <c r="R49" s="128">
        <f t="shared" si="45"/>
        <v>35000</v>
      </c>
      <c r="S49" s="128">
        <f t="shared" si="45"/>
        <v>35000</v>
      </c>
      <c r="T49" s="128">
        <f t="shared" si="45"/>
        <v>36225</v>
      </c>
      <c r="U49" s="128">
        <f t="shared" si="45"/>
        <v>37492.875</v>
      </c>
      <c r="V49" s="128">
        <f t="shared" si="45"/>
        <v>38805.125625000001</v>
      </c>
      <c r="W49" s="128">
        <f t="shared" si="45"/>
        <v>40163.305021875</v>
      </c>
      <c r="X49" s="128">
        <f t="shared" si="45"/>
        <v>41569.020697640619</v>
      </c>
      <c r="Y49" s="128">
        <f t="shared" si="45"/>
        <v>43023.936422058039</v>
      </c>
      <c r="Z49" s="128">
        <f t="shared" si="45"/>
        <v>44529.774196830069</v>
      </c>
      <c r="AA49" s="128">
        <f t="shared" si="45"/>
        <v>46088.316293719115</v>
      </c>
      <c r="AB49" s="128">
        <f t="shared" si="45"/>
        <v>47701.407363999278</v>
      </c>
    </row>
    <row r="50" spans="2:28" x14ac:dyDescent="0.3">
      <c r="B50" s="175" t="s">
        <v>150</v>
      </c>
      <c r="C50" s="91" t="s">
        <v>79</v>
      </c>
      <c r="D50" s="126" t="str">
        <f t="shared" si="41"/>
        <v>Personnel</v>
      </c>
      <c r="E50" s="172">
        <v>0.5</v>
      </c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8">
        <f t="shared" ref="P50:AB50" si="46">$E50*P395</f>
        <v>8650</v>
      </c>
      <c r="Q50" s="128">
        <f t="shared" si="46"/>
        <v>8700</v>
      </c>
      <c r="R50" s="128">
        <f t="shared" si="46"/>
        <v>9450</v>
      </c>
      <c r="S50" s="128">
        <f t="shared" si="46"/>
        <v>9200</v>
      </c>
      <c r="T50" s="128">
        <f t="shared" si="46"/>
        <v>9522</v>
      </c>
      <c r="U50" s="128">
        <f t="shared" si="46"/>
        <v>9855.2699999999986</v>
      </c>
      <c r="V50" s="128">
        <f t="shared" si="46"/>
        <v>10200.204449999997</v>
      </c>
      <c r="W50" s="128">
        <f t="shared" si="46"/>
        <v>10557.211605749997</v>
      </c>
      <c r="X50" s="128">
        <f t="shared" si="46"/>
        <v>10926.714011951246</v>
      </c>
      <c r="Y50" s="128">
        <f t="shared" si="46"/>
        <v>11309.149002369539</v>
      </c>
      <c r="Z50" s="128">
        <f t="shared" si="46"/>
        <v>11704.969217452472</v>
      </c>
      <c r="AA50" s="128">
        <f t="shared" si="46"/>
        <v>12114.643140063306</v>
      </c>
      <c r="AB50" s="128">
        <f t="shared" si="46"/>
        <v>12538.655649965522</v>
      </c>
    </row>
    <row r="51" spans="2:28" x14ac:dyDescent="0.3">
      <c r="B51" s="175" t="s">
        <v>151</v>
      </c>
      <c r="C51" s="91" t="s">
        <v>83</v>
      </c>
      <c r="D51" s="126" t="str">
        <f t="shared" si="41"/>
        <v>Personnel</v>
      </c>
      <c r="E51" s="172">
        <v>0.5</v>
      </c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8">
        <f t="shared" ref="P51:AB51" si="47">$E51*P396</f>
        <v>44715.12</v>
      </c>
      <c r="Q51" s="128">
        <f t="shared" si="47"/>
        <v>43277.29</v>
      </c>
      <c r="R51" s="128">
        <f t="shared" si="47"/>
        <v>51678</v>
      </c>
      <c r="S51" s="128">
        <f t="shared" si="47"/>
        <v>52173.5</v>
      </c>
      <c r="T51" s="128">
        <f t="shared" si="47"/>
        <v>53999.572499999995</v>
      </c>
      <c r="U51" s="128">
        <f t="shared" si="47"/>
        <v>55889.55753749999</v>
      </c>
      <c r="V51" s="128">
        <f t="shared" si="47"/>
        <v>57845.692051312486</v>
      </c>
      <c r="W51" s="128">
        <f t="shared" si="47"/>
        <v>59870.291273108422</v>
      </c>
      <c r="X51" s="128">
        <f t="shared" si="47"/>
        <v>61965.751467667214</v>
      </c>
      <c r="Y51" s="128">
        <f t="shared" si="47"/>
        <v>64134.552769035559</v>
      </c>
      <c r="Z51" s="128">
        <f t="shared" si="47"/>
        <v>66379.262115951802</v>
      </c>
      <c r="AA51" s="128">
        <f t="shared" si="47"/>
        <v>68702.536290010103</v>
      </c>
      <c r="AB51" s="128">
        <f t="shared" si="47"/>
        <v>71107.125060160455</v>
      </c>
    </row>
    <row r="52" spans="2:28" x14ac:dyDescent="0.3">
      <c r="B52" s="175" t="s">
        <v>152</v>
      </c>
      <c r="C52" s="91" t="s">
        <v>85</v>
      </c>
      <c r="D52" s="126" t="str">
        <f t="shared" si="41"/>
        <v>Personnel</v>
      </c>
      <c r="E52" s="172">
        <v>0.5</v>
      </c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8">
        <f t="shared" ref="P52:AB52" si="48">$E52*P397</f>
        <v>92823.404999999999</v>
      </c>
      <c r="Q52" s="128">
        <f t="shared" si="48"/>
        <v>94714.955000000002</v>
      </c>
      <c r="R52" s="128">
        <f t="shared" si="48"/>
        <v>99998</v>
      </c>
      <c r="S52" s="128">
        <f t="shared" si="48"/>
        <v>98463.5</v>
      </c>
      <c r="T52" s="128">
        <f t="shared" si="48"/>
        <v>101909.72249999999</v>
      </c>
      <c r="U52" s="128">
        <f t="shared" si="48"/>
        <v>105476.56278749998</v>
      </c>
      <c r="V52" s="128">
        <f t="shared" si="48"/>
        <v>109168.24248506247</v>
      </c>
      <c r="W52" s="128">
        <f t="shared" si="48"/>
        <v>112989.13097203964</v>
      </c>
      <c r="X52" s="128">
        <f t="shared" si="48"/>
        <v>116943.75055606102</v>
      </c>
      <c r="Y52" s="128">
        <f t="shared" si="48"/>
        <v>121036.78182552314</v>
      </c>
      <c r="Z52" s="128">
        <f t="shared" si="48"/>
        <v>125273.06918941643</v>
      </c>
      <c r="AA52" s="128">
        <f t="shared" si="48"/>
        <v>129657.626611046</v>
      </c>
      <c r="AB52" s="128">
        <f t="shared" si="48"/>
        <v>134195.6435424326</v>
      </c>
    </row>
    <row r="53" spans="2:28" x14ac:dyDescent="0.3">
      <c r="B53" s="175" t="s">
        <v>153</v>
      </c>
      <c r="C53" s="91" t="s">
        <v>87</v>
      </c>
      <c r="D53" s="126" t="str">
        <f t="shared" si="41"/>
        <v>Health</v>
      </c>
      <c r="E53" s="172">
        <v>0.5</v>
      </c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8">
        <f t="shared" ref="P53:AB53" si="49">$E53*P398</f>
        <v>203769.54500000001</v>
      </c>
      <c r="Q53" s="128">
        <f t="shared" si="49"/>
        <v>201091.83499999999</v>
      </c>
      <c r="R53" s="128">
        <f t="shared" si="49"/>
        <v>214893</v>
      </c>
      <c r="S53" s="128">
        <f t="shared" si="49"/>
        <v>208416</v>
      </c>
      <c r="T53" s="128">
        <f t="shared" si="49"/>
        <v>220920.96000000002</v>
      </c>
      <c r="U53" s="128">
        <f t="shared" si="49"/>
        <v>234176.21760000003</v>
      </c>
      <c r="V53" s="128">
        <f t="shared" si="49"/>
        <v>248226.79065600006</v>
      </c>
      <c r="W53" s="128">
        <f t="shared" si="49"/>
        <v>263120.39809536008</v>
      </c>
      <c r="X53" s="128">
        <f t="shared" si="49"/>
        <v>278907.62198108173</v>
      </c>
      <c r="Y53" s="128">
        <f t="shared" si="49"/>
        <v>295642.07929994666</v>
      </c>
      <c r="Z53" s="128">
        <f t="shared" si="49"/>
        <v>313380.60405794351</v>
      </c>
      <c r="AA53" s="128">
        <f t="shared" si="49"/>
        <v>332183.44030142011</v>
      </c>
      <c r="AB53" s="128">
        <f t="shared" si="49"/>
        <v>352114.44671950536</v>
      </c>
    </row>
    <row r="54" spans="2:28" x14ac:dyDescent="0.3">
      <c r="B54" s="175" t="s">
        <v>154</v>
      </c>
      <c r="C54" s="91" t="s">
        <v>89</v>
      </c>
      <c r="D54" s="126" t="str">
        <f t="shared" si="41"/>
        <v>Health</v>
      </c>
      <c r="E54" s="172">
        <v>0.5</v>
      </c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861">
        <v>10458</v>
      </c>
      <c r="Q54" s="128">
        <f t="shared" ref="Q54:AB54" si="50">$E54*Q399</f>
        <v>10121.594999999999</v>
      </c>
      <c r="R54" s="128">
        <f t="shared" si="50"/>
        <v>12084</v>
      </c>
      <c r="S54" s="128">
        <f t="shared" si="50"/>
        <v>12200.5</v>
      </c>
      <c r="T54" s="128">
        <f t="shared" si="50"/>
        <v>12932.53</v>
      </c>
      <c r="U54" s="128">
        <f t="shared" si="50"/>
        <v>13708.481800000001</v>
      </c>
      <c r="V54" s="128">
        <f t="shared" si="50"/>
        <v>14530.990708000003</v>
      </c>
      <c r="W54" s="128">
        <f t="shared" si="50"/>
        <v>15402.850150480004</v>
      </c>
      <c r="X54" s="128">
        <f t="shared" si="50"/>
        <v>16327.021159508806</v>
      </c>
      <c r="Y54" s="128">
        <f t="shared" si="50"/>
        <v>17306.642429079337</v>
      </c>
      <c r="Z54" s="128">
        <f t="shared" si="50"/>
        <v>18345.040974824096</v>
      </c>
      <c r="AA54" s="128">
        <f t="shared" si="50"/>
        <v>19445.743433313542</v>
      </c>
      <c r="AB54" s="128">
        <f t="shared" si="50"/>
        <v>20612.488039312357</v>
      </c>
    </row>
    <row r="55" spans="2:28" x14ac:dyDescent="0.3">
      <c r="B55" s="175" t="s">
        <v>155</v>
      </c>
      <c r="C55" s="91" t="s">
        <v>91</v>
      </c>
      <c r="D55" s="126" t="str">
        <f t="shared" si="41"/>
        <v>Personnel</v>
      </c>
      <c r="E55" s="172">
        <v>0.5</v>
      </c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861">
        <v>1025</v>
      </c>
      <c r="Q55" s="128">
        <f t="shared" ref="Q55:AB55" si="51">$E55*Q400</f>
        <v>1300.8</v>
      </c>
      <c r="R55" s="128">
        <f t="shared" si="51"/>
        <v>7750</v>
      </c>
      <c r="S55" s="128">
        <f t="shared" si="51"/>
        <v>7650</v>
      </c>
      <c r="T55" s="128">
        <f t="shared" si="51"/>
        <v>7917.7499999999991</v>
      </c>
      <c r="U55" s="128">
        <f t="shared" si="51"/>
        <v>8194.8712499999983</v>
      </c>
      <c r="V55" s="128">
        <f t="shared" si="51"/>
        <v>8481.6917437499978</v>
      </c>
      <c r="W55" s="128">
        <f t="shared" si="51"/>
        <v>8778.5509547812471</v>
      </c>
      <c r="X55" s="128">
        <f t="shared" si="51"/>
        <v>9085.8002381985898</v>
      </c>
      <c r="Y55" s="128">
        <f t="shared" si="51"/>
        <v>9403.8032465355391</v>
      </c>
      <c r="Z55" s="128">
        <f t="shared" si="51"/>
        <v>9732.9363601642817</v>
      </c>
      <c r="AA55" s="128">
        <f t="shared" si="51"/>
        <v>10073.58913277003</v>
      </c>
      <c r="AB55" s="128">
        <f t="shared" si="51"/>
        <v>10426.16475241698</v>
      </c>
    </row>
    <row r="56" spans="2:28" x14ac:dyDescent="0.3">
      <c r="B56" s="175" t="s">
        <v>156</v>
      </c>
      <c r="C56" s="91" t="s">
        <v>157</v>
      </c>
      <c r="D56" s="126" t="str">
        <f t="shared" si="41"/>
        <v>Personnel</v>
      </c>
      <c r="E56" s="172">
        <v>0.5</v>
      </c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861">
        <v>0</v>
      </c>
      <c r="Q56" s="128">
        <f t="shared" ref="Q56:AB56" si="52">$E56*Q401</f>
        <v>0</v>
      </c>
      <c r="R56" s="128">
        <f t="shared" si="52"/>
        <v>250</v>
      </c>
      <c r="S56" s="128">
        <f t="shared" si="52"/>
        <v>250</v>
      </c>
      <c r="T56" s="128">
        <f t="shared" si="52"/>
        <v>258.75</v>
      </c>
      <c r="U56" s="128">
        <f t="shared" si="52"/>
        <v>267.80624999999998</v>
      </c>
      <c r="V56" s="128">
        <f t="shared" si="52"/>
        <v>277.17946874999996</v>
      </c>
      <c r="W56" s="128">
        <f t="shared" si="52"/>
        <v>286.88075015624992</v>
      </c>
      <c r="X56" s="128">
        <f t="shared" si="52"/>
        <v>296.92157641171866</v>
      </c>
      <c r="Y56" s="128">
        <f t="shared" si="52"/>
        <v>307.3138315861288</v>
      </c>
      <c r="Z56" s="128">
        <f t="shared" si="52"/>
        <v>318.06981569164327</v>
      </c>
      <c r="AA56" s="128">
        <f t="shared" si="52"/>
        <v>329.20225924085076</v>
      </c>
      <c r="AB56" s="128">
        <f t="shared" si="52"/>
        <v>340.72433831428049</v>
      </c>
    </row>
    <row r="57" spans="2:28" x14ac:dyDescent="0.3">
      <c r="B57" s="175" t="s">
        <v>158</v>
      </c>
      <c r="C57" s="91" t="s">
        <v>159</v>
      </c>
      <c r="D57" s="126" t="str">
        <f t="shared" si="41"/>
        <v>CPI</v>
      </c>
      <c r="E57" s="172">
        <v>0.5</v>
      </c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861">
        <v>1307</v>
      </c>
      <c r="Q57" s="128">
        <f t="shared" ref="Q57:AB57" si="53">$E57*Q402</f>
        <v>2020.5</v>
      </c>
      <c r="R57" s="128">
        <f t="shared" si="53"/>
        <v>2612.5</v>
      </c>
      <c r="S57" s="128">
        <f t="shared" si="53"/>
        <v>2642.5</v>
      </c>
      <c r="T57" s="128">
        <f t="shared" si="53"/>
        <v>2699.1891008645484</v>
      </c>
      <c r="U57" s="128">
        <f t="shared" si="53"/>
        <v>2757.0943433210859</v>
      </c>
      <c r="V57" s="128">
        <f t="shared" si="53"/>
        <v>2816.241817047332</v>
      </c>
      <c r="W57" s="128">
        <f t="shared" si="53"/>
        <v>2876.6581714184031</v>
      </c>
      <c r="X57" s="128">
        <f t="shared" si="53"/>
        <v>2938.3706275139057</v>
      </c>
      <c r="Y57" s="128">
        <f t="shared" si="53"/>
        <v>3001.4069903826144</v>
      </c>
      <c r="Z57" s="128">
        <f t="shared" si="53"/>
        <v>3065.7956615702628</v>
      </c>
      <c r="AA57" s="128">
        <f t="shared" si="53"/>
        <v>3131.5656519160912</v>
      </c>
      <c r="AB57" s="128">
        <f t="shared" si="53"/>
        <v>3198.7465946239158</v>
      </c>
    </row>
    <row r="58" spans="2:28" x14ac:dyDescent="0.3">
      <c r="B58" s="175" t="s">
        <v>160</v>
      </c>
      <c r="C58" s="91" t="s">
        <v>93</v>
      </c>
      <c r="D58" s="126" t="str">
        <f t="shared" si="41"/>
        <v>CPI</v>
      </c>
      <c r="E58" s="172">
        <v>0.5</v>
      </c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915">
        <f t="shared" ref="P58:AB58" si="54">$E58*P403</f>
        <v>191</v>
      </c>
      <c r="Q58" s="128">
        <f t="shared" si="54"/>
        <v>389.66500000000002</v>
      </c>
      <c r="R58" s="128">
        <f t="shared" si="54"/>
        <v>800</v>
      </c>
      <c r="S58" s="128">
        <f t="shared" si="54"/>
        <v>500</v>
      </c>
      <c r="T58" s="128">
        <f t="shared" si="54"/>
        <v>510.72641454390697</v>
      </c>
      <c r="U58" s="128">
        <f t="shared" si="54"/>
        <v>521.68294102574941</v>
      </c>
      <c r="V58" s="128">
        <f t="shared" si="54"/>
        <v>532.874515997603</v>
      </c>
      <c r="W58" s="128">
        <f t="shared" si="54"/>
        <v>544.30618191455119</v>
      </c>
      <c r="X58" s="128">
        <f t="shared" si="54"/>
        <v>555.98308940660468</v>
      </c>
      <c r="Y58" s="128">
        <f t="shared" si="54"/>
        <v>567.91049959935935</v>
      </c>
      <c r="Z58" s="128">
        <f t="shared" si="54"/>
        <v>580.09378648443942</v>
      </c>
      <c r="AA58" s="128">
        <f t="shared" si="54"/>
        <v>592.53843934079293</v>
      </c>
      <c r="AB58" s="128">
        <f t="shared" si="54"/>
        <v>605.25006520793102</v>
      </c>
    </row>
    <row r="59" spans="2:28" x14ac:dyDescent="0.3">
      <c r="B59" s="175" t="s">
        <v>161</v>
      </c>
      <c r="C59" s="91" t="s">
        <v>162</v>
      </c>
      <c r="D59" s="126" t="str">
        <f t="shared" si="41"/>
        <v>Default</v>
      </c>
      <c r="E59" s="172">
        <v>0.5</v>
      </c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8">
        <f t="shared" ref="P59:AB59" si="55">$E59*P404</f>
        <v>63</v>
      </c>
      <c r="Q59" s="128">
        <f t="shared" si="55"/>
        <v>17.475000000000001</v>
      </c>
      <c r="R59" s="128">
        <f t="shared" si="55"/>
        <v>350</v>
      </c>
      <c r="S59" s="128">
        <f t="shared" si="55"/>
        <v>650</v>
      </c>
      <c r="T59" s="128">
        <f t="shared" si="55"/>
        <v>669.5</v>
      </c>
      <c r="U59" s="128">
        <f t="shared" si="55"/>
        <v>689.58500000000004</v>
      </c>
      <c r="V59" s="128">
        <f t="shared" si="55"/>
        <v>710.27255000000002</v>
      </c>
      <c r="W59" s="128">
        <f t="shared" si="55"/>
        <v>731.58072650000008</v>
      </c>
      <c r="X59" s="128">
        <f t="shared" si="55"/>
        <v>753.52814829500005</v>
      </c>
      <c r="Y59" s="128">
        <f t="shared" si="55"/>
        <v>776.13399274385006</v>
      </c>
      <c r="Z59" s="128">
        <f t="shared" si="55"/>
        <v>799.41801252616563</v>
      </c>
      <c r="AA59" s="128">
        <f t="shared" si="55"/>
        <v>823.40055290195062</v>
      </c>
      <c r="AB59" s="128">
        <f t="shared" si="55"/>
        <v>848.10256948900917</v>
      </c>
    </row>
    <row r="60" spans="2:28" x14ac:dyDescent="0.3">
      <c r="B60" s="175" t="s">
        <v>163</v>
      </c>
      <c r="C60" s="91" t="s">
        <v>95</v>
      </c>
      <c r="D60" s="126" t="str">
        <f t="shared" si="41"/>
        <v>Default</v>
      </c>
      <c r="E60" s="172">
        <v>0.5</v>
      </c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8">
        <f t="shared" ref="P60:AB60" si="56">$E60*P405</f>
        <v>1466.5</v>
      </c>
      <c r="Q60" s="128">
        <f t="shared" si="56"/>
        <v>1440</v>
      </c>
      <c r="R60" s="128">
        <f t="shared" si="56"/>
        <v>1515</v>
      </c>
      <c r="S60" s="128">
        <f t="shared" si="56"/>
        <v>1515</v>
      </c>
      <c r="T60" s="128">
        <f t="shared" si="56"/>
        <v>1560.45</v>
      </c>
      <c r="U60" s="128">
        <f t="shared" si="56"/>
        <v>1607.2635</v>
      </c>
      <c r="V60" s="128">
        <f t="shared" si="56"/>
        <v>1655.481405</v>
      </c>
      <c r="W60" s="128">
        <f t="shared" si="56"/>
        <v>1705.14584715</v>
      </c>
      <c r="X60" s="128">
        <f t="shared" si="56"/>
        <v>1756.3002225645</v>
      </c>
      <c r="Y60" s="128">
        <f t="shared" si="56"/>
        <v>1808.9892292414352</v>
      </c>
      <c r="Z60" s="128">
        <f t="shared" si="56"/>
        <v>1863.2589061186782</v>
      </c>
      <c r="AA60" s="128">
        <f t="shared" si="56"/>
        <v>1919.1566733022385</v>
      </c>
      <c r="AB60" s="128">
        <f t="shared" si="56"/>
        <v>1976.7313735013056</v>
      </c>
    </row>
    <row r="61" spans="2:28" x14ac:dyDescent="0.3">
      <c r="B61" s="175" t="s">
        <v>164</v>
      </c>
      <c r="C61" s="91" t="s">
        <v>165</v>
      </c>
      <c r="D61" s="126" t="str">
        <f t="shared" si="41"/>
        <v>Default</v>
      </c>
      <c r="E61" s="172">
        <v>1</v>
      </c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8">
        <f t="shared" ref="P61:AB61" si="57">$E61*P406</f>
        <v>16172.78</v>
      </c>
      <c r="Q61" s="128">
        <f t="shared" si="57"/>
        <v>19146.07</v>
      </c>
      <c r="R61" s="128">
        <f t="shared" si="57"/>
        <v>22000</v>
      </c>
      <c r="S61" s="128">
        <f t="shared" si="57"/>
        <v>16000</v>
      </c>
      <c r="T61" s="128">
        <f t="shared" si="57"/>
        <v>16480</v>
      </c>
      <c r="U61" s="128">
        <f t="shared" si="57"/>
        <v>16974.400000000001</v>
      </c>
      <c r="V61" s="128">
        <f t="shared" si="57"/>
        <v>17483.632000000001</v>
      </c>
      <c r="W61" s="128">
        <f t="shared" si="57"/>
        <v>18008.140960000001</v>
      </c>
      <c r="X61" s="128">
        <f t="shared" si="57"/>
        <v>18548.385188800003</v>
      </c>
      <c r="Y61" s="128">
        <f t="shared" si="57"/>
        <v>19104.836744464003</v>
      </c>
      <c r="Z61" s="128">
        <f t="shared" si="57"/>
        <v>19677.981846797924</v>
      </c>
      <c r="AA61" s="128">
        <f t="shared" si="57"/>
        <v>20268.321302201861</v>
      </c>
      <c r="AB61" s="128">
        <f t="shared" si="57"/>
        <v>20876.370941267916</v>
      </c>
    </row>
    <row r="62" spans="2:28" x14ac:dyDescent="0.3">
      <c r="B62" s="175" t="s">
        <v>166</v>
      </c>
      <c r="C62" s="91" t="s">
        <v>105</v>
      </c>
      <c r="D62" s="126" t="str">
        <f t="shared" si="41"/>
        <v>Default</v>
      </c>
      <c r="E62" s="172">
        <v>0.5</v>
      </c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8">
        <f t="shared" ref="P62:AB62" si="58">$E62*P407</f>
        <v>6252.2250000000004</v>
      </c>
      <c r="Q62" s="128">
        <f t="shared" si="58"/>
        <v>4924.125</v>
      </c>
      <c r="R62" s="128">
        <f t="shared" si="58"/>
        <v>5400</v>
      </c>
      <c r="S62" s="128">
        <f t="shared" si="58"/>
        <v>6600</v>
      </c>
      <c r="T62" s="128">
        <f t="shared" si="58"/>
        <v>6798</v>
      </c>
      <c r="U62" s="128">
        <f t="shared" si="58"/>
        <v>7001.9400000000005</v>
      </c>
      <c r="V62" s="128">
        <f t="shared" si="58"/>
        <v>7211.9982000000009</v>
      </c>
      <c r="W62" s="128">
        <f t="shared" si="58"/>
        <v>7428.3581460000014</v>
      </c>
      <c r="X62" s="128">
        <f t="shared" si="58"/>
        <v>7651.2088903800013</v>
      </c>
      <c r="Y62" s="128">
        <f t="shared" si="58"/>
        <v>7880.7451570914018</v>
      </c>
      <c r="Z62" s="128">
        <f t="shared" si="58"/>
        <v>8117.1675118041439</v>
      </c>
      <c r="AA62" s="128">
        <f t="shared" si="58"/>
        <v>8360.682537158269</v>
      </c>
      <c r="AB62" s="128">
        <f t="shared" si="58"/>
        <v>8611.5030132730171</v>
      </c>
    </row>
    <row r="63" spans="2:28" x14ac:dyDescent="0.3">
      <c r="B63" s="175" t="s">
        <v>167</v>
      </c>
      <c r="C63" s="91" t="s">
        <v>107</v>
      </c>
      <c r="D63" s="126" t="str">
        <f t="shared" si="41"/>
        <v>CPI</v>
      </c>
      <c r="E63" s="172">
        <v>0.5</v>
      </c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8">
        <f t="shared" ref="P63:AB63" si="59">$E63*P408</f>
        <v>2673.68</v>
      </c>
      <c r="Q63" s="128">
        <f t="shared" si="59"/>
        <v>3356.5050000000001</v>
      </c>
      <c r="R63" s="128">
        <f t="shared" si="59"/>
        <v>6471.5</v>
      </c>
      <c r="S63" s="128">
        <f t="shared" si="59"/>
        <v>5375</v>
      </c>
      <c r="T63" s="128">
        <f t="shared" si="59"/>
        <v>5490.3089563470003</v>
      </c>
      <c r="U63" s="128">
        <f t="shared" si="59"/>
        <v>5608.0916160268071</v>
      </c>
      <c r="V63" s="128">
        <f t="shared" si="59"/>
        <v>5728.4010469742325</v>
      </c>
      <c r="W63" s="128">
        <f t="shared" si="59"/>
        <v>5851.291455581425</v>
      </c>
      <c r="X63" s="128">
        <f t="shared" si="59"/>
        <v>5976.8182111209999</v>
      </c>
      <c r="Y63" s="128">
        <f t="shared" si="59"/>
        <v>6105.0378706931124</v>
      </c>
      <c r="Z63" s="128">
        <f t="shared" si="59"/>
        <v>6236.008204707724</v>
      </c>
      <c r="AA63" s="128">
        <f t="shared" si="59"/>
        <v>6369.7882229135248</v>
      </c>
      <c r="AB63" s="128">
        <f t="shared" si="59"/>
        <v>6506.4382009852588</v>
      </c>
    </row>
    <row r="64" spans="2:28" x14ac:dyDescent="0.3">
      <c r="B64" s="175" t="s">
        <v>168</v>
      </c>
      <c r="C64" s="91" t="s">
        <v>112</v>
      </c>
      <c r="D64" s="126" t="str">
        <f t="shared" si="41"/>
        <v>CPI</v>
      </c>
      <c r="E64" s="172">
        <v>0.5</v>
      </c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8">
        <f t="shared" ref="P64:AB64" si="60">$E64*P409</f>
        <v>166.04499999999999</v>
      </c>
      <c r="Q64" s="128">
        <f t="shared" si="60"/>
        <v>28.925000000000001</v>
      </c>
      <c r="R64" s="128">
        <f t="shared" si="60"/>
        <v>705</v>
      </c>
      <c r="S64" s="128">
        <f t="shared" si="60"/>
        <v>530</v>
      </c>
      <c r="T64" s="128">
        <f t="shared" si="60"/>
        <v>541.36999941654142</v>
      </c>
      <c r="U64" s="128">
        <f t="shared" si="60"/>
        <v>552.98391748729443</v>
      </c>
      <c r="V64" s="128">
        <f t="shared" si="60"/>
        <v>564.84698695745919</v>
      </c>
      <c r="W64" s="128">
        <f t="shared" si="60"/>
        <v>576.96455282942429</v>
      </c>
      <c r="X64" s="128">
        <f t="shared" si="60"/>
        <v>589.34207477100097</v>
      </c>
      <c r="Y64" s="128">
        <f t="shared" si="60"/>
        <v>601.98512957532091</v>
      </c>
      <c r="Z64" s="128">
        <f t="shared" si="60"/>
        <v>614.89941367350582</v>
      </c>
      <c r="AA64" s="128">
        <f t="shared" si="60"/>
        <v>628.09074570124062</v>
      </c>
      <c r="AB64" s="128">
        <f t="shared" si="60"/>
        <v>641.56506912040697</v>
      </c>
    </row>
    <row r="65" spans="2:28" x14ac:dyDescent="0.3">
      <c r="B65" s="175" t="s">
        <v>169</v>
      </c>
      <c r="C65" s="91" t="s">
        <v>170</v>
      </c>
      <c r="D65" s="126" t="str">
        <f t="shared" si="41"/>
        <v>CPI</v>
      </c>
      <c r="E65" s="172">
        <v>0.5</v>
      </c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8">
        <f t="shared" ref="P65:AB65" si="61">$E65*P410</f>
        <v>720.19500000000005</v>
      </c>
      <c r="Q65" s="128">
        <f t="shared" si="61"/>
        <v>989.91</v>
      </c>
      <c r="R65" s="128">
        <f t="shared" si="61"/>
        <v>800</v>
      </c>
      <c r="S65" s="128">
        <f t="shared" si="61"/>
        <v>800</v>
      </c>
      <c r="T65" s="128">
        <f t="shared" si="61"/>
        <v>817.16226327025117</v>
      </c>
      <c r="U65" s="128">
        <f t="shared" si="61"/>
        <v>834.69270564119915</v>
      </c>
      <c r="V65" s="128">
        <f t="shared" si="61"/>
        <v>852.59922559616484</v>
      </c>
      <c r="W65" s="128">
        <f t="shared" si="61"/>
        <v>870.88989106328188</v>
      </c>
      <c r="X65" s="128">
        <f t="shared" si="61"/>
        <v>889.57294305056746</v>
      </c>
      <c r="Y65" s="128">
        <f t="shared" si="61"/>
        <v>908.65679935897492</v>
      </c>
      <c r="Z65" s="128">
        <f t="shared" si="61"/>
        <v>928.15005837510307</v>
      </c>
      <c r="AA65" s="128">
        <f t="shared" si="61"/>
        <v>948.06150294526878</v>
      </c>
      <c r="AB65" s="128">
        <f t="shared" si="61"/>
        <v>968.40010433268969</v>
      </c>
    </row>
    <row r="66" spans="2:28" x14ac:dyDescent="0.3">
      <c r="B66" s="175" t="s">
        <v>171</v>
      </c>
      <c r="C66" s="91" t="s">
        <v>116</v>
      </c>
      <c r="D66" s="126" t="str">
        <f t="shared" si="41"/>
        <v>CPI</v>
      </c>
      <c r="E66" s="172">
        <v>0.5</v>
      </c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8">
        <f t="shared" ref="P66:AB66" si="62">$E66*P411</f>
        <v>190.53</v>
      </c>
      <c r="Q66" s="128">
        <f t="shared" si="62"/>
        <v>157.59</v>
      </c>
      <c r="R66" s="128">
        <f t="shared" si="62"/>
        <v>750</v>
      </c>
      <c r="S66" s="128">
        <f t="shared" si="62"/>
        <v>500</v>
      </c>
      <c r="T66" s="128">
        <f t="shared" si="62"/>
        <v>510.72641454390697</v>
      </c>
      <c r="U66" s="128">
        <f t="shared" si="62"/>
        <v>521.68294102574941</v>
      </c>
      <c r="V66" s="128">
        <f t="shared" si="62"/>
        <v>532.874515997603</v>
      </c>
      <c r="W66" s="128">
        <f t="shared" si="62"/>
        <v>544.30618191455119</v>
      </c>
      <c r="X66" s="128">
        <f t="shared" si="62"/>
        <v>555.98308940660468</v>
      </c>
      <c r="Y66" s="128">
        <f t="shared" si="62"/>
        <v>567.91049959935935</v>
      </c>
      <c r="Z66" s="128">
        <f t="shared" si="62"/>
        <v>580.09378648443942</v>
      </c>
      <c r="AA66" s="128">
        <f t="shared" si="62"/>
        <v>592.53843934079293</v>
      </c>
      <c r="AB66" s="128">
        <f t="shared" si="62"/>
        <v>605.25006520793102</v>
      </c>
    </row>
    <row r="67" spans="2:28" x14ac:dyDescent="0.3">
      <c r="B67" s="175" t="s">
        <v>172</v>
      </c>
      <c r="C67" s="91" t="s">
        <v>173</v>
      </c>
      <c r="D67" s="126" t="str">
        <f t="shared" si="41"/>
        <v>Default</v>
      </c>
      <c r="E67" s="172">
        <v>0.5</v>
      </c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8">
        <f t="shared" ref="P67:AB67" si="63">$E67*P412</f>
        <v>63193.5</v>
      </c>
      <c r="Q67" s="128">
        <f t="shared" si="63"/>
        <v>63874.02</v>
      </c>
      <c r="R67" s="128">
        <f t="shared" si="63"/>
        <v>69832.5</v>
      </c>
      <c r="S67" s="128">
        <f t="shared" si="63"/>
        <v>72613</v>
      </c>
      <c r="T67" s="128">
        <f t="shared" si="63"/>
        <v>74791.39</v>
      </c>
      <c r="U67" s="128">
        <f t="shared" si="63"/>
        <v>77035.131699999998</v>
      </c>
      <c r="V67" s="128">
        <f t="shared" si="63"/>
        <v>79346.185651000007</v>
      </c>
      <c r="W67" s="128">
        <f t="shared" si="63"/>
        <v>81726.571220530008</v>
      </c>
      <c r="X67" s="128">
        <f t="shared" si="63"/>
        <v>84178.368357145911</v>
      </c>
      <c r="Y67" s="128">
        <f t="shared" si="63"/>
        <v>86703.719407860292</v>
      </c>
      <c r="Z67" s="128">
        <f t="shared" si="63"/>
        <v>89304.830990096103</v>
      </c>
      <c r="AA67" s="128">
        <f t="shared" si="63"/>
        <v>91983.975919798992</v>
      </c>
      <c r="AB67" s="128">
        <f t="shared" si="63"/>
        <v>94743.495197392956</v>
      </c>
    </row>
    <row r="68" spans="2:28" x14ac:dyDescent="0.3">
      <c r="B68" s="175" t="s">
        <v>2014</v>
      </c>
      <c r="C68" s="91" t="s">
        <v>2015</v>
      </c>
      <c r="D68" s="126" t="str">
        <f t="shared" si="41"/>
        <v>CPI</v>
      </c>
      <c r="E68" s="172">
        <v>0.5</v>
      </c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8">
        <f t="shared" ref="P68:AB68" si="64">$E68*P413</f>
        <v>0</v>
      </c>
      <c r="Q68" s="128">
        <f t="shared" si="64"/>
        <v>0</v>
      </c>
      <c r="R68" s="128">
        <f t="shared" si="64"/>
        <v>0</v>
      </c>
      <c r="S68" s="128">
        <f t="shared" si="64"/>
        <v>221.5</v>
      </c>
      <c r="T68" s="128">
        <f t="shared" si="64"/>
        <v>226.2518016429508</v>
      </c>
      <c r="U68" s="128">
        <f t="shared" si="64"/>
        <v>231.10554287440701</v>
      </c>
      <c r="V68" s="128">
        <f t="shared" si="64"/>
        <v>236.06341058693812</v>
      </c>
      <c r="W68" s="128">
        <f t="shared" si="64"/>
        <v>241.12763858814617</v>
      </c>
      <c r="X68" s="128">
        <f t="shared" si="64"/>
        <v>246.30050860712586</v>
      </c>
      <c r="Y68" s="128">
        <f t="shared" si="64"/>
        <v>251.5843513225162</v>
      </c>
      <c r="Z68" s="128">
        <f t="shared" si="64"/>
        <v>256.98154741260669</v>
      </c>
      <c r="AA68" s="128">
        <f t="shared" si="64"/>
        <v>262.49452862797131</v>
      </c>
      <c r="AB68" s="128">
        <f t="shared" si="64"/>
        <v>268.12577888711348</v>
      </c>
    </row>
    <row r="69" spans="2:28" x14ac:dyDescent="0.3">
      <c r="B69" s="175" t="s">
        <v>174</v>
      </c>
      <c r="C69" s="91" t="s">
        <v>175</v>
      </c>
      <c r="D69" s="126" t="str">
        <f t="shared" si="41"/>
        <v>CPI</v>
      </c>
      <c r="E69" s="172">
        <v>0.5</v>
      </c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8">
        <f t="shared" ref="P69:AB69" si="65">$E69*P414</f>
        <v>2636.76</v>
      </c>
      <c r="Q69" s="128">
        <f t="shared" si="65"/>
        <v>2064.29</v>
      </c>
      <c r="R69" s="128">
        <f t="shared" si="65"/>
        <v>2500</v>
      </c>
      <c r="S69" s="128">
        <f t="shared" si="65"/>
        <v>2130</v>
      </c>
      <c r="T69" s="128">
        <f t="shared" si="65"/>
        <v>2175.6945259570439</v>
      </c>
      <c r="U69" s="128">
        <f t="shared" si="65"/>
        <v>2222.3693287696929</v>
      </c>
      <c r="V69" s="128">
        <f t="shared" si="65"/>
        <v>2270.0454381497889</v>
      </c>
      <c r="W69" s="128">
        <f t="shared" si="65"/>
        <v>2318.7443349559881</v>
      </c>
      <c r="X69" s="128">
        <f t="shared" si="65"/>
        <v>2368.4879608721358</v>
      </c>
      <c r="Y69" s="128">
        <f t="shared" si="65"/>
        <v>2419.2987282932709</v>
      </c>
      <c r="Z69" s="128">
        <f t="shared" si="65"/>
        <v>2471.1995304237121</v>
      </c>
      <c r="AA69" s="128">
        <f t="shared" si="65"/>
        <v>2524.213751591778</v>
      </c>
      <c r="AB69" s="128">
        <f t="shared" si="65"/>
        <v>2578.365277785786</v>
      </c>
    </row>
    <row r="70" spans="2:28" x14ac:dyDescent="0.3">
      <c r="B70" s="175" t="s">
        <v>176</v>
      </c>
      <c r="C70" s="91" t="s">
        <v>177</v>
      </c>
      <c r="D70" s="126" t="str">
        <f t="shared" si="41"/>
        <v>CCI</v>
      </c>
      <c r="E70" s="172">
        <v>0.5</v>
      </c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8">
        <f t="shared" ref="P70:AB70" si="66">$E70*P415</f>
        <v>0</v>
      </c>
      <c r="Q70" s="128">
        <f t="shared" si="66"/>
        <v>154.32499999999999</v>
      </c>
      <c r="R70" s="128">
        <f t="shared" si="66"/>
        <v>0</v>
      </c>
      <c r="S70" s="128">
        <f t="shared" si="66"/>
        <v>1500</v>
      </c>
      <c r="T70" s="128">
        <f t="shared" si="66"/>
        <v>1543.2606071269729</v>
      </c>
      <c r="U70" s="128">
        <f t="shared" si="66"/>
        <v>1587.7688676732755</v>
      </c>
      <c r="V70" s="128">
        <f t="shared" si="66"/>
        <v>1633.5607644685103</v>
      </c>
      <c r="W70" s="128">
        <f t="shared" si="66"/>
        <v>1680.6733181016502</v>
      </c>
      <c r="X70" s="128">
        <f t="shared" si="66"/>
        <v>1729.1446168504381</v>
      </c>
      <c r="Y70" s="128">
        <f t="shared" si="66"/>
        <v>1779.0138474739629</v>
      </c>
      <c r="Z70" s="128">
        <f t="shared" si="66"/>
        <v>1830.3213268933066</v>
      </c>
      <c r="AA70" s="128">
        <f t="shared" si="66"/>
        <v>1883.1085347858741</v>
      </c>
      <c r="AB70" s="128">
        <f t="shared" si="66"/>
        <v>1937.4181471197551</v>
      </c>
    </row>
    <row r="71" spans="2:28" x14ac:dyDescent="0.3">
      <c r="B71" s="175" t="s">
        <v>178</v>
      </c>
      <c r="C71" s="91" t="s">
        <v>122</v>
      </c>
      <c r="D71" s="126" t="str">
        <f t="shared" si="41"/>
        <v>CPI</v>
      </c>
      <c r="E71" s="172">
        <v>0.5</v>
      </c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8">
        <f t="shared" ref="P71:AB71" si="67">$E71*P416</f>
        <v>1485.5450000000001</v>
      </c>
      <c r="Q71" s="128">
        <f t="shared" si="67"/>
        <v>2281.9850000000001</v>
      </c>
      <c r="R71" s="128">
        <f t="shared" si="67"/>
        <v>6314.5</v>
      </c>
      <c r="S71" s="128">
        <f t="shared" si="67"/>
        <v>2787</v>
      </c>
      <c r="T71" s="128">
        <f t="shared" si="67"/>
        <v>2846.7890346677377</v>
      </c>
      <c r="U71" s="128">
        <f t="shared" si="67"/>
        <v>2907.8607132775278</v>
      </c>
      <c r="V71" s="128">
        <f t="shared" si="67"/>
        <v>2970.2425521706396</v>
      </c>
      <c r="W71" s="128">
        <f t="shared" si="67"/>
        <v>3033.9626579917085</v>
      </c>
      <c r="X71" s="128">
        <f t="shared" si="67"/>
        <v>3099.0497403524146</v>
      </c>
      <c r="Y71" s="128">
        <f t="shared" si="67"/>
        <v>3165.5331247668291</v>
      </c>
      <c r="Z71" s="128">
        <f t="shared" si="67"/>
        <v>3233.4427658642658</v>
      </c>
      <c r="AA71" s="128">
        <f t="shared" si="67"/>
        <v>3302.8092608855804</v>
      </c>
      <c r="AB71" s="128">
        <f t="shared" si="67"/>
        <v>3373.663863469008</v>
      </c>
    </row>
    <row r="72" spans="2:28" x14ac:dyDescent="0.3">
      <c r="B72" s="175" t="s">
        <v>179</v>
      </c>
      <c r="C72" s="91" t="s">
        <v>180</v>
      </c>
      <c r="D72" s="126" t="str">
        <f t="shared" si="41"/>
        <v>Default</v>
      </c>
      <c r="E72" s="172">
        <v>0.5</v>
      </c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8">
        <f t="shared" ref="P72:AB72" si="68">$E72*P417</f>
        <v>0</v>
      </c>
      <c r="Q72" s="128">
        <f t="shared" si="68"/>
        <v>1363.01</v>
      </c>
      <c r="R72" s="128">
        <f t="shared" si="68"/>
        <v>1700</v>
      </c>
      <c r="S72" s="128">
        <f t="shared" si="68"/>
        <v>3300</v>
      </c>
      <c r="T72" s="128">
        <f t="shared" si="68"/>
        <v>3399</v>
      </c>
      <c r="U72" s="128">
        <f t="shared" si="68"/>
        <v>3500.9700000000003</v>
      </c>
      <c r="V72" s="128">
        <f t="shared" si="68"/>
        <v>3605.9991000000005</v>
      </c>
      <c r="W72" s="128">
        <f t="shared" si="68"/>
        <v>3714.1790730000007</v>
      </c>
      <c r="X72" s="128">
        <f t="shared" si="68"/>
        <v>3825.6044451900007</v>
      </c>
      <c r="Y72" s="128">
        <f t="shared" si="68"/>
        <v>3940.3725785457009</v>
      </c>
      <c r="Z72" s="128">
        <f t="shared" si="68"/>
        <v>4058.583755902072</v>
      </c>
      <c r="AA72" s="128">
        <f t="shared" si="68"/>
        <v>4180.3412685791345</v>
      </c>
      <c r="AB72" s="128">
        <f t="shared" si="68"/>
        <v>4305.7515066365086</v>
      </c>
    </row>
    <row r="73" spans="2:28" x14ac:dyDescent="0.3">
      <c r="B73" s="175" t="s">
        <v>181</v>
      </c>
      <c r="C73" s="91" t="s">
        <v>182</v>
      </c>
      <c r="D73" s="126" t="str">
        <f t="shared" si="41"/>
        <v>Default</v>
      </c>
      <c r="E73" s="172">
        <v>0.5</v>
      </c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8">
        <f t="shared" ref="P73:AB73" si="69">$E73*P418</f>
        <v>2477.1950000000002</v>
      </c>
      <c r="Q73" s="128">
        <f t="shared" si="69"/>
        <v>109.215</v>
      </c>
      <c r="R73" s="128">
        <f t="shared" si="69"/>
        <v>3250</v>
      </c>
      <c r="S73" s="128">
        <f t="shared" si="69"/>
        <v>150</v>
      </c>
      <c r="T73" s="128">
        <f t="shared" si="69"/>
        <v>154.5</v>
      </c>
      <c r="U73" s="128">
        <f t="shared" si="69"/>
        <v>159.13499999999999</v>
      </c>
      <c r="V73" s="128">
        <f t="shared" si="69"/>
        <v>163.90905000000001</v>
      </c>
      <c r="W73" s="128">
        <f t="shared" si="69"/>
        <v>168.82632150000001</v>
      </c>
      <c r="X73" s="128">
        <f t="shared" si="69"/>
        <v>173.891111145</v>
      </c>
      <c r="Y73" s="128">
        <f t="shared" si="69"/>
        <v>179.10784447935001</v>
      </c>
      <c r="Z73" s="128">
        <f t="shared" si="69"/>
        <v>184.4810798137305</v>
      </c>
      <c r="AA73" s="128">
        <f t="shared" si="69"/>
        <v>190.01551220814241</v>
      </c>
      <c r="AB73" s="128">
        <f t="shared" si="69"/>
        <v>195.7159775743867</v>
      </c>
    </row>
    <row r="74" spans="2:28" x14ac:dyDescent="0.3">
      <c r="B74" s="175" t="s">
        <v>183</v>
      </c>
      <c r="C74" s="91" t="s">
        <v>184</v>
      </c>
      <c r="D74" s="126" t="str">
        <f t="shared" si="41"/>
        <v>CPI</v>
      </c>
      <c r="E74" s="172">
        <v>0.5</v>
      </c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8">
        <f t="shared" ref="P74:AB74" si="70">$E74*P419</f>
        <v>0</v>
      </c>
      <c r="Q74" s="128">
        <f t="shared" si="70"/>
        <v>0</v>
      </c>
      <c r="R74" s="128">
        <f t="shared" si="70"/>
        <v>0</v>
      </c>
      <c r="S74" s="128">
        <f t="shared" si="70"/>
        <v>898.5</v>
      </c>
      <c r="T74" s="128">
        <f t="shared" si="70"/>
        <v>917.77536693540083</v>
      </c>
      <c r="U74" s="128">
        <f t="shared" si="70"/>
        <v>937.4642450232717</v>
      </c>
      <c r="V74" s="128">
        <f t="shared" si="70"/>
        <v>957.57550524769249</v>
      </c>
      <c r="W74" s="128">
        <f t="shared" si="70"/>
        <v>978.11820890044839</v>
      </c>
      <c r="X74" s="128">
        <f t="shared" si="70"/>
        <v>999.10161166366845</v>
      </c>
      <c r="Y74" s="128">
        <f t="shared" si="70"/>
        <v>1020.5351677800486</v>
      </c>
      <c r="Z74" s="128">
        <f t="shared" si="70"/>
        <v>1042.4285343125375</v>
      </c>
      <c r="AA74" s="128">
        <f t="shared" si="70"/>
        <v>1064.7915754954049</v>
      </c>
      <c r="AB74" s="128">
        <f t="shared" si="70"/>
        <v>1087.6343671786519</v>
      </c>
    </row>
    <row r="75" spans="2:28" x14ac:dyDescent="0.3">
      <c r="B75" s="175" t="s">
        <v>185</v>
      </c>
      <c r="C75" s="91" t="s">
        <v>186</v>
      </c>
      <c r="D75" s="126" t="str">
        <f t="shared" si="41"/>
        <v>Default</v>
      </c>
      <c r="E75" s="172">
        <v>0.5</v>
      </c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8">
        <f t="shared" ref="P75:AB75" si="71">$E75*P420</f>
        <v>13724.52</v>
      </c>
      <c r="Q75" s="128">
        <f t="shared" si="71"/>
        <v>10352.52</v>
      </c>
      <c r="R75" s="128">
        <f t="shared" si="71"/>
        <v>13082</v>
      </c>
      <c r="S75" s="128">
        <f t="shared" si="71"/>
        <v>12676.5</v>
      </c>
      <c r="T75" s="128">
        <f t="shared" si="71"/>
        <v>13056.795</v>
      </c>
      <c r="U75" s="128">
        <f t="shared" si="71"/>
        <v>13448.49885</v>
      </c>
      <c r="V75" s="128">
        <f t="shared" si="71"/>
        <v>13851.953815500001</v>
      </c>
      <c r="W75" s="128">
        <f t="shared" si="71"/>
        <v>14267.512429965002</v>
      </c>
      <c r="X75" s="128">
        <f t="shared" si="71"/>
        <v>14695.537802863952</v>
      </c>
      <c r="Y75" s="128">
        <f t="shared" si="71"/>
        <v>15136.403936949871</v>
      </c>
      <c r="Z75" s="128">
        <f t="shared" si="71"/>
        <v>15590.496055058367</v>
      </c>
      <c r="AA75" s="128">
        <f t="shared" si="71"/>
        <v>16058.210936710118</v>
      </c>
      <c r="AB75" s="128">
        <f t="shared" si="71"/>
        <v>16539.957264811423</v>
      </c>
    </row>
    <row r="76" spans="2:28" x14ac:dyDescent="0.3">
      <c r="B76" s="175" t="s">
        <v>187</v>
      </c>
      <c r="C76" s="91" t="s">
        <v>188</v>
      </c>
      <c r="D76" s="126" t="str">
        <f t="shared" si="41"/>
        <v>Default</v>
      </c>
      <c r="E76" s="172">
        <v>0.5</v>
      </c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8">
        <f t="shared" ref="P76:AB76" si="72">$E76*P421</f>
        <v>138679.98000000001</v>
      </c>
      <c r="Q76" s="128">
        <f t="shared" si="72"/>
        <v>164044.98000000001</v>
      </c>
      <c r="R76" s="128">
        <f t="shared" si="72"/>
        <v>133937</v>
      </c>
      <c r="S76" s="128">
        <f t="shared" si="72"/>
        <v>136968</v>
      </c>
      <c r="T76" s="128">
        <f t="shared" si="72"/>
        <v>141077.04</v>
      </c>
      <c r="U76" s="128">
        <f t="shared" si="72"/>
        <v>145309.3512</v>
      </c>
      <c r="V76" s="128">
        <f t="shared" si="72"/>
        <v>149668.63173600001</v>
      </c>
      <c r="W76" s="128">
        <f t="shared" si="72"/>
        <v>154158.69068808001</v>
      </c>
      <c r="X76" s="128">
        <f t="shared" si="72"/>
        <v>158783.45140872241</v>
      </c>
      <c r="Y76" s="128">
        <f t="shared" si="72"/>
        <v>163546.95495098407</v>
      </c>
      <c r="Z76" s="128">
        <f t="shared" si="72"/>
        <v>168453.3635995136</v>
      </c>
      <c r="AA76" s="128">
        <f t="shared" si="72"/>
        <v>173506.96450749901</v>
      </c>
      <c r="AB76" s="128">
        <f t="shared" si="72"/>
        <v>178712.17344272399</v>
      </c>
    </row>
    <row r="77" spans="2:28" x14ac:dyDescent="0.3">
      <c r="B77" s="175" t="s">
        <v>189</v>
      </c>
      <c r="C77" s="91" t="s">
        <v>124</v>
      </c>
      <c r="D77" s="126" t="str">
        <f t="shared" si="41"/>
        <v>Personnel</v>
      </c>
      <c r="E77" s="172">
        <v>0.5</v>
      </c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8">
        <f t="shared" ref="P77:AB77" si="73">$E77*P422</f>
        <v>41944.98</v>
      </c>
      <c r="Q77" s="128">
        <f t="shared" si="73"/>
        <v>34675.5</v>
      </c>
      <c r="R77" s="128">
        <f t="shared" si="73"/>
        <v>96580.5</v>
      </c>
      <c r="S77" s="128">
        <f t="shared" si="73"/>
        <v>23075.5</v>
      </c>
      <c r="T77" s="128">
        <f t="shared" si="73"/>
        <v>23883.142499999998</v>
      </c>
      <c r="U77" s="128">
        <f t="shared" si="73"/>
        <v>24719.052487499997</v>
      </c>
      <c r="V77" s="128">
        <f t="shared" si="73"/>
        <v>25584.219324562495</v>
      </c>
      <c r="W77" s="128">
        <f t="shared" si="73"/>
        <v>26479.667000922182</v>
      </c>
      <c r="X77" s="128">
        <f t="shared" si="73"/>
        <v>27406.455345954455</v>
      </c>
      <c r="Y77" s="128">
        <f t="shared" si="73"/>
        <v>28365.681283062859</v>
      </c>
      <c r="Z77" s="128">
        <f t="shared" si="73"/>
        <v>29358.480127970055</v>
      </c>
      <c r="AA77" s="128">
        <f t="shared" si="73"/>
        <v>30386.026932449004</v>
      </c>
      <c r="AB77" s="128">
        <f t="shared" si="73"/>
        <v>31449.537875084716</v>
      </c>
    </row>
    <row r="78" spans="2:28" x14ac:dyDescent="0.3">
      <c r="B78" s="175" t="s">
        <v>190</v>
      </c>
      <c r="C78" s="91" t="s">
        <v>126</v>
      </c>
      <c r="D78" s="126" t="str">
        <f t="shared" si="41"/>
        <v>Default</v>
      </c>
      <c r="E78" s="172">
        <v>0.5</v>
      </c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8">
        <f t="shared" ref="P78:AB78" si="74">$E78*P423</f>
        <v>3861</v>
      </c>
      <c r="Q78" s="128">
        <f t="shared" si="74"/>
        <v>2320.98</v>
      </c>
      <c r="R78" s="128">
        <f t="shared" si="74"/>
        <v>2313</v>
      </c>
      <c r="S78" s="128">
        <f t="shared" si="74"/>
        <v>2232</v>
      </c>
      <c r="T78" s="128">
        <f t="shared" si="74"/>
        <v>2298.96</v>
      </c>
      <c r="U78" s="128">
        <f t="shared" si="74"/>
        <v>2367.9288000000001</v>
      </c>
      <c r="V78" s="128">
        <f t="shared" si="74"/>
        <v>2438.966664</v>
      </c>
      <c r="W78" s="128">
        <f t="shared" si="74"/>
        <v>2512.1356639200003</v>
      </c>
      <c r="X78" s="128">
        <f t="shared" si="74"/>
        <v>2587.4997338376002</v>
      </c>
      <c r="Y78" s="128">
        <f t="shared" si="74"/>
        <v>2665.1247258527283</v>
      </c>
      <c r="Z78" s="128">
        <f t="shared" si="74"/>
        <v>2745.0784676283101</v>
      </c>
      <c r="AA78" s="128">
        <f t="shared" si="74"/>
        <v>2827.4308216571594</v>
      </c>
      <c r="AB78" s="128">
        <f t="shared" si="74"/>
        <v>2912.2537463068743</v>
      </c>
    </row>
    <row r="79" spans="2:28" x14ac:dyDescent="0.3">
      <c r="B79" s="175" t="s">
        <v>191</v>
      </c>
      <c r="C79" s="91" t="s">
        <v>128</v>
      </c>
      <c r="D79" s="126" t="str">
        <f t="shared" si="41"/>
        <v>CPI</v>
      </c>
      <c r="E79" s="172">
        <v>0.5</v>
      </c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8">
        <f t="shared" ref="P79:AB79" si="75">$E79*P424</f>
        <v>4885.55</v>
      </c>
      <c r="Q79" s="128">
        <f t="shared" si="75"/>
        <v>2929.88</v>
      </c>
      <c r="R79" s="128">
        <f t="shared" si="75"/>
        <v>6625</v>
      </c>
      <c r="S79" s="128">
        <f t="shared" si="75"/>
        <v>6625</v>
      </c>
      <c r="T79" s="128">
        <f t="shared" si="75"/>
        <v>6767.1249927067674</v>
      </c>
      <c r="U79" s="128">
        <f t="shared" si="75"/>
        <v>6912.2989685911798</v>
      </c>
      <c r="V79" s="128">
        <f t="shared" si="75"/>
        <v>7060.5873369682395</v>
      </c>
      <c r="W79" s="128">
        <f t="shared" si="75"/>
        <v>7212.0569103678026</v>
      </c>
      <c r="X79" s="128">
        <f t="shared" si="75"/>
        <v>7366.7759346375105</v>
      </c>
      <c r="Y79" s="128">
        <f t="shared" si="75"/>
        <v>7524.8141196915103</v>
      </c>
      <c r="Z79" s="128">
        <f t="shared" si="75"/>
        <v>7686.2426709188221</v>
      </c>
      <c r="AA79" s="128">
        <f t="shared" si="75"/>
        <v>7851.1343212655065</v>
      </c>
      <c r="AB79" s="128">
        <f t="shared" si="75"/>
        <v>8019.5633640050855</v>
      </c>
    </row>
    <row r="80" spans="2:28" x14ac:dyDescent="0.3">
      <c r="B80" s="175" t="s">
        <v>192</v>
      </c>
      <c r="C80" s="91" t="s">
        <v>130</v>
      </c>
      <c r="D80" s="126" t="str">
        <f t="shared" si="41"/>
        <v>CPI</v>
      </c>
      <c r="E80" s="172">
        <v>0.5</v>
      </c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8">
        <f t="shared" ref="P80:AB80" si="76">$E80*P425</f>
        <v>1572.29</v>
      </c>
      <c r="Q80" s="128">
        <f t="shared" si="76"/>
        <v>0</v>
      </c>
      <c r="R80" s="128">
        <f t="shared" si="76"/>
        <v>0</v>
      </c>
      <c r="S80" s="128">
        <f t="shared" si="76"/>
        <v>0</v>
      </c>
      <c r="T80" s="128">
        <f t="shared" si="76"/>
        <v>0</v>
      </c>
      <c r="U80" s="128">
        <f t="shared" si="76"/>
        <v>0</v>
      </c>
      <c r="V80" s="128">
        <f t="shared" si="76"/>
        <v>0</v>
      </c>
      <c r="W80" s="128">
        <f t="shared" si="76"/>
        <v>0</v>
      </c>
      <c r="X80" s="128">
        <f t="shared" si="76"/>
        <v>0</v>
      </c>
      <c r="Y80" s="128">
        <f t="shared" si="76"/>
        <v>0</v>
      </c>
      <c r="Z80" s="128">
        <f t="shared" si="76"/>
        <v>0</v>
      </c>
      <c r="AA80" s="128">
        <f t="shared" si="76"/>
        <v>0</v>
      </c>
      <c r="AB80" s="128">
        <f t="shared" si="76"/>
        <v>0</v>
      </c>
    </row>
    <row r="81" spans="2:28" x14ac:dyDescent="0.3">
      <c r="B81" s="175" t="s">
        <v>193</v>
      </c>
      <c r="C81" s="91" t="s">
        <v>132</v>
      </c>
      <c r="D81" s="126" t="str">
        <f t="shared" si="41"/>
        <v>CPI</v>
      </c>
      <c r="E81" s="172">
        <v>0.5</v>
      </c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8">
        <f t="shared" ref="P81:AB81" si="77">$E81*P426</f>
        <v>2025</v>
      </c>
      <c r="Q81" s="128">
        <f t="shared" si="77"/>
        <v>2055.25</v>
      </c>
      <c r="R81" s="128">
        <f t="shared" si="77"/>
        <v>11625</v>
      </c>
      <c r="S81" s="128">
        <f t="shared" si="77"/>
        <v>8500</v>
      </c>
      <c r="T81" s="128">
        <f t="shared" si="77"/>
        <v>8682.3490472464182</v>
      </c>
      <c r="U81" s="128">
        <f t="shared" si="77"/>
        <v>8868.6099974377394</v>
      </c>
      <c r="V81" s="128">
        <f t="shared" si="77"/>
        <v>9058.8667719592504</v>
      </c>
      <c r="W81" s="128">
        <f t="shared" si="77"/>
        <v>9253.2050925473686</v>
      </c>
      <c r="X81" s="128">
        <f t="shared" si="77"/>
        <v>9451.7125199122765</v>
      </c>
      <c r="Y81" s="128">
        <f t="shared" si="77"/>
        <v>9654.4784931891063</v>
      </c>
      <c r="Z81" s="128">
        <f t="shared" si="77"/>
        <v>9861.5943702354689</v>
      </c>
      <c r="AA81" s="128">
        <f t="shared" si="77"/>
        <v>10073.153468793478</v>
      </c>
      <c r="AB81" s="128">
        <f t="shared" si="77"/>
        <v>10289.251108534825</v>
      </c>
    </row>
    <row r="82" spans="2:28" x14ac:dyDescent="0.3">
      <c r="B82" s="175" t="s">
        <v>194</v>
      </c>
      <c r="C82" s="91" t="s">
        <v>134</v>
      </c>
      <c r="D82" s="126" t="str">
        <f t="shared" si="41"/>
        <v>CPI</v>
      </c>
      <c r="E82" s="172">
        <v>0.5</v>
      </c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8">
        <f t="shared" ref="P82:AB82" si="78">$E82*P427</f>
        <v>1685.4849999999999</v>
      </c>
      <c r="Q82" s="128">
        <f t="shared" si="78"/>
        <v>615.90499999999997</v>
      </c>
      <c r="R82" s="128">
        <f t="shared" si="78"/>
        <v>1750</v>
      </c>
      <c r="S82" s="128">
        <f t="shared" si="78"/>
        <v>1250</v>
      </c>
      <c r="T82" s="128">
        <f t="shared" si="78"/>
        <v>1276.8160363597674</v>
      </c>
      <c r="U82" s="128">
        <f t="shared" si="78"/>
        <v>1304.2073525643737</v>
      </c>
      <c r="V82" s="128">
        <f t="shared" si="78"/>
        <v>1332.1862899940074</v>
      </c>
      <c r="W82" s="128">
        <f t="shared" si="78"/>
        <v>1360.7654547863779</v>
      </c>
      <c r="X82" s="128">
        <f t="shared" si="78"/>
        <v>1389.9577235165116</v>
      </c>
      <c r="Y82" s="128">
        <f t="shared" si="78"/>
        <v>1419.7762489983984</v>
      </c>
      <c r="Z82" s="128">
        <f t="shared" si="78"/>
        <v>1450.2344662110986</v>
      </c>
      <c r="AA82" s="128">
        <f t="shared" si="78"/>
        <v>1481.3460983519824</v>
      </c>
      <c r="AB82" s="128">
        <f t="shared" si="78"/>
        <v>1513.1251630198276</v>
      </c>
    </row>
    <row r="83" spans="2:28" x14ac:dyDescent="0.3">
      <c r="B83" s="175" t="s">
        <v>195</v>
      </c>
      <c r="C83" s="91" t="s">
        <v>136</v>
      </c>
      <c r="D83" s="126" t="str">
        <f t="shared" si="41"/>
        <v>CPI</v>
      </c>
      <c r="E83" s="172">
        <v>0.5</v>
      </c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8">
        <f t="shared" ref="P83:AB83" si="79">$E83*P428</f>
        <v>510.22500000000002</v>
      </c>
      <c r="Q83" s="128">
        <f t="shared" si="79"/>
        <v>334.88499999999999</v>
      </c>
      <c r="R83" s="128">
        <f t="shared" si="79"/>
        <v>550</v>
      </c>
      <c r="S83" s="128">
        <f t="shared" si="79"/>
        <v>550</v>
      </c>
      <c r="T83" s="128">
        <f t="shared" si="79"/>
        <v>561.79905599829772</v>
      </c>
      <c r="U83" s="128">
        <f t="shared" si="79"/>
        <v>573.85123512832445</v>
      </c>
      <c r="V83" s="128">
        <f t="shared" si="79"/>
        <v>586.1619675973634</v>
      </c>
      <c r="W83" s="128">
        <f t="shared" si="79"/>
        <v>598.7368001060064</v>
      </c>
      <c r="X83" s="128">
        <f t="shared" si="79"/>
        <v>611.58139834726524</v>
      </c>
      <c r="Y83" s="128">
        <f t="shared" si="79"/>
        <v>624.70154955929536</v>
      </c>
      <c r="Z83" s="128">
        <f t="shared" si="79"/>
        <v>638.10316513288353</v>
      </c>
      <c r="AA83" s="128">
        <f t="shared" si="79"/>
        <v>651.79228327487237</v>
      </c>
      <c r="AB83" s="128">
        <f t="shared" si="79"/>
        <v>665.77507172872424</v>
      </c>
    </row>
    <row r="84" spans="2:28" x14ac:dyDescent="0.3">
      <c r="B84" s="175" t="s">
        <v>196</v>
      </c>
      <c r="C84" s="91" t="s">
        <v>20</v>
      </c>
      <c r="D84" s="126" t="str">
        <f t="shared" si="41"/>
        <v>CPI</v>
      </c>
      <c r="E84" s="172">
        <v>0.5</v>
      </c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8">
        <f t="shared" ref="P84:AB84" si="80">$E84*P429</f>
        <v>2766.9250000000002</v>
      </c>
      <c r="Q84" s="128">
        <f t="shared" si="80"/>
        <v>230.60499999999999</v>
      </c>
      <c r="R84" s="128">
        <f t="shared" si="80"/>
        <v>600</v>
      </c>
      <c r="S84" s="128">
        <f t="shared" si="80"/>
        <v>1750</v>
      </c>
      <c r="T84" s="128">
        <f t="shared" si="80"/>
        <v>1787.5424509036745</v>
      </c>
      <c r="U84" s="128">
        <f t="shared" si="80"/>
        <v>1825.8902935901233</v>
      </c>
      <c r="V84" s="128">
        <f t="shared" si="80"/>
        <v>1865.0608059916108</v>
      </c>
      <c r="W84" s="128">
        <f t="shared" si="80"/>
        <v>1905.0716367009295</v>
      </c>
      <c r="X84" s="128">
        <f t="shared" si="80"/>
        <v>1945.9408129231167</v>
      </c>
      <c r="Y84" s="128">
        <f t="shared" si="80"/>
        <v>1987.6867485977582</v>
      </c>
      <c r="Z84" s="128">
        <f t="shared" si="80"/>
        <v>2030.3282526955386</v>
      </c>
      <c r="AA84" s="128">
        <f t="shared" si="80"/>
        <v>2073.8845376927761</v>
      </c>
      <c r="AB84" s="128">
        <f t="shared" si="80"/>
        <v>2118.3752282277592</v>
      </c>
    </row>
    <row r="85" spans="2:28" x14ac:dyDescent="0.3">
      <c r="B85" s="175" t="s">
        <v>197</v>
      </c>
      <c r="C85" s="91" t="s">
        <v>198</v>
      </c>
      <c r="D85" s="126" t="str">
        <f t="shared" si="41"/>
        <v>CPI</v>
      </c>
      <c r="E85" s="172">
        <v>0.5</v>
      </c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8">
        <f t="shared" ref="P85:AB85" si="81">$E85*P430</f>
        <v>4748.6149999999998</v>
      </c>
      <c r="Q85" s="128">
        <f t="shared" si="81"/>
        <v>4510.3450000000003</v>
      </c>
      <c r="R85" s="128">
        <f t="shared" si="81"/>
        <v>4850</v>
      </c>
      <c r="S85" s="128">
        <f t="shared" si="81"/>
        <v>6075</v>
      </c>
      <c r="T85" s="128">
        <f t="shared" si="81"/>
        <v>6205.3259367084702</v>
      </c>
      <c r="U85" s="128">
        <f t="shared" si="81"/>
        <v>6338.4477334628564</v>
      </c>
      <c r="V85" s="128">
        <f t="shared" si="81"/>
        <v>6474.425369370877</v>
      </c>
      <c r="W85" s="128">
        <f t="shared" si="81"/>
        <v>6613.3201102617977</v>
      </c>
      <c r="X85" s="128">
        <f t="shared" si="81"/>
        <v>6755.194536290247</v>
      </c>
      <c r="Y85" s="128">
        <f t="shared" si="81"/>
        <v>6900.1125701322162</v>
      </c>
      <c r="Z85" s="128">
        <f t="shared" si="81"/>
        <v>7048.1395057859399</v>
      </c>
      <c r="AA85" s="128">
        <f t="shared" si="81"/>
        <v>7199.3420379906356</v>
      </c>
      <c r="AB85" s="128">
        <f t="shared" si="81"/>
        <v>7353.7882922763629</v>
      </c>
    </row>
    <row r="86" spans="2:28" x14ac:dyDescent="0.3">
      <c r="B86" s="175" t="s">
        <v>201</v>
      </c>
      <c r="C86" s="91" t="s">
        <v>202</v>
      </c>
      <c r="D86" s="126" t="str">
        <f t="shared" si="41"/>
        <v>Default</v>
      </c>
      <c r="E86" s="172">
        <v>0.5</v>
      </c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8">
        <f t="shared" ref="P86:AB86" si="82">$E86*P431</f>
        <v>0</v>
      </c>
      <c r="Q86" s="128">
        <f t="shared" si="82"/>
        <v>0</v>
      </c>
      <c r="R86" s="128">
        <f t="shared" si="82"/>
        <v>50000</v>
      </c>
      <c r="S86" s="128">
        <f t="shared" si="82"/>
        <v>50000</v>
      </c>
      <c r="T86" s="128">
        <f t="shared" si="82"/>
        <v>51500</v>
      </c>
      <c r="U86" s="128">
        <f t="shared" si="82"/>
        <v>53045</v>
      </c>
      <c r="V86" s="128">
        <f t="shared" si="82"/>
        <v>54636.35</v>
      </c>
      <c r="W86" s="128">
        <f t="shared" si="82"/>
        <v>56275.440499999997</v>
      </c>
      <c r="X86" s="128">
        <f t="shared" si="82"/>
        <v>57963.703714999996</v>
      </c>
      <c r="Y86" s="128">
        <f t="shared" si="82"/>
        <v>59702.614826450001</v>
      </c>
      <c r="Z86" s="128">
        <f t="shared" si="82"/>
        <v>61493.693271243501</v>
      </c>
      <c r="AA86" s="128">
        <f t="shared" si="82"/>
        <v>63338.504069380804</v>
      </c>
      <c r="AB86" s="128">
        <f t="shared" si="82"/>
        <v>65238.659191462233</v>
      </c>
    </row>
    <row r="87" spans="2:28" x14ac:dyDescent="0.3">
      <c r="C87" s="136" t="s">
        <v>203</v>
      </c>
      <c r="D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7">
        <f>SUM(P46:P86)</f>
        <v>1409625.1600000004</v>
      </c>
      <c r="Q87" s="137">
        <f t="shared" ref="Q87:AB87" si="83">SUM(Q46:Q86)</f>
        <v>1392048.1800000002</v>
      </c>
      <c r="R87" s="137">
        <f t="shared" si="83"/>
        <v>1687034</v>
      </c>
      <c r="S87" s="137">
        <f t="shared" si="83"/>
        <v>1606157</v>
      </c>
      <c r="T87" s="137">
        <f t="shared" si="83"/>
        <v>1665807.8895052394</v>
      </c>
      <c r="U87" s="137">
        <f>SUM(U46:U86)</f>
        <v>1727819.8580304205</v>
      </c>
      <c r="V87" s="137">
        <f t="shared" si="83"/>
        <v>1792293.7725083875</v>
      </c>
      <c r="W87" s="137">
        <f t="shared" si="83"/>
        <v>1859335.1749551408</v>
      </c>
      <c r="X87" s="137">
        <f t="shared" si="83"/>
        <v>1929054.5162271142</v>
      </c>
      <c r="Y87" s="137">
        <f t="shared" si="83"/>
        <v>2001567.4022092563</v>
      </c>
      <c r="Z87" s="137">
        <f t="shared" si="83"/>
        <v>2076994.8531251347</v>
      </c>
      <c r="AA87" s="137">
        <f t="shared" si="83"/>
        <v>2155463.5766999335</v>
      </c>
      <c r="AB87" s="137">
        <f t="shared" si="83"/>
        <v>2237106.2559490562</v>
      </c>
    </row>
    <row r="88" spans="2:28" x14ac:dyDescent="0.3">
      <c r="C88" s="135"/>
      <c r="D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</row>
    <row r="89" spans="2:28" x14ac:dyDescent="0.3">
      <c r="C89" s="129"/>
      <c r="D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2:28" x14ac:dyDescent="0.3">
      <c r="B90" s="176" t="s">
        <v>263</v>
      </c>
      <c r="C90" s="129"/>
      <c r="D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2:28" x14ac:dyDescent="0.3">
      <c r="B91" s="175" t="s">
        <v>204</v>
      </c>
      <c r="C91" s="91" t="s">
        <v>105</v>
      </c>
      <c r="D91" s="126" t="s">
        <v>7</v>
      </c>
      <c r="E91" s="172">
        <v>1</v>
      </c>
      <c r="F91" s="127">
        <f>INDEX('Control Panel'!$C$7:$N$25,MATCH('O&amp;M'!$D91,Indicies,0),MATCH('O&amp;M'!F$4,'Control Panel'!$C$6:$N$6,0))</f>
        <v>0.03</v>
      </c>
      <c r="G91" s="127">
        <f>INDEX('Control Panel'!$C$7:$N$25,MATCH('O&amp;M'!$D91,Indicies,0),MATCH('O&amp;M'!G$4,'Control Panel'!$C$6:$N$6,0))</f>
        <v>0.03</v>
      </c>
      <c r="H91" s="127">
        <f>INDEX('Control Panel'!$C$7:$N$25,MATCH('O&amp;M'!$D91,Indicies,0),MATCH('O&amp;M'!H$4,'Control Panel'!$C$6:$N$6,0))</f>
        <v>0.03</v>
      </c>
      <c r="I91" s="127">
        <f>INDEX('Control Panel'!$C$7:$N$25,MATCH('O&amp;M'!$D91,Indicies,0),MATCH('O&amp;M'!I$4,'Control Panel'!$C$6:$N$6,0))</f>
        <v>0.03</v>
      </c>
      <c r="J91" s="127">
        <f>INDEX('Control Panel'!$C$7:$N$25,MATCH('O&amp;M'!$D91,Indicies,0),MATCH('O&amp;M'!J$4,'Control Panel'!$C$6:$N$6,0))</f>
        <v>0.03</v>
      </c>
      <c r="K91" s="127">
        <f>INDEX('Control Panel'!$C$7:$N$25,MATCH('O&amp;M'!$D91,Indicies,0),MATCH('O&amp;M'!K$4,'Control Panel'!$C$6:$N$6,0))</f>
        <v>0.03</v>
      </c>
      <c r="L91" s="127">
        <f>INDEX('Control Panel'!$C$7:$N$25,MATCH('O&amp;M'!$D91,Indicies,0),MATCH('O&amp;M'!L$4,'Control Panel'!$C$6:$N$6,0))</f>
        <v>0.03</v>
      </c>
      <c r="M91" s="127">
        <f>INDEX('Control Panel'!$C$7:$N$25,MATCH('O&amp;M'!$D91,Indicies,0),MATCH('O&amp;M'!M$4,'Control Panel'!$C$6:$N$6,0))</f>
        <v>0.03</v>
      </c>
      <c r="N91" s="127">
        <f>INDEX('Control Panel'!$C$7:$N$25,MATCH('O&amp;M'!$D91,Indicies,0),MATCH('O&amp;M'!N$4,'Control Panel'!$C$6:$N$6,0))</f>
        <v>0.03</v>
      </c>
      <c r="O91" s="127">
        <f>INDEX('Control Panel'!$C$7:$N$25,MATCH('O&amp;M'!$D91,Indicies,0),MATCH('O&amp;M'!O$4,'Control Panel'!$C$6:$N$6,0))</f>
        <v>0.03</v>
      </c>
      <c r="P91" s="762">
        <v>67022.62</v>
      </c>
      <c r="Q91" s="762">
        <v>26909.58</v>
      </c>
      <c r="R91" s="762">
        <v>0</v>
      </c>
      <c r="S91" s="762">
        <v>0</v>
      </c>
      <c r="T91" s="128">
        <f>S91*(1+G91)</f>
        <v>0</v>
      </c>
      <c r="U91" s="128">
        <f t="shared" ref="U91:AB106" si="84">T91*(1+H91)</f>
        <v>0</v>
      </c>
      <c r="V91" s="128">
        <f t="shared" si="84"/>
        <v>0</v>
      </c>
      <c r="W91" s="128">
        <f t="shared" si="84"/>
        <v>0</v>
      </c>
      <c r="X91" s="128">
        <f t="shared" si="84"/>
        <v>0</v>
      </c>
      <c r="Y91" s="128">
        <f t="shared" si="84"/>
        <v>0</v>
      </c>
      <c r="Z91" s="128">
        <f t="shared" si="84"/>
        <v>0</v>
      </c>
      <c r="AA91" s="128">
        <f t="shared" si="84"/>
        <v>0</v>
      </c>
      <c r="AB91" s="128">
        <f t="shared" si="84"/>
        <v>0</v>
      </c>
    </row>
    <row r="92" spans="2:28" x14ac:dyDescent="0.3">
      <c r="B92" s="175" t="s">
        <v>205</v>
      </c>
      <c r="C92" s="91" t="s">
        <v>206</v>
      </c>
      <c r="D92" s="126" t="s">
        <v>7</v>
      </c>
      <c r="E92" s="172">
        <v>1</v>
      </c>
      <c r="F92" s="127">
        <f>INDEX('Control Panel'!$C$7:$N$25,MATCH('O&amp;M'!$D92,Indicies,0),MATCH('O&amp;M'!F$4,'Control Panel'!$C$6:$N$6,0))</f>
        <v>0.03</v>
      </c>
      <c r="G92" s="127">
        <f>INDEX('Control Panel'!$C$7:$N$25,MATCH('O&amp;M'!$D92,Indicies,0),MATCH('O&amp;M'!G$4,'Control Panel'!$C$6:$N$6,0))</f>
        <v>0.03</v>
      </c>
      <c r="H92" s="127">
        <f>INDEX('Control Panel'!$C$7:$N$25,MATCH('O&amp;M'!$D92,Indicies,0),MATCH('O&amp;M'!H$4,'Control Panel'!$C$6:$N$6,0))</f>
        <v>0.03</v>
      </c>
      <c r="I92" s="127">
        <f>INDEX('Control Panel'!$C$7:$N$25,MATCH('O&amp;M'!$D92,Indicies,0),MATCH('O&amp;M'!I$4,'Control Panel'!$C$6:$N$6,0))</f>
        <v>0.03</v>
      </c>
      <c r="J92" s="127">
        <f>INDEX('Control Panel'!$C$7:$N$25,MATCH('O&amp;M'!$D92,Indicies,0),MATCH('O&amp;M'!J$4,'Control Panel'!$C$6:$N$6,0))</f>
        <v>0.03</v>
      </c>
      <c r="K92" s="127">
        <f>INDEX('Control Panel'!$C$7:$N$25,MATCH('O&amp;M'!$D92,Indicies,0),MATCH('O&amp;M'!K$4,'Control Panel'!$C$6:$N$6,0))</f>
        <v>0.03</v>
      </c>
      <c r="L92" s="127">
        <f>INDEX('Control Panel'!$C$7:$N$25,MATCH('O&amp;M'!$D92,Indicies,0),MATCH('O&amp;M'!L$4,'Control Panel'!$C$6:$N$6,0))</f>
        <v>0.03</v>
      </c>
      <c r="M92" s="127">
        <f>INDEX('Control Panel'!$C$7:$N$25,MATCH('O&amp;M'!$D92,Indicies,0),MATCH('O&amp;M'!M$4,'Control Panel'!$C$6:$N$6,0))</f>
        <v>0.03</v>
      </c>
      <c r="N92" s="127">
        <f>INDEX('Control Panel'!$C$7:$N$25,MATCH('O&amp;M'!$D92,Indicies,0),MATCH('O&amp;M'!N$4,'Control Panel'!$C$6:$N$6,0))</f>
        <v>0.03</v>
      </c>
      <c r="O92" s="127">
        <f>INDEX('Control Panel'!$C$7:$N$25,MATCH('O&amp;M'!$D92,Indicies,0),MATCH('O&amp;M'!O$4,'Control Panel'!$C$6:$N$6,0))</f>
        <v>0.03</v>
      </c>
      <c r="P92" s="762">
        <v>91439.25</v>
      </c>
      <c r="Q92" s="762">
        <v>205132.21</v>
      </c>
      <c r="R92" s="762">
        <v>89500</v>
      </c>
      <c r="S92" s="863">
        <f>214500-45000-70000-60000</f>
        <v>39500</v>
      </c>
      <c r="T92" s="861">
        <f>S92*(1+G92)</f>
        <v>40685</v>
      </c>
      <c r="U92" s="128">
        <f t="shared" si="84"/>
        <v>41905.550000000003</v>
      </c>
      <c r="V92" s="128">
        <f t="shared" si="84"/>
        <v>43162.716500000002</v>
      </c>
      <c r="W92" s="128">
        <f t="shared" si="84"/>
        <v>44457.597995000004</v>
      </c>
      <c r="X92" s="128">
        <f t="shared" si="84"/>
        <v>45791.325934850007</v>
      </c>
      <c r="Y92" s="128">
        <f t="shared" si="84"/>
        <v>47165.065712895506</v>
      </c>
      <c r="Z92" s="128">
        <f t="shared" si="84"/>
        <v>48580.017684282371</v>
      </c>
      <c r="AA92" s="128">
        <f t="shared" si="84"/>
        <v>50037.418214810845</v>
      </c>
      <c r="AB92" s="128">
        <f t="shared" si="84"/>
        <v>51538.540761255172</v>
      </c>
    </row>
    <row r="93" spans="2:28" x14ac:dyDescent="0.3">
      <c r="B93" s="175" t="s">
        <v>207</v>
      </c>
      <c r="C93" s="91" t="s">
        <v>107</v>
      </c>
      <c r="D93" s="126" t="s">
        <v>1480</v>
      </c>
      <c r="E93" s="172">
        <v>1</v>
      </c>
      <c r="F93" s="127">
        <f>INDEX('Control Panel'!$C$7:$N$25,MATCH('O&amp;M'!$D93,Indicies,0),MATCH('O&amp;M'!F$4,'Control Panel'!$C$6:$N$6,0))</f>
        <v>2.1452829087813895E-2</v>
      </c>
      <c r="G93" s="127">
        <f>INDEX('Control Panel'!$C$7:$N$25,MATCH('O&amp;M'!$D93,Indicies,0),MATCH('O&amp;M'!G$4,'Control Panel'!$C$6:$N$6,0))</f>
        <v>2.1452829087813895E-2</v>
      </c>
      <c r="H93" s="127">
        <f>INDEX('Control Panel'!$C$7:$N$25,MATCH('O&amp;M'!$D93,Indicies,0),MATCH('O&amp;M'!H$4,'Control Panel'!$C$6:$N$6,0))</f>
        <v>2.1452829087813895E-2</v>
      </c>
      <c r="I93" s="127">
        <f>INDEX('Control Panel'!$C$7:$N$25,MATCH('O&amp;M'!$D93,Indicies,0),MATCH('O&amp;M'!I$4,'Control Panel'!$C$6:$N$6,0))</f>
        <v>2.1452829087813895E-2</v>
      </c>
      <c r="J93" s="127">
        <f>INDEX('Control Panel'!$C$7:$N$25,MATCH('O&amp;M'!$D93,Indicies,0),MATCH('O&amp;M'!J$4,'Control Panel'!$C$6:$N$6,0))</f>
        <v>2.1452829087813895E-2</v>
      </c>
      <c r="K93" s="127">
        <f>INDEX('Control Panel'!$C$7:$N$25,MATCH('O&amp;M'!$D93,Indicies,0),MATCH('O&amp;M'!K$4,'Control Panel'!$C$6:$N$6,0))</f>
        <v>2.1452829087813895E-2</v>
      </c>
      <c r="L93" s="127">
        <f>INDEX('Control Panel'!$C$7:$N$25,MATCH('O&amp;M'!$D93,Indicies,0),MATCH('O&amp;M'!L$4,'Control Panel'!$C$6:$N$6,0))</f>
        <v>2.1452829087813895E-2</v>
      </c>
      <c r="M93" s="127">
        <f>INDEX('Control Panel'!$C$7:$N$25,MATCH('O&amp;M'!$D93,Indicies,0),MATCH('O&amp;M'!M$4,'Control Panel'!$C$6:$N$6,0))</f>
        <v>2.1452829087813895E-2</v>
      </c>
      <c r="N93" s="127">
        <f>INDEX('Control Panel'!$C$7:$N$25,MATCH('O&amp;M'!$D93,Indicies,0),MATCH('O&amp;M'!N$4,'Control Panel'!$C$6:$N$6,0))</f>
        <v>2.1452829087813895E-2</v>
      </c>
      <c r="O93" s="127">
        <f>INDEX('Control Panel'!$C$7:$N$25,MATCH('O&amp;M'!$D93,Indicies,0),MATCH('O&amp;M'!O$4,'Control Panel'!$C$6:$N$6,0))</f>
        <v>2.1452829087813895E-2</v>
      </c>
      <c r="P93" s="762">
        <v>21641.85</v>
      </c>
      <c r="Q93" s="762">
        <v>22026.35</v>
      </c>
      <c r="R93" s="762">
        <v>22932</v>
      </c>
      <c r="S93" s="762">
        <v>25800</v>
      </c>
      <c r="T93" s="128">
        <f t="shared" ref="T93:T123" si="85">S93*(1+G93)</f>
        <v>26353.4829904656</v>
      </c>
      <c r="U93" s="128">
        <f t="shared" si="84"/>
        <v>26918.839756928672</v>
      </c>
      <c r="V93" s="128">
        <f t="shared" si="84"/>
        <v>27496.325025476315</v>
      </c>
      <c r="W93" s="128">
        <f t="shared" si="84"/>
        <v>28086.198986790841</v>
      </c>
      <c r="X93" s="128">
        <f t="shared" si="84"/>
        <v>28688.727413380799</v>
      </c>
      <c r="Y93" s="128">
        <f t="shared" si="84"/>
        <v>29304.18177932694</v>
      </c>
      <c r="Z93" s="128">
        <f t="shared" si="84"/>
        <v>29932.839382597074</v>
      </c>
      <c r="AA93" s="128">
        <f t="shared" si="84"/>
        <v>30574.983469984916</v>
      </c>
      <c r="AB93" s="128">
        <f t="shared" si="84"/>
        <v>31230.903364729242</v>
      </c>
    </row>
    <row r="94" spans="2:28" x14ac:dyDescent="0.3">
      <c r="B94" s="175" t="s">
        <v>208</v>
      </c>
      <c r="C94" s="91" t="s">
        <v>209</v>
      </c>
      <c r="D94" s="126" t="s">
        <v>7</v>
      </c>
      <c r="E94" s="172">
        <v>1</v>
      </c>
      <c r="F94" s="127">
        <f>INDEX('Control Panel'!$C$7:$N$25,MATCH('O&amp;M'!$D94,Indicies,0),MATCH('O&amp;M'!F$4,'Control Panel'!$C$6:$N$6,0))</f>
        <v>0.03</v>
      </c>
      <c r="G94" s="127">
        <f>INDEX('Control Panel'!$C$7:$N$25,MATCH('O&amp;M'!$D94,Indicies,0),MATCH('O&amp;M'!G$4,'Control Panel'!$C$6:$N$6,0))</f>
        <v>0.03</v>
      </c>
      <c r="H94" s="127">
        <f>INDEX('Control Panel'!$C$7:$N$25,MATCH('O&amp;M'!$D94,Indicies,0),MATCH('O&amp;M'!H$4,'Control Panel'!$C$6:$N$6,0))</f>
        <v>0.03</v>
      </c>
      <c r="I94" s="127">
        <f>INDEX('Control Panel'!$C$7:$N$25,MATCH('O&amp;M'!$D94,Indicies,0),MATCH('O&amp;M'!I$4,'Control Panel'!$C$6:$N$6,0))</f>
        <v>0.03</v>
      </c>
      <c r="J94" s="127">
        <f>INDEX('Control Panel'!$C$7:$N$25,MATCH('O&amp;M'!$D94,Indicies,0),MATCH('O&amp;M'!J$4,'Control Panel'!$C$6:$N$6,0))</f>
        <v>0.03</v>
      </c>
      <c r="K94" s="127">
        <f>INDEX('Control Panel'!$C$7:$N$25,MATCH('O&amp;M'!$D94,Indicies,0),MATCH('O&amp;M'!K$4,'Control Panel'!$C$6:$N$6,0))</f>
        <v>0.03</v>
      </c>
      <c r="L94" s="127">
        <f>INDEX('Control Panel'!$C$7:$N$25,MATCH('O&amp;M'!$D94,Indicies,0),MATCH('O&amp;M'!L$4,'Control Panel'!$C$6:$N$6,0))</f>
        <v>0.03</v>
      </c>
      <c r="M94" s="127">
        <f>INDEX('Control Panel'!$C$7:$N$25,MATCH('O&amp;M'!$D94,Indicies,0),MATCH('O&amp;M'!M$4,'Control Panel'!$C$6:$N$6,0))</f>
        <v>0.03</v>
      </c>
      <c r="N94" s="127">
        <f>INDEX('Control Panel'!$C$7:$N$25,MATCH('O&amp;M'!$D94,Indicies,0),MATCH('O&amp;M'!N$4,'Control Panel'!$C$6:$N$6,0))</f>
        <v>0.03</v>
      </c>
      <c r="O94" s="127">
        <f>INDEX('Control Panel'!$C$7:$N$25,MATCH('O&amp;M'!$D94,Indicies,0),MATCH('O&amp;M'!O$4,'Control Panel'!$C$6:$N$6,0))</f>
        <v>0.03</v>
      </c>
      <c r="P94" s="762">
        <v>256960</v>
      </c>
      <c r="Q94" s="762">
        <v>177447.26</v>
      </c>
      <c r="R94" s="762">
        <v>191993</v>
      </c>
      <c r="S94" s="762">
        <v>186319</v>
      </c>
      <c r="T94" s="128">
        <f t="shared" si="85"/>
        <v>191908.57</v>
      </c>
      <c r="U94" s="128">
        <f t="shared" si="84"/>
        <v>197665.82710000002</v>
      </c>
      <c r="V94" s="128">
        <f t="shared" si="84"/>
        <v>203595.80191300003</v>
      </c>
      <c r="W94" s="128">
        <f t="shared" si="84"/>
        <v>209703.67597039003</v>
      </c>
      <c r="X94" s="128">
        <f t="shared" si="84"/>
        <v>215994.78624950175</v>
      </c>
      <c r="Y94" s="128">
        <f t="shared" si="84"/>
        <v>222474.6298369868</v>
      </c>
      <c r="Z94" s="128">
        <f t="shared" si="84"/>
        <v>229148.86873209642</v>
      </c>
      <c r="AA94" s="128">
        <f t="shared" si="84"/>
        <v>236023.33479405931</v>
      </c>
      <c r="AB94" s="128">
        <f t="shared" si="84"/>
        <v>243104.0348378811</v>
      </c>
    </row>
    <row r="95" spans="2:28" x14ac:dyDescent="0.3">
      <c r="B95" s="175" t="s">
        <v>210</v>
      </c>
      <c r="C95" s="91" t="s">
        <v>211</v>
      </c>
      <c r="D95" s="126" t="s">
        <v>1474</v>
      </c>
      <c r="E95" s="172">
        <v>1</v>
      </c>
      <c r="F95" s="127">
        <f>INDEX('Control Panel'!$C$7:$N$25,MATCH('O&amp;M'!$D95,Indicies,0),MATCH('O&amp;M'!F$4,'Control Panel'!$C$6:$N$6,0))</f>
        <v>0.04</v>
      </c>
      <c r="G95" s="127">
        <f>INDEX('Control Panel'!$C$7:$N$25,MATCH('O&amp;M'!$D95,Indicies,0),MATCH('O&amp;M'!G$4,'Control Panel'!$C$6:$N$6,0))</f>
        <v>0.04</v>
      </c>
      <c r="H95" s="127">
        <f>INDEX('Control Panel'!$C$7:$N$25,MATCH('O&amp;M'!$D95,Indicies,0),MATCH('O&amp;M'!H$4,'Control Panel'!$C$6:$N$6,0))</f>
        <v>0.04</v>
      </c>
      <c r="I95" s="127">
        <f>INDEX('Control Panel'!$C$7:$N$25,MATCH('O&amp;M'!$D95,Indicies,0),MATCH('O&amp;M'!I$4,'Control Panel'!$C$6:$N$6,0))</f>
        <v>0.04</v>
      </c>
      <c r="J95" s="127">
        <f>INDEX('Control Panel'!$C$7:$N$25,MATCH('O&amp;M'!$D95,Indicies,0),MATCH('O&amp;M'!J$4,'Control Panel'!$C$6:$N$6,0))</f>
        <v>0.04</v>
      </c>
      <c r="K95" s="127">
        <f>INDEX('Control Panel'!$C$7:$N$25,MATCH('O&amp;M'!$D95,Indicies,0),MATCH('O&amp;M'!K$4,'Control Panel'!$C$6:$N$6,0))</f>
        <v>0.04</v>
      </c>
      <c r="L95" s="127">
        <f>INDEX('Control Panel'!$C$7:$N$25,MATCH('O&amp;M'!$D95,Indicies,0),MATCH('O&amp;M'!L$4,'Control Panel'!$C$6:$N$6,0))</f>
        <v>0.04</v>
      </c>
      <c r="M95" s="127">
        <f>INDEX('Control Panel'!$C$7:$N$25,MATCH('O&amp;M'!$D95,Indicies,0),MATCH('O&amp;M'!M$4,'Control Panel'!$C$6:$N$6,0))</f>
        <v>0.04</v>
      </c>
      <c r="N95" s="127">
        <f>INDEX('Control Panel'!$C$7:$N$25,MATCH('O&amp;M'!$D95,Indicies,0),MATCH('O&amp;M'!N$4,'Control Panel'!$C$6:$N$6,0))</f>
        <v>0.04</v>
      </c>
      <c r="O95" s="127">
        <f>INDEX('Control Panel'!$C$7:$N$25,MATCH('O&amp;M'!$D95,Indicies,0),MATCH('O&amp;M'!O$4,'Control Panel'!$C$6:$N$6,0))</f>
        <v>0.04</v>
      </c>
      <c r="P95" s="762">
        <v>17028.88</v>
      </c>
      <c r="Q95" s="762">
        <v>22406.19</v>
      </c>
      <c r="R95" s="762">
        <v>23042</v>
      </c>
      <c r="S95" s="762">
        <v>23526</v>
      </c>
      <c r="T95" s="128">
        <f t="shared" si="85"/>
        <v>24467.040000000001</v>
      </c>
      <c r="U95" s="128">
        <f t="shared" si="84"/>
        <v>25445.721600000001</v>
      </c>
      <c r="V95" s="128">
        <f t="shared" si="84"/>
        <v>26463.550464</v>
      </c>
      <c r="W95" s="128">
        <f t="shared" si="84"/>
        <v>27522.092482560001</v>
      </c>
      <c r="X95" s="128">
        <f t="shared" si="84"/>
        <v>28622.976181862403</v>
      </c>
      <c r="Y95" s="128">
        <f t="shared" si="84"/>
        <v>29767.895229136899</v>
      </c>
      <c r="Z95" s="128">
        <f t="shared" si="84"/>
        <v>30958.611038302377</v>
      </c>
      <c r="AA95" s="128">
        <f t="shared" si="84"/>
        <v>32196.955479834472</v>
      </c>
      <c r="AB95" s="128">
        <f t="shared" si="84"/>
        <v>33484.833699027855</v>
      </c>
    </row>
    <row r="96" spans="2:28" x14ac:dyDescent="0.3">
      <c r="B96" s="175" t="s">
        <v>212</v>
      </c>
      <c r="C96" s="91" t="s">
        <v>213</v>
      </c>
      <c r="D96" s="126" t="s">
        <v>8</v>
      </c>
      <c r="E96" s="172">
        <v>1</v>
      </c>
      <c r="F96" s="127">
        <f>INDEX('Control Panel'!$C$7:$N$25,MATCH('O&amp;M'!$D96,Indicies,0),MATCH('O&amp;M'!F$4,'Control Panel'!$C$6:$N$6,0))</f>
        <v>2.8840404751315222E-2</v>
      </c>
      <c r="G96" s="127">
        <f>INDEX('Control Panel'!$C$7:$N$25,MATCH('O&amp;M'!$D96,Indicies,0),MATCH('O&amp;M'!G$4,'Control Panel'!$C$6:$N$6,0))</f>
        <v>2.8840404751315222E-2</v>
      </c>
      <c r="H96" s="127">
        <f>INDEX('Control Panel'!$C$7:$N$25,MATCH('O&amp;M'!$D96,Indicies,0),MATCH('O&amp;M'!H$4,'Control Panel'!$C$6:$N$6,0))</f>
        <v>2.8840404751315222E-2</v>
      </c>
      <c r="I96" s="127">
        <f>INDEX('Control Panel'!$C$7:$N$25,MATCH('O&amp;M'!$D96,Indicies,0),MATCH('O&amp;M'!I$4,'Control Panel'!$C$6:$N$6,0))</f>
        <v>2.8840404751315222E-2</v>
      </c>
      <c r="J96" s="127">
        <f>INDEX('Control Panel'!$C$7:$N$25,MATCH('O&amp;M'!$D96,Indicies,0),MATCH('O&amp;M'!J$4,'Control Panel'!$C$6:$N$6,0))</f>
        <v>2.8840404751315222E-2</v>
      </c>
      <c r="K96" s="127">
        <f>INDEX('Control Panel'!$C$7:$N$25,MATCH('O&amp;M'!$D96,Indicies,0),MATCH('O&amp;M'!K$4,'Control Panel'!$C$6:$N$6,0))</f>
        <v>2.8840404751315222E-2</v>
      </c>
      <c r="L96" s="127">
        <f>INDEX('Control Panel'!$C$7:$N$25,MATCH('O&amp;M'!$D96,Indicies,0),MATCH('O&amp;M'!L$4,'Control Panel'!$C$6:$N$6,0))</f>
        <v>2.8840404751315222E-2</v>
      </c>
      <c r="M96" s="127">
        <f>INDEX('Control Panel'!$C$7:$N$25,MATCH('O&amp;M'!$D96,Indicies,0),MATCH('O&amp;M'!M$4,'Control Panel'!$C$6:$N$6,0))</f>
        <v>2.8840404751315222E-2</v>
      </c>
      <c r="N96" s="127">
        <f>INDEX('Control Panel'!$C$7:$N$25,MATCH('O&amp;M'!$D96,Indicies,0),MATCH('O&amp;M'!N$4,'Control Panel'!$C$6:$N$6,0))</f>
        <v>2.8840404751315222E-2</v>
      </c>
      <c r="O96" s="127">
        <f>INDEX('Control Panel'!$C$7:$N$25,MATCH('O&amp;M'!$D96,Indicies,0),MATCH('O&amp;M'!O$4,'Control Panel'!$C$6:$N$6,0))</f>
        <v>2.8840404751315222E-2</v>
      </c>
      <c r="P96" s="762">
        <v>32600</v>
      </c>
      <c r="Q96" s="762">
        <v>8573</v>
      </c>
      <c r="R96" s="762">
        <v>1500</v>
      </c>
      <c r="S96" s="762">
        <v>0</v>
      </c>
      <c r="T96" s="128">
        <f t="shared" si="85"/>
        <v>0</v>
      </c>
      <c r="U96" s="128">
        <f t="shared" si="84"/>
        <v>0</v>
      </c>
      <c r="V96" s="128">
        <f t="shared" si="84"/>
        <v>0</v>
      </c>
      <c r="W96" s="128">
        <f t="shared" si="84"/>
        <v>0</v>
      </c>
      <c r="X96" s="128">
        <f t="shared" si="84"/>
        <v>0</v>
      </c>
      <c r="Y96" s="128">
        <f t="shared" si="84"/>
        <v>0</v>
      </c>
      <c r="Z96" s="128">
        <f t="shared" si="84"/>
        <v>0</v>
      </c>
      <c r="AA96" s="128">
        <f t="shared" si="84"/>
        <v>0</v>
      </c>
      <c r="AB96" s="128">
        <f t="shared" si="84"/>
        <v>0</v>
      </c>
    </row>
    <row r="97" spans="2:28" x14ac:dyDescent="0.3">
      <c r="B97" s="175" t="s">
        <v>214</v>
      </c>
      <c r="C97" s="91" t="s">
        <v>200</v>
      </c>
      <c r="D97" s="126" t="s">
        <v>8</v>
      </c>
      <c r="E97" s="172">
        <v>1</v>
      </c>
      <c r="F97" s="127">
        <f>INDEX('Control Panel'!$C$7:$N$25,MATCH('O&amp;M'!$D97,Indicies,0),MATCH('O&amp;M'!F$4,'Control Panel'!$C$6:$N$6,0))</f>
        <v>2.8840404751315222E-2</v>
      </c>
      <c r="G97" s="127">
        <f>INDEX('Control Panel'!$C$7:$N$25,MATCH('O&amp;M'!$D97,Indicies,0),MATCH('O&amp;M'!G$4,'Control Panel'!$C$6:$N$6,0))</f>
        <v>2.8840404751315222E-2</v>
      </c>
      <c r="H97" s="127">
        <f>INDEX('Control Panel'!$C$7:$N$25,MATCH('O&amp;M'!$D97,Indicies,0),MATCH('O&amp;M'!H$4,'Control Panel'!$C$6:$N$6,0))</f>
        <v>2.8840404751315222E-2</v>
      </c>
      <c r="I97" s="127">
        <f>INDEX('Control Panel'!$C$7:$N$25,MATCH('O&amp;M'!$D97,Indicies,0),MATCH('O&amp;M'!I$4,'Control Panel'!$C$6:$N$6,0))</f>
        <v>2.8840404751315222E-2</v>
      </c>
      <c r="J97" s="127">
        <f>INDEX('Control Panel'!$C$7:$N$25,MATCH('O&amp;M'!$D97,Indicies,0),MATCH('O&amp;M'!J$4,'Control Panel'!$C$6:$N$6,0))</f>
        <v>2.8840404751315222E-2</v>
      </c>
      <c r="K97" s="127">
        <f>INDEX('Control Panel'!$C$7:$N$25,MATCH('O&amp;M'!$D97,Indicies,0),MATCH('O&amp;M'!K$4,'Control Panel'!$C$6:$N$6,0))</f>
        <v>2.8840404751315222E-2</v>
      </c>
      <c r="L97" s="127">
        <f>INDEX('Control Panel'!$C$7:$N$25,MATCH('O&amp;M'!$D97,Indicies,0),MATCH('O&amp;M'!L$4,'Control Panel'!$C$6:$N$6,0))</f>
        <v>2.8840404751315222E-2</v>
      </c>
      <c r="M97" s="127">
        <f>INDEX('Control Panel'!$C$7:$N$25,MATCH('O&amp;M'!$D97,Indicies,0),MATCH('O&amp;M'!M$4,'Control Panel'!$C$6:$N$6,0))</f>
        <v>2.8840404751315222E-2</v>
      </c>
      <c r="N97" s="127">
        <f>INDEX('Control Panel'!$C$7:$N$25,MATCH('O&amp;M'!$D97,Indicies,0),MATCH('O&amp;M'!N$4,'Control Panel'!$C$6:$N$6,0))</f>
        <v>2.8840404751315222E-2</v>
      </c>
      <c r="O97" s="127">
        <f>INDEX('Control Panel'!$C$7:$N$25,MATCH('O&amp;M'!$D97,Indicies,0),MATCH('O&amp;M'!O$4,'Control Panel'!$C$6:$N$6,0))</f>
        <v>2.8840404751315222E-2</v>
      </c>
      <c r="P97" s="762">
        <v>34066.300000000003</v>
      </c>
      <c r="Q97" s="762">
        <v>31198.77</v>
      </c>
      <c r="R97" s="762">
        <v>74100</v>
      </c>
      <c r="S97" s="762">
        <v>28200</v>
      </c>
      <c r="T97" s="128">
        <f t="shared" si="85"/>
        <v>29013.299413987093</v>
      </c>
      <c r="U97" s="128">
        <f t="shared" si="84"/>
        <v>29850.054712257581</v>
      </c>
      <c r="V97" s="128">
        <f t="shared" si="84"/>
        <v>30710.942372007998</v>
      </c>
      <c r="W97" s="128">
        <f t="shared" si="84"/>
        <v>31596.65838031103</v>
      </c>
      <c r="X97" s="128">
        <f t="shared" si="84"/>
        <v>32507.918796788239</v>
      </c>
      <c r="Y97" s="128">
        <f t="shared" si="84"/>
        <v>33445.460332510505</v>
      </c>
      <c r="Z97" s="128">
        <f t="shared" si="84"/>
        <v>34410.04094559417</v>
      </c>
      <c r="AA97" s="128">
        <f t="shared" si="84"/>
        <v>35402.440453974436</v>
      </c>
      <c r="AB97" s="128">
        <f t="shared" si="84"/>
        <v>36423.461165851397</v>
      </c>
    </row>
    <row r="98" spans="2:28" x14ac:dyDescent="0.3">
      <c r="B98" s="175" t="s">
        <v>215</v>
      </c>
      <c r="C98" s="91" t="s">
        <v>216</v>
      </c>
      <c r="D98" s="126" t="s">
        <v>7</v>
      </c>
      <c r="E98" s="172">
        <v>1</v>
      </c>
      <c r="F98" s="127">
        <f>INDEX('Control Panel'!$C$7:$N$25,MATCH('O&amp;M'!$D98,Indicies,0),MATCH('O&amp;M'!F$4,'Control Panel'!$C$6:$N$6,0))</f>
        <v>0.03</v>
      </c>
      <c r="G98" s="127">
        <f>INDEX('Control Panel'!$C$7:$N$25,MATCH('O&amp;M'!$D98,Indicies,0),MATCH('O&amp;M'!G$4,'Control Panel'!$C$6:$N$6,0))</f>
        <v>0.03</v>
      </c>
      <c r="H98" s="127">
        <f>INDEX('Control Panel'!$C$7:$N$25,MATCH('O&amp;M'!$D98,Indicies,0),MATCH('O&amp;M'!H$4,'Control Panel'!$C$6:$N$6,0))</f>
        <v>0.03</v>
      </c>
      <c r="I98" s="127">
        <f>INDEX('Control Panel'!$C$7:$N$25,MATCH('O&amp;M'!$D98,Indicies,0),MATCH('O&amp;M'!I$4,'Control Panel'!$C$6:$N$6,0))</f>
        <v>0.03</v>
      </c>
      <c r="J98" s="127">
        <f>INDEX('Control Panel'!$C$7:$N$25,MATCH('O&amp;M'!$D98,Indicies,0),MATCH('O&amp;M'!J$4,'Control Panel'!$C$6:$N$6,0))</f>
        <v>0.03</v>
      </c>
      <c r="K98" s="127">
        <f>INDEX('Control Panel'!$C$7:$N$25,MATCH('O&amp;M'!$D98,Indicies,0),MATCH('O&amp;M'!K$4,'Control Panel'!$C$6:$N$6,0))</f>
        <v>0.03</v>
      </c>
      <c r="L98" s="127">
        <f>INDEX('Control Panel'!$C$7:$N$25,MATCH('O&amp;M'!$D98,Indicies,0),MATCH('O&amp;M'!L$4,'Control Panel'!$C$6:$N$6,0))</f>
        <v>0.03</v>
      </c>
      <c r="M98" s="127">
        <f>INDEX('Control Panel'!$C$7:$N$25,MATCH('O&amp;M'!$D98,Indicies,0),MATCH('O&amp;M'!M$4,'Control Panel'!$C$6:$N$6,0))</f>
        <v>0.03</v>
      </c>
      <c r="N98" s="127">
        <f>INDEX('Control Panel'!$C$7:$N$25,MATCH('O&amp;M'!$D98,Indicies,0),MATCH('O&amp;M'!N$4,'Control Panel'!$C$6:$N$6,0))</f>
        <v>0.03</v>
      </c>
      <c r="O98" s="127">
        <f>INDEX('Control Panel'!$C$7:$N$25,MATCH('O&amp;M'!$D98,Indicies,0),MATCH('O&amp;M'!O$4,'Control Panel'!$C$6:$N$6,0))</f>
        <v>0.03</v>
      </c>
      <c r="P98" s="762">
        <v>0</v>
      </c>
      <c r="Q98" s="762">
        <v>0</v>
      </c>
      <c r="R98" s="762">
        <v>0</v>
      </c>
      <c r="S98" s="762">
        <v>1500</v>
      </c>
      <c r="T98" s="128">
        <f t="shared" si="85"/>
        <v>1545</v>
      </c>
      <c r="U98" s="128">
        <f>T98*(1+H98)</f>
        <v>1591.3500000000001</v>
      </c>
      <c r="V98" s="128">
        <f t="shared" si="84"/>
        <v>1639.0905000000002</v>
      </c>
      <c r="W98" s="128">
        <f t="shared" si="84"/>
        <v>1688.2632150000004</v>
      </c>
      <c r="X98" s="128">
        <f t="shared" si="84"/>
        <v>1738.9111114500004</v>
      </c>
      <c r="Y98" s="128">
        <f t="shared" si="84"/>
        <v>1791.0784447935005</v>
      </c>
      <c r="Z98" s="128">
        <f t="shared" si="84"/>
        <v>1844.8107981373055</v>
      </c>
      <c r="AA98" s="128">
        <f t="shared" si="84"/>
        <v>1900.1551220814247</v>
      </c>
      <c r="AB98" s="128">
        <f t="shared" si="84"/>
        <v>1957.1597757438674</v>
      </c>
    </row>
    <row r="99" spans="2:28" x14ac:dyDescent="0.3">
      <c r="B99" s="175" t="s">
        <v>217</v>
      </c>
      <c r="C99" s="91" t="s">
        <v>218</v>
      </c>
      <c r="D99" s="126" t="s">
        <v>7</v>
      </c>
      <c r="E99" s="172">
        <v>1</v>
      </c>
      <c r="F99" s="127">
        <f>INDEX('Control Panel'!$C$7:$N$25,MATCH('O&amp;M'!$D99,Indicies,0),MATCH('O&amp;M'!F$4,'Control Panel'!$C$6:$N$6,0))</f>
        <v>0.03</v>
      </c>
      <c r="G99" s="127">
        <f>INDEX('Control Panel'!$C$7:$N$25,MATCH('O&amp;M'!$D99,Indicies,0),MATCH('O&amp;M'!G$4,'Control Panel'!$C$6:$N$6,0))</f>
        <v>0.03</v>
      </c>
      <c r="H99" s="127">
        <f>INDEX('Control Panel'!$C$7:$N$25,MATCH('O&amp;M'!$D99,Indicies,0),MATCH('O&amp;M'!H$4,'Control Panel'!$C$6:$N$6,0))</f>
        <v>0.03</v>
      </c>
      <c r="I99" s="127">
        <f>INDEX('Control Panel'!$C$7:$N$25,MATCH('O&amp;M'!$D99,Indicies,0),MATCH('O&amp;M'!I$4,'Control Panel'!$C$6:$N$6,0))</f>
        <v>0.03</v>
      </c>
      <c r="J99" s="127">
        <f>INDEX('Control Panel'!$C$7:$N$25,MATCH('O&amp;M'!$D99,Indicies,0),MATCH('O&amp;M'!J$4,'Control Panel'!$C$6:$N$6,0))</f>
        <v>0.03</v>
      </c>
      <c r="K99" s="127">
        <f>INDEX('Control Panel'!$C$7:$N$25,MATCH('O&amp;M'!$D99,Indicies,0),MATCH('O&amp;M'!K$4,'Control Panel'!$C$6:$N$6,0))</f>
        <v>0.03</v>
      </c>
      <c r="L99" s="127">
        <f>INDEX('Control Panel'!$C$7:$N$25,MATCH('O&amp;M'!$D99,Indicies,0),MATCH('O&amp;M'!L$4,'Control Panel'!$C$6:$N$6,0))</f>
        <v>0.03</v>
      </c>
      <c r="M99" s="127">
        <f>INDEX('Control Panel'!$C$7:$N$25,MATCH('O&amp;M'!$D99,Indicies,0),MATCH('O&amp;M'!M$4,'Control Panel'!$C$6:$N$6,0))</f>
        <v>0.03</v>
      </c>
      <c r="N99" s="127">
        <f>INDEX('Control Panel'!$C$7:$N$25,MATCH('O&amp;M'!$D99,Indicies,0),MATCH('O&amp;M'!N$4,'Control Panel'!$C$6:$N$6,0))</f>
        <v>0.03</v>
      </c>
      <c r="O99" s="127">
        <f>INDEX('Control Panel'!$C$7:$N$25,MATCH('O&amp;M'!$D99,Indicies,0),MATCH('O&amp;M'!O$4,'Control Panel'!$C$6:$N$6,0))</f>
        <v>0.03</v>
      </c>
      <c r="P99" s="762">
        <v>6660</v>
      </c>
      <c r="Q99" s="762">
        <v>36388</v>
      </c>
      <c r="R99" s="762">
        <v>28000</v>
      </c>
      <c r="S99" s="762">
        <v>17000</v>
      </c>
      <c r="T99" s="128">
        <f t="shared" si="85"/>
        <v>17510</v>
      </c>
      <c r="U99" s="128">
        <f t="shared" si="84"/>
        <v>18035.3</v>
      </c>
      <c r="V99" s="128">
        <f t="shared" si="84"/>
        <v>18576.359</v>
      </c>
      <c r="W99" s="128">
        <f t="shared" si="84"/>
        <v>19133.64977</v>
      </c>
      <c r="X99" s="128">
        <f t="shared" si="84"/>
        <v>19707.659263100002</v>
      </c>
      <c r="Y99" s="128">
        <f t="shared" si="84"/>
        <v>20298.889040993003</v>
      </c>
      <c r="Z99" s="128">
        <f t="shared" si="84"/>
        <v>20907.855712222794</v>
      </c>
      <c r="AA99" s="128">
        <f t="shared" si="84"/>
        <v>21535.091383589479</v>
      </c>
      <c r="AB99" s="128">
        <f t="shared" si="84"/>
        <v>22181.144125097166</v>
      </c>
    </row>
    <row r="100" spans="2:28" x14ac:dyDescent="0.3">
      <c r="B100" s="175" t="s">
        <v>219</v>
      </c>
      <c r="C100" s="91" t="s">
        <v>220</v>
      </c>
      <c r="D100" s="126" t="s">
        <v>8</v>
      </c>
      <c r="E100" s="172">
        <v>1</v>
      </c>
      <c r="F100" s="127">
        <f>INDEX('Control Panel'!$C$7:$N$25,MATCH('O&amp;M'!$D100,Indicies,0),MATCH('O&amp;M'!F$4,'Control Panel'!$C$6:$N$6,0))</f>
        <v>2.8840404751315222E-2</v>
      </c>
      <c r="G100" s="127">
        <f>INDEX('Control Panel'!$C$7:$N$25,MATCH('O&amp;M'!$D100,Indicies,0),MATCH('O&amp;M'!G$4,'Control Panel'!$C$6:$N$6,0))</f>
        <v>2.8840404751315222E-2</v>
      </c>
      <c r="H100" s="127">
        <f>INDEX('Control Panel'!$C$7:$N$25,MATCH('O&amp;M'!$D100,Indicies,0),MATCH('O&amp;M'!H$4,'Control Panel'!$C$6:$N$6,0))</f>
        <v>2.8840404751315222E-2</v>
      </c>
      <c r="I100" s="127">
        <f>INDEX('Control Panel'!$C$7:$N$25,MATCH('O&amp;M'!$D100,Indicies,0),MATCH('O&amp;M'!I$4,'Control Panel'!$C$6:$N$6,0))</f>
        <v>2.8840404751315222E-2</v>
      </c>
      <c r="J100" s="127">
        <f>INDEX('Control Panel'!$C$7:$N$25,MATCH('O&amp;M'!$D100,Indicies,0),MATCH('O&amp;M'!J$4,'Control Panel'!$C$6:$N$6,0))</f>
        <v>2.8840404751315222E-2</v>
      </c>
      <c r="K100" s="127">
        <f>INDEX('Control Panel'!$C$7:$N$25,MATCH('O&amp;M'!$D100,Indicies,0),MATCH('O&amp;M'!K$4,'Control Panel'!$C$6:$N$6,0))</f>
        <v>2.8840404751315222E-2</v>
      </c>
      <c r="L100" s="127">
        <f>INDEX('Control Panel'!$C$7:$N$25,MATCH('O&amp;M'!$D100,Indicies,0),MATCH('O&amp;M'!L$4,'Control Panel'!$C$6:$N$6,0))</f>
        <v>2.8840404751315222E-2</v>
      </c>
      <c r="M100" s="127">
        <f>INDEX('Control Panel'!$C$7:$N$25,MATCH('O&amp;M'!$D100,Indicies,0),MATCH('O&amp;M'!M$4,'Control Panel'!$C$6:$N$6,0))</f>
        <v>2.8840404751315222E-2</v>
      </c>
      <c r="N100" s="127">
        <f>INDEX('Control Panel'!$C$7:$N$25,MATCH('O&amp;M'!$D100,Indicies,0),MATCH('O&amp;M'!N$4,'Control Panel'!$C$6:$N$6,0))</f>
        <v>2.8840404751315222E-2</v>
      </c>
      <c r="O100" s="127">
        <f>INDEX('Control Panel'!$C$7:$N$25,MATCH('O&amp;M'!$D100,Indicies,0),MATCH('O&amp;M'!O$4,'Control Panel'!$C$6:$N$6,0))</f>
        <v>2.8840404751315222E-2</v>
      </c>
      <c r="P100" s="762">
        <v>20218.560000000001</v>
      </c>
      <c r="Q100" s="762">
        <v>37396.720000000001</v>
      </c>
      <c r="R100" s="762">
        <v>85000</v>
      </c>
      <c r="S100" s="863">
        <f>86000-61000</f>
        <v>25000</v>
      </c>
      <c r="T100" s="861">
        <f>S100*(1+G100)</f>
        <v>25721.010118782884</v>
      </c>
      <c r="U100" s="128">
        <f t="shared" si="84"/>
        <v>26462.81446122126</v>
      </c>
      <c r="V100" s="128">
        <f t="shared" si="84"/>
        <v>27226.012741141843</v>
      </c>
      <c r="W100" s="128">
        <f t="shared" si="84"/>
        <v>28011.221968360842</v>
      </c>
      <c r="X100" s="128">
        <f t="shared" si="84"/>
        <v>28819.076947507303</v>
      </c>
      <c r="Y100" s="128">
        <f t="shared" si="84"/>
        <v>29650.230791232716</v>
      </c>
      <c r="Z100" s="128">
        <f t="shared" si="84"/>
        <v>30505.355448221781</v>
      </c>
      <c r="AA100" s="128">
        <f t="shared" si="84"/>
        <v>31385.142246431238</v>
      </c>
      <c r="AB100" s="128">
        <f t="shared" si="84"/>
        <v>32290.302451995922</v>
      </c>
    </row>
    <row r="101" spans="2:28" x14ac:dyDescent="0.3">
      <c r="B101" s="175" t="s">
        <v>221</v>
      </c>
      <c r="C101" s="91" t="s">
        <v>222</v>
      </c>
      <c r="D101" s="126" t="s">
        <v>7</v>
      </c>
      <c r="E101" s="172">
        <v>1</v>
      </c>
      <c r="F101" s="127">
        <f>INDEX('Control Panel'!$C$7:$N$25,MATCH('O&amp;M'!$D101,Indicies,0),MATCH('O&amp;M'!F$4,'Control Panel'!$C$6:$N$6,0))</f>
        <v>0.03</v>
      </c>
      <c r="G101" s="127">
        <f>INDEX('Control Panel'!$C$7:$N$25,MATCH('O&amp;M'!$D101,Indicies,0),MATCH('O&amp;M'!G$4,'Control Panel'!$C$6:$N$6,0))</f>
        <v>0.03</v>
      </c>
      <c r="H101" s="127">
        <f>INDEX('Control Panel'!$C$7:$N$25,MATCH('O&amp;M'!$D101,Indicies,0),MATCH('O&amp;M'!H$4,'Control Panel'!$C$6:$N$6,0))</f>
        <v>0.03</v>
      </c>
      <c r="I101" s="127">
        <f>INDEX('Control Panel'!$C$7:$N$25,MATCH('O&amp;M'!$D101,Indicies,0),MATCH('O&amp;M'!I$4,'Control Panel'!$C$6:$N$6,0))</f>
        <v>0.03</v>
      </c>
      <c r="J101" s="127">
        <f>INDEX('Control Panel'!$C$7:$N$25,MATCH('O&amp;M'!$D101,Indicies,0),MATCH('O&amp;M'!J$4,'Control Panel'!$C$6:$N$6,0))</f>
        <v>0.03</v>
      </c>
      <c r="K101" s="127">
        <f>INDEX('Control Panel'!$C$7:$N$25,MATCH('O&amp;M'!$D101,Indicies,0),MATCH('O&amp;M'!K$4,'Control Panel'!$C$6:$N$6,0))</f>
        <v>0.03</v>
      </c>
      <c r="L101" s="127">
        <f>INDEX('Control Panel'!$C$7:$N$25,MATCH('O&amp;M'!$D101,Indicies,0),MATCH('O&amp;M'!L$4,'Control Panel'!$C$6:$N$6,0))</f>
        <v>0.03</v>
      </c>
      <c r="M101" s="127">
        <f>INDEX('Control Panel'!$C$7:$N$25,MATCH('O&amp;M'!$D101,Indicies,0),MATCH('O&amp;M'!M$4,'Control Panel'!$C$6:$N$6,0))</f>
        <v>0.03</v>
      </c>
      <c r="N101" s="127">
        <f>INDEX('Control Panel'!$C$7:$N$25,MATCH('O&amp;M'!$D101,Indicies,0),MATCH('O&amp;M'!N$4,'Control Panel'!$C$6:$N$6,0))</f>
        <v>0.03</v>
      </c>
      <c r="O101" s="127">
        <f>INDEX('Control Panel'!$C$7:$N$25,MATCH('O&amp;M'!$D101,Indicies,0),MATCH('O&amp;M'!O$4,'Control Panel'!$C$6:$N$6,0))</f>
        <v>0.03</v>
      </c>
      <c r="P101" s="762">
        <v>3500</v>
      </c>
      <c r="Q101" s="762">
        <v>3675</v>
      </c>
      <c r="R101" s="762">
        <v>21500</v>
      </c>
      <c r="S101" s="762">
        <v>9500</v>
      </c>
      <c r="T101" s="128">
        <f t="shared" si="85"/>
        <v>9785</v>
      </c>
      <c r="U101" s="128">
        <f t="shared" si="84"/>
        <v>10078.550000000001</v>
      </c>
      <c r="V101" s="128">
        <f t="shared" si="84"/>
        <v>10380.906500000001</v>
      </c>
      <c r="W101" s="128">
        <f t="shared" si="84"/>
        <v>10692.333695000001</v>
      </c>
      <c r="X101" s="128">
        <f t="shared" si="84"/>
        <v>11013.103705850002</v>
      </c>
      <c r="Y101" s="128">
        <f t="shared" si="84"/>
        <v>11343.496817025503</v>
      </c>
      <c r="Z101" s="128">
        <f t="shared" si="84"/>
        <v>11683.801721536269</v>
      </c>
      <c r="AA101" s="128">
        <f t="shared" si="84"/>
        <v>12034.315773182358</v>
      </c>
      <c r="AB101" s="128">
        <f t="shared" si="84"/>
        <v>12395.345246377829</v>
      </c>
    </row>
    <row r="102" spans="2:28" x14ac:dyDescent="0.3">
      <c r="B102" s="175" t="s">
        <v>223</v>
      </c>
      <c r="C102" s="91" t="s">
        <v>224</v>
      </c>
      <c r="D102" s="126" t="s">
        <v>8</v>
      </c>
      <c r="E102" s="172">
        <v>1</v>
      </c>
      <c r="F102" s="127">
        <f>INDEX('Control Panel'!$C$7:$N$25,MATCH('O&amp;M'!$D102,Indicies,0),MATCH('O&amp;M'!F$4,'Control Panel'!$C$6:$N$6,0))</f>
        <v>2.8840404751315222E-2</v>
      </c>
      <c r="G102" s="127">
        <f>INDEX('Control Panel'!$C$7:$N$25,MATCH('O&amp;M'!$D102,Indicies,0),MATCH('O&amp;M'!G$4,'Control Panel'!$C$6:$N$6,0))</f>
        <v>2.8840404751315222E-2</v>
      </c>
      <c r="H102" s="127">
        <f>INDEX('Control Panel'!$C$7:$N$25,MATCH('O&amp;M'!$D102,Indicies,0),MATCH('O&amp;M'!H$4,'Control Panel'!$C$6:$N$6,0))</f>
        <v>2.8840404751315222E-2</v>
      </c>
      <c r="I102" s="127">
        <f>INDEX('Control Panel'!$C$7:$N$25,MATCH('O&amp;M'!$D102,Indicies,0),MATCH('O&amp;M'!I$4,'Control Panel'!$C$6:$N$6,0))</f>
        <v>2.8840404751315222E-2</v>
      </c>
      <c r="J102" s="127">
        <f>INDEX('Control Panel'!$C$7:$N$25,MATCH('O&amp;M'!$D102,Indicies,0),MATCH('O&amp;M'!J$4,'Control Panel'!$C$6:$N$6,0))</f>
        <v>2.8840404751315222E-2</v>
      </c>
      <c r="K102" s="127">
        <f>INDEX('Control Panel'!$C$7:$N$25,MATCH('O&amp;M'!$D102,Indicies,0),MATCH('O&amp;M'!K$4,'Control Panel'!$C$6:$N$6,0))</f>
        <v>2.8840404751315222E-2</v>
      </c>
      <c r="L102" s="127">
        <f>INDEX('Control Panel'!$C$7:$N$25,MATCH('O&amp;M'!$D102,Indicies,0),MATCH('O&amp;M'!L$4,'Control Panel'!$C$6:$N$6,0))</f>
        <v>2.8840404751315222E-2</v>
      </c>
      <c r="M102" s="127">
        <f>INDEX('Control Panel'!$C$7:$N$25,MATCH('O&amp;M'!$D102,Indicies,0),MATCH('O&amp;M'!M$4,'Control Panel'!$C$6:$N$6,0))</f>
        <v>2.8840404751315222E-2</v>
      </c>
      <c r="N102" s="127">
        <f>INDEX('Control Panel'!$C$7:$N$25,MATCH('O&amp;M'!$D102,Indicies,0),MATCH('O&amp;M'!N$4,'Control Panel'!$C$6:$N$6,0))</f>
        <v>2.8840404751315222E-2</v>
      </c>
      <c r="O102" s="127">
        <f>INDEX('Control Panel'!$C$7:$N$25,MATCH('O&amp;M'!$D102,Indicies,0),MATCH('O&amp;M'!O$4,'Control Panel'!$C$6:$N$6,0))</f>
        <v>2.8840404751315222E-2</v>
      </c>
      <c r="P102" s="762">
        <v>1823</v>
      </c>
      <c r="Q102" s="762">
        <v>1001</v>
      </c>
      <c r="R102" s="762">
        <v>3000</v>
      </c>
      <c r="S102" s="762">
        <v>2000</v>
      </c>
      <c r="T102" s="128">
        <f t="shared" si="85"/>
        <v>2057.6808095026308</v>
      </c>
      <c r="U102" s="128">
        <f t="shared" si="84"/>
        <v>2117.025156897701</v>
      </c>
      <c r="V102" s="128">
        <f t="shared" si="84"/>
        <v>2178.0810192913477</v>
      </c>
      <c r="W102" s="128">
        <f t="shared" si="84"/>
        <v>2240.8977574688674</v>
      </c>
      <c r="X102" s="128">
        <f t="shared" si="84"/>
        <v>2305.5261558005845</v>
      </c>
      <c r="Y102" s="128">
        <f t="shared" si="84"/>
        <v>2372.0184632986175</v>
      </c>
      <c r="Z102" s="128">
        <f t="shared" si="84"/>
        <v>2440.4284358577424</v>
      </c>
      <c r="AA102" s="128">
        <f t="shared" si="84"/>
        <v>2510.8113797144993</v>
      </c>
      <c r="AB102" s="128">
        <f t="shared" si="84"/>
        <v>2583.2241961596737</v>
      </c>
    </row>
    <row r="103" spans="2:28" x14ac:dyDescent="0.3">
      <c r="B103" s="175" t="s">
        <v>225</v>
      </c>
      <c r="C103" s="91" t="s">
        <v>130</v>
      </c>
      <c r="D103" s="126" t="s">
        <v>1480</v>
      </c>
      <c r="E103" s="172">
        <v>1</v>
      </c>
      <c r="F103" s="127">
        <f>INDEX('Control Panel'!$C$7:$N$25,MATCH('O&amp;M'!$D103,Indicies,0),MATCH('O&amp;M'!F$4,'Control Panel'!$C$6:$N$6,0))</f>
        <v>2.1452829087813895E-2</v>
      </c>
      <c r="G103" s="127">
        <f>INDEX('Control Panel'!$C$7:$N$25,MATCH('O&amp;M'!$D103,Indicies,0),MATCH('O&amp;M'!G$4,'Control Panel'!$C$6:$N$6,0))</f>
        <v>2.1452829087813895E-2</v>
      </c>
      <c r="H103" s="127">
        <f>INDEX('Control Panel'!$C$7:$N$25,MATCH('O&amp;M'!$D103,Indicies,0),MATCH('O&amp;M'!H$4,'Control Panel'!$C$6:$N$6,0))</f>
        <v>2.1452829087813895E-2</v>
      </c>
      <c r="I103" s="127">
        <f>INDEX('Control Panel'!$C$7:$N$25,MATCH('O&amp;M'!$D103,Indicies,0),MATCH('O&amp;M'!I$4,'Control Panel'!$C$6:$N$6,0))</f>
        <v>2.1452829087813895E-2</v>
      </c>
      <c r="J103" s="127">
        <f>INDEX('Control Panel'!$C$7:$N$25,MATCH('O&amp;M'!$D103,Indicies,0),MATCH('O&amp;M'!J$4,'Control Panel'!$C$6:$N$6,0))</f>
        <v>2.1452829087813895E-2</v>
      </c>
      <c r="K103" s="127">
        <f>INDEX('Control Panel'!$C$7:$N$25,MATCH('O&amp;M'!$D103,Indicies,0),MATCH('O&amp;M'!K$4,'Control Panel'!$C$6:$N$6,0))</f>
        <v>2.1452829087813895E-2</v>
      </c>
      <c r="L103" s="127">
        <f>INDEX('Control Panel'!$C$7:$N$25,MATCH('O&amp;M'!$D103,Indicies,0),MATCH('O&amp;M'!L$4,'Control Panel'!$C$6:$N$6,0))</f>
        <v>2.1452829087813895E-2</v>
      </c>
      <c r="M103" s="127">
        <f>INDEX('Control Panel'!$C$7:$N$25,MATCH('O&amp;M'!$D103,Indicies,0),MATCH('O&amp;M'!M$4,'Control Panel'!$C$6:$N$6,0))</f>
        <v>2.1452829087813895E-2</v>
      </c>
      <c r="N103" s="127">
        <f>INDEX('Control Panel'!$C$7:$N$25,MATCH('O&amp;M'!$D103,Indicies,0),MATCH('O&amp;M'!N$4,'Control Panel'!$C$6:$N$6,0))</f>
        <v>2.1452829087813895E-2</v>
      </c>
      <c r="O103" s="127">
        <f>INDEX('Control Panel'!$C$7:$N$25,MATCH('O&amp;M'!$D103,Indicies,0),MATCH('O&amp;M'!O$4,'Control Panel'!$C$6:$N$6,0))</f>
        <v>2.1452829087813895E-2</v>
      </c>
      <c r="P103" s="762">
        <v>15528.9</v>
      </c>
      <c r="Q103" s="762">
        <v>1937.59</v>
      </c>
      <c r="R103" s="762">
        <v>0</v>
      </c>
      <c r="S103" s="762">
        <v>0</v>
      </c>
      <c r="T103" s="128">
        <f t="shared" si="85"/>
        <v>0</v>
      </c>
      <c r="U103" s="128">
        <f t="shared" si="84"/>
        <v>0</v>
      </c>
      <c r="V103" s="128">
        <f t="shared" si="84"/>
        <v>0</v>
      </c>
      <c r="W103" s="128">
        <f t="shared" si="84"/>
        <v>0</v>
      </c>
      <c r="X103" s="128">
        <f t="shared" si="84"/>
        <v>0</v>
      </c>
      <c r="Y103" s="128">
        <f t="shared" si="84"/>
        <v>0</v>
      </c>
      <c r="Z103" s="128">
        <f t="shared" si="84"/>
        <v>0</v>
      </c>
      <c r="AA103" s="128">
        <f t="shared" si="84"/>
        <v>0</v>
      </c>
      <c r="AB103" s="128">
        <f t="shared" si="84"/>
        <v>0</v>
      </c>
    </row>
    <row r="104" spans="2:28" x14ac:dyDescent="0.3">
      <c r="B104" s="175" t="s">
        <v>226</v>
      </c>
      <c r="C104" s="91" t="s">
        <v>132</v>
      </c>
      <c r="D104" s="126" t="s">
        <v>1480</v>
      </c>
      <c r="E104" s="172">
        <v>1</v>
      </c>
      <c r="F104" s="127">
        <f>INDEX('Control Panel'!$C$7:$N$25,MATCH('O&amp;M'!$D104,Indicies,0),MATCH('O&amp;M'!F$4,'Control Panel'!$C$6:$N$6,0))</f>
        <v>2.1452829087813895E-2</v>
      </c>
      <c r="G104" s="127">
        <f>INDEX('Control Panel'!$C$7:$N$25,MATCH('O&amp;M'!$D104,Indicies,0),MATCH('O&amp;M'!G$4,'Control Panel'!$C$6:$N$6,0))</f>
        <v>2.1452829087813895E-2</v>
      </c>
      <c r="H104" s="127">
        <f>INDEX('Control Panel'!$C$7:$N$25,MATCH('O&amp;M'!$D104,Indicies,0),MATCH('O&amp;M'!H$4,'Control Panel'!$C$6:$N$6,0))</f>
        <v>2.1452829087813895E-2</v>
      </c>
      <c r="I104" s="127">
        <f>INDEX('Control Panel'!$C$7:$N$25,MATCH('O&amp;M'!$D104,Indicies,0),MATCH('O&amp;M'!I$4,'Control Panel'!$C$6:$N$6,0))</f>
        <v>2.1452829087813895E-2</v>
      </c>
      <c r="J104" s="127">
        <f>INDEX('Control Panel'!$C$7:$N$25,MATCH('O&amp;M'!$D104,Indicies,0),MATCH('O&amp;M'!J$4,'Control Panel'!$C$6:$N$6,0))</f>
        <v>2.1452829087813895E-2</v>
      </c>
      <c r="K104" s="127">
        <f>INDEX('Control Panel'!$C$7:$N$25,MATCH('O&amp;M'!$D104,Indicies,0),MATCH('O&amp;M'!K$4,'Control Panel'!$C$6:$N$6,0))</f>
        <v>2.1452829087813895E-2</v>
      </c>
      <c r="L104" s="127">
        <f>INDEX('Control Panel'!$C$7:$N$25,MATCH('O&amp;M'!$D104,Indicies,0),MATCH('O&amp;M'!L$4,'Control Panel'!$C$6:$N$6,0))</f>
        <v>2.1452829087813895E-2</v>
      </c>
      <c r="M104" s="127">
        <f>INDEX('Control Panel'!$C$7:$N$25,MATCH('O&amp;M'!$D104,Indicies,0),MATCH('O&amp;M'!M$4,'Control Panel'!$C$6:$N$6,0))</f>
        <v>2.1452829087813895E-2</v>
      </c>
      <c r="N104" s="127">
        <f>INDEX('Control Panel'!$C$7:$N$25,MATCH('O&amp;M'!$D104,Indicies,0),MATCH('O&amp;M'!N$4,'Control Panel'!$C$6:$N$6,0))</f>
        <v>2.1452829087813895E-2</v>
      </c>
      <c r="O104" s="127">
        <f>INDEX('Control Panel'!$C$7:$N$25,MATCH('O&amp;M'!$D104,Indicies,0),MATCH('O&amp;M'!O$4,'Control Panel'!$C$6:$N$6,0))</f>
        <v>2.1452829087813895E-2</v>
      </c>
      <c r="P104" s="762">
        <v>0</v>
      </c>
      <c r="Q104" s="762">
        <v>7623</v>
      </c>
      <c r="R104" s="762">
        <v>0</v>
      </c>
      <c r="S104" s="762">
        <v>0</v>
      </c>
      <c r="T104" s="128">
        <f t="shared" si="85"/>
        <v>0</v>
      </c>
      <c r="U104" s="128">
        <f t="shared" si="84"/>
        <v>0</v>
      </c>
      <c r="V104" s="128">
        <f t="shared" si="84"/>
        <v>0</v>
      </c>
      <c r="W104" s="128">
        <f t="shared" si="84"/>
        <v>0</v>
      </c>
      <c r="X104" s="128">
        <f t="shared" si="84"/>
        <v>0</v>
      </c>
      <c r="Y104" s="128">
        <f t="shared" si="84"/>
        <v>0</v>
      </c>
      <c r="Z104" s="128">
        <f t="shared" si="84"/>
        <v>0</v>
      </c>
      <c r="AA104" s="128">
        <f t="shared" si="84"/>
        <v>0</v>
      </c>
      <c r="AB104" s="128">
        <f t="shared" si="84"/>
        <v>0</v>
      </c>
    </row>
    <row r="105" spans="2:28" x14ac:dyDescent="0.3">
      <c r="B105" s="175" t="s">
        <v>227</v>
      </c>
      <c r="C105" s="91" t="s">
        <v>134</v>
      </c>
      <c r="D105" s="126" t="s">
        <v>1480</v>
      </c>
      <c r="E105" s="172">
        <v>1</v>
      </c>
      <c r="F105" s="127">
        <f>INDEX('Control Panel'!$C$7:$N$25,MATCH('O&amp;M'!$D105,Indicies,0),MATCH('O&amp;M'!F$4,'Control Panel'!$C$6:$N$6,0))</f>
        <v>2.1452829087813895E-2</v>
      </c>
      <c r="G105" s="127">
        <f>INDEX('Control Panel'!$C$7:$N$25,MATCH('O&amp;M'!$D105,Indicies,0),MATCH('O&amp;M'!G$4,'Control Panel'!$C$6:$N$6,0))</f>
        <v>2.1452829087813895E-2</v>
      </c>
      <c r="H105" s="127">
        <f>INDEX('Control Panel'!$C$7:$N$25,MATCH('O&amp;M'!$D105,Indicies,0),MATCH('O&amp;M'!H$4,'Control Panel'!$C$6:$N$6,0))</f>
        <v>2.1452829087813895E-2</v>
      </c>
      <c r="I105" s="127">
        <f>INDEX('Control Panel'!$C$7:$N$25,MATCH('O&amp;M'!$D105,Indicies,0),MATCH('O&amp;M'!I$4,'Control Panel'!$C$6:$N$6,0))</f>
        <v>2.1452829087813895E-2</v>
      </c>
      <c r="J105" s="127">
        <f>INDEX('Control Panel'!$C$7:$N$25,MATCH('O&amp;M'!$D105,Indicies,0),MATCH('O&amp;M'!J$4,'Control Panel'!$C$6:$N$6,0))</f>
        <v>2.1452829087813895E-2</v>
      </c>
      <c r="K105" s="127">
        <f>INDEX('Control Panel'!$C$7:$N$25,MATCH('O&amp;M'!$D105,Indicies,0),MATCH('O&amp;M'!K$4,'Control Panel'!$C$6:$N$6,0))</f>
        <v>2.1452829087813895E-2</v>
      </c>
      <c r="L105" s="127">
        <f>INDEX('Control Panel'!$C$7:$N$25,MATCH('O&amp;M'!$D105,Indicies,0),MATCH('O&amp;M'!L$4,'Control Panel'!$C$6:$N$6,0))</f>
        <v>2.1452829087813895E-2</v>
      </c>
      <c r="M105" s="127">
        <f>INDEX('Control Panel'!$C$7:$N$25,MATCH('O&amp;M'!$D105,Indicies,0),MATCH('O&amp;M'!M$4,'Control Panel'!$C$6:$N$6,0))</f>
        <v>2.1452829087813895E-2</v>
      </c>
      <c r="N105" s="127">
        <f>INDEX('Control Panel'!$C$7:$N$25,MATCH('O&amp;M'!$D105,Indicies,0),MATCH('O&amp;M'!N$4,'Control Panel'!$C$6:$N$6,0))</f>
        <v>2.1452829087813895E-2</v>
      </c>
      <c r="O105" s="127">
        <f>INDEX('Control Panel'!$C$7:$N$25,MATCH('O&amp;M'!$D105,Indicies,0),MATCH('O&amp;M'!O$4,'Control Panel'!$C$6:$N$6,0))</f>
        <v>2.1452829087813895E-2</v>
      </c>
      <c r="P105" s="762">
        <v>1274.6500000000001</v>
      </c>
      <c r="Q105" s="762">
        <v>202.31</v>
      </c>
      <c r="R105" s="762">
        <v>1000</v>
      </c>
      <c r="S105" s="762">
        <v>450</v>
      </c>
      <c r="T105" s="128">
        <f t="shared" si="85"/>
        <v>459.65377308951628</v>
      </c>
      <c r="U105" s="128">
        <f t="shared" si="84"/>
        <v>469.5146469231745</v>
      </c>
      <c r="V105" s="128">
        <f t="shared" si="84"/>
        <v>479.58706439784271</v>
      </c>
      <c r="W105" s="128">
        <f t="shared" si="84"/>
        <v>489.87556372309609</v>
      </c>
      <c r="X105" s="128">
        <f t="shared" si="84"/>
        <v>500.38478046594417</v>
      </c>
      <c r="Y105" s="128">
        <f t="shared" si="84"/>
        <v>511.11944963942341</v>
      </c>
      <c r="Z105" s="128">
        <f t="shared" si="84"/>
        <v>522.08440783599553</v>
      </c>
      <c r="AA105" s="128">
        <f t="shared" si="84"/>
        <v>533.28459540671372</v>
      </c>
      <c r="AB105" s="128">
        <f t="shared" si="84"/>
        <v>544.72505868713802</v>
      </c>
    </row>
    <row r="106" spans="2:28" x14ac:dyDescent="0.3">
      <c r="B106" s="175" t="s">
        <v>228</v>
      </c>
      <c r="C106" s="91" t="s">
        <v>229</v>
      </c>
      <c r="D106" s="126" t="s">
        <v>1480</v>
      </c>
      <c r="E106" s="172">
        <v>1</v>
      </c>
      <c r="F106" s="127">
        <f>INDEX('Control Panel'!$C$7:$N$25,MATCH('O&amp;M'!$D106,Indicies,0),MATCH('O&amp;M'!F$4,'Control Panel'!$C$6:$N$6,0))</f>
        <v>2.1452829087813895E-2</v>
      </c>
      <c r="G106" s="127">
        <f>INDEX('Control Panel'!$C$7:$N$25,MATCH('O&amp;M'!$D106,Indicies,0),MATCH('O&amp;M'!G$4,'Control Panel'!$C$6:$N$6,0))</f>
        <v>2.1452829087813895E-2</v>
      </c>
      <c r="H106" s="127">
        <f>INDEX('Control Panel'!$C$7:$N$25,MATCH('O&amp;M'!$D106,Indicies,0),MATCH('O&amp;M'!H$4,'Control Panel'!$C$6:$N$6,0))</f>
        <v>2.1452829087813895E-2</v>
      </c>
      <c r="I106" s="127">
        <f>INDEX('Control Panel'!$C$7:$N$25,MATCH('O&amp;M'!$D106,Indicies,0),MATCH('O&amp;M'!I$4,'Control Panel'!$C$6:$N$6,0))</f>
        <v>2.1452829087813895E-2</v>
      </c>
      <c r="J106" s="127">
        <f>INDEX('Control Panel'!$C$7:$N$25,MATCH('O&amp;M'!$D106,Indicies,0),MATCH('O&amp;M'!J$4,'Control Panel'!$C$6:$N$6,0))</f>
        <v>2.1452829087813895E-2</v>
      </c>
      <c r="K106" s="127">
        <f>INDEX('Control Panel'!$C$7:$N$25,MATCH('O&amp;M'!$D106,Indicies,0),MATCH('O&amp;M'!K$4,'Control Panel'!$C$6:$N$6,0))</f>
        <v>2.1452829087813895E-2</v>
      </c>
      <c r="L106" s="127">
        <f>INDEX('Control Panel'!$C$7:$N$25,MATCH('O&amp;M'!$D106,Indicies,0),MATCH('O&amp;M'!L$4,'Control Panel'!$C$6:$N$6,0))</f>
        <v>2.1452829087813895E-2</v>
      </c>
      <c r="M106" s="127">
        <f>INDEX('Control Panel'!$C$7:$N$25,MATCH('O&amp;M'!$D106,Indicies,0),MATCH('O&amp;M'!M$4,'Control Panel'!$C$6:$N$6,0))</f>
        <v>2.1452829087813895E-2</v>
      </c>
      <c r="N106" s="127">
        <f>INDEX('Control Panel'!$C$7:$N$25,MATCH('O&amp;M'!$D106,Indicies,0),MATCH('O&amp;M'!N$4,'Control Panel'!$C$6:$N$6,0))</f>
        <v>2.1452829087813895E-2</v>
      </c>
      <c r="O106" s="127">
        <f>INDEX('Control Panel'!$C$7:$N$25,MATCH('O&amp;M'!$D106,Indicies,0),MATCH('O&amp;M'!O$4,'Control Panel'!$C$6:$N$6,0))</f>
        <v>2.1452829087813895E-2</v>
      </c>
      <c r="P106" s="762">
        <v>1684.51</v>
      </c>
      <c r="Q106" s="762">
        <v>953.61</v>
      </c>
      <c r="R106" s="762">
        <v>3000</v>
      </c>
      <c r="S106" s="762">
        <v>3000</v>
      </c>
      <c r="T106" s="128">
        <f t="shared" si="85"/>
        <v>3064.3584872634419</v>
      </c>
      <c r="U106" s="128">
        <f t="shared" si="84"/>
        <v>3130.0976461544969</v>
      </c>
      <c r="V106" s="128">
        <f t="shared" si="84"/>
        <v>3197.2470959856182</v>
      </c>
      <c r="W106" s="128">
        <f t="shared" si="84"/>
        <v>3265.8370914873071</v>
      </c>
      <c r="X106" s="128">
        <f t="shared" si="84"/>
        <v>3335.8985364396281</v>
      </c>
      <c r="Y106" s="128">
        <f t="shared" si="84"/>
        <v>3407.4629975961561</v>
      </c>
      <c r="Z106" s="128">
        <f t="shared" si="84"/>
        <v>3480.5627189066367</v>
      </c>
      <c r="AA106" s="128">
        <f t="shared" si="84"/>
        <v>3555.2306360447578</v>
      </c>
      <c r="AB106" s="128">
        <f t="shared" si="84"/>
        <v>3631.5003912475863</v>
      </c>
    </row>
    <row r="107" spans="2:28" x14ac:dyDescent="0.3">
      <c r="B107" s="175" t="s">
        <v>230</v>
      </c>
      <c r="C107" s="91" t="s">
        <v>20</v>
      </c>
      <c r="D107" s="126" t="s">
        <v>1480</v>
      </c>
      <c r="E107" s="172">
        <v>1</v>
      </c>
      <c r="F107" s="127">
        <f>INDEX('Control Panel'!$C$7:$N$25,MATCH('O&amp;M'!$D107,Indicies,0),MATCH('O&amp;M'!F$4,'Control Panel'!$C$6:$N$6,0))</f>
        <v>2.1452829087813895E-2</v>
      </c>
      <c r="G107" s="127">
        <f>INDEX('Control Panel'!$C$7:$N$25,MATCH('O&amp;M'!$D107,Indicies,0),MATCH('O&amp;M'!G$4,'Control Panel'!$C$6:$N$6,0))</f>
        <v>2.1452829087813895E-2</v>
      </c>
      <c r="H107" s="127">
        <f>INDEX('Control Panel'!$C$7:$N$25,MATCH('O&amp;M'!$D107,Indicies,0),MATCH('O&amp;M'!H$4,'Control Panel'!$C$6:$N$6,0))</f>
        <v>2.1452829087813895E-2</v>
      </c>
      <c r="I107" s="127">
        <f>INDEX('Control Panel'!$C$7:$N$25,MATCH('O&amp;M'!$D107,Indicies,0),MATCH('O&amp;M'!I$4,'Control Panel'!$C$6:$N$6,0))</f>
        <v>2.1452829087813895E-2</v>
      </c>
      <c r="J107" s="127">
        <f>INDEX('Control Panel'!$C$7:$N$25,MATCH('O&amp;M'!$D107,Indicies,0),MATCH('O&amp;M'!J$4,'Control Panel'!$C$6:$N$6,0))</f>
        <v>2.1452829087813895E-2</v>
      </c>
      <c r="K107" s="127">
        <f>INDEX('Control Panel'!$C$7:$N$25,MATCH('O&amp;M'!$D107,Indicies,0),MATCH('O&amp;M'!K$4,'Control Panel'!$C$6:$N$6,0))</f>
        <v>2.1452829087813895E-2</v>
      </c>
      <c r="L107" s="127">
        <f>INDEX('Control Panel'!$C$7:$N$25,MATCH('O&amp;M'!$D107,Indicies,0),MATCH('O&amp;M'!L$4,'Control Panel'!$C$6:$N$6,0))</f>
        <v>2.1452829087813895E-2</v>
      </c>
      <c r="M107" s="127">
        <f>INDEX('Control Panel'!$C$7:$N$25,MATCH('O&amp;M'!$D107,Indicies,0),MATCH('O&amp;M'!M$4,'Control Panel'!$C$6:$N$6,0))</f>
        <v>2.1452829087813895E-2</v>
      </c>
      <c r="N107" s="127">
        <f>INDEX('Control Panel'!$C$7:$N$25,MATCH('O&amp;M'!$D107,Indicies,0),MATCH('O&amp;M'!N$4,'Control Panel'!$C$6:$N$6,0))</f>
        <v>2.1452829087813895E-2</v>
      </c>
      <c r="O107" s="127">
        <f>INDEX('Control Panel'!$C$7:$N$25,MATCH('O&amp;M'!$D107,Indicies,0),MATCH('O&amp;M'!O$4,'Control Panel'!$C$6:$N$6,0))</f>
        <v>2.1452829087813895E-2</v>
      </c>
      <c r="P107" s="762">
        <v>10777</v>
      </c>
      <c r="Q107" s="762">
        <v>9872.77</v>
      </c>
      <c r="R107" s="762">
        <v>2500</v>
      </c>
      <c r="S107" s="762">
        <v>1500</v>
      </c>
      <c r="T107" s="128">
        <f t="shared" si="85"/>
        <v>1532.179243631721</v>
      </c>
      <c r="U107" s="128">
        <f t="shared" ref="U107:U123" si="86">T107*(1+H107)</f>
        <v>1565.0488230772485</v>
      </c>
      <c r="V107" s="128">
        <f t="shared" ref="V107:V123" si="87">U107*(1+I107)</f>
        <v>1598.6235479928091</v>
      </c>
      <c r="W107" s="128">
        <f t="shared" ref="W107:W123" si="88">V107*(1+J107)</f>
        <v>1632.9185457436536</v>
      </c>
      <c r="X107" s="128">
        <f t="shared" ref="X107:X123" si="89">W107*(1+K107)</f>
        <v>1667.949268219814</v>
      </c>
      <c r="Y107" s="128">
        <f t="shared" ref="Y107:Y123" si="90">X107*(1+L107)</f>
        <v>1703.7314987980781</v>
      </c>
      <c r="Z107" s="128">
        <f t="shared" ref="Z107:Z123" si="91">Y107*(1+M107)</f>
        <v>1740.2813594533184</v>
      </c>
      <c r="AA107" s="128">
        <f t="shared" ref="AA107:AA123" si="92">Z107*(1+N107)</f>
        <v>1777.6153180223789</v>
      </c>
      <c r="AB107" s="128">
        <f t="shared" ref="AB107:AB123" si="93">AA107*(1+O107)</f>
        <v>1815.7501956237932</v>
      </c>
    </row>
    <row r="108" spans="2:28" x14ac:dyDescent="0.3">
      <c r="B108" s="175" t="s">
        <v>231</v>
      </c>
      <c r="C108" s="91" t="s">
        <v>232</v>
      </c>
      <c r="D108" s="126" t="s">
        <v>1480</v>
      </c>
      <c r="E108" s="172">
        <v>1</v>
      </c>
      <c r="F108" s="127">
        <f>INDEX('Control Panel'!$C$7:$N$25,MATCH('O&amp;M'!$D108,Indicies,0),MATCH('O&amp;M'!F$4,'Control Panel'!$C$6:$N$6,0))</f>
        <v>2.1452829087813895E-2</v>
      </c>
      <c r="G108" s="127">
        <f>INDEX('Control Panel'!$C$7:$N$25,MATCH('O&amp;M'!$D108,Indicies,0),MATCH('O&amp;M'!G$4,'Control Panel'!$C$6:$N$6,0))</f>
        <v>2.1452829087813895E-2</v>
      </c>
      <c r="H108" s="127">
        <f>INDEX('Control Panel'!$C$7:$N$25,MATCH('O&amp;M'!$D108,Indicies,0),MATCH('O&amp;M'!H$4,'Control Panel'!$C$6:$N$6,0))</f>
        <v>2.1452829087813895E-2</v>
      </c>
      <c r="I108" s="127">
        <f>INDEX('Control Panel'!$C$7:$N$25,MATCH('O&amp;M'!$D108,Indicies,0),MATCH('O&amp;M'!I$4,'Control Panel'!$C$6:$N$6,0))</f>
        <v>2.1452829087813895E-2</v>
      </c>
      <c r="J108" s="127">
        <f>INDEX('Control Panel'!$C$7:$N$25,MATCH('O&amp;M'!$D108,Indicies,0),MATCH('O&amp;M'!J$4,'Control Panel'!$C$6:$N$6,0))</f>
        <v>2.1452829087813895E-2</v>
      </c>
      <c r="K108" s="127">
        <f>INDEX('Control Panel'!$C$7:$N$25,MATCH('O&amp;M'!$D108,Indicies,0),MATCH('O&amp;M'!K$4,'Control Panel'!$C$6:$N$6,0))</f>
        <v>2.1452829087813895E-2</v>
      </c>
      <c r="L108" s="127">
        <f>INDEX('Control Panel'!$C$7:$N$25,MATCH('O&amp;M'!$D108,Indicies,0),MATCH('O&amp;M'!L$4,'Control Panel'!$C$6:$N$6,0))</f>
        <v>2.1452829087813895E-2</v>
      </c>
      <c r="M108" s="127">
        <f>INDEX('Control Panel'!$C$7:$N$25,MATCH('O&amp;M'!$D108,Indicies,0),MATCH('O&amp;M'!M$4,'Control Panel'!$C$6:$N$6,0))</f>
        <v>2.1452829087813895E-2</v>
      </c>
      <c r="N108" s="127">
        <f>INDEX('Control Panel'!$C$7:$N$25,MATCH('O&amp;M'!$D108,Indicies,0),MATCH('O&amp;M'!N$4,'Control Panel'!$C$6:$N$6,0))</f>
        <v>2.1452829087813895E-2</v>
      </c>
      <c r="O108" s="127">
        <f>INDEX('Control Panel'!$C$7:$N$25,MATCH('O&amp;M'!$D108,Indicies,0),MATCH('O&amp;M'!O$4,'Control Panel'!$C$6:$N$6,0))</f>
        <v>2.1452829087813895E-2</v>
      </c>
      <c r="P108" s="762">
        <v>12577.19</v>
      </c>
      <c r="Q108" s="762">
        <v>8395.68</v>
      </c>
      <c r="R108" s="762">
        <v>12500</v>
      </c>
      <c r="S108" s="762">
        <v>7500</v>
      </c>
      <c r="T108" s="128">
        <f t="shared" si="85"/>
        <v>7660.8962181586048</v>
      </c>
      <c r="U108" s="128">
        <f t="shared" si="86"/>
        <v>7825.2441153862419</v>
      </c>
      <c r="V108" s="128">
        <f t="shared" si="87"/>
        <v>7993.1177399640455</v>
      </c>
      <c r="W108" s="128">
        <f t="shared" si="88"/>
        <v>8164.5927287182685</v>
      </c>
      <c r="X108" s="128">
        <f t="shared" si="89"/>
        <v>8339.7463410990695</v>
      </c>
      <c r="Y108" s="128">
        <f t="shared" si="90"/>
        <v>8518.6574939903894</v>
      </c>
      <c r="Z108" s="128">
        <f t="shared" si="91"/>
        <v>8701.4067972665907</v>
      </c>
      <c r="AA108" s="128">
        <f t="shared" si="92"/>
        <v>8888.0765901118939</v>
      </c>
      <c r="AB108" s="128">
        <f t="shared" si="93"/>
        <v>9078.7509781189656</v>
      </c>
    </row>
    <row r="109" spans="2:28" x14ac:dyDescent="0.3">
      <c r="B109" s="175" t="s">
        <v>233</v>
      </c>
      <c r="C109" s="91" t="s">
        <v>234</v>
      </c>
      <c r="D109" s="126" t="s">
        <v>1480</v>
      </c>
      <c r="E109" s="172">
        <v>1</v>
      </c>
      <c r="F109" s="127">
        <f>INDEX('Control Panel'!$C$7:$N$25,MATCH('O&amp;M'!$D109,Indicies,0),MATCH('O&amp;M'!F$4,'Control Panel'!$C$6:$N$6,0))</f>
        <v>2.1452829087813895E-2</v>
      </c>
      <c r="G109" s="127">
        <f>INDEX('Control Panel'!$C$7:$N$25,MATCH('O&amp;M'!$D109,Indicies,0),MATCH('O&amp;M'!G$4,'Control Panel'!$C$6:$N$6,0))</f>
        <v>2.1452829087813895E-2</v>
      </c>
      <c r="H109" s="127">
        <f>INDEX('Control Panel'!$C$7:$N$25,MATCH('O&amp;M'!$D109,Indicies,0),MATCH('O&amp;M'!H$4,'Control Panel'!$C$6:$N$6,0))</f>
        <v>2.1452829087813895E-2</v>
      </c>
      <c r="I109" s="127">
        <f>INDEX('Control Panel'!$C$7:$N$25,MATCH('O&amp;M'!$D109,Indicies,0),MATCH('O&amp;M'!I$4,'Control Panel'!$C$6:$N$6,0))</f>
        <v>2.1452829087813895E-2</v>
      </c>
      <c r="J109" s="127">
        <f>INDEX('Control Panel'!$C$7:$N$25,MATCH('O&amp;M'!$D109,Indicies,0),MATCH('O&amp;M'!J$4,'Control Panel'!$C$6:$N$6,0))</f>
        <v>2.1452829087813895E-2</v>
      </c>
      <c r="K109" s="127">
        <f>INDEX('Control Panel'!$C$7:$N$25,MATCH('O&amp;M'!$D109,Indicies,0),MATCH('O&amp;M'!K$4,'Control Panel'!$C$6:$N$6,0))</f>
        <v>2.1452829087813895E-2</v>
      </c>
      <c r="L109" s="127">
        <f>INDEX('Control Panel'!$C$7:$N$25,MATCH('O&amp;M'!$D109,Indicies,0),MATCH('O&amp;M'!L$4,'Control Panel'!$C$6:$N$6,0))</f>
        <v>2.1452829087813895E-2</v>
      </c>
      <c r="M109" s="127">
        <f>INDEX('Control Panel'!$C$7:$N$25,MATCH('O&amp;M'!$D109,Indicies,0),MATCH('O&amp;M'!M$4,'Control Panel'!$C$6:$N$6,0))</f>
        <v>2.1452829087813895E-2</v>
      </c>
      <c r="N109" s="127">
        <f>INDEX('Control Panel'!$C$7:$N$25,MATCH('O&amp;M'!$D109,Indicies,0),MATCH('O&amp;M'!N$4,'Control Panel'!$C$6:$N$6,0))</f>
        <v>2.1452829087813895E-2</v>
      </c>
      <c r="O109" s="127">
        <f>INDEX('Control Panel'!$C$7:$N$25,MATCH('O&amp;M'!$D109,Indicies,0),MATCH('O&amp;M'!O$4,'Control Panel'!$C$6:$N$6,0))</f>
        <v>2.1452829087813895E-2</v>
      </c>
      <c r="P109" s="762">
        <v>3202.6</v>
      </c>
      <c r="Q109" s="762">
        <v>3871.14</v>
      </c>
      <c r="R109" s="762">
        <v>5200</v>
      </c>
      <c r="S109" s="762">
        <v>4000</v>
      </c>
      <c r="T109" s="128">
        <f t="shared" si="85"/>
        <v>4085.8113163512558</v>
      </c>
      <c r="U109" s="128">
        <f t="shared" si="86"/>
        <v>4173.4635282059953</v>
      </c>
      <c r="V109" s="128">
        <f t="shared" si="87"/>
        <v>4262.996127980824</v>
      </c>
      <c r="W109" s="128">
        <f t="shared" si="88"/>
        <v>4354.4494553164095</v>
      </c>
      <c r="X109" s="128">
        <f t="shared" si="89"/>
        <v>4447.8647152528374</v>
      </c>
      <c r="Y109" s="128">
        <f t="shared" si="90"/>
        <v>4543.2839967948748</v>
      </c>
      <c r="Z109" s="128">
        <f t="shared" si="91"/>
        <v>4640.7502918755154</v>
      </c>
      <c r="AA109" s="128">
        <f t="shared" si="92"/>
        <v>4740.3075147263435</v>
      </c>
      <c r="AB109" s="128">
        <f t="shared" si="93"/>
        <v>4842.0005216634481</v>
      </c>
    </row>
    <row r="110" spans="2:28" x14ac:dyDescent="0.3">
      <c r="B110" s="175" t="s">
        <v>235</v>
      </c>
      <c r="C110" s="91" t="s">
        <v>236</v>
      </c>
      <c r="D110" s="126" t="s">
        <v>1480</v>
      </c>
      <c r="E110" s="172">
        <v>1</v>
      </c>
      <c r="F110" s="127">
        <f>INDEX('Control Panel'!$C$7:$N$25,MATCH('O&amp;M'!$D110,Indicies,0),MATCH('O&amp;M'!F$4,'Control Panel'!$C$6:$N$6,0))</f>
        <v>2.1452829087813895E-2</v>
      </c>
      <c r="G110" s="127">
        <f>INDEX('Control Panel'!$C$7:$N$25,MATCH('O&amp;M'!$D110,Indicies,0),MATCH('O&amp;M'!G$4,'Control Panel'!$C$6:$N$6,0))</f>
        <v>2.1452829087813895E-2</v>
      </c>
      <c r="H110" s="127">
        <f>INDEX('Control Panel'!$C$7:$N$25,MATCH('O&amp;M'!$D110,Indicies,0),MATCH('O&amp;M'!H$4,'Control Panel'!$C$6:$N$6,0))</f>
        <v>2.1452829087813895E-2</v>
      </c>
      <c r="I110" s="127">
        <f>INDEX('Control Panel'!$C$7:$N$25,MATCH('O&amp;M'!$D110,Indicies,0),MATCH('O&amp;M'!I$4,'Control Panel'!$C$6:$N$6,0))</f>
        <v>2.1452829087813895E-2</v>
      </c>
      <c r="J110" s="127">
        <f>INDEX('Control Panel'!$C$7:$N$25,MATCH('O&amp;M'!$D110,Indicies,0),MATCH('O&amp;M'!J$4,'Control Panel'!$C$6:$N$6,0))</f>
        <v>2.1452829087813895E-2</v>
      </c>
      <c r="K110" s="127">
        <f>INDEX('Control Panel'!$C$7:$N$25,MATCH('O&amp;M'!$D110,Indicies,0),MATCH('O&amp;M'!K$4,'Control Panel'!$C$6:$N$6,0))</f>
        <v>2.1452829087813895E-2</v>
      </c>
      <c r="L110" s="127">
        <f>INDEX('Control Panel'!$C$7:$N$25,MATCH('O&amp;M'!$D110,Indicies,0),MATCH('O&amp;M'!L$4,'Control Panel'!$C$6:$N$6,0))</f>
        <v>2.1452829087813895E-2</v>
      </c>
      <c r="M110" s="127">
        <f>INDEX('Control Panel'!$C$7:$N$25,MATCH('O&amp;M'!$D110,Indicies,0),MATCH('O&amp;M'!M$4,'Control Panel'!$C$6:$N$6,0))</f>
        <v>2.1452829087813895E-2</v>
      </c>
      <c r="N110" s="127">
        <f>INDEX('Control Panel'!$C$7:$N$25,MATCH('O&amp;M'!$D110,Indicies,0),MATCH('O&amp;M'!N$4,'Control Panel'!$C$6:$N$6,0))</f>
        <v>2.1452829087813895E-2</v>
      </c>
      <c r="O110" s="127">
        <f>INDEX('Control Panel'!$C$7:$N$25,MATCH('O&amp;M'!$D110,Indicies,0),MATCH('O&amp;M'!O$4,'Control Panel'!$C$6:$N$6,0))</f>
        <v>2.1452829087813895E-2</v>
      </c>
      <c r="P110" s="762">
        <v>0</v>
      </c>
      <c r="Q110" s="762">
        <v>0</v>
      </c>
      <c r="R110" s="762">
        <v>1500</v>
      </c>
      <c r="S110" s="762">
        <v>1000</v>
      </c>
      <c r="T110" s="128">
        <f t="shared" si="85"/>
        <v>1021.4528290878139</v>
      </c>
      <c r="U110" s="128">
        <f t="shared" si="86"/>
        <v>1043.3658820514988</v>
      </c>
      <c r="V110" s="128">
        <f t="shared" si="87"/>
        <v>1065.749031995206</v>
      </c>
      <c r="W110" s="128">
        <f t="shared" si="88"/>
        <v>1088.6123638291024</v>
      </c>
      <c r="X110" s="128">
        <f t="shared" si="89"/>
        <v>1111.9661788132094</v>
      </c>
      <c r="Y110" s="128">
        <f t="shared" si="90"/>
        <v>1135.8209991987187</v>
      </c>
      <c r="Z110" s="128">
        <f t="shared" si="91"/>
        <v>1160.1875729688788</v>
      </c>
      <c r="AA110" s="128">
        <f t="shared" si="92"/>
        <v>1185.0768786815859</v>
      </c>
      <c r="AB110" s="128">
        <f t="shared" si="93"/>
        <v>1210.500130415862</v>
      </c>
    </row>
    <row r="111" spans="2:28" x14ac:dyDescent="0.3">
      <c r="B111" s="175" t="s">
        <v>237</v>
      </c>
      <c r="C111" s="91" t="s">
        <v>238</v>
      </c>
      <c r="D111" s="126" t="s">
        <v>1480</v>
      </c>
      <c r="E111" s="172">
        <v>1</v>
      </c>
      <c r="F111" s="127">
        <f>INDEX('Control Panel'!$C$7:$N$25,MATCH('O&amp;M'!$D111,Indicies,0),MATCH('O&amp;M'!F$4,'Control Panel'!$C$6:$N$6,0))</f>
        <v>2.1452829087813895E-2</v>
      </c>
      <c r="G111" s="127">
        <f>INDEX('Control Panel'!$C$7:$N$25,MATCH('O&amp;M'!$D111,Indicies,0),MATCH('O&amp;M'!G$4,'Control Panel'!$C$6:$N$6,0))</f>
        <v>2.1452829087813895E-2</v>
      </c>
      <c r="H111" s="127">
        <f>INDEX('Control Panel'!$C$7:$N$25,MATCH('O&amp;M'!$D111,Indicies,0),MATCH('O&amp;M'!H$4,'Control Panel'!$C$6:$N$6,0))</f>
        <v>2.1452829087813895E-2</v>
      </c>
      <c r="I111" s="127">
        <f>INDEX('Control Panel'!$C$7:$N$25,MATCH('O&amp;M'!$D111,Indicies,0),MATCH('O&amp;M'!I$4,'Control Panel'!$C$6:$N$6,0))</f>
        <v>2.1452829087813895E-2</v>
      </c>
      <c r="J111" s="127">
        <f>INDEX('Control Panel'!$C$7:$N$25,MATCH('O&amp;M'!$D111,Indicies,0),MATCH('O&amp;M'!J$4,'Control Panel'!$C$6:$N$6,0))</f>
        <v>2.1452829087813895E-2</v>
      </c>
      <c r="K111" s="127">
        <f>INDEX('Control Panel'!$C$7:$N$25,MATCH('O&amp;M'!$D111,Indicies,0),MATCH('O&amp;M'!K$4,'Control Panel'!$C$6:$N$6,0))</f>
        <v>2.1452829087813895E-2</v>
      </c>
      <c r="L111" s="127">
        <f>INDEX('Control Panel'!$C$7:$N$25,MATCH('O&amp;M'!$D111,Indicies,0),MATCH('O&amp;M'!L$4,'Control Panel'!$C$6:$N$6,0))</f>
        <v>2.1452829087813895E-2</v>
      </c>
      <c r="M111" s="127">
        <f>INDEX('Control Panel'!$C$7:$N$25,MATCH('O&amp;M'!$D111,Indicies,0),MATCH('O&amp;M'!M$4,'Control Panel'!$C$6:$N$6,0))</f>
        <v>2.1452829087813895E-2</v>
      </c>
      <c r="N111" s="127">
        <f>INDEX('Control Panel'!$C$7:$N$25,MATCH('O&amp;M'!$D111,Indicies,0),MATCH('O&amp;M'!N$4,'Control Panel'!$C$6:$N$6,0))</f>
        <v>2.1452829087813895E-2</v>
      </c>
      <c r="O111" s="127">
        <f>INDEX('Control Panel'!$C$7:$N$25,MATCH('O&amp;M'!$D111,Indicies,0),MATCH('O&amp;M'!O$4,'Control Panel'!$C$6:$N$6,0))</f>
        <v>2.1452829087813895E-2</v>
      </c>
      <c r="P111" s="762">
        <v>10690.42</v>
      </c>
      <c r="Q111" s="762">
        <v>17146.82</v>
      </c>
      <c r="R111" s="762">
        <v>27500</v>
      </c>
      <c r="S111" s="762">
        <v>21200</v>
      </c>
      <c r="T111" s="128">
        <f t="shared" si="85"/>
        <v>21654.799976661656</v>
      </c>
      <c r="U111" s="128">
        <f t="shared" si="86"/>
        <v>22119.356699491778</v>
      </c>
      <c r="V111" s="128">
        <f t="shared" si="87"/>
        <v>22593.879478298368</v>
      </c>
      <c r="W111" s="128">
        <f t="shared" si="88"/>
        <v>23078.58211317697</v>
      </c>
      <c r="X111" s="128">
        <f t="shared" si="89"/>
        <v>23573.682990840036</v>
      </c>
      <c r="Y111" s="128">
        <f t="shared" si="90"/>
        <v>24079.405183012834</v>
      </c>
      <c r="Z111" s="128">
        <f t="shared" si="91"/>
        <v>24595.97654694023</v>
      </c>
      <c r="AA111" s="128">
        <f t="shared" si="92"/>
        <v>25123.629828049619</v>
      </c>
      <c r="AB111" s="128">
        <f t="shared" si="93"/>
        <v>25662.602764816274</v>
      </c>
    </row>
    <row r="112" spans="2:28" x14ac:dyDescent="0.3">
      <c r="B112" s="175" t="s">
        <v>239</v>
      </c>
      <c r="C112" s="91" t="s">
        <v>240</v>
      </c>
      <c r="D112" s="126" t="s">
        <v>7</v>
      </c>
      <c r="E112" s="172">
        <v>1</v>
      </c>
      <c r="F112" s="127">
        <f>INDEX('Control Panel'!$C$7:$N$25,MATCH('O&amp;M'!$D112,Indicies,0),MATCH('O&amp;M'!F$4,'Control Panel'!$C$6:$N$6,0))</f>
        <v>0.03</v>
      </c>
      <c r="G112" s="127">
        <f>INDEX('Control Panel'!$C$7:$N$25,MATCH('O&amp;M'!$D112,Indicies,0),MATCH('O&amp;M'!G$4,'Control Panel'!$C$6:$N$6,0))</f>
        <v>0.03</v>
      </c>
      <c r="H112" s="127">
        <f>INDEX('Control Panel'!$C$7:$N$25,MATCH('O&amp;M'!$D112,Indicies,0),MATCH('O&amp;M'!H$4,'Control Panel'!$C$6:$N$6,0))</f>
        <v>0.03</v>
      </c>
      <c r="I112" s="127">
        <f>INDEX('Control Panel'!$C$7:$N$25,MATCH('O&amp;M'!$D112,Indicies,0),MATCH('O&amp;M'!I$4,'Control Panel'!$C$6:$N$6,0))</f>
        <v>0.03</v>
      </c>
      <c r="J112" s="127">
        <f>INDEX('Control Panel'!$C$7:$N$25,MATCH('O&amp;M'!$D112,Indicies,0),MATCH('O&amp;M'!J$4,'Control Panel'!$C$6:$N$6,0))</f>
        <v>0.03</v>
      </c>
      <c r="K112" s="127">
        <f>INDEX('Control Panel'!$C$7:$N$25,MATCH('O&amp;M'!$D112,Indicies,0),MATCH('O&amp;M'!K$4,'Control Panel'!$C$6:$N$6,0))</f>
        <v>0.03</v>
      </c>
      <c r="L112" s="127">
        <f>INDEX('Control Panel'!$C$7:$N$25,MATCH('O&amp;M'!$D112,Indicies,0),MATCH('O&amp;M'!L$4,'Control Panel'!$C$6:$N$6,0))</f>
        <v>0.03</v>
      </c>
      <c r="M112" s="127">
        <f>INDEX('Control Panel'!$C$7:$N$25,MATCH('O&amp;M'!$D112,Indicies,0),MATCH('O&amp;M'!M$4,'Control Panel'!$C$6:$N$6,0))</f>
        <v>0.03</v>
      </c>
      <c r="N112" s="127">
        <f>INDEX('Control Panel'!$C$7:$N$25,MATCH('O&amp;M'!$D112,Indicies,0),MATCH('O&amp;M'!N$4,'Control Panel'!$C$6:$N$6,0))</f>
        <v>0.03</v>
      </c>
      <c r="O112" s="127">
        <f>INDEX('Control Panel'!$C$7:$N$25,MATCH('O&amp;M'!$D112,Indicies,0),MATCH('O&amp;M'!O$4,'Control Panel'!$C$6:$N$6,0))</f>
        <v>0.03</v>
      </c>
      <c r="P112" s="762">
        <v>0</v>
      </c>
      <c r="Q112" s="762">
        <v>148.63999999999999</v>
      </c>
      <c r="R112" s="762">
        <v>300</v>
      </c>
      <c r="S112" s="762">
        <v>300</v>
      </c>
      <c r="T112" s="128">
        <f t="shared" si="85"/>
        <v>309</v>
      </c>
      <c r="U112" s="128">
        <f t="shared" si="86"/>
        <v>318.27</v>
      </c>
      <c r="V112" s="128">
        <f t="shared" si="87"/>
        <v>327.81810000000002</v>
      </c>
      <c r="W112" s="128">
        <f t="shared" si="88"/>
        <v>337.65264300000001</v>
      </c>
      <c r="X112" s="128">
        <f t="shared" si="89"/>
        <v>347.78222228999999</v>
      </c>
      <c r="Y112" s="128">
        <f t="shared" si="90"/>
        <v>358.21568895870001</v>
      </c>
      <c r="Z112" s="128">
        <f t="shared" si="91"/>
        <v>368.96215962746101</v>
      </c>
      <c r="AA112" s="128">
        <f t="shared" si="92"/>
        <v>380.03102441628482</v>
      </c>
      <c r="AB112" s="128">
        <f t="shared" si="93"/>
        <v>391.4319551487734</v>
      </c>
    </row>
    <row r="113" spans="2:28" x14ac:dyDescent="0.3">
      <c r="B113" s="175" t="s">
        <v>241</v>
      </c>
      <c r="C113" s="91" t="s">
        <v>242</v>
      </c>
      <c r="D113" s="126" t="s">
        <v>1474</v>
      </c>
      <c r="E113" s="172">
        <v>1</v>
      </c>
      <c r="F113" s="127">
        <f>INDEX('Control Panel'!$C$7:$N$25,MATCH('O&amp;M'!$D113,Indicies,0),MATCH('O&amp;M'!F$4,'Control Panel'!$C$6:$N$6,0))</f>
        <v>0.04</v>
      </c>
      <c r="G113" s="127">
        <f>INDEX('Control Panel'!$C$7:$N$25,MATCH('O&amp;M'!$D113,Indicies,0),MATCH('O&amp;M'!G$4,'Control Panel'!$C$6:$N$6,0))</f>
        <v>0.04</v>
      </c>
      <c r="H113" s="127">
        <f>INDEX('Control Panel'!$C$7:$N$25,MATCH('O&amp;M'!$D113,Indicies,0),MATCH('O&amp;M'!H$4,'Control Panel'!$C$6:$N$6,0))</f>
        <v>0.04</v>
      </c>
      <c r="I113" s="127">
        <f>INDEX('Control Panel'!$C$7:$N$25,MATCH('O&amp;M'!$D113,Indicies,0),MATCH('O&amp;M'!I$4,'Control Panel'!$C$6:$N$6,0))</f>
        <v>0.04</v>
      </c>
      <c r="J113" s="127">
        <f>INDEX('Control Panel'!$C$7:$N$25,MATCH('O&amp;M'!$D113,Indicies,0),MATCH('O&amp;M'!J$4,'Control Panel'!$C$6:$N$6,0))</f>
        <v>0.04</v>
      </c>
      <c r="K113" s="127">
        <f>INDEX('Control Panel'!$C$7:$N$25,MATCH('O&amp;M'!$D113,Indicies,0),MATCH('O&amp;M'!K$4,'Control Panel'!$C$6:$N$6,0))</f>
        <v>0.04</v>
      </c>
      <c r="L113" s="127">
        <f>INDEX('Control Panel'!$C$7:$N$25,MATCH('O&amp;M'!$D113,Indicies,0),MATCH('O&amp;M'!L$4,'Control Panel'!$C$6:$N$6,0))</f>
        <v>0.04</v>
      </c>
      <c r="M113" s="127">
        <f>INDEX('Control Panel'!$C$7:$N$25,MATCH('O&amp;M'!$D113,Indicies,0),MATCH('O&amp;M'!M$4,'Control Panel'!$C$6:$N$6,0))</f>
        <v>0.04</v>
      </c>
      <c r="N113" s="127">
        <f>INDEX('Control Panel'!$C$7:$N$25,MATCH('O&amp;M'!$D113,Indicies,0),MATCH('O&amp;M'!N$4,'Control Panel'!$C$6:$N$6,0))</f>
        <v>0.04</v>
      </c>
      <c r="O113" s="127">
        <f>INDEX('Control Panel'!$C$7:$N$25,MATCH('O&amp;M'!$D113,Indicies,0),MATCH('O&amp;M'!O$4,'Control Panel'!$C$6:$N$6,0))</f>
        <v>0.04</v>
      </c>
      <c r="P113" s="762">
        <v>1397.52</v>
      </c>
      <c r="Q113" s="762">
        <v>1302.3</v>
      </c>
      <c r="R113" s="762">
        <v>2000</v>
      </c>
      <c r="S113" s="762">
        <v>2000</v>
      </c>
      <c r="T113" s="128">
        <f t="shared" si="85"/>
        <v>2080</v>
      </c>
      <c r="U113" s="128">
        <f t="shared" si="86"/>
        <v>2163.2000000000003</v>
      </c>
      <c r="V113" s="128">
        <f t="shared" si="87"/>
        <v>2249.7280000000005</v>
      </c>
      <c r="W113" s="128">
        <f t="shared" si="88"/>
        <v>2339.7171200000007</v>
      </c>
      <c r="X113" s="128">
        <f t="shared" si="89"/>
        <v>2433.3058048000007</v>
      </c>
      <c r="Y113" s="128">
        <f t="shared" si="90"/>
        <v>2530.6380369920007</v>
      </c>
      <c r="Z113" s="128">
        <f t="shared" si="91"/>
        <v>2631.8635584716808</v>
      </c>
      <c r="AA113" s="128">
        <f t="shared" si="92"/>
        <v>2737.1381008105482</v>
      </c>
      <c r="AB113" s="128">
        <f t="shared" si="93"/>
        <v>2846.62362484297</v>
      </c>
    </row>
    <row r="114" spans="2:28" x14ac:dyDescent="0.3">
      <c r="B114" s="175" t="s">
        <v>243</v>
      </c>
      <c r="C114" s="91" t="s">
        <v>244</v>
      </c>
      <c r="D114" s="126" t="s">
        <v>8</v>
      </c>
      <c r="E114" s="172">
        <v>1</v>
      </c>
      <c r="F114" s="127">
        <f>INDEX('Control Panel'!$C$7:$N$25,MATCH('O&amp;M'!$D114,Indicies,0),MATCH('O&amp;M'!F$4,'Control Panel'!$C$6:$N$6,0))</f>
        <v>2.8840404751315222E-2</v>
      </c>
      <c r="G114" s="127">
        <f>INDEX('Control Panel'!$C$7:$N$25,MATCH('O&amp;M'!$D114,Indicies,0),MATCH('O&amp;M'!G$4,'Control Panel'!$C$6:$N$6,0))</f>
        <v>2.8840404751315222E-2</v>
      </c>
      <c r="H114" s="127">
        <f>INDEX('Control Panel'!$C$7:$N$25,MATCH('O&amp;M'!$D114,Indicies,0),MATCH('O&amp;M'!H$4,'Control Panel'!$C$6:$N$6,0))</f>
        <v>2.8840404751315222E-2</v>
      </c>
      <c r="I114" s="127">
        <f>INDEX('Control Panel'!$C$7:$N$25,MATCH('O&amp;M'!$D114,Indicies,0),MATCH('O&amp;M'!I$4,'Control Panel'!$C$6:$N$6,0))</f>
        <v>2.8840404751315222E-2</v>
      </c>
      <c r="J114" s="127">
        <f>INDEX('Control Panel'!$C$7:$N$25,MATCH('O&amp;M'!$D114,Indicies,0),MATCH('O&amp;M'!J$4,'Control Panel'!$C$6:$N$6,0))</f>
        <v>2.8840404751315222E-2</v>
      </c>
      <c r="K114" s="127">
        <f>INDEX('Control Panel'!$C$7:$N$25,MATCH('O&amp;M'!$D114,Indicies,0),MATCH('O&amp;M'!K$4,'Control Panel'!$C$6:$N$6,0))</f>
        <v>2.8840404751315222E-2</v>
      </c>
      <c r="L114" s="127">
        <f>INDEX('Control Panel'!$C$7:$N$25,MATCH('O&amp;M'!$D114,Indicies,0),MATCH('O&amp;M'!L$4,'Control Panel'!$C$6:$N$6,0))</f>
        <v>2.8840404751315222E-2</v>
      </c>
      <c r="M114" s="127">
        <f>INDEX('Control Panel'!$C$7:$N$25,MATCH('O&amp;M'!$D114,Indicies,0),MATCH('O&amp;M'!M$4,'Control Panel'!$C$6:$N$6,0))</f>
        <v>2.8840404751315222E-2</v>
      </c>
      <c r="N114" s="127">
        <f>INDEX('Control Panel'!$C$7:$N$25,MATCH('O&amp;M'!$D114,Indicies,0),MATCH('O&amp;M'!N$4,'Control Panel'!$C$6:$N$6,0))</f>
        <v>2.8840404751315222E-2</v>
      </c>
      <c r="O114" s="127">
        <f>INDEX('Control Panel'!$C$7:$N$25,MATCH('O&amp;M'!$D114,Indicies,0),MATCH('O&amp;M'!O$4,'Control Panel'!$C$6:$N$6,0))</f>
        <v>2.8840404751315222E-2</v>
      </c>
      <c r="P114" s="762">
        <v>7977.74</v>
      </c>
      <c r="Q114" s="762">
        <v>11473.56</v>
      </c>
      <c r="R114" s="762">
        <v>10000</v>
      </c>
      <c r="S114" s="762">
        <v>7000</v>
      </c>
      <c r="T114" s="128">
        <f t="shared" si="85"/>
        <v>7201.8828332592075</v>
      </c>
      <c r="U114" s="128">
        <f t="shared" si="86"/>
        <v>7409.588049141953</v>
      </c>
      <c r="V114" s="128">
        <f t="shared" si="87"/>
        <v>7623.2835675197157</v>
      </c>
      <c r="W114" s="128">
        <f t="shared" si="88"/>
        <v>7843.1421511410354</v>
      </c>
      <c r="X114" s="128">
        <f t="shared" si="89"/>
        <v>8069.3415453020452</v>
      </c>
      <c r="Y114" s="128">
        <f t="shared" si="90"/>
        <v>8302.0646215451598</v>
      </c>
      <c r="Z114" s="128">
        <f t="shared" si="91"/>
        <v>8541.4995255020985</v>
      </c>
      <c r="AA114" s="128">
        <f t="shared" si="92"/>
        <v>8787.8398290007462</v>
      </c>
      <c r="AB114" s="128">
        <f t="shared" si="93"/>
        <v>9041.2846865588581</v>
      </c>
    </row>
    <row r="115" spans="2:28" x14ac:dyDescent="0.3">
      <c r="B115" s="175" t="s">
        <v>245</v>
      </c>
      <c r="C115" s="91" t="s">
        <v>246</v>
      </c>
      <c r="D115" s="126" t="s">
        <v>8</v>
      </c>
      <c r="E115" s="172">
        <v>1</v>
      </c>
      <c r="F115" s="127">
        <f>INDEX('Control Panel'!$C$7:$N$25,MATCH('O&amp;M'!$D115,Indicies,0),MATCH('O&amp;M'!F$4,'Control Panel'!$C$6:$N$6,0))</f>
        <v>2.8840404751315222E-2</v>
      </c>
      <c r="G115" s="127">
        <f>INDEX('Control Panel'!$C$7:$N$25,MATCH('O&amp;M'!$D115,Indicies,0),MATCH('O&amp;M'!G$4,'Control Panel'!$C$6:$N$6,0))</f>
        <v>2.8840404751315222E-2</v>
      </c>
      <c r="H115" s="127">
        <f>INDEX('Control Panel'!$C$7:$N$25,MATCH('O&amp;M'!$D115,Indicies,0),MATCH('O&amp;M'!H$4,'Control Panel'!$C$6:$N$6,0))</f>
        <v>2.8840404751315222E-2</v>
      </c>
      <c r="I115" s="127">
        <f>INDEX('Control Panel'!$C$7:$N$25,MATCH('O&amp;M'!$D115,Indicies,0),MATCH('O&amp;M'!I$4,'Control Panel'!$C$6:$N$6,0))</f>
        <v>2.8840404751315222E-2</v>
      </c>
      <c r="J115" s="127">
        <f>INDEX('Control Panel'!$C$7:$N$25,MATCH('O&amp;M'!$D115,Indicies,0),MATCH('O&amp;M'!J$4,'Control Panel'!$C$6:$N$6,0))</f>
        <v>2.8840404751315222E-2</v>
      </c>
      <c r="K115" s="127">
        <f>INDEX('Control Panel'!$C$7:$N$25,MATCH('O&amp;M'!$D115,Indicies,0),MATCH('O&amp;M'!K$4,'Control Panel'!$C$6:$N$6,0))</f>
        <v>2.8840404751315222E-2</v>
      </c>
      <c r="L115" s="127">
        <f>INDEX('Control Panel'!$C$7:$N$25,MATCH('O&amp;M'!$D115,Indicies,0),MATCH('O&amp;M'!L$4,'Control Panel'!$C$6:$N$6,0))</f>
        <v>2.8840404751315222E-2</v>
      </c>
      <c r="M115" s="127">
        <f>INDEX('Control Panel'!$C$7:$N$25,MATCH('O&amp;M'!$D115,Indicies,0),MATCH('O&amp;M'!M$4,'Control Panel'!$C$6:$N$6,0))</f>
        <v>2.8840404751315222E-2</v>
      </c>
      <c r="N115" s="127">
        <f>INDEX('Control Panel'!$C$7:$N$25,MATCH('O&amp;M'!$D115,Indicies,0),MATCH('O&amp;M'!N$4,'Control Panel'!$C$6:$N$6,0))</f>
        <v>2.8840404751315222E-2</v>
      </c>
      <c r="O115" s="127">
        <f>INDEX('Control Panel'!$C$7:$N$25,MATCH('O&amp;M'!$D115,Indicies,0),MATCH('O&amp;M'!O$4,'Control Panel'!$C$6:$N$6,0))</f>
        <v>2.8840404751315222E-2</v>
      </c>
      <c r="P115" s="762">
        <v>22202.84</v>
      </c>
      <c r="Q115" s="762">
        <v>23007.22</v>
      </c>
      <c r="R115" s="762">
        <v>25000</v>
      </c>
      <c r="S115" s="762">
        <v>25000</v>
      </c>
      <c r="T115" s="128">
        <f t="shared" si="85"/>
        <v>25721.010118782884</v>
      </c>
      <c r="U115" s="128">
        <f t="shared" si="86"/>
        <v>26462.81446122126</v>
      </c>
      <c r="V115" s="128">
        <f t="shared" si="87"/>
        <v>27226.012741141843</v>
      </c>
      <c r="W115" s="128">
        <f t="shared" si="88"/>
        <v>28011.221968360842</v>
      </c>
      <c r="X115" s="128">
        <f t="shared" si="89"/>
        <v>28819.076947507303</v>
      </c>
      <c r="Y115" s="128">
        <f t="shared" si="90"/>
        <v>29650.230791232716</v>
      </c>
      <c r="Z115" s="128">
        <f t="shared" si="91"/>
        <v>30505.355448221781</v>
      </c>
      <c r="AA115" s="128">
        <f t="shared" si="92"/>
        <v>31385.142246431238</v>
      </c>
      <c r="AB115" s="128">
        <f t="shared" si="93"/>
        <v>32290.302451995922</v>
      </c>
    </row>
    <row r="116" spans="2:28" x14ac:dyDescent="0.3">
      <c r="B116" s="175" t="s">
        <v>247</v>
      </c>
      <c r="C116" s="91" t="s">
        <v>248</v>
      </c>
      <c r="D116" s="126" t="s">
        <v>8</v>
      </c>
      <c r="E116" s="172">
        <v>1</v>
      </c>
      <c r="F116" s="127">
        <f>INDEX('Control Panel'!$C$7:$N$25,MATCH('O&amp;M'!$D116,Indicies,0),MATCH('O&amp;M'!F$4,'Control Panel'!$C$6:$N$6,0))</f>
        <v>2.8840404751315222E-2</v>
      </c>
      <c r="G116" s="127">
        <f>INDEX('Control Panel'!$C$7:$N$25,MATCH('O&amp;M'!$D116,Indicies,0),MATCH('O&amp;M'!G$4,'Control Panel'!$C$6:$N$6,0))</f>
        <v>2.8840404751315222E-2</v>
      </c>
      <c r="H116" s="127">
        <f>INDEX('Control Panel'!$C$7:$N$25,MATCH('O&amp;M'!$D116,Indicies,0),MATCH('O&amp;M'!H$4,'Control Panel'!$C$6:$N$6,0))</f>
        <v>2.8840404751315222E-2</v>
      </c>
      <c r="I116" s="127">
        <f>INDEX('Control Panel'!$C$7:$N$25,MATCH('O&amp;M'!$D116,Indicies,0),MATCH('O&amp;M'!I$4,'Control Panel'!$C$6:$N$6,0))</f>
        <v>2.8840404751315222E-2</v>
      </c>
      <c r="J116" s="127">
        <f>INDEX('Control Panel'!$C$7:$N$25,MATCH('O&amp;M'!$D116,Indicies,0),MATCH('O&amp;M'!J$4,'Control Panel'!$C$6:$N$6,0))</f>
        <v>2.8840404751315222E-2</v>
      </c>
      <c r="K116" s="127">
        <f>INDEX('Control Panel'!$C$7:$N$25,MATCH('O&amp;M'!$D116,Indicies,0),MATCH('O&amp;M'!K$4,'Control Panel'!$C$6:$N$6,0))</f>
        <v>2.8840404751315222E-2</v>
      </c>
      <c r="L116" s="127">
        <f>INDEX('Control Panel'!$C$7:$N$25,MATCH('O&amp;M'!$D116,Indicies,0),MATCH('O&amp;M'!L$4,'Control Panel'!$C$6:$N$6,0))</f>
        <v>2.8840404751315222E-2</v>
      </c>
      <c r="M116" s="127">
        <f>INDEX('Control Panel'!$C$7:$N$25,MATCH('O&amp;M'!$D116,Indicies,0),MATCH('O&amp;M'!M$4,'Control Panel'!$C$6:$N$6,0))</f>
        <v>2.8840404751315222E-2</v>
      </c>
      <c r="N116" s="127">
        <f>INDEX('Control Panel'!$C$7:$N$25,MATCH('O&amp;M'!$D116,Indicies,0),MATCH('O&amp;M'!N$4,'Control Panel'!$C$6:$N$6,0))</f>
        <v>2.8840404751315222E-2</v>
      </c>
      <c r="O116" s="127">
        <f>INDEX('Control Panel'!$C$7:$N$25,MATCH('O&amp;M'!$D116,Indicies,0),MATCH('O&amp;M'!O$4,'Control Panel'!$C$6:$N$6,0))</f>
        <v>2.8840404751315222E-2</v>
      </c>
      <c r="P116" s="762">
        <v>2934</v>
      </c>
      <c r="Q116" s="762">
        <v>3720.03</v>
      </c>
      <c r="R116" s="762">
        <v>5500</v>
      </c>
      <c r="S116" s="762">
        <v>5500</v>
      </c>
      <c r="T116" s="128">
        <f t="shared" si="85"/>
        <v>5658.6222261322346</v>
      </c>
      <c r="U116" s="128">
        <f t="shared" si="86"/>
        <v>5821.819181468677</v>
      </c>
      <c r="V116" s="128">
        <f t="shared" si="87"/>
        <v>5989.7228030512051</v>
      </c>
      <c r="W116" s="128">
        <f t="shared" si="88"/>
        <v>6162.4688330393847</v>
      </c>
      <c r="X116" s="128">
        <f t="shared" si="89"/>
        <v>6340.1969284516063</v>
      </c>
      <c r="Y116" s="128">
        <f t="shared" si="90"/>
        <v>6523.0507740711964</v>
      </c>
      <c r="Z116" s="128">
        <f t="shared" si="91"/>
        <v>6711.1781986087908</v>
      </c>
      <c r="AA116" s="128">
        <f t="shared" si="92"/>
        <v>6904.7312942148719</v>
      </c>
      <c r="AB116" s="128">
        <f t="shared" si="93"/>
        <v>7103.8665394391019</v>
      </c>
    </row>
    <row r="117" spans="2:28" x14ac:dyDescent="0.3">
      <c r="B117" s="175" t="s">
        <v>249</v>
      </c>
      <c r="C117" s="91" t="s">
        <v>250</v>
      </c>
      <c r="D117" s="126" t="s">
        <v>8</v>
      </c>
      <c r="E117" s="172">
        <v>1</v>
      </c>
      <c r="F117" s="127">
        <f>INDEX('Control Panel'!$C$7:$N$25,MATCH('O&amp;M'!$D117,Indicies,0),MATCH('O&amp;M'!F$4,'Control Panel'!$C$6:$N$6,0))</f>
        <v>2.8840404751315222E-2</v>
      </c>
      <c r="G117" s="127">
        <f>INDEX('Control Panel'!$C$7:$N$25,MATCH('O&amp;M'!$D117,Indicies,0),MATCH('O&amp;M'!G$4,'Control Panel'!$C$6:$N$6,0))</f>
        <v>2.8840404751315222E-2</v>
      </c>
      <c r="H117" s="127">
        <f>INDEX('Control Panel'!$C$7:$N$25,MATCH('O&amp;M'!$D117,Indicies,0),MATCH('O&amp;M'!H$4,'Control Panel'!$C$6:$N$6,0))</f>
        <v>2.8840404751315222E-2</v>
      </c>
      <c r="I117" s="127">
        <f>INDEX('Control Panel'!$C$7:$N$25,MATCH('O&amp;M'!$D117,Indicies,0),MATCH('O&amp;M'!I$4,'Control Panel'!$C$6:$N$6,0))</f>
        <v>2.8840404751315222E-2</v>
      </c>
      <c r="J117" s="127">
        <f>INDEX('Control Panel'!$C$7:$N$25,MATCH('O&amp;M'!$D117,Indicies,0),MATCH('O&amp;M'!J$4,'Control Panel'!$C$6:$N$6,0))</f>
        <v>2.8840404751315222E-2</v>
      </c>
      <c r="K117" s="127">
        <f>INDEX('Control Panel'!$C$7:$N$25,MATCH('O&amp;M'!$D117,Indicies,0),MATCH('O&amp;M'!K$4,'Control Panel'!$C$6:$N$6,0))</f>
        <v>2.8840404751315222E-2</v>
      </c>
      <c r="L117" s="127">
        <f>INDEX('Control Panel'!$C$7:$N$25,MATCH('O&amp;M'!$D117,Indicies,0),MATCH('O&amp;M'!L$4,'Control Panel'!$C$6:$N$6,0))</f>
        <v>2.8840404751315222E-2</v>
      </c>
      <c r="M117" s="127">
        <f>INDEX('Control Panel'!$C$7:$N$25,MATCH('O&amp;M'!$D117,Indicies,0),MATCH('O&amp;M'!M$4,'Control Panel'!$C$6:$N$6,0))</f>
        <v>2.8840404751315222E-2</v>
      </c>
      <c r="N117" s="127">
        <f>INDEX('Control Panel'!$C$7:$N$25,MATCH('O&amp;M'!$D117,Indicies,0),MATCH('O&amp;M'!N$4,'Control Panel'!$C$6:$N$6,0))</f>
        <v>2.8840404751315222E-2</v>
      </c>
      <c r="O117" s="127">
        <f>INDEX('Control Panel'!$C$7:$N$25,MATCH('O&amp;M'!$D117,Indicies,0),MATCH('O&amp;M'!O$4,'Control Panel'!$C$6:$N$6,0))</f>
        <v>2.8840404751315222E-2</v>
      </c>
      <c r="P117" s="762">
        <v>4341.33</v>
      </c>
      <c r="Q117" s="762">
        <v>2360.88</v>
      </c>
      <c r="R117" s="762">
        <v>5000</v>
      </c>
      <c r="S117" s="762">
        <v>3000</v>
      </c>
      <c r="T117" s="128">
        <f t="shared" si="85"/>
        <v>3086.5212142539458</v>
      </c>
      <c r="U117" s="128">
        <f t="shared" si="86"/>
        <v>3175.537735346551</v>
      </c>
      <c r="V117" s="128">
        <f t="shared" si="87"/>
        <v>3267.1215289370207</v>
      </c>
      <c r="W117" s="128">
        <f t="shared" si="88"/>
        <v>3361.3466362033005</v>
      </c>
      <c r="X117" s="128">
        <f t="shared" si="89"/>
        <v>3458.2892337008761</v>
      </c>
      <c r="Y117" s="128">
        <f t="shared" si="90"/>
        <v>3558.0276949479257</v>
      </c>
      <c r="Z117" s="128">
        <f t="shared" si="91"/>
        <v>3660.6426537866132</v>
      </c>
      <c r="AA117" s="128">
        <f t="shared" si="92"/>
        <v>3766.2170695717482</v>
      </c>
      <c r="AB117" s="128">
        <f t="shared" si="93"/>
        <v>3874.8362942395102</v>
      </c>
    </row>
    <row r="118" spans="2:28" x14ac:dyDescent="0.3">
      <c r="B118" s="175" t="s">
        <v>251</v>
      </c>
      <c r="C118" s="91" t="s">
        <v>252</v>
      </c>
      <c r="D118" s="126" t="s">
        <v>8</v>
      </c>
      <c r="E118" s="172">
        <v>1</v>
      </c>
      <c r="F118" s="127">
        <f>INDEX('Control Panel'!$C$7:$N$25,MATCH('O&amp;M'!$D118,Indicies,0),MATCH('O&amp;M'!F$4,'Control Panel'!$C$6:$N$6,0))</f>
        <v>2.8840404751315222E-2</v>
      </c>
      <c r="G118" s="127">
        <f>INDEX('Control Panel'!$C$7:$N$25,MATCH('O&amp;M'!$D118,Indicies,0),MATCH('O&amp;M'!G$4,'Control Panel'!$C$6:$N$6,0))</f>
        <v>2.8840404751315222E-2</v>
      </c>
      <c r="H118" s="127">
        <f>INDEX('Control Panel'!$C$7:$N$25,MATCH('O&amp;M'!$D118,Indicies,0),MATCH('O&amp;M'!H$4,'Control Panel'!$C$6:$N$6,0))</f>
        <v>2.8840404751315222E-2</v>
      </c>
      <c r="I118" s="127">
        <f>INDEX('Control Panel'!$C$7:$N$25,MATCH('O&amp;M'!$D118,Indicies,0),MATCH('O&amp;M'!I$4,'Control Panel'!$C$6:$N$6,0))</f>
        <v>2.8840404751315222E-2</v>
      </c>
      <c r="J118" s="127">
        <f>INDEX('Control Panel'!$C$7:$N$25,MATCH('O&amp;M'!$D118,Indicies,0),MATCH('O&amp;M'!J$4,'Control Panel'!$C$6:$N$6,0))</f>
        <v>2.8840404751315222E-2</v>
      </c>
      <c r="K118" s="127">
        <f>INDEX('Control Panel'!$C$7:$N$25,MATCH('O&amp;M'!$D118,Indicies,0),MATCH('O&amp;M'!K$4,'Control Panel'!$C$6:$N$6,0))</f>
        <v>2.8840404751315222E-2</v>
      </c>
      <c r="L118" s="127">
        <f>INDEX('Control Panel'!$C$7:$N$25,MATCH('O&amp;M'!$D118,Indicies,0),MATCH('O&amp;M'!L$4,'Control Panel'!$C$6:$N$6,0))</f>
        <v>2.8840404751315222E-2</v>
      </c>
      <c r="M118" s="127">
        <f>INDEX('Control Panel'!$C$7:$N$25,MATCH('O&amp;M'!$D118,Indicies,0),MATCH('O&amp;M'!M$4,'Control Panel'!$C$6:$N$6,0))</f>
        <v>2.8840404751315222E-2</v>
      </c>
      <c r="N118" s="127">
        <f>INDEX('Control Panel'!$C$7:$N$25,MATCH('O&amp;M'!$D118,Indicies,0),MATCH('O&amp;M'!N$4,'Control Panel'!$C$6:$N$6,0))</f>
        <v>2.8840404751315222E-2</v>
      </c>
      <c r="O118" s="127">
        <f>INDEX('Control Panel'!$C$7:$N$25,MATCH('O&amp;M'!$D118,Indicies,0),MATCH('O&amp;M'!O$4,'Control Panel'!$C$6:$N$6,0))</f>
        <v>2.8840404751315222E-2</v>
      </c>
      <c r="P118" s="762">
        <v>21773.18</v>
      </c>
      <c r="Q118" s="762">
        <v>30988.75</v>
      </c>
      <c r="R118" s="762">
        <v>15000</v>
      </c>
      <c r="S118" s="762">
        <v>15000</v>
      </c>
      <c r="T118" s="128">
        <f t="shared" si="85"/>
        <v>15432.606071269731</v>
      </c>
      <c r="U118" s="128">
        <f t="shared" si="86"/>
        <v>15877.688676732756</v>
      </c>
      <c r="V118" s="128">
        <f t="shared" si="87"/>
        <v>16335.607644685106</v>
      </c>
      <c r="W118" s="128">
        <f t="shared" si="88"/>
        <v>16806.733181016505</v>
      </c>
      <c r="X118" s="128">
        <f t="shared" si="89"/>
        <v>17291.446168504383</v>
      </c>
      <c r="Y118" s="128">
        <f t="shared" si="90"/>
        <v>17790.13847473963</v>
      </c>
      <c r="Z118" s="128">
        <f t="shared" si="91"/>
        <v>18303.213268933068</v>
      </c>
      <c r="AA118" s="128">
        <f t="shared" si="92"/>
        <v>18831.085347858745</v>
      </c>
      <c r="AB118" s="128">
        <f t="shared" si="93"/>
        <v>19374.181471197557</v>
      </c>
    </row>
    <row r="119" spans="2:28" x14ac:dyDescent="0.3">
      <c r="B119" s="175" t="s">
        <v>253</v>
      </c>
      <c r="C119" s="91" t="s">
        <v>254</v>
      </c>
      <c r="D119" s="126" t="s">
        <v>7</v>
      </c>
      <c r="E119" s="172">
        <v>1</v>
      </c>
      <c r="F119" s="127">
        <f>INDEX('Control Panel'!$C$7:$N$25,MATCH('O&amp;M'!$D119,Indicies,0),MATCH('O&amp;M'!F$4,'Control Panel'!$C$6:$N$6,0))</f>
        <v>0.03</v>
      </c>
      <c r="G119" s="127">
        <f>INDEX('Control Panel'!$C$7:$N$25,MATCH('O&amp;M'!$D119,Indicies,0),MATCH('O&amp;M'!G$4,'Control Panel'!$C$6:$N$6,0))</f>
        <v>0.03</v>
      </c>
      <c r="H119" s="127">
        <f>INDEX('Control Panel'!$C$7:$N$25,MATCH('O&amp;M'!$D119,Indicies,0),MATCH('O&amp;M'!H$4,'Control Panel'!$C$6:$N$6,0))</f>
        <v>0.03</v>
      </c>
      <c r="I119" s="127">
        <f>INDEX('Control Panel'!$C$7:$N$25,MATCH('O&amp;M'!$D119,Indicies,0),MATCH('O&amp;M'!I$4,'Control Panel'!$C$6:$N$6,0))</f>
        <v>0.03</v>
      </c>
      <c r="J119" s="127">
        <f>INDEX('Control Panel'!$C$7:$N$25,MATCH('O&amp;M'!$D119,Indicies,0),MATCH('O&amp;M'!J$4,'Control Panel'!$C$6:$N$6,0))</f>
        <v>0.03</v>
      </c>
      <c r="K119" s="127">
        <f>INDEX('Control Panel'!$C$7:$N$25,MATCH('O&amp;M'!$D119,Indicies,0),MATCH('O&amp;M'!K$4,'Control Panel'!$C$6:$N$6,0))</f>
        <v>0.03</v>
      </c>
      <c r="L119" s="127">
        <f>INDEX('Control Panel'!$C$7:$N$25,MATCH('O&amp;M'!$D119,Indicies,0),MATCH('O&amp;M'!L$4,'Control Panel'!$C$6:$N$6,0))</f>
        <v>0.03</v>
      </c>
      <c r="M119" s="127">
        <f>INDEX('Control Panel'!$C$7:$N$25,MATCH('O&amp;M'!$D119,Indicies,0),MATCH('O&amp;M'!M$4,'Control Panel'!$C$6:$N$6,0))</f>
        <v>0.03</v>
      </c>
      <c r="N119" s="127">
        <f>INDEX('Control Panel'!$C$7:$N$25,MATCH('O&amp;M'!$D119,Indicies,0),MATCH('O&amp;M'!N$4,'Control Panel'!$C$6:$N$6,0))</f>
        <v>0.03</v>
      </c>
      <c r="O119" s="127">
        <f>INDEX('Control Panel'!$C$7:$N$25,MATCH('O&amp;M'!$D119,Indicies,0),MATCH('O&amp;M'!O$4,'Control Panel'!$C$6:$N$6,0))</f>
        <v>0.03</v>
      </c>
      <c r="P119" s="762">
        <v>2267.2399999999998</v>
      </c>
      <c r="Q119" s="762">
        <v>2640.5</v>
      </c>
      <c r="R119" s="762">
        <v>3000</v>
      </c>
      <c r="S119" s="762">
        <v>3500</v>
      </c>
      <c r="T119" s="128">
        <f t="shared" si="85"/>
        <v>3605</v>
      </c>
      <c r="U119" s="128">
        <f t="shared" si="86"/>
        <v>3713.15</v>
      </c>
      <c r="V119" s="128">
        <f t="shared" si="87"/>
        <v>3824.5445</v>
      </c>
      <c r="W119" s="128">
        <f t="shared" si="88"/>
        <v>3939.280835</v>
      </c>
      <c r="X119" s="128">
        <f t="shared" si="89"/>
        <v>4057.45926005</v>
      </c>
      <c r="Y119" s="128">
        <f t="shared" si="90"/>
        <v>4179.1830378515006</v>
      </c>
      <c r="Z119" s="128">
        <f t="shared" si="91"/>
        <v>4304.558528987046</v>
      </c>
      <c r="AA119" s="128">
        <f t="shared" si="92"/>
        <v>4433.6952848566571</v>
      </c>
      <c r="AB119" s="128">
        <f t="shared" si="93"/>
        <v>4566.7061434023572</v>
      </c>
    </row>
    <row r="120" spans="2:28" x14ac:dyDescent="0.3">
      <c r="B120" s="175" t="s">
        <v>255</v>
      </c>
      <c r="C120" s="91" t="s">
        <v>256</v>
      </c>
      <c r="D120" s="126" t="s">
        <v>8</v>
      </c>
      <c r="E120" s="172">
        <v>1</v>
      </c>
      <c r="F120" s="127">
        <f>INDEX('Control Panel'!$C$7:$N$25,MATCH('O&amp;M'!$D120,Indicies,0),MATCH('O&amp;M'!F$4,'Control Panel'!$C$6:$N$6,0))</f>
        <v>2.8840404751315222E-2</v>
      </c>
      <c r="G120" s="127">
        <f>INDEX('Control Panel'!$C$7:$N$25,MATCH('O&amp;M'!$D120,Indicies,0),MATCH('O&amp;M'!G$4,'Control Panel'!$C$6:$N$6,0))</f>
        <v>2.8840404751315222E-2</v>
      </c>
      <c r="H120" s="127">
        <f>INDEX('Control Panel'!$C$7:$N$25,MATCH('O&amp;M'!$D120,Indicies,0),MATCH('O&amp;M'!H$4,'Control Panel'!$C$6:$N$6,0))</f>
        <v>2.8840404751315222E-2</v>
      </c>
      <c r="I120" s="127">
        <f>INDEX('Control Panel'!$C$7:$N$25,MATCH('O&amp;M'!$D120,Indicies,0),MATCH('O&amp;M'!I$4,'Control Panel'!$C$6:$N$6,0))</f>
        <v>2.8840404751315222E-2</v>
      </c>
      <c r="J120" s="127">
        <f>INDEX('Control Panel'!$C$7:$N$25,MATCH('O&amp;M'!$D120,Indicies,0),MATCH('O&amp;M'!J$4,'Control Panel'!$C$6:$N$6,0))</f>
        <v>2.8840404751315222E-2</v>
      </c>
      <c r="K120" s="127">
        <f>INDEX('Control Panel'!$C$7:$N$25,MATCH('O&amp;M'!$D120,Indicies,0),MATCH('O&amp;M'!K$4,'Control Panel'!$C$6:$N$6,0))</f>
        <v>2.8840404751315222E-2</v>
      </c>
      <c r="L120" s="127">
        <f>INDEX('Control Panel'!$C$7:$N$25,MATCH('O&amp;M'!$D120,Indicies,0),MATCH('O&amp;M'!L$4,'Control Panel'!$C$6:$N$6,0))</f>
        <v>2.8840404751315222E-2</v>
      </c>
      <c r="M120" s="127">
        <f>INDEX('Control Panel'!$C$7:$N$25,MATCH('O&amp;M'!$D120,Indicies,0),MATCH('O&amp;M'!M$4,'Control Panel'!$C$6:$N$6,0))</f>
        <v>2.8840404751315222E-2</v>
      </c>
      <c r="N120" s="127">
        <f>INDEX('Control Panel'!$C$7:$N$25,MATCH('O&amp;M'!$D120,Indicies,0),MATCH('O&amp;M'!N$4,'Control Panel'!$C$6:$N$6,0))</f>
        <v>2.8840404751315222E-2</v>
      </c>
      <c r="O120" s="127">
        <f>INDEX('Control Panel'!$C$7:$N$25,MATCH('O&amp;M'!$D120,Indicies,0),MATCH('O&amp;M'!O$4,'Control Panel'!$C$6:$N$6,0))</f>
        <v>2.8840404751315222E-2</v>
      </c>
      <c r="P120" s="762">
        <v>48066.18</v>
      </c>
      <c r="Q120" s="762">
        <v>192000</v>
      </c>
      <c r="R120" s="762">
        <v>640000</v>
      </c>
      <c r="S120" s="762">
        <v>627000</v>
      </c>
      <c r="T120" s="861">
        <f t="shared" si="85"/>
        <v>645082.93377907469</v>
      </c>
      <c r="U120" s="128">
        <f t="shared" si="86"/>
        <v>663687.38668742916</v>
      </c>
      <c r="V120" s="128">
        <f t="shared" si="87"/>
        <v>682828.39954783733</v>
      </c>
      <c r="W120" s="128">
        <f t="shared" si="88"/>
        <v>702521.44696648978</v>
      </c>
      <c r="X120" s="128">
        <f t="shared" si="89"/>
        <v>722782.44984348305</v>
      </c>
      <c r="Y120" s="128">
        <f t="shared" si="90"/>
        <v>743627.78824411635</v>
      </c>
      <c r="Z120" s="128">
        <f t="shared" si="91"/>
        <v>765074.3146414021</v>
      </c>
      <c r="AA120" s="128">
        <f t="shared" si="92"/>
        <v>787139.36754049535</v>
      </c>
      <c r="AB120" s="128">
        <f t="shared" si="93"/>
        <v>809840.78549605759</v>
      </c>
    </row>
    <row r="121" spans="2:28" x14ac:dyDescent="0.3">
      <c r="B121" s="175" t="s">
        <v>257</v>
      </c>
      <c r="C121" s="91" t="s">
        <v>258</v>
      </c>
      <c r="D121" s="126" t="s">
        <v>8</v>
      </c>
      <c r="E121" s="172">
        <v>1</v>
      </c>
      <c r="F121" s="127">
        <f>INDEX('Control Panel'!$C$7:$N$25,MATCH('O&amp;M'!$D121,Indicies,0),MATCH('O&amp;M'!F$4,'Control Panel'!$C$6:$N$6,0))</f>
        <v>2.8840404751315222E-2</v>
      </c>
      <c r="G121" s="127">
        <f>INDEX('Control Panel'!$C$7:$N$25,MATCH('O&amp;M'!$D121,Indicies,0),MATCH('O&amp;M'!G$4,'Control Panel'!$C$6:$N$6,0))</f>
        <v>2.8840404751315222E-2</v>
      </c>
      <c r="H121" s="127">
        <f>INDEX('Control Panel'!$C$7:$N$25,MATCH('O&amp;M'!$D121,Indicies,0),MATCH('O&amp;M'!H$4,'Control Panel'!$C$6:$N$6,0))</f>
        <v>2.8840404751315222E-2</v>
      </c>
      <c r="I121" s="127">
        <f>INDEX('Control Panel'!$C$7:$N$25,MATCH('O&amp;M'!$D121,Indicies,0),MATCH('O&amp;M'!I$4,'Control Panel'!$C$6:$N$6,0))</f>
        <v>2.8840404751315222E-2</v>
      </c>
      <c r="J121" s="127">
        <f>INDEX('Control Panel'!$C$7:$N$25,MATCH('O&amp;M'!$D121,Indicies,0),MATCH('O&amp;M'!J$4,'Control Panel'!$C$6:$N$6,0))</f>
        <v>2.8840404751315222E-2</v>
      </c>
      <c r="K121" s="127">
        <f>INDEX('Control Panel'!$C$7:$N$25,MATCH('O&amp;M'!$D121,Indicies,0),MATCH('O&amp;M'!K$4,'Control Panel'!$C$6:$N$6,0))</f>
        <v>2.8840404751315222E-2</v>
      </c>
      <c r="L121" s="127">
        <f>INDEX('Control Panel'!$C$7:$N$25,MATCH('O&amp;M'!$D121,Indicies,0),MATCH('O&amp;M'!L$4,'Control Panel'!$C$6:$N$6,0))</f>
        <v>2.8840404751315222E-2</v>
      </c>
      <c r="M121" s="127">
        <f>INDEX('Control Panel'!$C$7:$N$25,MATCH('O&amp;M'!$D121,Indicies,0),MATCH('O&amp;M'!M$4,'Control Panel'!$C$6:$N$6,0))</f>
        <v>2.8840404751315222E-2</v>
      </c>
      <c r="N121" s="127">
        <f>INDEX('Control Panel'!$C$7:$N$25,MATCH('O&amp;M'!$D121,Indicies,0),MATCH('O&amp;M'!N$4,'Control Panel'!$C$6:$N$6,0))</f>
        <v>2.8840404751315222E-2</v>
      </c>
      <c r="O121" s="127">
        <f>INDEX('Control Panel'!$C$7:$N$25,MATCH('O&amp;M'!$D121,Indicies,0),MATCH('O&amp;M'!O$4,'Control Panel'!$C$6:$N$6,0))</f>
        <v>2.8840404751315222E-2</v>
      </c>
      <c r="P121" s="762">
        <v>4524.58</v>
      </c>
      <c r="Q121" s="762">
        <v>5773.47</v>
      </c>
      <c r="R121" s="762">
        <v>8500</v>
      </c>
      <c r="S121" s="762">
        <v>7500</v>
      </c>
      <c r="T121" s="128">
        <f t="shared" si="85"/>
        <v>7716.3030356348654</v>
      </c>
      <c r="U121" s="128">
        <f t="shared" si="86"/>
        <v>7938.844338366378</v>
      </c>
      <c r="V121" s="128">
        <f t="shared" si="87"/>
        <v>8167.8038223425528</v>
      </c>
      <c r="W121" s="128">
        <f t="shared" si="88"/>
        <v>8403.3665905082526</v>
      </c>
      <c r="X121" s="128">
        <f t="shared" si="89"/>
        <v>8645.7230842521913</v>
      </c>
      <c r="Y121" s="128">
        <f t="shared" si="90"/>
        <v>8895.0692373698148</v>
      </c>
      <c r="Z121" s="128">
        <f t="shared" si="91"/>
        <v>9151.6066344665342</v>
      </c>
      <c r="AA121" s="128">
        <f t="shared" si="92"/>
        <v>9415.5426739293725</v>
      </c>
      <c r="AB121" s="128">
        <f t="shared" si="93"/>
        <v>9687.0907355987783</v>
      </c>
    </row>
    <row r="122" spans="2:28" x14ac:dyDescent="0.3">
      <c r="B122" s="175" t="s">
        <v>259</v>
      </c>
      <c r="C122" s="91" t="s">
        <v>9</v>
      </c>
      <c r="D122" s="126" t="s">
        <v>1480</v>
      </c>
      <c r="E122" s="172">
        <v>1</v>
      </c>
      <c r="F122" s="127">
        <f>INDEX('Control Panel'!$C$7:$N$25,MATCH('O&amp;M'!$D122,Indicies,0),MATCH('O&amp;M'!F$4,'Control Panel'!$C$6:$N$6,0))</f>
        <v>2.1452829087813895E-2</v>
      </c>
      <c r="G122" s="127">
        <f>INDEX('Control Panel'!$C$7:$N$25,MATCH('O&amp;M'!$D122,Indicies,0),MATCH('O&amp;M'!G$4,'Control Panel'!$C$6:$N$6,0))</f>
        <v>2.1452829087813895E-2</v>
      </c>
      <c r="H122" s="127">
        <f>INDEX('Control Panel'!$C$7:$N$25,MATCH('O&amp;M'!$D122,Indicies,0),MATCH('O&amp;M'!H$4,'Control Panel'!$C$6:$N$6,0))</f>
        <v>2.1452829087813895E-2</v>
      </c>
      <c r="I122" s="127">
        <f>INDEX('Control Panel'!$C$7:$N$25,MATCH('O&amp;M'!$D122,Indicies,0),MATCH('O&amp;M'!I$4,'Control Panel'!$C$6:$N$6,0))</f>
        <v>2.1452829087813895E-2</v>
      </c>
      <c r="J122" s="127">
        <f>INDEX('Control Panel'!$C$7:$N$25,MATCH('O&amp;M'!$D122,Indicies,0),MATCH('O&amp;M'!J$4,'Control Panel'!$C$6:$N$6,0))</f>
        <v>2.1452829087813895E-2</v>
      </c>
      <c r="K122" s="127">
        <f>INDEX('Control Panel'!$C$7:$N$25,MATCH('O&amp;M'!$D122,Indicies,0),MATCH('O&amp;M'!K$4,'Control Panel'!$C$6:$N$6,0))</f>
        <v>2.1452829087813895E-2</v>
      </c>
      <c r="L122" s="127">
        <f>INDEX('Control Panel'!$C$7:$N$25,MATCH('O&amp;M'!$D122,Indicies,0),MATCH('O&amp;M'!L$4,'Control Panel'!$C$6:$N$6,0))</f>
        <v>2.1452829087813895E-2</v>
      </c>
      <c r="M122" s="127">
        <f>INDEX('Control Panel'!$C$7:$N$25,MATCH('O&amp;M'!$D122,Indicies,0),MATCH('O&amp;M'!M$4,'Control Panel'!$C$6:$N$6,0))</f>
        <v>2.1452829087813895E-2</v>
      </c>
      <c r="N122" s="127">
        <f>INDEX('Control Panel'!$C$7:$N$25,MATCH('O&amp;M'!$D122,Indicies,0),MATCH('O&amp;M'!N$4,'Control Panel'!$C$6:$N$6,0))</f>
        <v>2.1452829087813895E-2</v>
      </c>
      <c r="O122" s="127">
        <f>INDEX('Control Panel'!$C$7:$N$25,MATCH('O&amp;M'!$D122,Indicies,0),MATCH('O&amp;M'!O$4,'Control Panel'!$C$6:$N$6,0))</f>
        <v>2.1452829087813895E-2</v>
      </c>
      <c r="P122" s="762">
        <v>60083.23</v>
      </c>
      <c r="Q122" s="762">
        <v>150953.22</v>
      </c>
      <c r="R122" s="762">
        <v>85000</v>
      </c>
      <c r="S122" s="762">
        <v>85000</v>
      </c>
      <c r="T122" s="128">
        <f t="shared" si="85"/>
        <v>86823.490472464182</v>
      </c>
      <c r="U122" s="128">
        <f t="shared" si="86"/>
        <v>88686.099974377401</v>
      </c>
      <c r="V122" s="128">
        <f t="shared" si="87"/>
        <v>90588.6677195925</v>
      </c>
      <c r="W122" s="128">
        <f t="shared" si="88"/>
        <v>92532.050925473697</v>
      </c>
      <c r="X122" s="128">
        <f t="shared" si="89"/>
        <v>94517.125199122791</v>
      </c>
      <c r="Y122" s="128">
        <f t="shared" si="90"/>
        <v>96544.784931891088</v>
      </c>
      <c r="Z122" s="128">
        <f t="shared" si="91"/>
        <v>98615.943702354707</v>
      </c>
      <c r="AA122" s="128">
        <f t="shared" si="92"/>
        <v>100731.53468793481</v>
      </c>
      <c r="AB122" s="128">
        <f t="shared" si="93"/>
        <v>102892.51108534828</v>
      </c>
    </row>
    <row r="123" spans="2:28" x14ac:dyDescent="0.3">
      <c r="B123" s="175" t="s">
        <v>260</v>
      </c>
      <c r="C123" s="91" t="s">
        <v>261</v>
      </c>
      <c r="D123" s="126" t="s">
        <v>1480</v>
      </c>
      <c r="E123" s="172">
        <v>1</v>
      </c>
      <c r="F123" s="127">
        <f>INDEX('Control Panel'!$C$7:$N$25,MATCH('O&amp;M'!$D123,Indicies,0),MATCH('O&amp;M'!F$4,'Control Panel'!$C$6:$N$6,0))</f>
        <v>2.1452829087813895E-2</v>
      </c>
      <c r="G123" s="127">
        <f>INDEX('Control Panel'!$C$7:$N$25,MATCH('O&amp;M'!$D123,Indicies,0),MATCH('O&amp;M'!G$4,'Control Panel'!$C$6:$N$6,0))</f>
        <v>2.1452829087813895E-2</v>
      </c>
      <c r="H123" s="127">
        <f>INDEX('Control Panel'!$C$7:$N$25,MATCH('O&amp;M'!$D123,Indicies,0),MATCH('O&amp;M'!H$4,'Control Panel'!$C$6:$N$6,0))</f>
        <v>2.1452829087813895E-2</v>
      </c>
      <c r="I123" s="127">
        <f>INDEX('Control Panel'!$C$7:$N$25,MATCH('O&amp;M'!$D123,Indicies,0),MATCH('O&amp;M'!I$4,'Control Panel'!$C$6:$N$6,0))</f>
        <v>2.1452829087813895E-2</v>
      </c>
      <c r="J123" s="127">
        <f>INDEX('Control Panel'!$C$7:$N$25,MATCH('O&amp;M'!$D123,Indicies,0),MATCH('O&amp;M'!J$4,'Control Panel'!$C$6:$N$6,0))</f>
        <v>2.1452829087813895E-2</v>
      </c>
      <c r="K123" s="127">
        <f>INDEX('Control Panel'!$C$7:$N$25,MATCH('O&amp;M'!$D123,Indicies,0),MATCH('O&amp;M'!K$4,'Control Panel'!$C$6:$N$6,0))</f>
        <v>2.1452829087813895E-2</v>
      </c>
      <c r="L123" s="127">
        <f>INDEX('Control Panel'!$C$7:$N$25,MATCH('O&amp;M'!$D123,Indicies,0),MATCH('O&amp;M'!L$4,'Control Panel'!$C$6:$N$6,0))</f>
        <v>2.1452829087813895E-2</v>
      </c>
      <c r="M123" s="127">
        <f>INDEX('Control Panel'!$C$7:$N$25,MATCH('O&amp;M'!$D123,Indicies,0),MATCH('O&amp;M'!M$4,'Control Panel'!$C$6:$N$6,0))</f>
        <v>2.1452829087813895E-2</v>
      </c>
      <c r="N123" s="127">
        <f>INDEX('Control Panel'!$C$7:$N$25,MATCH('O&amp;M'!$D123,Indicies,0),MATCH('O&amp;M'!N$4,'Control Panel'!$C$6:$N$6,0))</f>
        <v>2.1452829087813895E-2</v>
      </c>
      <c r="O123" s="127">
        <f>INDEX('Control Panel'!$C$7:$N$25,MATCH('O&amp;M'!$D123,Indicies,0),MATCH('O&amp;M'!O$4,'Control Panel'!$C$6:$N$6,0))</f>
        <v>2.1452829087813895E-2</v>
      </c>
      <c r="P123" s="762">
        <v>310.68</v>
      </c>
      <c r="Q123" s="762">
        <v>942.6</v>
      </c>
      <c r="R123" s="762">
        <v>3500</v>
      </c>
      <c r="S123" s="762">
        <v>3500</v>
      </c>
      <c r="T123" s="128">
        <f t="shared" si="85"/>
        <v>3575.0849018073491</v>
      </c>
      <c r="U123" s="128">
        <f t="shared" si="86"/>
        <v>3651.7805871802466</v>
      </c>
      <c r="V123" s="128">
        <f t="shared" si="87"/>
        <v>3730.1216119832216</v>
      </c>
      <c r="W123" s="128">
        <f t="shared" si="88"/>
        <v>3810.143273401859</v>
      </c>
      <c r="X123" s="128">
        <f t="shared" si="89"/>
        <v>3891.8816258462334</v>
      </c>
      <c r="Y123" s="128">
        <f t="shared" si="90"/>
        <v>3975.3734971955164</v>
      </c>
      <c r="Z123" s="128">
        <f t="shared" si="91"/>
        <v>4060.6565053910772</v>
      </c>
      <c r="AA123" s="128">
        <f t="shared" si="92"/>
        <v>4147.7690753855522</v>
      </c>
      <c r="AB123" s="128">
        <f t="shared" si="93"/>
        <v>4236.7504564555184</v>
      </c>
    </row>
    <row r="124" spans="2:28" x14ac:dyDescent="0.3">
      <c r="B124" s="91"/>
      <c r="C124" s="136" t="s">
        <v>263</v>
      </c>
      <c r="D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7">
        <f t="shared" ref="P124:AB124" si="94">SUM(P91:P123)</f>
        <v>784574.25</v>
      </c>
      <c r="Q124" s="137">
        <f t="shared" si="94"/>
        <v>1047468.1700000002</v>
      </c>
      <c r="R124" s="137">
        <f t="shared" si="94"/>
        <v>1396567</v>
      </c>
      <c r="S124" s="137">
        <f t="shared" si="94"/>
        <v>1181295</v>
      </c>
      <c r="T124" s="137">
        <f t="shared" si="94"/>
        <v>1214817.689829661</v>
      </c>
      <c r="U124" s="137">
        <f>SUM(U91:U123)</f>
        <v>1249303.3038198601</v>
      </c>
      <c r="V124" s="137">
        <f t="shared" si="94"/>
        <v>1284779.8177086227</v>
      </c>
      <c r="W124" s="137">
        <f t="shared" si="94"/>
        <v>1321276.0292065109</v>
      </c>
      <c r="X124" s="137">
        <f t="shared" si="94"/>
        <v>1358821.5824345322</v>
      </c>
      <c r="Y124" s="137">
        <f t="shared" si="94"/>
        <v>1397446.9930981421</v>
      </c>
      <c r="Z124" s="137">
        <f t="shared" si="94"/>
        <v>1437183.6744198485</v>
      </c>
      <c r="AA124" s="137">
        <f t="shared" si="94"/>
        <v>1478063.9638536121</v>
      </c>
      <c r="AB124" s="137">
        <f t="shared" si="94"/>
        <v>1520121.1506049773</v>
      </c>
    </row>
    <row r="125" spans="2:28" x14ac:dyDescent="0.3">
      <c r="B125" s="91"/>
      <c r="C125" s="91"/>
      <c r="D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</row>
    <row r="126" spans="2:28" x14ac:dyDescent="0.3">
      <c r="C126" s="143" t="s">
        <v>1489</v>
      </c>
      <c r="D126" s="143"/>
      <c r="E126" s="201"/>
      <c r="P126" s="143">
        <f>P124+P87+P43</f>
        <v>11390775.053367343</v>
      </c>
      <c r="Q126" s="143">
        <f t="shared" ref="Q126:AB126" si="95">Q124+Q87+Q43</f>
        <v>11842312.734999999</v>
      </c>
      <c r="R126" s="143">
        <f t="shared" si="95"/>
        <v>13076558.800000001</v>
      </c>
      <c r="S126" s="143">
        <f t="shared" si="95"/>
        <v>12519421.224169997</v>
      </c>
      <c r="T126" s="143">
        <f t="shared" si="95"/>
        <v>12918559.413494878</v>
      </c>
      <c r="U126" s="143">
        <f t="shared" si="95"/>
        <v>13330076.727931121</v>
      </c>
      <c r="V126" s="143">
        <f t="shared" si="95"/>
        <v>13755618.888539981</v>
      </c>
      <c r="W126" s="143">
        <f t="shared" si="95"/>
        <v>14195754.508831505</v>
      </c>
      <c r="X126" s="143">
        <f t="shared" si="95"/>
        <v>14606906.19436045</v>
      </c>
      <c r="Y126" s="143">
        <f t="shared" si="95"/>
        <v>15031687.722448047</v>
      </c>
      <c r="Z126" s="143">
        <f t="shared" si="95"/>
        <v>15470685.284164215</v>
      </c>
      <c r="AA126" s="143">
        <f t="shared" si="95"/>
        <v>15924520.514148638</v>
      </c>
      <c r="AB126" s="143">
        <f t="shared" si="95"/>
        <v>16393853.286241982</v>
      </c>
    </row>
    <row r="127" spans="2:28" x14ac:dyDescent="0.3">
      <c r="E127" s="200"/>
      <c r="P127" s="123"/>
      <c r="Q127" s="144">
        <f>(Q126-P126)/P126</f>
        <v>3.9640646006715144E-2</v>
      </c>
      <c r="R127" s="144">
        <f>(R126-Q126)/Q126</f>
        <v>0.10422339728895881</v>
      </c>
      <c r="S127" s="144">
        <f>(S126-R126)/R126</f>
        <v>-4.2605824999617119E-2</v>
      </c>
      <c r="T127" s="144">
        <f t="shared" ref="T127" si="96">(T126-S126)/S126</f>
        <v>3.1881520892859144E-2</v>
      </c>
      <c r="U127" s="144">
        <f t="shared" ref="U127" si="97">(U126-T126)/T126</f>
        <v>3.1854737147113177E-2</v>
      </c>
      <c r="V127" s="144">
        <f t="shared" ref="V127" si="98">(V126-U126)/U126</f>
        <v>3.192345920389203E-2</v>
      </c>
      <c r="W127" s="144">
        <f t="shared" ref="W127" si="99">(W126-V126)/V126</f>
        <v>3.1996787920477165E-2</v>
      </c>
      <c r="X127" s="144">
        <f t="shared" ref="X127" si="100">(X126-W126)/W126</f>
        <v>2.8963003359431038E-2</v>
      </c>
      <c r="Y127" s="144">
        <f t="shared" ref="Y127" si="101">(Y126-X126)/X126</f>
        <v>2.9080869174856503E-2</v>
      </c>
      <c r="Z127" s="144">
        <f t="shared" ref="Z127" si="102">(Z126-Y126)/Y126</f>
        <v>2.9204808523302168E-2</v>
      </c>
      <c r="AA127" s="144">
        <f t="shared" ref="AA127" si="103">(AA126-Z126)/Z126</f>
        <v>2.9335173048149886E-2</v>
      </c>
      <c r="AB127" s="144">
        <f t="shared" ref="AB127" si="104">(AB126-AA126)/AA126</f>
        <v>2.9472333039877157E-2</v>
      </c>
    </row>
    <row r="128" spans="2:28" x14ac:dyDescent="0.3">
      <c r="B128" s="179" t="s">
        <v>70</v>
      </c>
      <c r="C128" s="91" t="s">
        <v>71</v>
      </c>
      <c r="D128" s="126" t="s">
        <v>5</v>
      </c>
      <c r="E128" s="194">
        <f t="shared" ref="E128:E162" si="105">(1-E5)/2</f>
        <v>0.15000000000000002</v>
      </c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8">
        <f t="shared" ref="P128:AB128" si="106">$E128*P350</f>
        <v>5559.241500000001</v>
      </c>
      <c r="Q128" s="128">
        <f t="shared" si="106"/>
        <v>687.60900000000015</v>
      </c>
      <c r="R128" s="128">
        <f t="shared" si="106"/>
        <v>0</v>
      </c>
      <c r="S128" s="128">
        <f t="shared" si="106"/>
        <v>0</v>
      </c>
      <c r="T128" s="128">
        <f t="shared" si="106"/>
        <v>0</v>
      </c>
      <c r="U128" s="128">
        <f t="shared" si="106"/>
        <v>0</v>
      </c>
      <c r="V128" s="128">
        <f t="shared" si="106"/>
        <v>0</v>
      </c>
      <c r="W128" s="128">
        <f t="shared" si="106"/>
        <v>0</v>
      </c>
      <c r="X128" s="128">
        <f t="shared" si="106"/>
        <v>0</v>
      </c>
      <c r="Y128" s="128">
        <f t="shared" si="106"/>
        <v>0</v>
      </c>
      <c r="Z128" s="128">
        <f t="shared" si="106"/>
        <v>0</v>
      </c>
      <c r="AA128" s="128">
        <f t="shared" si="106"/>
        <v>0</v>
      </c>
      <c r="AB128" s="128">
        <f t="shared" si="106"/>
        <v>0</v>
      </c>
    </row>
    <row r="129" spans="2:28" x14ac:dyDescent="0.3">
      <c r="B129" s="179" t="s">
        <v>72</v>
      </c>
      <c r="C129" s="91" t="s">
        <v>73</v>
      </c>
      <c r="D129" s="126" t="s">
        <v>5</v>
      </c>
      <c r="E129" s="194">
        <f t="shared" si="105"/>
        <v>0.15000000000000002</v>
      </c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8">
        <f t="shared" ref="P129:AB129" si="107">$E129*P351</f>
        <v>18166.050000000003</v>
      </c>
      <c r="Q129" s="128">
        <f t="shared" si="107"/>
        <v>17543.977500000005</v>
      </c>
      <c r="R129" s="128">
        <f t="shared" si="107"/>
        <v>16400.400000000001</v>
      </c>
      <c r="S129" s="128">
        <f t="shared" si="107"/>
        <v>26329.200000000004</v>
      </c>
      <c r="T129" s="128">
        <f t="shared" si="107"/>
        <v>27250.722000000002</v>
      </c>
      <c r="U129" s="128">
        <f t="shared" si="107"/>
        <v>28204.49727</v>
      </c>
      <c r="V129" s="128">
        <f t="shared" si="107"/>
        <v>29191.654674450001</v>
      </c>
      <c r="W129" s="128">
        <f t="shared" si="107"/>
        <v>30213.362588055752</v>
      </c>
      <c r="X129" s="128">
        <f t="shared" si="107"/>
        <v>31270.830278637703</v>
      </c>
      <c r="Y129" s="128">
        <f t="shared" si="107"/>
        <v>32365.30933839002</v>
      </c>
      <c r="Z129" s="128">
        <f t="shared" si="107"/>
        <v>33498.095165233666</v>
      </c>
      <c r="AA129" s="128">
        <f t="shared" si="107"/>
        <v>34670.528496016843</v>
      </c>
      <c r="AB129" s="128">
        <f t="shared" si="107"/>
        <v>35883.996993377426</v>
      </c>
    </row>
    <row r="130" spans="2:28" x14ac:dyDescent="0.3">
      <c r="B130" s="179" t="s">
        <v>74</v>
      </c>
      <c r="C130" s="91" t="s">
        <v>75</v>
      </c>
      <c r="D130" s="126" t="s">
        <v>5</v>
      </c>
      <c r="E130" s="194">
        <f t="shared" si="105"/>
        <v>0.15000000000000002</v>
      </c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8">
        <f t="shared" ref="P130:AB130" si="108">$E130*P352</f>
        <v>13760.364000000001</v>
      </c>
      <c r="Q130" s="128">
        <f t="shared" si="108"/>
        <v>15011.025000000001</v>
      </c>
      <c r="R130" s="128">
        <f t="shared" si="108"/>
        <v>14595.750000000002</v>
      </c>
      <c r="S130" s="128">
        <f t="shared" si="108"/>
        <v>0</v>
      </c>
      <c r="T130" s="128">
        <f t="shared" si="108"/>
        <v>0</v>
      </c>
      <c r="U130" s="128">
        <f t="shared" si="108"/>
        <v>0</v>
      </c>
      <c r="V130" s="128">
        <f t="shared" si="108"/>
        <v>0</v>
      </c>
      <c r="W130" s="128">
        <f t="shared" si="108"/>
        <v>0</v>
      </c>
      <c r="X130" s="128">
        <f t="shared" si="108"/>
        <v>0</v>
      </c>
      <c r="Y130" s="128">
        <f t="shared" si="108"/>
        <v>0</v>
      </c>
      <c r="Z130" s="128">
        <f t="shared" si="108"/>
        <v>0</v>
      </c>
      <c r="AA130" s="128">
        <f t="shared" si="108"/>
        <v>0</v>
      </c>
      <c r="AB130" s="128">
        <f t="shared" si="108"/>
        <v>0</v>
      </c>
    </row>
    <row r="131" spans="2:28" x14ac:dyDescent="0.3">
      <c r="B131" s="179" t="s">
        <v>76</v>
      </c>
      <c r="C131" s="91" t="s">
        <v>77</v>
      </c>
      <c r="D131" s="126" t="s">
        <v>5</v>
      </c>
      <c r="E131" s="194">
        <f t="shared" si="105"/>
        <v>0.15000000000000002</v>
      </c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8">
        <f t="shared" ref="P131:AB131" si="109">$E131*P353</f>
        <v>1.5750000000000002</v>
      </c>
      <c r="Q131" s="128">
        <f t="shared" si="109"/>
        <v>0</v>
      </c>
      <c r="R131" s="128">
        <f t="shared" si="109"/>
        <v>0</v>
      </c>
      <c r="S131" s="128">
        <f t="shared" si="109"/>
        <v>0</v>
      </c>
      <c r="T131" s="128">
        <f t="shared" si="109"/>
        <v>0</v>
      </c>
      <c r="U131" s="128">
        <f t="shared" si="109"/>
        <v>0</v>
      </c>
      <c r="V131" s="128">
        <f t="shared" si="109"/>
        <v>0</v>
      </c>
      <c r="W131" s="128">
        <f t="shared" si="109"/>
        <v>0</v>
      </c>
      <c r="X131" s="128">
        <f t="shared" si="109"/>
        <v>0</v>
      </c>
      <c r="Y131" s="128">
        <f t="shared" si="109"/>
        <v>0</v>
      </c>
      <c r="Z131" s="128">
        <f t="shared" si="109"/>
        <v>0</v>
      </c>
      <c r="AA131" s="128">
        <f t="shared" si="109"/>
        <v>0</v>
      </c>
      <c r="AB131" s="128">
        <f t="shared" si="109"/>
        <v>0</v>
      </c>
    </row>
    <row r="132" spans="2:28" x14ac:dyDescent="0.3">
      <c r="B132" s="179" t="s">
        <v>78</v>
      </c>
      <c r="C132" s="91" t="s">
        <v>79</v>
      </c>
      <c r="D132" s="126" t="s">
        <v>5</v>
      </c>
      <c r="E132" s="194">
        <f t="shared" si="105"/>
        <v>0.15000000000000002</v>
      </c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8">
        <f t="shared" ref="P132:AB132" si="110">$E132*P354</f>
        <v>225.00000000000003</v>
      </c>
      <c r="Q132" s="128">
        <f t="shared" si="110"/>
        <v>0</v>
      </c>
      <c r="R132" s="128">
        <f t="shared" si="110"/>
        <v>0</v>
      </c>
      <c r="S132" s="128">
        <f t="shared" si="110"/>
        <v>0</v>
      </c>
      <c r="T132" s="128">
        <f t="shared" si="110"/>
        <v>0</v>
      </c>
      <c r="U132" s="128">
        <f t="shared" si="110"/>
        <v>0</v>
      </c>
      <c r="V132" s="128">
        <f t="shared" si="110"/>
        <v>0</v>
      </c>
      <c r="W132" s="128">
        <f t="shared" si="110"/>
        <v>0</v>
      </c>
      <c r="X132" s="128">
        <f t="shared" si="110"/>
        <v>0</v>
      </c>
      <c r="Y132" s="128">
        <f t="shared" si="110"/>
        <v>0</v>
      </c>
      <c r="Z132" s="128">
        <f t="shared" si="110"/>
        <v>0</v>
      </c>
      <c r="AA132" s="128">
        <f t="shared" si="110"/>
        <v>0</v>
      </c>
      <c r="AB132" s="128">
        <f t="shared" si="110"/>
        <v>0</v>
      </c>
    </row>
    <row r="133" spans="2:28" x14ac:dyDescent="0.3">
      <c r="B133" s="179" t="s">
        <v>80</v>
      </c>
      <c r="C133" s="91" t="s">
        <v>81</v>
      </c>
      <c r="D133" s="126" t="s">
        <v>5</v>
      </c>
      <c r="E133" s="194">
        <f t="shared" si="105"/>
        <v>0.15000000000000002</v>
      </c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8">
        <f t="shared" ref="P133:AB133" si="111">$E133*P355</f>
        <v>0</v>
      </c>
      <c r="Q133" s="128">
        <f t="shared" si="111"/>
        <v>98.523000000000025</v>
      </c>
      <c r="R133" s="128">
        <f t="shared" si="111"/>
        <v>0</v>
      </c>
      <c r="S133" s="128">
        <f t="shared" si="111"/>
        <v>0</v>
      </c>
      <c r="T133" s="128">
        <f t="shared" si="111"/>
        <v>0</v>
      </c>
      <c r="U133" s="128">
        <f t="shared" si="111"/>
        <v>0</v>
      </c>
      <c r="V133" s="128">
        <f t="shared" si="111"/>
        <v>0</v>
      </c>
      <c r="W133" s="128">
        <f t="shared" si="111"/>
        <v>0</v>
      </c>
      <c r="X133" s="128">
        <f t="shared" si="111"/>
        <v>0</v>
      </c>
      <c r="Y133" s="128">
        <f t="shared" si="111"/>
        <v>0</v>
      </c>
      <c r="Z133" s="128">
        <f t="shared" si="111"/>
        <v>0</v>
      </c>
      <c r="AA133" s="128">
        <f t="shared" si="111"/>
        <v>0</v>
      </c>
      <c r="AB133" s="128">
        <f t="shared" si="111"/>
        <v>0</v>
      </c>
    </row>
    <row r="134" spans="2:28" x14ac:dyDescent="0.3">
      <c r="B134" s="179" t="s">
        <v>82</v>
      </c>
      <c r="C134" s="91" t="s">
        <v>83</v>
      </c>
      <c r="D134" s="126" t="s">
        <v>5</v>
      </c>
      <c r="E134" s="194">
        <f t="shared" si="105"/>
        <v>0.15000000000000002</v>
      </c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8">
        <f t="shared" ref="P134:AB134" si="112">$E134*P356</f>
        <v>2313.6225000000004</v>
      </c>
      <c r="Q134" s="128">
        <f t="shared" si="112"/>
        <v>1919.0010000000002</v>
      </c>
      <c r="R134" s="128">
        <f t="shared" si="112"/>
        <v>1921.6500000000003</v>
      </c>
      <c r="S134" s="128">
        <f t="shared" si="112"/>
        <v>1632.3000000000002</v>
      </c>
      <c r="T134" s="128">
        <f t="shared" si="112"/>
        <v>1689.4305000000002</v>
      </c>
      <c r="U134" s="128">
        <f t="shared" si="112"/>
        <v>1748.5605674999999</v>
      </c>
      <c r="V134" s="128">
        <f t="shared" si="112"/>
        <v>1809.7601873624997</v>
      </c>
      <c r="W134" s="128">
        <f t="shared" si="112"/>
        <v>1873.101793920187</v>
      </c>
      <c r="X134" s="128">
        <f t="shared" si="112"/>
        <v>1938.6603567073935</v>
      </c>
      <c r="Y134" s="128">
        <f t="shared" si="112"/>
        <v>2006.5134691921523</v>
      </c>
      <c r="Z134" s="128">
        <f t="shared" si="112"/>
        <v>2076.7414406138773</v>
      </c>
      <c r="AA134" s="128">
        <f t="shared" si="112"/>
        <v>2149.4273910353631</v>
      </c>
      <c r="AB134" s="128">
        <f t="shared" si="112"/>
        <v>2224.6573497216004</v>
      </c>
    </row>
    <row r="135" spans="2:28" x14ac:dyDescent="0.3">
      <c r="B135" s="179" t="s">
        <v>84</v>
      </c>
      <c r="C135" s="91" t="s">
        <v>85</v>
      </c>
      <c r="D135" s="126" t="s">
        <v>5</v>
      </c>
      <c r="E135" s="194">
        <f t="shared" si="105"/>
        <v>0.15000000000000002</v>
      </c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8">
        <f t="shared" ref="P135:AB135" si="113">$E135*P357</f>
        <v>3496.5255000000002</v>
      </c>
      <c r="Q135" s="128">
        <f t="shared" si="113"/>
        <v>3666.8625000000006</v>
      </c>
      <c r="R135" s="128">
        <f t="shared" si="113"/>
        <v>3115.0500000000006</v>
      </c>
      <c r="S135" s="128">
        <f t="shared" si="113"/>
        <v>3243.7500000000005</v>
      </c>
      <c r="T135" s="128">
        <f t="shared" si="113"/>
        <v>3357.2812500000005</v>
      </c>
      <c r="U135" s="128">
        <f t="shared" si="113"/>
        <v>3474.7860937500004</v>
      </c>
      <c r="V135" s="128">
        <f t="shared" si="113"/>
        <v>3596.4036070312504</v>
      </c>
      <c r="W135" s="128">
        <f t="shared" si="113"/>
        <v>3722.2777332773439</v>
      </c>
      <c r="X135" s="128">
        <f t="shared" si="113"/>
        <v>3852.5574539420504</v>
      </c>
      <c r="Y135" s="128">
        <f t="shared" si="113"/>
        <v>3987.3969648300222</v>
      </c>
      <c r="Z135" s="128">
        <f t="shared" si="113"/>
        <v>4126.9558585990726</v>
      </c>
      <c r="AA135" s="128">
        <f t="shared" si="113"/>
        <v>4271.3993136500403</v>
      </c>
      <c r="AB135" s="128">
        <f t="shared" si="113"/>
        <v>4420.8982896277912</v>
      </c>
    </row>
    <row r="136" spans="2:28" x14ac:dyDescent="0.3">
      <c r="B136" s="179" t="s">
        <v>86</v>
      </c>
      <c r="C136" s="91" t="s">
        <v>87</v>
      </c>
      <c r="D136" s="126" t="s">
        <v>6</v>
      </c>
      <c r="E136" s="194">
        <f t="shared" si="105"/>
        <v>0.15000000000000002</v>
      </c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8">
        <f t="shared" ref="P136:AB136" si="114">$E136*P358</f>
        <v>4460.3205000000007</v>
      </c>
      <c r="Q136" s="128">
        <f t="shared" si="114"/>
        <v>3186.4230000000002</v>
      </c>
      <c r="R136" s="128">
        <f t="shared" si="114"/>
        <v>3338.2500000000005</v>
      </c>
      <c r="S136" s="128">
        <f t="shared" si="114"/>
        <v>4996.2000000000007</v>
      </c>
      <c r="T136" s="128">
        <f t="shared" si="114"/>
        <v>5295.9720000000016</v>
      </c>
      <c r="U136" s="128">
        <f t="shared" si="114"/>
        <v>5613.7303200000015</v>
      </c>
      <c r="V136" s="128">
        <f t="shared" si="114"/>
        <v>5950.5541392000023</v>
      </c>
      <c r="W136" s="128">
        <f t="shared" si="114"/>
        <v>6307.5873875520028</v>
      </c>
      <c r="X136" s="128">
        <f t="shared" si="114"/>
        <v>6686.0426308051237</v>
      </c>
      <c r="Y136" s="128">
        <f t="shared" si="114"/>
        <v>7087.2051886534318</v>
      </c>
      <c r="Z136" s="128">
        <f t="shared" si="114"/>
        <v>7512.4374999726388</v>
      </c>
      <c r="AA136" s="128">
        <f t="shared" si="114"/>
        <v>7963.1837499709964</v>
      </c>
      <c r="AB136" s="128">
        <f t="shared" si="114"/>
        <v>8440.974774969256</v>
      </c>
    </row>
    <row r="137" spans="2:28" x14ac:dyDescent="0.3">
      <c r="B137" s="179" t="s">
        <v>88</v>
      </c>
      <c r="C137" s="91" t="s">
        <v>89</v>
      </c>
      <c r="D137" s="126" t="s">
        <v>6</v>
      </c>
      <c r="E137" s="194">
        <f t="shared" si="105"/>
        <v>0.15000000000000002</v>
      </c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8">
        <f t="shared" ref="P137:AB137" si="115">$E137*P359</f>
        <v>541.03800000000012</v>
      </c>
      <c r="Q137" s="128">
        <f t="shared" si="115"/>
        <v>448.90650000000005</v>
      </c>
      <c r="R137" s="128">
        <f t="shared" si="115"/>
        <v>449.40000000000009</v>
      </c>
      <c r="S137" s="128">
        <f t="shared" si="115"/>
        <v>381.90000000000003</v>
      </c>
      <c r="T137" s="128">
        <f t="shared" si="115"/>
        <v>404.81400000000008</v>
      </c>
      <c r="U137" s="128">
        <f t="shared" si="115"/>
        <v>429.10284000000013</v>
      </c>
      <c r="V137" s="128">
        <f t="shared" si="115"/>
        <v>454.84901040000011</v>
      </c>
      <c r="W137" s="128">
        <f t="shared" si="115"/>
        <v>482.1399510240002</v>
      </c>
      <c r="X137" s="128">
        <f t="shared" si="115"/>
        <v>511.06834808544022</v>
      </c>
      <c r="Y137" s="128">
        <f t="shared" si="115"/>
        <v>541.73244897056668</v>
      </c>
      <c r="Z137" s="128">
        <f t="shared" si="115"/>
        <v>574.23639590880066</v>
      </c>
      <c r="AA137" s="128">
        <f t="shared" si="115"/>
        <v>608.69057966332878</v>
      </c>
      <c r="AB137" s="128">
        <f t="shared" si="115"/>
        <v>645.21201444312862</v>
      </c>
    </row>
    <row r="138" spans="2:28" x14ac:dyDescent="0.3">
      <c r="B138" s="179" t="s">
        <v>90</v>
      </c>
      <c r="C138" s="91" t="s">
        <v>91</v>
      </c>
      <c r="D138" s="126" t="s">
        <v>5</v>
      </c>
      <c r="E138" s="194">
        <f t="shared" si="105"/>
        <v>0.15000000000000002</v>
      </c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8">
        <f t="shared" ref="P138:AB138" si="116">$E138*P360</f>
        <v>34.500000000000007</v>
      </c>
      <c r="Q138" s="128">
        <f t="shared" si="116"/>
        <v>0</v>
      </c>
      <c r="R138" s="128">
        <f t="shared" si="116"/>
        <v>0</v>
      </c>
      <c r="S138" s="128">
        <f t="shared" si="116"/>
        <v>0</v>
      </c>
      <c r="T138" s="128">
        <f t="shared" si="116"/>
        <v>0</v>
      </c>
      <c r="U138" s="128">
        <f t="shared" si="116"/>
        <v>0</v>
      </c>
      <c r="V138" s="128">
        <f t="shared" si="116"/>
        <v>0</v>
      </c>
      <c r="W138" s="128">
        <f t="shared" si="116"/>
        <v>0</v>
      </c>
      <c r="X138" s="128">
        <f t="shared" si="116"/>
        <v>0</v>
      </c>
      <c r="Y138" s="128">
        <f t="shared" si="116"/>
        <v>0</v>
      </c>
      <c r="Z138" s="128">
        <f t="shared" si="116"/>
        <v>0</v>
      </c>
      <c r="AA138" s="128">
        <f t="shared" si="116"/>
        <v>0</v>
      </c>
      <c r="AB138" s="128">
        <f t="shared" si="116"/>
        <v>0</v>
      </c>
    </row>
    <row r="139" spans="2:28" x14ac:dyDescent="0.3">
      <c r="B139" s="179" t="s">
        <v>92</v>
      </c>
      <c r="C139" s="91" t="s">
        <v>93</v>
      </c>
      <c r="D139" s="126" t="s">
        <v>1480</v>
      </c>
      <c r="E139" s="194">
        <f t="shared" si="105"/>
        <v>0.15000000000000002</v>
      </c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8">
        <f t="shared" ref="P139:AB139" si="117">$E139*P361</f>
        <v>84.15</v>
      </c>
      <c r="Q139" s="128">
        <f t="shared" si="117"/>
        <v>0</v>
      </c>
      <c r="R139" s="128">
        <f t="shared" si="117"/>
        <v>0</v>
      </c>
      <c r="S139" s="128">
        <f t="shared" si="117"/>
        <v>0</v>
      </c>
      <c r="T139" s="128">
        <f t="shared" si="117"/>
        <v>0</v>
      </c>
      <c r="U139" s="128">
        <f t="shared" si="117"/>
        <v>0</v>
      </c>
      <c r="V139" s="128">
        <f t="shared" si="117"/>
        <v>0</v>
      </c>
      <c r="W139" s="128">
        <f t="shared" si="117"/>
        <v>0</v>
      </c>
      <c r="X139" s="128">
        <f t="shared" si="117"/>
        <v>0</v>
      </c>
      <c r="Y139" s="128">
        <f t="shared" si="117"/>
        <v>0</v>
      </c>
      <c r="Z139" s="128">
        <f t="shared" si="117"/>
        <v>0</v>
      </c>
      <c r="AA139" s="128">
        <f t="shared" si="117"/>
        <v>0</v>
      </c>
      <c r="AB139" s="128">
        <f t="shared" si="117"/>
        <v>0</v>
      </c>
    </row>
    <row r="140" spans="2:28" x14ac:dyDescent="0.3">
      <c r="B140" s="179" t="s">
        <v>94</v>
      </c>
      <c r="C140" s="91" t="s">
        <v>95</v>
      </c>
      <c r="D140" s="126" t="s">
        <v>7</v>
      </c>
      <c r="E140" s="194">
        <f t="shared" si="105"/>
        <v>0.15000000000000002</v>
      </c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8">
        <f t="shared" ref="P140:AB140" si="118">$E140*P362</f>
        <v>5.8125000000000009</v>
      </c>
      <c r="Q140" s="128">
        <f t="shared" si="118"/>
        <v>0</v>
      </c>
      <c r="R140" s="128">
        <f t="shared" si="118"/>
        <v>7.5000000000000009</v>
      </c>
      <c r="S140" s="128">
        <f t="shared" si="118"/>
        <v>0</v>
      </c>
      <c r="T140" s="128">
        <f t="shared" si="118"/>
        <v>0</v>
      </c>
      <c r="U140" s="128">
        <f t="shared" si="118"/>
        <v>0</v>
      </c>
      <c r="V140" s="128">
        <f t="shared" si="118"/>
        <v>0</v>
      </c>
      <c r="W140" s="128">
        <f t="shared" si="118"/>
        <v>0</v>
      </c>
      <c r="X140" s="128">
        <f t="shared" si="118"/>
        <v>0</v>
      </c>
      <c r="Y140" s="128">
        <f t="shared" si="118"/>
        <v>0</v>
      </c>
      <c r="Z140" s="128">
        <f t="shared" si="118"/>
        <v>0</v>
      </c>
      <c r="AA140" s="128">
        <f t="shared" si="118"/>
        <v>0</v>
      </c>
      <c r="AB140" s="128">
        <f t="shared" si="118"/>
        <v>0</v>
      </c>
    </row>
    <row r="141" spans="2:28" x14ac:dyDescent="0.3">
      <c r="B141" s="179" t="s">
        <v>96</v>
      </c>
      <c r="C141" s="91" t="s">
        <v>97</v>
      </c>
      <c r="D141" s="126" t="s">
        <v>7</v>
      </c>
      <c r="E141" s="194">
        <f t="shared" si="105"/>
        <v>0.15000000000000002</v>
      </c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8">
        <f t="shared" ref="P141:AB141" si="119">$E141*P363</f>
        <v>2369.9190000000003</v>
      </c>
      <c r="Q141" s="128">
        <f t="shared" si="119"/>
        <v>3234.6945000000005</v>
      </c>
      <c r="R141" s="128">
        <f t="shared" si="119"/>
        <v>2475.0000000000005</v>
      </c>
      <c r="S141" s="128">
        <f t="shared" si="119"/>
        <v>3325.5000000000005</v>
      </c>
      <c r="T141" s="128">
        <f t="shared" si="119"/>
        <v>3425.2650000000008</v>
      </c>
      <c r="U141" s="128">
        <f t="shared" si="119"/>
        <v>3528.0229500000009</v>
      </c>
      <c r="V141" s="128">
        <f t="shared" si="119"/>
        <v>3633.8636385000009</v>
      </c>
      <c r="W141" s="128">
        <f t="shared" si="119"/>
        <v>3742.8795476550008</v>
      </c>
      <c r="X141" s="128">
        <f t="shared" si="119"/>
        <v>3855.1659340846513</v>
      </c>
      <c r="Y141" s="128">
        <f t="shared" si="119"/>
        <v>3970.8209121071909</v>
      </c>
      <c r="Z141" s="128">
        <f t="shared" si="119"/>
        <v>4089.9455394704069</v>
      </c>
      <c r="AA141" s="128">
        <f t="shared" si="119"/>
        <v>4212.6439056545187</v>
      </c>
      <c r="AB141" s="128">
        <f t="shared" si="119"/>
        <v>4339.0232228241548</v>
      </c>
    </row>
    <row r="142" spans="2:28" x14ac:dyDescent="0.3">
      <c r="B142" s="179" t="s">
        <v>98</v>
      </c>
      <c r="C142" s="91" t="s">
        <v>99</v>
      </c>
      <c r="D142" s="126" t="s">
        <v>7</v>
      </c>
      <c r="E142" s="194">
        <f t="shared" si="105"/>
        <v>0.15000000000000002</v>
      </c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8">
        <f t="shared" ref="P142:AB142" si="120">$E142*P364</f>
        <v>8561.2965000000004</v>
      </c>
      <c r="Q142" s="128">
        <f t="shared" si="120"/>
        <v>11881.468500000001</v>
      </c>
      <c r="R142" s="128">
        <f t="shared" si="120"/>
        <v>11146.350000000002</v>
      </c>
      <c r="S142" s="128">
        <f t="shared" si="120"/>
        <v>11146.350000000002</v>
      </c>
      <c r="T142" s="128">
        <f t="shared" si="120"/>
        <v>11480.740500000002</v>
      </c>
      <c r="U142" s="128">
        <f t="shared" si="120"/>
        <v>11825.162715000004</v>
      </c>
      <c r="V142" s="128">
        <f t="shared" si="120"/>
        <v>12179.917596450005</v>
      </c>
      <c r="W142" s="128">
        <f t="shared" si="120"/>
        <v>12545.315124343506</v>
      </c>
      <c r="X142" s="128">
        <f t="shared" si="120"/>
        <v>12921.674578073811</v>
      </c>
      <c r="Y142" s="128">
        <f t="shared" si="120"/>
        <v>13309.324815416026</v>
      </c>
      <c r="Z142" s="128">
        <f t="shared" si="120"/>
        <v>13708.604559878508</v>
      </c>
      <c r="AA142" s="128">
        <f t="shared" si="120"/>
        <v>14119.862696674863</v>
      </c>
      <c r="AB142" s="128">
        <f t="shared" si="120"/>
        <v>14543.458577575109</v>
      </c>
    </row>
    <row r="143" spans="2:28" x14ac:dyDescent="0.3">
      <c r="B143" s="179" t="s">
        <v>100</v>
      </c>
      <c r="C143" s="91" t="s">
        <v>101</v>
      </c>
      <c r="D143" s="126" t="s">
        <v>7</v>
      </c>
      <c r="E143" s="194">
        <f t="shared" si="105"/>
        <v>0.15000000000000002</v>
      </c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8">
        <f t="shared" ref="P143:AB143" si="121">$E143*P365</f>
        <v>671.81250000000011</v>
      </c>
      <c r="Q143" s="128">
        <f t="shared" si="121"/>
        <v>44.614500000000007</v>
      </c>
      <c r="R143" s="128">
        <f t="shared" si="121"/>
        <v>201.60000000000002</v>
      </c>
      <c r="S143" s="128">
        <f t="shared" si="121"/>
        <v>45.000000000000007</v>
      </c>
      <c r="T143" s="128">
        <f t="shared" si="121"/>
        <v>46.350000000000009</v>
      </c>
      <c r="U143" s="128">
        <f t="shared" si="121"/>
        <v>47.740500000000004</v>
      </c>
      <c r="V143" s="128">
        <f t="shared" si="121"/>
        <v>49.172715000000011</v>
      </c>
      <c r="W143" s="128">
        <f t="shared" si="121"/>
        <v>50.647896450000012</v>
      </c>
      <c r="X143" s="128">
        <f t="shared" si="121"/>
        <v>52.167333343500005</v>
      </c>
      <c r="Y143" s="128">
        <f t="shared" si="121"/>
        <v>53.732353343805009</v>
      </c>
      <c r="Z143" s="128">
        <f t="shared" si="121"/>
        <v>55.344323944119161</v>
      </c>
      <c r="AA143" s="128">
        <f t="shared" si="121"/>
        <v>57.004653662442735</v>
      </c>
      <c r="AB143" s="128">
        <f t="shared" si="121"/>
        <v>58.714793272316015</v>
      </c>
    </row>
    <row r="144" spans="2:28" x14ac:dyDescent="0.3">
      <c r="B144" s="179" t="s">
        <v>102</v>
      </c>
      <c r="C144" s="91" t="s">
        <v>103</v>
      </c>
      <c r="D144" s="126" t="s">
        <v>7</v>
      </c>
      <c r="E144" s="194">
        <f t="shared" si="105"/>
        <v>0.15000000000000002</v>
      </c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8">
        <f t="shared" ref="P144:AB144" si="122">$E144*P366</f>
        <v>867.82200000000012</v>
      </c>
      <c r="Q144" s="128">
        <f t="shared" si="122"/>
        <v>625.95000000000005</v>
      </c>
      <c r="R144" s="128">
        <f t="shared" si="122"/>
        <v>769.35000000000014</v>
      </c>
      <c r="S144" s="128">
        <f t="shared" si="122"/>
        <v>788.55000000000007</v>
      </c>
      <c r="T144" s="128">
        <f t="shared" si="122"/>
        <v>812.20650000000012</v>
      </c>
      <c r="U144" s="128">
        <f t="shared" si="122"/>
        <v>836.57269500000018</v>
      </c>
      <c r="V144" s="128">
        <f t="shared" si="122"/>
        <v>861.66987585000015</v>
      </c>
      <c r="W144" s="128">
        <f t="shared" si="122"/>
        <v>887.51997212550032</v>
      </c>
      <c r="X144" s="128">
        <f t="shared" si="122"/>
        <v>914.14557128926526</v>
      </c>
      <c r="Y144" s="128">
        <f t="shared" si="122"/>
        <v>941.56993842794327</v>
      </c>
      <c r="Z144" s="128">
        <f t="shared" si="122"/>
        <v>969.81703658078152</v>
      </c>
      <c r="AA144" s="128">
        <f t="shared" si="122"/>
        <v>998.9115476782049</v>
      </c>
      <c r="AB144" s="128">
        <f t="shared" si="122"/>
        <v>1028.8788941085511</v>
      </c>
    </row>
    <row r="145" spans="2:28" x14ac:dyDescent="0.3">
      <c r="B145" s="179" t="s">
        <v>104</v>
      </c>
      <c r="C145" s="91" t="s">
        <v>105</v>
      </c>
      <c r="D145" s="126" t="s">
        <v>7</v>
      </c>
      <c r="E145" s="194">
        <f t="shared" si="105"/>
        <v>0.15000000000000002</v>
      </c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8">
        <f t="shared" ref="P145:AB145" si="123">$E145*P367</f>
        <v>0</v>
      </c>
      <c r="Q145" s="128">
        <f t="shared" si="123"/>
        <v>6.1590000000000016</v>
      </c>
      <c r="R145" s="128">
        <f t="shared" si="123"/>
        <v>7500.0000000000009</v>
      </c>
      <c r="S145" s="128">
        <f t="shared" si="123"/>
        <v>0</v>
      </c>
      <c r="T145" s="128">
        <f t="shared" si="123"/>
        <v>0</v>
      </c>
      <c r="U145" s="128">
        <f t="shared" si="123"/>
        <v>0</v>
      </c>
      <c r="V145" s="128">
        <f t="shared" si="123"/>
        <v>0</v>
      </c>
      <c r="W145" s="128">
        <f t="shared" si="123"/>
        <v>0</v>
      </c>
      <c r="X145" s="128">
        <f t="shared" si="123"/>
        <v>0</v>
      </c>
      <c r="Y145" s="128">
        <f t="shared" si="123"/>
        <v>0</v>
      </c>
      <c r="Z145" s="128">
        <f t="shared" si="123"/>
        <v>0</v>
      </c>
      <c r="AA145" s="128">
        <f t="shared" si="123"/>
        <v>0</v>
      </c>
      <c r="AB145" s="128">
        <f t="shared" si="123"/>
        <v>0</v>
      </c>
    </row>
    <row r="146" spans="2:28" x14ac:dyDescent="0.3">
      <c r="B146" s="179" t="s">
        <v>106</v>
      </c>
      <c r="C146" s="91" t="s">
        <v>107</v>
      </c>
      <c r="D146" s="126" t="s">
        <v>8</v>
      </c>
      <c r="E146" s="194">
        <f t="shared" si="105"/>
        <v>0.15000000000000002</v>
      </c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8">
        <f t="shared" ref="P146:AB146" si="124">$E146*P368</f>
        <v>19.794000000000004</v>
      </c>
      <c r="Q146" s="128">
        <f t="shared" si="124"/>
        <v>64.02600000000001</v>
      </c>
      <c r="R146" s="128">
        <f t="shared" si="124"/>
        <v>67.200000000000017</v>
      </c>
      <c r="S146" s="128">
        <f t="shared" si="124"/>
        <v>64.500000000000014</v>
      </c>
      <c r="T146" s="128">
        <f t="shared" si="124"/>
        <v>66.360206106459842</v>
      </c>
      <c r="U146" s="128">
        <f t="shared" si="124"/>
        <v>68.274061309950852</v>
      </c>
      <c r="V146" s="128">
        <f t="shared" si="124"/>
        <v>70.243112872145957</v>
      </c>
      <c r="W146" s="128">
        <f t="shared" si="124"/>
        <v>72.268952678370965</v>
      </c>
      <c r="X146" s="128">
        <f t="shared" si="124"/>
        <v>74.353218524568845</v>
      </c>
      <c r="Y146" s="128">
        <f t="shared" si="124"/>
        <v>76.497595441380412</v>
      </c>
      <c r="Z146" s="128">
        <f t="shared" si="124"/>
        <v>78.703817056412191</v>
      </c>
      <c r="AA146" s="128">
        <f t="shared" si="124"/>
        <v>80.973666995792598</v>
      </c>
      <c r="AB146" s="128">
        <f t="shared" si="124"/>
        <v>83.308980326149481</v>
      </c>
    </row>
    <row r="147" spans="2:28" x14ac:dyDescent="0.3">
      <c r="B147" s="179" t="s">
        <v>108</v>
      </c>
      <c r="C147" s="91" t="s">
        <v>16</v>
      </c>
      <c r="D147" s="126" t="s">
        <v>1474</v>
      </c>
      <c r="E147" s="194">
        <f t="shared" si="105"/>
        <v>0</v>
      </c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8">
        <f t="shared" ref="P147:AB147" si="125">$E147*P369</f>
        <v>0</v>
      </c>
      <c r="Q147" s="128">
        <f t="shared" si="125"/>
        <v>0</v>
      </c>
      <c r="R147" s="128">
        <f t="shared" si="125"/>
        <v>0</v>
      </c>
      <c r="S147" s="128">
        <f t="shared" si="125"/>
        <v>0</v>
      </c>
      <c r="T147" s="128">
        <f t="shared" si="125"/>
        <v>0</v>
      </c>
      <c r="U147" s="128">
        <f t="shared" si="125"/>
        <v>0</v>
      </c>
      <c r="V147" s="128">
        <f t="shared" si="125"/>
        <v>0</v>
      </c>
      <c r="W147" s="128">
        <f t="shared" si="125"/>
        <v>0</v>
      </c>
      <c r="X147" s="128">
        <f t="shared" si="125"/>
        <v>0</v>
      </c>
      <c r="Y147" s="128">
        <f t="shared" si="125"/>
        <v>0</v>
      </c>
      <c r="Z147" s="128">
        <f t="shared" si="125"/>
        <v>0</v>
      </c>
      <c r="AA147" s="128">
        <f t="shared" si="125"/>
        <v>0</v>
      </c>
      <c r="AB147" s="128">
        <f t="shared" si="125"/>
        <v>0</v>
      </c>
    </row>
    <row r="148" spans="2:28" x14ac:dyDescent="0.3">
      <c r="B148" s="179" t="s">
        <v>109</v>
      </c>
      <c r="C148" s="91" t="s">
        <v>112</v>
      </c>
      <c r="D148" s="126" t="s">
        <v>5</v>
      </c>
      <c r="E148" s="194">
        <f t="shared" si="105"/>
        <v>0.15000000000000002</v>
      </c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8">
        <f t="shared" ref="P148:AB148" si="126">$E148*P370</f>
        <v>7951.5075000000015</v>
      </c>
      <c r="Q148" s="128">
        <f t="shared" si="126"/>
        <v>10327.725000000002</v>
      </c>
      <c r="R148" s="128">
        <f t="shared" si="126"/>
        <v>9285.0000000000018</v>
      </c>
      <c r="S148" s="128">
        <f t="shared" si="126"/>
        <v>10843.500000000002</v>
      </c>
      <c r="T148" s="128">
        <f t="shared" si="126"/>
        <v>11156.23092892089</v>
      </c>
      <c r="U148" s="128">
        <f t="shared" si="126"/>
        <v>11477.981144410109</v>
      </c>
      <c r="V148" s="128">
        <f t="shared" si="126"/>
        <v>11809.010766342863</v>
      </c>
      <c r="W148" s="128">
        <f t="shared" si="126"/>
        <v>12149.587416556831</v>
      </c>
      <c r="X148" s="128">
        <f t="shared" si="126"/>
        <v>12499.986435211817</v>
      </c>
      <c r="Y148" s="128">
        <f t="shared" si="126"/>
        <v>12860.491103389277</v>
      </c>
      <c r="Z148" s="128">
        <f t="shared" si="126"/>
        <v>13231.392872111714</v>
      </c>
      <c r="AA148" s="128">
        <f t="shared" si="126"/>
        <v>13612.991597967082</v>
      </c>
      <c r="AB148" s="128">
        <f t="shared" si="126"/>
        <v>14005.595785528707</v>
      </c>
    </row>
    <row r="149" spans="2:28" x14ac:dyDescent="0.3">
      <c r="B149" s="179" t="s">
        <v>111</v>
      </c>
      <c r="C149" s="91" t="s">
        <v>116</v>
      </c>
      <c r="D149" s="126" t="s">
        <v>8</v>
      </c>
      <c r="E149" s="194">
        <f t="shared" si="105"/>
        <v>0.15000000000000002</v>
      </c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8">
        <f t="shared" ref="P149:AB149" si="127">$E149*P371</f>
        <v>0</v>
      </c>
      <c r="Q149" s="128">
        <f t="shared" si="127"/>
        <v>0</v>
      </c>
      <c r="R149" s="128">
        <f t="shared" si="127"/>
        <v>0</v>
      </c>
      <c r="S149" s="128">
        <f t="shared" si="127"/>
        <v>0</v>
      </c>
      <c r="T149" s="128">
        <f t="shared" si="127"/>
        <v>0</v>
      </c>
      <c r="U149" s="128">
        <f t="shared" si="127"/>
        <v>0</v>
      </c>
      <c r="V149" s="128">
        <f t="shared" si="127"/>
        <v>0</v>
      </c>
      <c r="W149" s="128">
        <f t="shared" si="127"/>
        <v>0</v>
      </c>
      <c r="X149" s="128">
        <f t="shared" si="127"/>
        <v>0</v>
      </c>
      <c r="Y149" s="128">
        <f t="shared" si="127"/>
        <v>0</v>
      </c>
      <c r="Z149" s="128">
        <f t="shared" si="127"/>
        <v>0</v>
      </c>
      <c r="AA149" s="128">
        <f t="shared" si="127"/>
        <v>0</v>
      </c>
      <c r="AB149" s="128">
        <f t="shared" si="127"/>
        <v>0</v>
      </c>
    </row>
    <row r="150" spans="2:28" x14ac:dyDescent="0.3">
      <c r="B150" s="179" t="s">
        <v>113</v>
      </c>
      <c r="C150" s="91" t="s">
        <v>118</v>
      </c>
      <c r="D150" s="126" t="s">
        <v>5</v>
      </c>
      <c r="E150" s="194">
        <f t="shared" si="105"/>
        <v>0.15000000000000002</v>
      </c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8">
        <f t="shared" ref="P150:AB150" si="128">$E150*P372</f>
        <v>2818.7955000000006</v>
      </c>
      <c r="Q150" s="128">
        <f t="shared" si="128"/>
        <v>2351.2275000000004</v>
      </c>
      <c r="R150" s="128">
        <f t="shared" si="128"/>
        <v>2700.0000000000005</v>
      </c>
      <c r="S150" s="128">
        <f t="shared" si="128"/>
        <v>2700.0000000000005</v>
      </c>
      <c r="T150" s="128">
        <f t="shared" si="128"/>
        <v>2794.5000000000005</v>
      </c>
      <c r="U150" s="128">
        <f t="shared" si="128"/>
        <v>2892.3075000000003</v>
      </c>
      <c r="V150" s="128">
        <f t="shared" si="128"/>
        <v>2993.5382625000002</v>
      </c>
      <c r="W150" s="128">
        <f t="shared" si="128"/>
        <v>3098.3121016874998</v>
      </c>
      <c r="X150" s="128">
        <f t="shared" si="128"/>
        <v>3206.7530252465617</v>
      </c>
      <c r="Y150" s="128">
        <f t="shared" si="128"/>
        <v>3318.9893811301908</v>
      </c>
      <c r="Z150" s="128">
        <f t="shared" si="128"/>
        <v>3435.1540094697475</v>
      </c>
      <c r="AA150" s="128">
        <f t="shared" si="128"/>
        <v>3555.384399801188</v>
      </c>
      <c r="AB150" s="128">
        <f t="shared" si="128"/>
        <v>3679.8228537942296</v>
      </c>
    </row>
    <row r="151" spans="2:28" x14ac:dyDescent="0.3">
      <c r="B151" s="179" t="s">
        <v>115</v>
      </c>
      <c r="C151" s="91" t="s">
        <v>120</v>
      </c>
      <c r="D151" s="126" t="s">
        <v>7</v>
      </c>
      <c r="E151" s="194">
        <f t="shared" si="105"/>
        <v>0.15000000000000002</v>
      </c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8">
        <f t="shared" ref="P151:AB151" si="129">$E151*P373</f>
        <v>128.41500000000002</v>
      </c>
      <c r="Q151" s="128">
        <f t="shared" si="129"/>
        <v>130.09200000000001</v>
      </c>
      <c r="R151" s="128">
        <f t="shared" si="129"/>
        <v>124.35000000000002</v>
      </c>
      <c r="S151" s="128">
        <f t="shared" si="129"/>
        <v>128.70000000000002</v>
      </c>
      <c r="T151" s="128">
        <f t="shared" si="129"/>
        <v>131.46097910360169</v>
      </c>
      <c r="U151" s="128">
        <f t="shared" si="129"/>
        <v>134.28118902002794</v>
      </c>
      <c r="V151" s="128">
        <f t="shared" si="129"/>
        <v>137.16190041778304</v>
      </c>
      <c r="W151" s="128">
        <f t="shared" si="129"/>
        <v>140.10441122480552</v>
      </c>
      <c r="X151" s="128">
        <f t="shared" si="129"/>
        <v>143.11004721326006</v>
      </c>
      <c r="Y151" s="128">
        <f t="shared" si="129"/>
        <v>146.18016259687514</v>
      </c>
      <c r="Z151" s="128">
        <f t="shared" si="129"/>
        <v>149.31614064109476</v>
      </c>
      <c r="AA151" s="128">
        <f t="shared" si="129"/>
        <v>152.51939428632016</v>
      </c>
      <c r="AB151" s="128">
        <f t="shared" si="129"/>
        <v>155.79136678452147</v>
      </c>
    </row>
    <row r="152" spans="2:28" x14ac:dyDescent="0.3">
      <c r="B152" s="179" t="s">
        <v>117</v>
      </c>
      <c r="C152" s="91" t="s">
        <v>122</v>
      </c>
      <c r="D152" s="126" t="s">
        <v>5</v>
      </c>
      <c r="E152" s="194">
        <f t="shared" si="105"/>
        <v>0.15000000000000002</v>
      </c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8">
        <f t="shared" ref="P152:AB152" si="130">$E152*P374</f>
        <v>431.93700000000007</v>
      </c>
      <c r="Q152" s="128">
        <f t="shared" si="130"/>
        <v>427.40100000000007</v>
      </c>
      <c r="R152" s="128">
        <f t="shared" si="130"/>
        <v>28.500000000000004</v>
      </c>
      <c r="S152" s="128">
        <f t="shared" si="130"/>
        <v>42.900000000000006</v>
      </c>
      <c r="T152" s="128">
        <f t="shared" si="130"/>
        <v>43.820326367867224</v>
      </c>
      <c r="U152" s="128">
        <f t="shared" si="130"/>
        <v>44.760396340009308</v>
      </c>
      <c r="V152" s="128">
        <f t="shared" si="130"/>
        <v>45.720633472594344</v>
      </c>
      <c r="W152" s="128">
        <f t="shared" si="130"/>
        <v>46.701470408268491</v>
      </c>
      <c r="X152" s="128">
        <f t="shared" si="130"/>
        <v>47.703349071086684</v>
      </c>
      <c r="Y152" s="128">
        <f t="shared" si="130"/>
        <v>48.726720865625033</v>
      </c>
      <c r="Z152" s="128">
        <f t="shared" si="130"/>
        <v>49.772046880364904</v>
      </c>
      <c r="AA152" s="128">
        <f t="shared" si="130"/>
        <v>50.839798095440045</v>
      </c>
      <c r="AB152" s="128">
        <f t="shared" si="130"/>
        <v>51.930455594840495</v>
      </c>
    </row>
    <row r="153" spans="2:28" x14ac:dyDescent="0.3">
      <c r="B153" s="179" t="s">
        <v>119</v>
      </c>
      <c r="C153" s="91" t="s">
        <v>124</v>
      </c>
      <c r="D153" s="126" t="s">
        <v>1480</v>
      </c>
      <c r="E153" s="194">
        <f t="shared" si="105"/>
        <v>0.15000000000000002</v>
      </c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8">
        <f t="shared" ref="P153:AB153" si="131">$E153*P375</f>
        <v>1125.9000000000001</v>
      </c>
      <c r="Q153" s="128">
        <f t="shared" si="131"/>
        <v>20380.356000000003</v>
      </c>
      <c r="R153" s="128">
        <f t="shared" si="131"/>
        <v>137.55000000000001</v>
      </c>
      <c r="S153" s="128">
        <f t="shared" si="131"/>
        <v>692.25000000000011</v>
      </c>
      <c r="T153" s="128">
        <f t="shared" si="131"/>
        <v>716.4787500000001</v>
      </c>
      <c r="U153" s="128">
        <f t="shared" si="131"/>
        <v>741.55550625000001</v>
      </c>
      <c r="V153" s="128">
        <f t="shared" si="131"/>
        <v>767.50994896874988</v>
      </c>
      <c r="W153" s="128">
        <f t="shared" si="131"/>
        <v>794.3727971826562</v>
      </c>
      <c r="X153" s="128">
        <f t="shared" si="131"/>
        <v>822.175845084049</v>
      </c>
      <c r="Y153" s="128">
        <f t="shared" si="131"/>
        <v>850.95199966199073</v>
      </c>
      <c r="Z153" s="128">
        <f t="shared" si="131"/>
        <v>880.73531965016036</v>
      </c>
      <c r="AA153" s="128">
        <f t="shared" si="131"/>
        <v>911.56105583791577</v>
      </c>
      <c r="AB153" s="128">
        <f t="shared" si="131"/>
        <v>943.46569279224275</v>
      </c>
    </row>
    <row r="154" spans="2:28" x14ac:dyDescent="0.3">
      <c r="B154" s="179" t="s">
        <v>121</v>
      </c>
      <c r="C154" s="91" t="s">
        <v>126</v>
      </c>
      <c r="D154" s="126" t="s">
        <v>1480</v>
      </c>
      <c r="E154" s="194">
        <f t="shared" si="105"/>
        <v>0.15000000000000002</v>
      </c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8">
        <f t="shared" ref="P154:AB154" si="132">$E154*P376</f>
        <v>751.35600000000011</v>
      </c>
      <c r="Q154" s="128">
        <f t="shared" si="132"/>
        <v>52.056000000000012</v>
      </c>
      <c r="R154" s="128">
        <f t="shared" si="132"/>
        <v>36.000000000000007</v>
      </c>
      <c r="S154" s="128">
        <f t="shared" si="132"/>
        <v>35.700000000000003</v>
      </c>
      <c r="T154" s="128">
        <f t="shared" si="132"/>
        <v>36.771000000000008</v>
      </c>
      <c r="U154" s="128">
        <f t="shared" si="132"/>
        <v>37.874130000000008</v>
      </c>
      <c r="V154" s="128">
        <f t="shared" si="132"/>
        <v>39.010353900000013</v>
      </c>
      <c r="W154" s="128">
        <f t="shared" si="132"/>
        <v>40.180664517000018</v>
      </c>
      <c r="X154" s="128">
        <f t="shared" si="132"/>
        <v>41.386084452510019</v>
      </c>
      <c r="Y154" s="128">
        <f t="shared" si="132"/>
        <v>42.627666986085323</v>
      </c>
      <c r="Z154" s="128">
        <f t="shared" si="132"/>
        <v>43.906496995667887</v>
      </c>
      <c r="AA154" s="128">
        <f t="shared" si="132"/>
        <v>45.223691905537919</v>
      </c>
      <c r="AB154" s="128">
        <f t="shared" si="132"/>
        <v>46.58040266270406</v>
      </c>
    </row>
    <row r="155" spans="2:28" x14ac:dyDescent="0.3">
      <c r="B155" s="179" t="s">
        <v>123</v>
      </c>
      <c r="C155" s="91" t="s">
        <v>128</v>
      </c>
      <c r="D155" s="126" t="s">
        <v>5</v>
      </c>
      <c r="E155" s="194">
        <f t="shared" si="105"/>
        <v>0.15000000000000002</v>
      </c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8">
        <f t="shared" ref="P155:AB155" si="133">$E155*P377</f>
        <v>423.28350000000006</v>
      </c>
      <c r="Q155" s="128">
        <f t="shared" si="133"/>
        <v>175.05450000000002</v>
      </c>
      <c r="R155" s="128">
        <f t="shared" si="133"/>
        <v>397.50000000000006</v>
      </c>
      <c r="S155" s="128">
        <f t="shared" si="133"/>
        <v>240.00000000000003</v>
      </c>
      <c r="T155" s="128">
        <f t="shared" si="133"/>
        <v>245.14867898107539</v>
      </c>
      <c r="U155" s="128">
        <f t="shared" si="133"/>
        <v>250.40781169235979</v>
      </c>
      <c r="V155" s="128">
        <f t="shared" si="133"/>
        <v>255.77976767884948</v>
      </c>
      <c r="W155" s="128">
        <f t="shared" si="133"/>
        <v>261.2669673189846</v>
      </c>
      <c r="X155" s="128">
        <f t="shared" si="133"/>
        <v>266.87188291517026</v>
      </c>
      <c r="Y155" s="128">
        <f t="shared" si="133"/>
        <v>272.59703980769251</v>
      </c>
      <c r="Z155" s="128">
        <f t="shared" si="133"/>
        <v>278.44501751253097</v>
      </c>
      <c r="AA155" s="128">
        <f t="shared" si="133"/>
        <v>284.4184508835807</v>
      </c>
      <c r="AB155" s="128">
        <f t="shared" si="133"/>
        <v>290.52003129980693</v>
      </c>
    </row>
    <row r="156" spans="2:28" x14ac:dyDescent="0.3">
      <c r="B156" s="179" t="s">
        <v>125</v>
      </c>
      <c r="C156" s="91" t="s">
        <v>130</v>
      </c>
      <c r="D156" s="126" t="s">
        <v>7</v>
      </c>
      <c r="E156" s="194">
        <f t="shared" si="105"/>
        <v>0.15000000000000002</v>
      </c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8">
        <f t="shared" ref="P156:AB156" si="134">$E156*P378</f>
        <v>0</v>
      </c>
      <c r="Q156" s="128">
        <f t="shared" si="134"/>
        <v>348.00000000000006</v>
      </c>
      <c r="R156" s="128">
        <f t="shared" si="134"/>
        <v>0</v>
      </c>
      <c r="S156" s="128">
        <f t="shared" si="134"/>
        <v>0</v>
      </c>
      <c r="T156" s="128">
        <f t="shared" si="134"/>
        <v>0</v>
      </c>
      <c r="U156" s="128">
        <f t="shared" si="134"/>
        <v>0</v>
      </c>
      <c r="V156" s="128">
        <f t="shared" si="134"/>
        <v>0</v>
      </c>
      <c r="W156" s="128">
        <f t="shared" si="134"/>
        <v>0</v>
      </c>
      <c r="X156" s="128">
        <f t="shared" si="134"/>
        <v>0</v>
      </c>
      <c r="Y156" s="128">
        <f t="shared" si="134"/>
        <v>0</v>
      </c>
      <c r="Z156" s="128">
        <f t="shared" si="134"/>
        <v>0</v>
      </c>
      <c r="AA156" s="128">
        <f t="shared" si="134"/>
        <v>0</v>
      </c>
      <c r="AB156" s="128">
        <f t="shared" si="134"/>
        <v>0</v>
      </c>
    </row>
    <row r="157" spans="2:28" x14ac:dyDescent="0.3">
      <c r="B157" s="179" t="s">
        <v>127</v>
      </c>
      <c r="C157" s="91" t="s">
        <v>132</v>
      </c>
      <c r="D157" s="126" t="s">
        <v>1480</v>
      </c>
      <c r="E157" s="194">
        <f t="shared" si="105"/>
        <v>0.15000000000000002</v>
      </c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8">
        <f t="shared" ref="P157:AB157" si="135">$E157*P379</f>
        <v>0</v>
      </c>
      <c r="Q157" s="128">
        <f t="shared" si="135"/>
        <v>0</v>
      </c>
      <c r="R157" s="128">
        <f t="shared" si="135"/>
        <v>1695.0000000000002</v>
      </c>
      <c r="S157" s="128">
        <f t="shared" si="135"/>
        <v>0</v>
      </c>
      <c r="T157" s="128">
        <f t="shared" si="135"/>
        <v>0</v>
      </c>
      <c r="U157" s="128">
        <f t="shared" si="135"/>
        <v>0</v>
      </c>
      <c r="V157" s="128">
        <f t="shared" si="135"/>
        <v>0</v>
      </c>
      <c r="W157" s="128">
        <f t="shared" si="135"/>
        <v>0</v>
      </c>
      <c r="X157" s="128">
        <f t="shared" si="135"/>
        <v>0</v>
      </c>
      <c r="Y157" s="128">
        <f t="shared" si="135"/>
        <v>0</v>
      </c>
      <c r="Z157" s="128">
        <f t="shared" si="135"/>
        <v>0</v>
      </c>
      <c r="AA157" s="128">
        <f t="shared" si="135"/>
        <v>0</v>
      </c>
      <c r="AB157" s="128">
        <f t="shared" si="135"/>
        <v>0</v>
      </c>
    </row>
    <row r="158" spans="2:28" x14ac:dyDescent="0.3">
      <c r="B158" s="179" t="s">
        <v>129</v>
      </c>
      <c r="C158" s="91" t="s">
        <v>134</v>
      </c>
      <c r="D158" s="126" t="s">
        <v>1480</v>
      </c>
      <c r="E158" s="194">
        <f t="shared" si="105"/>
        <v>0.15000000000000002</v>
      </c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8">
        <f t="shared" ref="P158:AB158" si="136">$E158*P380</f>
        <v>257.72850000000005</v>
      </c>
      <c r="Q158" s="128">
        <f t="shared" si="136"/>
        <v>213.63300000000004</v>
      </c>
      <c r="R158" s="128">
        <f t="shared" si="136"/>
        <v>375.00000000000006</v>
      </c>
      <c r="S158" s="128">
        <f t="shared" si="136"/>
        <v>330.00000000000006</v>
      </c>
      <c r="T158" s="128">
        <f t="shared" si="136"/>
        <v>337.07943359897865</v>
      </c>
      <c r="U158" s="128">
        <f t="shared" si="136"/>
        <v>344.3107410769947</v>
      </c>
      <c r="V158" s="128">
        <f t="shared" si="136"/>
        <v>351.6971805584181</v>
      </c>
      <c r="W158" s="128">
        <f t="shared" si="136"/>
        <v>359.24208006360391</v>
      </c>
      <c r="X158" s="128">
        <f t="shared" si="136"/>
        <v>366.94883900835919</v>
      </c>
      <c r="Y158" s="128">
        <f t="shared" si="136"/>
        <v>374.82092973557729</v>
      </c>
      <c r="Z158" s="128">
        <f t="shared" si="136"/>
        <v>382.86189907973016</v>
      </c>
      <c r="AA158" s="128">
        <f t="shared" si="136"/>
        <v>391.07536996492348</v>
      </c>
      <c r="AB158" s="128">
        <f t="shared" si="136"/>
        <v>399.46504303723458</v>
      </c>
    </row>
    <row r="159" spans="2:28" x14ac:dyDescent="0.3">
      <c r="B159" s="179" t="s">
        <v>131</v>
      </c>
      <c r="C159" s="91" t="s">
        <v>136</v>
      </c>
      <c r="D159" s="126" t="s">
        <v>1480</v>
      </c>
      <c r="E159" s="194">
        <f t="shared" si="105"/>
        <v>0.15000000000000002</v>
      </c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8">
        <f t="shared" ref="P159:AB159" si="137">$E159*P381</f>
        <v>8.4000000000000021</v>
      </c>
      <c r="Q159" s="128">
        <f t="shared" si="137"/>
        <v>0</v>
      </c>
      <c r="R159" s="128">
        <f t="shared" si="137"/>
        <v>30.000000000000004</v>
      </c>
      <c r="S159" s="128">
        <f t="shared" si="137"/>
        <v>30.000000000000004</v>
      </c>
      <c r="T159" s="128">
        <f t="shared" si="137"/>
        <v>30.643584872634424</v>
      </c>
      <c r="U159" s="128">
        <f t="shared" si="137"/>
        <v>31.300976461544973</v>
      </c>
      <c r="V159" s="128">
        <f t="shared" si="137"/>
        <v>31.972470959856185</v>
      </c>
      <c r="W159" s="128">
        <f t="shared" si="137"/>
        <v>32.658370914873075</v>
      </c>
      <c r="X159" s="128">
        <f t="shared" si="137"/>
        <v>33.358985364396283</v>
      </c>
      <c r="Y159" s="128">
        <f t="shared" si="137"/>
        <v>34.074629975961564</v>
      </c>
      <c r="Z159" s="128">
        <f t="shared" si="137"/>
        <v>34.805627189066371</v>
      </c>
      <c r="AA159" s="128">
        <f t="shared" si="137"/>
        <v>35.552306360447588</v>
      </c>
      <c r="AB159" s="128">
        <f t="shared" si="137"/>
        <v>36.315003912475866</v>
      </c>
    </row>
    <row r="160" spans="2:28" x14ac:dyDescent="0.3">
      <c r="B160" s="179" t="s">
        <v>133</v>
      </c>
      <c r="C160" s="91" t="s">
        <v>20</v>
      </c>
      <c r="D160" s="126" t="s">
        <v>1480</v>
      </c>
      <c r="E160" s="194">
        <f t="shared" si="105"/>
        <v>0.15000000000000002</v>
      </c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8">
        <f t="shared" ref="P160:AB160" si="138">$E160*P382</f>
        <v>3.3735000000000004</v>
      </c>
      <c r="Q160" s="128">
        <f t="shared" si="138"/>
        <v>0</v>
      </c>
      <c r="R160" s="128">
        <f t="shared" si="138"/>
        <v>75.000000000000014</v>
      </c>
      <c r="S160" s="128">
        <f t="shared" si="138"/>
        <v>30.000000000000004</v>
      </c>
      <c r="T160" s="128">
        <f t="shared" si="138"/>
        <v>30.643584872634424</v>
      </c>
      <c r="U160" s="128">
        <f t="shared" si="138"/>
        <v>31.300976461544973</v>
      </c>
      <c r="V160" s="128">
        <f t="shared" si="138"/>
        <v>31.972470959856185</v>
      </c>
      <c r="W160" s="128">
        <f t="shared" si="138"/>
        <v>32.658370914873075</v>
      </c>
      <c r="X160" s="128">
        <f t="shared" si="138"/>
        <v>33.358985364396283</v>
      </c>
      <c r="Y160" s="128">
        <f t="shared" si="138"/>
        <v>34.074629975961564</v>
      </c>
      <c r="Z160" s="128">
        <f t="shared" si="138"/>
        <v>34.805627189066371</v>
      </c>
      <c r="AA160" s="128">
        <f t="shared" si="138"/>
        <v>35.552306360447588</v>
      </c>
      <c r="AB160" s="128">
        <f t="shared" si="138"/>
        <v>36.315003912475866</v>
      </c>
    </row>
    <row r="161" spans="2:28" x14ac:dyDescent="0.3">
      <c r="B161" s="179" t="s">
        <v>135</v>
      </c>
      <c r="C161" s="91" t="s">
        <v>130</v>
      </c>
      <c r="D161" s="126" t="s">
        <v>1480</v>
      </c>
      <c r="E161" s="194">
        <f t="shared" si="105"/>
        <v>0.15000000000000002</v>
      </c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8">
        <f t="shared" ref="P161:AB161" si="139">$E161*P383</f>
        <v>0</v>
      </c>
      <c r="Q161" s="128">
        <f t="shared" si="139"/>
        <v>0</v>
      </c>
      <c r="R161" s="128">
        <f t="shared" si="139"/>
        <v>0</v>
      </c>
      <c r="S161" s="128">
        <f t="shared" si="139"/>
        <v>0</v>
      </c>
      <c r="T161" s="128">
        <f t="shared" si="139"/>
        <v>0</v>
      </c>
      <c r="U161" s="128">
        <f t="shared" si="139"/>
        <v>0</v>
      </c>
      <c r="V161" s="128">
        <f t="shared" si="139"/>
        <v>0</v>
      </c>
      <c r="W161" s="128">
        <f t="shared" si="139"/>
        <v>0</v>
      </c>
      <c r="X161" s="128">
        <f t="shared" si="139"/>
        <v>0</v>
      </c>
      <c r="Y161" s="128">
        <f t="shared" si="139"/>
        <v>0</v>
      </c>
      <c r="Z161" s="128">
        <f t="shared" si="139"/>
        <v>0</v>
      </c>
      <c r="AA161" s="128">
        <f t="shared" si="139"/>
        <v>0</v>
      </c>
      <c r="AB161" s="128">
        <f t="shared" si="139"/>
        <v>0</v>
      </c>
    </row>
    <row r="162" spans="2:28" x14ac:dyDescent="0.3">
      <c r="B162" s="179" t="s">
        <v>137</v>
      </c>
      <c r="C162" s="91" t="s">
        <v>132</v>
      </c>
      <c r="D162" s="126" t="s">
        <v>1480</v>
      </c>
      <c r="E162" s="194">
        <f t="shared" si="105"/>
        <v>0.15000000000000002</v>
      </c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8">
        <f t="shared" ref="P162:AB162" si="140">$E162*P384</f>
        <v>0</v>
      </c>
      <c r="Q162" s="128">
        <f t="shared" si="140"/>
        <v>0</v>
      </c>
      <c r="R162" s="128">
        <f t="shared" si="140"/>
        <v>0</v>
      </c>
      <c r="S162" s="128">
        <f t="shared" si="140"/>
        <v>0</v>
      </c>
      <c r="T162" s="128">
        <f t="shared" si="140"/>
        <v>0</v>
      </c>
      <c r="U162" s="128">
        <f t="shared" si="140"/>
        <v>0</v>
      </c>
      <c r="V162" s="128">
        <f t="shared" si="140"/>
        <v>0</v>
      </c>
      <c r="W162" s="128">
        <f t="shared" si="140"/>
        <v>0</v>
      </c>
      <c r="X162" s="128">
        <f t="shared" si="140"/>
        <v>0</v>
      </c>
      <c r="Y162" s="128">
        <f t="shared" si="140"/>
        <v>0</v>
      </c>
      <c r="Z162" s="128">
        <f t="shared" si="140"/>
        <v>0</v>
      </c>
      <c r="AA162" s="128">
        <f t="shared" si="140"/>
        <v>0</v>
      </c>
      <c r="AB162" s="128">
        <f t="shared" si="140"/>
        <v>0</v>
      </c>
    </row>
    <row r="163" spans="2:28" x14ac:dyDescent="0.3">
      <c r="B163" s="179" t="s">
        <v>140</v>
      </c>
      <c r="C163" s="91" t="s">
        <v>141</v>
      </c>
      <c r="D163" s="126" t="s">
        <v>1480</v>
      </c>
      <c r="E163" s="194">
        <v>0.15</v>
      </c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8">
        <f t="shared" ref="P163:AB163" si="141">$E163*P385</f>
        <v>227600.75643585919</v>
      </c>
      <c r="Q163" s="128">
        <f t="shared" si="141"/>
        <v>241190.34749999997</v>
      </c>
      <c r="R163" s="128">
        <f t="shared" si="141"/>
        <v>246014.25</v>
      </c>
      <c r="S163" s="861">
        <f t="shared" si="141"/>
        <v>206287.11946500003</v>
      </c>
      <c r="T163" s="128">
        <f t="shared" si="141"/>
        <v>215646.72378495999</v>
      </c>
      <c r="U163" s="128">
        <f t="shared" si="141"/>
        <v>225551.62788609319</v>
      </c>
      <c r="V163" s="128">
        <f t="shared" si="141"/>
        <v>236042.80105300099</v>
      </c>
      <c r="W163" s="128">
        <f t="shared" si="141"/>
        <v>247164.83823828734</v>
      </c>
      <c r="X163" s="128">
        <f t="shared" si="141"/>
        <v>258966.30623589639</v>
      </c>
      <c r="Y163" s="128">
        <f t="shared" si="141"/>
        <v>271500.12390102423</v>
      </c>
      <c r="Z163" s="128">
        <f t="shared" si="141"/>
        <v>284823.97980137647</v>
      </c>
      <c r="AA163" s="128">
        <f t="shared" si="141"/>
        <v>299000.79102232656</v>
      </c>
      <c r="AB163" s="128">
        <f t="shared" si="141"/>
        <v>314099.20722006692</v>
      </c>
    </row>
    <row r="164" spans="2:28" x14ac:dyDescent="0.3">
      <c r="B164" s="179" t="s">
        <v>142</v>
      </c>
      <c r="C164" s="91" t="s">
        <v>143</v>
      </c>
      <c r="D164" s="126" t="s">
        <v>1480</v>
      </c>
      <c r="E164" s="194">
        <f>(1-E41)/2</f>
        <v>0.15000000000000002</v>
      </c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8">
        <f t="shared" ref="P164:AB164" si="142">$E164*P386</f>
        <v>33.750000000000007</v>
      </c>
      <c r="Q164" s="128">
        <f t="shared" si="142"/>
        <v>67.500000000000014</v>
      </c>
      <c r="R164" s="128">
        <f t="shared" si="142"/>
        <v>0</v>
      </c>
      <c r="S164" s="128">
        <f t="shared" si="142"/>
        <v>0</v>
      </c>
      <c r="T164" s="128">
        <f t="shared" si="142"/>
        <v>0</v>
      </c>
      <c r="U164" s="128">
        <f t="shared" si="142"/>
        <v>0</v>
      </c>
      <c r="V164" s="128">
        <f t="shared" si="142"/>
        <v>0</v>
      </c>
      <c r="W164" s="128">
        <f t="shared" si="142"/>
        <v>0</v>
      </c>
      <c r="X164" s="128">
        <f t="shared" si="142"/>
        <v>0</v>
      </c>
      <c r="Y164" s="128">
        <f t="shared" si="142"/>
        <v>0</v>
      </c>
      <c r="Z164" s="128">
        <f t="shared" si="142"/>
        <v>0</v>
      </c>
      <c r="AA164" s="128">
        <f t="shared" si="142"/>
        <v>0</v>
      </c>
      <c r="AB164" s="128">
        <f t="shared" si="142"/>
        <v>0</v>
      </c>
    </row>
    <row r="165" spans="2:28" x14ac:dyDescent="0.3">
      <c r="B165" s="179" t="s">
        <v>144</v>
      </c>
      <c r="C165" s="91" t="s">
        <v>145</v>
      </c>
      <c r="D165" s="126" t="s">
        <v>1480</v>
      </c>
      <c r="E165" s="194">
        <f>(1-E42)/2</f>
        <v>0.15000000000000002</v>
      </c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8">
        <f t="shared" ref="P165:AB165" si="143">$E165*P387</f>
        <v>0</v>
      </c>
      <c r="Q165" s="128">
        <f t="shared" si="143"/>
        <v>0</v>
      </c>
      <c r="R165" s="128">
        <f t="shared" si="143"/>
        <v>1864.9500000000003</v>
      </c>
      <c r="S165" s="128">
        <f t="shared" si="143"/>
        <v>2333.7000000000003</v>
      </c>
      <c r="T165" s="128">
        <f t="shared" si="143"/>
        <v>2415.3795</v>
      </c>
      <c r="U165" s="128">
        <f t="shared" si="143"/>
        <v>2499.9177825000002</v>
      </c>
      <c r="V165" s="128">
        <f t="shared" si="143"/>
        <v>2587.4149048875001</v>
      </c>
      <c r="W165" s="128">
        <f t="shared" si="143"/>
        <v>2677.9744265585628</v>
      </c>
      <c r="X165" s="128">
        <f t="shared" si="143"/>
        <v>2771.7035314881123</v>
      </c>
      <c r="Y165" s="128">
        <f t="shared" si="143"/>
        <v>2868.7131550901963</v>
      </c>
      <c r="Z165" s="128">
        <f t="shared" si="143"/>
        <v>2969.1181155183531</v>
      </c>
      <c r="AA165" s="128">
        <f t="shared" si="143"/>
        <v>3073.0372495614952</v>
      </c>
      <c r="AB165" s="128">
        <f t="shared" si="143"/>
        <v>3180.5935532961471</v>
      </c>
    </row>
    <row r="166" spans="2:28" x14ac:dyDescent="0.3">
      <c r="B166" s="180"/>
      <c r="C166" s="130" t="s">
        <v>284</v>
      </c>
      <c r="D166" s="131"/>
      <c r="E166" s="185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628">
        <f t="shared" ref="P166:AB166" si="144">SUM(P128:P165)</f>
        <v>302674.04643585917</v>
      </c>
      <c r="Q166" s="628">
        <f t="shared" si="144"/>
        <v>334082.63249999995</v>
      </c>
      <c r="R166" s="628">
        <f t="shared" si="144"/>
        <v>324750.60000000003</v>
      </c>
      <c r="S166" s="628">
        <f t="shared" si="144"/>
        <v>275647.11946500005</v>
      </c>
      <c r="T166" s="628">
        <f t="shared" si="144"/>
        <v>287414.02250778413</v>
      </c>
      <c r="U166" s="628">
        <f>SUM(U128:U165)</f>
        <v>299814.07605286571</v>
      </c>
      <c r="V166" s="628">
        <f t="shared" si="144"/>
        <v>312891.67827076331</v>
      </c>
      <c r="W166" s="628">
        <f t="shared" si="144"/>
        <v>326694.99826271698</v>
      </c>
      <c r="X166" s="628">
        <f t="shared" si="144"/>
        <v>341276.32894980966</v>
      </c>
      <c r="Y166" s="628">
        <f t="shared" si="144"/>
        <v>356692.47434501216</v>
      </c>
      <c r="Z166" s="628">
        <f t="shared" si="144"/>
        <v>373005.17461087223</v>
      </c>
      <c r="AA166" s="628">
        <f t="shared" si="144"/>
        <v>390281.57264435338</v>
      </c>
      <c r="AB166" s="628">
        <f t="shared" si="144"/>
        <v>408594.72630292783</v>
      </c>
    </row>
    <row r="167" spans="2:28" x14ac:dyDescent="0.3">
      <c r="B167" s="180"/>
      <c r="C167" s="129"/>
      <c r="D167" s="132"/>
      <c r="E167" s="185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2:28" x14ac:dyDescent="0.3">
      <c r="B168" s="181" t="s">
        <v>285</v>
      </c>
      <c r="C168" s="129"/>
      <c r="D168" s="132"/>
      <c r="E168" s="185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2:28" x14ac:dyDescent="0.3">
      <c r="B169" s="179" t="s">
        <v>146</v>
      </c>
      <c r="C169" s="91" t="s">
        <v>71</v>
      </c>
      <c r="D169" s="126" t="s">
        <v>5</v>
      </c>
      <c r="E169" s="194">
        <f t="shared" ref="E169:E209" si="145">(1-E46)/2</f>
        <v>0.25</v>
      </c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8">
        <f t="shared" ref="P169:AB169" si="146">$E169*P391</f>
        <v>39279.635000000002</v>
      </c>
      <c r="Q169" s="128">
        <f t="shared" si="146"/>
        <v>30585.27</v>
      </c>
      <c r="R169" s="128">
        <f t="shared" si="146"/>
        <v>78131.5</v>
      </c>
      <c r="S169" s="128">
        <f t="shared" si="146"/>
        <v>81545.25</v>
      </c>
      <c r="T169" s="128">
        <f t="shared" si="146"/>
        <v>84399.333749999991</v>
      </c>
      <c r="U169" s="128">
        <f t="shared" si="146"/>
        <v>87353.310431249978</v>
      </c>
      <c r="V169" s="128">
        <f t="shared" si="146"/>
        <v>90410.676296343721</v>
      </c>
      <c r="W169" s="128">
        <f t="shared" si="146"/>
        <v>93575.049966715742</v>
      </c>
      <c r="X169" s="128">
        <f t="shared" si="146"/>
        <v>96850.176715550784</v>
      </c>
      <c r="Y169" s="128">
        <f t="shared" si="146"/>
        <v>100239.93290059506</v>
      </c>
      <c r="Z169" s="128">
        <f t="shared" si="146"/>
        <v>103748.33055211588</v>
      </c>
      <c r="AA169" s="128">
        <f t="shared" si="146"/>
        <v>107379.52212143992</v>
      </c>
      <c r="AB169" s="128">
        <f t="shared" si="146"/>
        <v>111137.8053956903</v>
      </c>
    </row>
    <row r="170" spans="2:28" x14ac:dyDescent="0.3">
      <c r="B170" s="179" t="s">
        <v>147</v>
      </c>
      <c r="C170" s="91" t="s">
        <v>73</v>
      </c>
      <c r="D170" s="126" t="s">
        <v>5</v>
      </c>
      <c r="E170" s="194">
        <f t="shared" si="145"/>
        <v>0.25</v>
      </c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8">
        <f t="shared" ref="P170:AB170" si="147">$E170*P392</f>
        <v>274428.34499999997</v>
      </c>
      <c r="Q170" s="128">
        <f t="shared" si="147"/>
        <v>266126.8</v>
      </c>
      <c r="R170" s="128">
        <f t="shared" si="147"/>
        <v>297851.5</v>
      </c>
      <c r="S170" s="861">
        <f t="shared" si="147"/>
        <v>297040.25</v>
      </c>
      <c r="T170" s="128">
        <f t="shared" si="147"/>
        <v>307436.65875</v>
      </c>
      <c r="U170" s="128">
        <f t="shared" si="147"/>
        <v>318196.94180624996</v>
      </c>
      <c r="V170" s="128">
        <f t="shared" si="147"/>
        <v>329333.8347694687</v>
      </c>
      <c r="W170" s="128">
        <f t="shared" si="147"/>
        <v>340860.5189864001</v>
      </c>
      <c r="X170" s="128">
        <f t="shared" si="147"/>
        <v>352790.63715092407</v>
      </c>
      <c r="Y170" s="128">
        <f t="shared" si="147"/>
        <v>365138.30945120641</v>
      </c>
      <c r="Z170" s="128">
        <f t="shared" si="147"/>
        <v>377918.15028199862</v>
      </c>
      <c r="AA170" s="128">
        <f t="shared" si="147"/>
        <v>391145.28554186854</v>
      </c>
      <c r="AB170" s="128">
        <f t="shared" si="147"/>
        <v>404835.37053583388</v>
      </c>
    </row>
    <row r="171" spans="2:28" x14ac:dyDescent="0.3">
      <c r="B171" s="179" t="s">
        <v>148</v>
      </c>
      <c r="C171" s="91" t="s">
        <v>75</v>
      </c>
      <c r="D171" s="126" t="s">
        <v>5</v>
      </c>
      <c r="E171" s="194">
        <f t="shared" si="145"/>
        <v>0.25</v>
      </c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8">
        <f t="shared" ref="P171:AB171" si="148">$E171*P393</f>
        <v>32154.2925</v>
      </c>
      <c r="Q171" s="128">
        <f t="shared" si="148"/>
        <v>27657.360000000001</v>
      </c>
      <c r="R171" s="128">
        <f t="shared" si="148"/>
        <v>28525.75</v>
      </c>
      <c r="S171" s="128">
        <f t="shared" si="148"/>
        <v>28609</v>
      </c>
      <c r="T171" s="128">
        <f t="shared" si="148"/>
        <v>29610.314999999999</v>
      </c>
      <c r="U171" s="128">
        <f t="shared" si="148"/>
        <v>30646.676024999997</v>
      </c>
      <c r="V171" s="128">
        <f t="shared" si="148"/>
        <v>31719.309685874996</v>
      </c>
      <c r="W171" s="128">
        <f t="shared" si="148"/>
        <v>32829.48552488062</v>
      </c>
      <c r="X171" s="128">
        <f t="shared" si="148"/>
        <v>33978.517518251436</v>
      </c>
      <c r="Y171" s="128">
        <f t="shared" si="148"/>
        <v>35167.765631390233</v>
      </c>
      <c r="Z171" s="128">
        <f t="shared" si="148"/>
        <v>36398.637428488888</v>
      </c>
      <c r="AA171" s="128">
        <f t="shared" si="148"/>
        <v>37672.589738485993</v>
      </c>
      <c r="AB171" s="128">
        <f t="shared" si="148"/>
        <v>38991.130379333001</v>
      </c>
    </row>
    <row r="172" spans="2:28" x14ac:dyDescent="0.3">
      <c r="B172" s="179" t="s">
        <v>149</v>
      </c>
      <c r="C172" s="91" t="s">
        <v>77</v>
      </c>
      <c r="D172" s="126" t="s">
        <v>5</v>
      </c>
      <c r="E172" s="194">
        <f t="shared" si="145"/>
        <v>0.25</v>
      </c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8">
        <f t="shared" ref="P172:AB172" si="149">$E172*P394</f>
        <v>20529.509999999998</v>
      </c>
      <c r="Q172" s="128">
        <f t="shared" si="149"/>
        <v>29857.192500000001</v>
      </c>
      <c r="R172" s="128">
        <f t="shared" si="149"/>
        <v>17500</v>
      </c>
      <c r="S172" s="128">
        <f t="shared" si="149"/>
        <v>17500</v>
      </c>
      <c r="T172" s="128">
        <f t="shared" si="149"/>
        <v>18112.5</v>
      </c>
      <c r="U172" s="128">
        <f t="shared" si="149"/>
        <v>18746.4375</v>
      </c>
      <c r="V172" s="128">
        <f t="shared" si="149"/>
        <v>19402.5628125</v>
      </c>
      <c r="W172" s="128">
        <f t="shared" si="149"/>
        <v>20081.6525109375</v>
      </c>
      <c r="X172" s="128">
        <f t="shared" si="149"/>
        <v>20784.510348820309</v>
      </c>
      <c r="Y172" s="128">
        <f t="shared" si="149"/>
        <v>21511.96821102902</v>
      </c>
      <c r="Z172" s="128">
        <f t="shared" si="149"/>
        <v>22264.887098415034</v>
      </c>
      <c r="AA172" s="128">
        <f t="shared" si="149"/>
        <v>23044.158146859558</v>
      </c>
      <c r="AB172" s="128">
        <f t="shared" si="149"/>
        <v>23850.703681999639</v>
      </c>
    </row>
    <row r="173" spans="2:28" x14ac:dyDescent="0.3">
      <c r="B173" s="179" t="s">
        <v>150</v>
      </c>
      <c r="C173" s="91" t="s">
        <v>79</v>
      </c>
      <c r="D173" s="126" t="s">
        <v>5</v>
      </c>
      <c r="E173" s="194">
        <f t="shared" si="145"/>
        <v>0.25</v>
      </c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8">
        <f t="shared" ref="P173:AB173" si="150">$E173*P395</f>
        <v>4325</v>
      </c>
      <c r="Q173" s="128">
        <f t="shared" si="150"/>
        <v>4350</v>
      </c>
      <c r="R173" s="128">
        <f t="shared" si="150"/>
        <v>4725</v>
      </c>
      <c r="S173" s="128">
        <f t="shared" si="150"/>
        <v>4600</v>
      </c>
      <c r="T173" s="128">
        <f t="shared" si="150"/>
        <v>4761</v>
      </c>
      <c r="U173" s="128">
        <f t="shared" si="150"/>
        <v>4927.6349999999993</v>
      </c>
      <c r="V173" s="128">
        <f t="shared" si="150"/>
        <v>5100.1022249999987</v>
      </c>
      <c r="W173" s="128">
        <f t="shared" si="150"/>
        <v>5278.6058028749985</v>
      </c>
      <c r="X173" s="128">
        <f t="shared" si="150"/>
        <v>5463.357005975623</v>
      </c>
      <c r="Y173" s="128">
        <f t="shared" si="150"/>
        <v>5654.5745011847694</v>
      </c>
      <c r="Z173" s="128">
        <f t="shared" si="150"/>
        <v>5852.4846087262358</v>
      </c>
      <c r="AA173" s="128">
        <f t="shared" si="150"/>
        <v>6057.3215700316532</v>
      </c>
      <c r="AB173" s="128">
        <f t="shared" si="150"/>
        <v>6269.3278249827608</v>
      </c>
    </row>
    <row r="174" spans="2:28" x14ac:dyDescent="0.3">
      <c r="B174" s="179" t="s">
        <v>151</v>
      </c>
      <c r="C174" s="91" t="s">
        <v>83</v>
      </c>
      <c r="D174" s="126" t="s">
        <v>5</v>
      </c>
      <c r="E174" s="194">
        <f t="shared" si="145"/>
        <v>0.25</v>
      </c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8">
        <f t="shared" ref="P174:AB174" si="151">$E174*P396</f>
        <v>22357.56</v>
      </c>
      <c r="Q174" s="128">
        <f t="shared" si="151"/>
        <v>21638.645</v>
      </c>
      <c r="R174" s="128">
        <f t="shared" si="151"/>
        <v>25839</v>
      </c>
      <c r="S174" s="128">
        <f t="shared" si="151"/>
        <v>26086.75</v>
      </c>
      <c r="T174" s="128">
        <f t="shared" si="151"/>
        <v>26999.786249999997</v>
      </c>
      <c r="U174" s="128">
        <f t="shared" si="151"/>
        <v>27944.778768749995</v>
      </c>
      <c r="V174" s="128">
        <f t="shared" si="151"/>
        <v>28922.846025656243</v>
      </c>
      <c r="W174" s="128">
        <f t="shared" si="151"/>
        <v>29935.145636554211</v>
      </c>
      <c r="X174" s="128">
        <f t="shared" si="151"/>
        <v>30982.875733833607</v>
      </c>
      <c r="Y174" s="128">
        <f t="shared" si="151"/>
        <v>32067.27638451778</v>
      </c>
      <c r="Z174" s="128">
        <f t="shared" si="151"/>
        <v>33189.631057975901</v>
      </c>
      <c r="AA174" s="128">
        <f t="shared" si="151"/>
        <v>34351.268145005051</v>
      </c>
      <c r="AB174" s="128">
        <f t="shared" si="151"/>
        <v>35553.562530080228</v>
      </c>
    </row>
    <row r="175" spans="2:28" x14ac:dyDescent="0.3">
      <c r="B175" s="179" t="s">
        <v>152</v>
      </c>
      <c r="C175" s="91" t="s">
        <v>85</v>
      </c>
      <c r="D175" s="126" t="s">
        <v>5</v>
      </c>
      <c r="E175" s="194">
        <f t="shared" si="145"/>
        <v>0.25</v>
      </c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8">
        <f t="shared" ref="P175:AB175" si="152">$E175*P397</f>
        <v>46411.702499999999</v>
      </c>
      <c r="Q175" s="128">
        <f t="shared" si="152"/>
        <v>47357.477500000001</v>
      </c>
      <c r="R175" s="128">
        <f t="shared" si="152"/>
        <v>49999</v>
      </c>
      <c r="S175" s="128">
        <f t="shared" si="152"/>
        <v>49231.75</v>
      </c>
      <c r="T175" s="128">
        <f t="shared" si="152"/>
        <v>50954.861249999994</v>
      </c>
      <c r="U175" s="128">
        <f t="shared" si="152"/>
        <v>52738.281393749989</v>
      </c>
      <c r="V175" s="128">
        <f t="shared" si="152"/>
        <v>54584.121242531233</v>
      </c>
      <c r="W175" s="128">
        <f t="shared" si="152"/>
        <v>56494.565486019819</v>
      </c>
      <c r="X175" s="128">
        <f t="shared" si="152"/>
        <v>58471.875278030508</v>
      </c>
      <c r="Y175" s="128">
        <f t="shared" si="152"/>
        <v>60518.39091276157</v>
      </c>
      <c r="Z175" s="128">
        <f t="shared" si="152"/>
        <v>62636.534594708217</v>
      </c>
      <c r="AA175" s="128">
        <f t="shared" si="152"/>
        <v>64828.813305522999</v>
      </c>
      <c r="AB175" s="128">
        <f t="shared" si="152"/>
        <v>67097.821771216302</v>
      </c>
    </row>
    <row r="176" spans="2:28" x14ac:dyDescent="0.3">
      <c r="B176" s="179" t="s">
        <v>153</v>
      </c>
      <c r="C176" s="91" t="s">
        <v>87</v>
      </c>
      <c r="D176" s="126" t="s">
        <v>6</v>
      </c>
      <c r="E176" s="194">
        <f t="shared" si="145"/>
        <v>0.25</v>
      </c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8">
        <f t="shared" ref="P176:AB176" si="153">$E176*P398</f>
        <v>101884.77250000001</v>
      </c>
      <c r="Q176" s="128">
        <f t="shared" si="153"/>
        <v>100545.9175</v>
      </c>
      <c r="R176" s="128">
        <f t="shared" si="153"/>
        <v>107446.5</v>
      </c>
      <c r="S176" s="128">
        <f t="shared" si="153"/>
        <v>104208</v>
      </c>
      <c r="T176" s="128">
        <f t="shared" si="153"/>
        <v>110460.48000000001</v>
      </c>
      <c r="U176" s="128">
        <f t="shared" si="153"/>
        <v>117088.10880000002</v>
      </c>
      <c r="V176" s="128">
        <f t="shared" si="153"/>
        <v>124113.39532800003</v>
      </c>
      <c r="W176" s="128">
        <f t="shared" si="153"/>
        <v>131560.19904768004</v>
      </c>
      <c r="X176" s="128">
        <f t="shared" si="153"/>
        <v>139453.81099054086</v>
      </c>
      <c r="Y176" s="128">
        <f t="shared" si="153"/>
        <v>147821.03964997333</v>
      </c>
      <c r="Z176" s="128">
        <f t="shared" si="153"/>
        <v>156690.30202897175</v>
      </c>
      <c r="AA176" s="128">
        <f t="shared" si="153"/>
        <v>166091.72015071005</v>
      </c>
      <c r="AB176" s="128">
        <f t="shared" si="153"/>
        <v>176057.22335975268</v>
      </c>
    </row>
    <row r="177" spans="2:28" x14ac:dyDescent="0.3">
      <c r="B177" s="179" t="s">
        <v>154</v>
      </c>
      <c r="C177" s="91" t="s">
        <v>89</v>
      </c>
      <c r="D177" s="126" t="s">
        <v>6</v>
      </c>
      <c r="E177" s="194">
        <f t="shared" si="145"/>
        <v>0.25</v>
      </c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8">
        <f t="shared" ref="P177:AB177" si="154">$E177*P399</f>
        <v>111089.38259966775</v>
      </c>
      <c r="Q177" s="128">
        <f t="shared" si="154"/>
        <v>5060.7974999999997</v>
      </c>
      <c r="R177" s="128">
        <f t="shared" si="154"/>
        <v>6042</v>
      </c>
      <c r="S177" s="128">
        <f t="shared" si="154"/>
        <v>6100.25</v>
      </c>
      <c r="T177" s="128">
        <f t="shared" si="154"/>
        <v>6466.2650000000003</v>
      </c>
      <c r="U177" s="128">
        <f t="shared" si="154"/>
        <v>6854.2409000000007</v>
      </c>
      <c r="V177" s="128">
        <f t="shared" si="154"/>
        <v>7265.4953540000015</v>
      </c>
      <c r="W177" s="128">
        <f t="shared" si="154"/>
        <v>7701.4250752400021</v>
      </c>
      <c r="X177" s="128">
        <f t="shared" si="154"/>
        <v>8163.5105797544029</v>
      </c>
      <c r="Y177" s="128">
        <f t="shared" si="154"/>
        <v>8653.3212145396683</v>
      </c>
      <c r="Z177" s="128">
        <f t="shared" si="154"/>
        <v>9172.5204874120482</v>
      </c>
      <c r="AA177" s="128">
        <f t="shared" si="154"/>
        <v>9722.8717166567712</v>
      </c>
      <c r="AB177" s="128">
        <f t="shared" si="154"/>
        <v>10306.244019656178</v>
      </c>
    </row>
    <row r="178" spans="2:28" x14ac:dyDescent="0.3">
      <c r="B178" s="179" t="s">
        <v>155</v>
      </c>
      <c r="C178" s="91" t="s">
        <v>91</v>
      </c>
      <c r="D178" s="126" t="s">
        <v>5</v>
      </c>
      <c r="E178" s="194">
        <f t="shared" si="145"/>
        <v>0.25</v>
      </c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8">
        <f t="shared" ref="P178:AB178" si="155">$E178*P400</f>
        <v>111989.36125641799</v>
      </c>
      <c r="Q178" s="128">
        <f t="shared" si="155"/>
        <v>650.4</v>
      </c>
      <c r="R178" s="128">
        <f t="shared" si="155"/>
        <v>3875</v>
      </c>
      <c r="S178" s="128">
        <f t="shared" si="155"/>
        <v>3825</v>
      </c>
      <c r="T178" s="128">
        <f t="shared" si="155"/>
        <v>3958.8749999999995</v>
      </c>
      <c r="U178" s="128">
        <f t="shared" si="155"/>
        <v>4097.4356249999992</v>
      </c>
      <c r="V178" s="128">
        <f t="shared" si="155"/>
        <v>4240.8458718749989</v>
      </c>
      <c r="W178" s="128">
        <f t="shared" si="155"/>
        <v>4389.2754773906236</v>
      </c>
      <c r="X178" s="128">
        <f t="shared" si="155"/>
        <v>4542.9001190992949</v>
      </c>
      <c r="Y178" s="128">
        <f t="shared" si="155"/>
        <v>4701.9016232677695</v>
      </c>
      <c r="Z178" s="128">
        <f t="shared" si="155"/>
        <v>4866.4681800821409</v>
      </c>
      <c r="AA178" s="128">
        <f t="shared" si="155"/>
        <v>5036.7945663850151</v>
      </c>
      <c r="AB178" s="128">
        <f t="shared" si="155"/>
        <v>5213.0823762084901</v>
      </c>
    </row>
    <row r="179" spans="2:28" x14ac:dyDescent="0.3">
      <c r="B179" s="179" t="s">
        <v>156</v>
      </c>
      <c r="C179" s="91" t="s">
        <v>157</v>
      </c>
      <c r="D179" s="126" t="s">
        <v>5</v>
      </c>
      <c r="E179" s="194">
        <f t="shared" si="145"/>
        <v>0.25</v>
      </c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8">
        <f t="shared" ref="P179:AB179" si="156">$E179*P401</f>
        <v>112889.33991316825</v>
      </c>
      <c r="Q179" s="128">
        <f t="shared" si="156"/>
        <v>0</v>
      </c>
      <c r="R179" s="128">
        <f t="shared" si="156"/>
        <v>125</v>
      </c>
      <c r="S179" s="128">
        <f t="shared" si="156"/>
        <v>125</v>
      </c>
      <c r="T179" s="128">
        <f t="shared" si="156"/>
        <v>129.375</v>
      </c>
      <c r="U179" s="128">
        <f t="shared" si="156"/>
        <v>133.90312499999999</v>
      </c>
      <c r="V179" s="128">
        <f t="shared" si="156"/>
        <v>138.58973437499998</v>
      </c>
      <c r="W179" s="128">
        <f t="shared" si="156"/>
        <v>143.44037507812496</v>
      </c>
      <c r="X179" s="128">
        <f t="shared" si="156"/>
        <v>148.46078820585933</v>
      </c>
      <c r="Y179" s="128">
        <f t="shared" si="156"/>
        <v>153.6569157930644</v>
      </c>
      <c r="Z179" s="128">
        <f t="shared" si="156"/>
        <v>159.03490784582164</v>
      </c>
      <c r="AA179" s="128">
        <f t="shared" si="156"/>
        <v>164.60112962042538</v>
      </c>
      <c r="AB179" s="128">
        <f t="shared" si="156"/>
        <v>170.36216915714024</v>
      </c>
    </row>
    <row r="180" spans="2:28" x14ac:dyDescent="0.3">
      <c r="B180" s="179" t="s">
        <v>158</v>
      </c>
      <c r="C180" s="91" t="s">
        <v>159</v>
      </c>
      <c r="D180" s="126" t="s">
        <v>1480</v>
      </c>
      <c r="E180" s="194">
        <f t="shared" si="145"/>
        <v>0.25</v>
      </c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8">
        <f t="shared" ref="P180:AB180" si="157">$E180*P402</f>
        <v>113789.3185699185</v>
      </c>
      <c r="Q180" s="128">
        <f t="shared" si="157"/>
        <v>1010.25</v>
      </c>
      <c r="R180" s="128">
        <f t="shared" si="157"/>
        <v>1306.25</v>
      </c>
      <c r="S180" s="128">
        <f t="shared" si="157"/>
        <v>1321.25</v>
      </c>
      <c r="T180" s="128">
        <f t="shared" si="157"/>
        <v>1349.5945504322742</v>
      </c>
      <c r="U180" s="128">
        <f t="shared" si="157"/>
        <v>1378.547171660543</v>
      </c>
      <c r="V180" s="128">
        <f t="shared" si="157"/>
        <v>1408.120908523666</v>
      </c>
      <c r="W180" s="128">
        <f t="shared" si="157"/>
        <v>1438.3290857092015</v>
      </c>
      <c r="X180" s="128">
        <f t="shared" si="157"/>
        <v>1469.1853137569528</v>
      </c>
      <c r="Y180" s="128">
        <f t="shared" si="157"/>
        <v>1500.7034951913072</v>
      </c>
      <c r="Z180" s="128">
        <f t="shared" si="157"/>
        <v>1532.8978307851314</v>
      </c>
      <c r="AA180" s="128">
        <f t="shared" si="157"/>
        <v>1565.7828259580456</v>
      </c>
      <c r="AB180" s="128">
        <f t="shared" si="157"/>
        <v>1599.3732973119579</v>
      </c>
    </row>
    <row r="181" spans="2:28" x14ac:dyDescent="0.3">
      <c r="B181" s="179" t="s">
        <v>160</v>
      </c>
      <c r="C181" s="91" t="s">
        <v>93</v>
      </c>
      <c r="D181" s="126" t="s">
        <v>1480</v>
      </c>
      <c r="E181" s="194">
        <f t="shared" si="145"/>
        <v>0.25</v>
      </c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8">
        <f t="shared" ref="P181:AB181" si="158">$E181*P403</f>
        <v>95.5</v>
      </c>
      <c r="Q181" s="128">
        <f t="shared" si="158"/>
        <v>194.83250000000001</v>
      </c>
      <c r="R181" s="128">
        <f t="shared" si="158"/>
        <v>400</v>
      </c>
      <c r="S181" s="128">
        <f t="shared" si="158"/>
        <v>250</v>
      </c>
      <c r="T181" s="128">
        <f t="shared" si="158"/>
        <v>255.36320727195348</v>
      </c>
      <c r="U181" s="128">
        <f t="shared" si="158"/>
        <v>260.84147051287471</v>
      </c>
      <c r="V181" s="128">
        <f t="shared" si="158"/>
        <v>266.4372579988015</v>
      </c>
      <c r="W181" s="128">
        <f t="shared" si="158"/>
        <v>272.15309095727559</v>
      </c>
      <c r="X181" s="128">
        <f t="shared" si="158"/>
        <v>277.99154470330234</v>
      </c>
      <c r="Y181" s="128">
        <f t="shared" si="158"/>
        <v>283.95524979967968</v>
      </c>
      <c r="Z181" s="128">
        <f t="shared" si="158"/>
        <v>290.04689324221971</v>
      </c>
      <c r="AA181" s="128">
        <f t="shared" si="158"/>
        <v>296.26921967039647</v>
      </c>
      <c r="AB181" s="128">
        <f t="shared" si="158"/>
        <v>302.62503260396551</v>
      </c>
    </row>
    <row r="182" spans="2:28" x14ac:dyDescent="0.3">
      <c r="B182" s="179" t="s">
        <v>161</v>
      </c>
      <c r="C182" s="91" t="s">
        <v>162</v>
      </c>
      <c r="D182" s="126" t="s">
        <v>7</v>
      </c>
      <c r="E182" s="194">
        <f t="shared" si="145"/>
        <v>0.25</v>
      </c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8">
        <f t="shared" ref="P182:AB182" si="159">$E182*P404</f>
        <v>31.5</v>
      </c>
      <c r="Q182" s="128">
        <f t="shared" si="159"/>
        <v>8.7375000000000007</v>
      </c>
      <c r="R182" s="128">
        <f t="shared" si="159"/>
        <v>175</v>
      </c>
      <c r="S182" s="128">
        <f t="shared" si="159"/>
        <v>325</v>
      </c>
      <c r="T182" s="128">
        <f t="shared" si="159"/>
        <v>334.75</v>
      </c>
      <c r="U182" s="128">
        <f t="shared" si="159"/>
        <v>344.79250000000002</v>
      </c>
      <c r="V182" s="128">
        <f t="shared" si="159"/>
        <v>355.13627500000001</v>
      </c>
      <c r="W182" s="128">
        <f t="shared" si="159"/>
        <v>365.79036325000004</v>
      </c>
      <c r="X182" s="128">
        <f t="shared" si="159"/>
        <v>376.76407414750003</v>
      </c>
      <c r="Y182" s="128">
        <f t="shared" si="159"/>
        <v>388.06699637192503</v>
      </c>
      <c r="Z182" s="128">
        <f t="shared" si="159"/>
        <v>399.70900626308281</v>
      </c>
      <c r="AA182" s="128">
        <f t="shared" si="159"/>
        <v>411.70027645097531</v>
      </c>
      <c r="AB182" s="128">
        <f t="shared" si="159"/>
        <v>424.05128474450458</v>
      </c>
    </row>
    <row r="183" spans="2:28" x14ac:dyDescent="0.3">
      <c r="B183" s="179" t="s">
        <v>163</v>
      </c>
      <c r="C183" s="91" t="s">
        <v>95</v>
      </c>
      <c r="D183" s="126" t="s">
        <v>7</v>
      </c>
      <c r="E183" s="194">
        <f t="shared" si="145"/>
        <v>0.25</v>
      </c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8">
        <f t="shared" ref="P183:AB183" si="160">$E183*P405</f>
        <v>733.25</v>
      </c>
      <c r="Q183" s="128">
        <f t="shared" si="160"/>
        <v>720</v>
      </c>
      <c r="R183" s="128">
        <f t="shared" si="160"/>
        <v>757.5</v>
      </c>
      <c r="S183" s="128">
        <f t="shared" si="160"/>
        <v>757.5</v>
      </c>
      <c r="T183" s="128">
        <f t="shared" si="160"/>
        <v>780.22500000000002</v>
      </c>
      <c r="U183" s="128">
        <f t="shared" si="160"/>
        <v>803.63175000000001</v>
      </c>
      <c r="V183" s="128">
        <f t="shared" si="160"/>
        <v>827.7407025</v>
      </c>
      <c r="W183" s="128">
        <f t="shared" si="160"/>
        <v>852.572923575</v>
      </c>
      <c r="X183" s="128">
        <f t="shared" si="160"/>
        <v>878.15011128225001</v>
      </c>
      <c r="Y183" s="128">
        <f t="shared" si="160"/>
        <v>904.49461462071758</v>
      </c>
      <c r="Z183" s="128">
        <f t="shared" si="160"/>
        <v>931.62945305933908</v>
      </c>
      <c r="AA183" s="128">
        <f t="shared" si="160"/>
        <v>959.57833665111923</v>
      </c>
      <c r="AB183" s="128">
        <f t="shared" si="160"/>
        <v>988.3656867506528</v>
      </c>
    </row>
    <row r="184" spans="2:28" x14ac:dyDescent="0.3">
      <c r="B184" s="179" t="s">
        <v>164</v>
      </c>
      <c r="C184" s="91" t="s">
        <v>165</v>
      </c>
      <c r="D184" s="126" t="s">
        <v>7</v>
      </c>
      <c r="E184" s="194">
        <f t="shared" si="145"/>
        <v>0</v>
      </c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8">
        <f t="shared" ref="P184:AB184" si="161">$E184*P406</f>
        <v>0</v>
      </c>
      <c r="Q184" s="128">
        <f t="shared" si="161"/>
        <v>0</v>
      </c>
      <c r="R184" s="128">
        <f t="shared" si="161"/>
        <v>0</v>
      </c>
      <c r="S184" s="128">
        <f t="shared" si="161"/>
        <v>0</v>
      </c>
      <c r="T184" s="128">
        <f t="shared" si="161"/>
        <v>0</v>
      </c>
      <c r="U184" s="128">
        <f t="shared" si="161"/>
        <v>0</v>
      </c>
      <c r="V184" s="128">
        <f t="shared" si="161"/>
        <v>0</v>
      </c>
      <c r="W184" s="128">
        <f t="shared" si="161"/>
        <v>0</v>
      </c>
      <c r="X184" s="128">
        <f t="shared" si="161"/>
        <v>0</v>
      </c>
      <c r="Y184" s="128">
        <f t="shared" si="161"/>
        <v>0</v>
      </c>
      <c r="Z184" s="128">
        <f t="shared" si="161"/>
        <v>0</v>
      </c>
      <c r="AA184" s="128">
        <f t="shared" si="161"/>
        <v>0</v>
      </c>
      <c r="AB184" s="128">
        <f t="shared" si="161"/>
        <v>0</v>
      </c>
    </row>
    <row r="185" spans="2:28" x14ac:dyDescent="0.3">
      <c r="B185" s="179" t="s">
        <v>166</v>
      </c>
      <c r="C185" s="91" t="s">
        <v>105</v>
      </c>
      <c r="D185" s="126" t="s">
        <v>7</v>
      </c>
      <c r="E185" s="194">
        <f t="shared" si="145"/>
        <v>0.25</v>
      </c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8">
        <f t="shared" ref="P185:AB185" si="162">$E185*P407</f>
        <v>3126.1125000000002</v>
      </c>
      <c r="Q185" s="128">
        <f t="shared" si="162"/>
        <v>2462.0625</v>
      </c>
      <c r="R185" s="128">
        <f t="shared" si="162"/>
        <v>2700</v>
      </c>
      <c r="S185" s="128">
        <f t="shared" si="162"/>
        <v>3300</v>
      </c>
      <c r="T185" s="128">
        <f t="shared" si="162"/>
        <v>3399</v>
      </c>
      <c r="U185" s="128">
        <f t="shared" si="162"/>
        <v>3500.9700000000003</v>
      </c>
      <c r="V185" s="128">
        <f t="shared" si="162"/>
        <v>3605.9991000000005</v>
      </c>
      <c r="W185" s="128">
        <f t="shared" si="162"/>
        <v>3714.1790730000007</v>
      </c>
      <c r="X185" s="128">
        <f t="shared" si="162"/>
        <v>3825.6044451900007</v>
      </c>
      <c r="Y185" s="128">
        <f t="shared" si="162"/>
        <v>3940.3725785457009</v>
      </c>
      <c r="Z185" s="128">
        <f t="shared" si="162"/>
        <v>4058.583755902072</v>
      </c>
      <c r="AA185" s="128">
        <f t="shared" si="162"/>
        <v>4180.3412685791345</v>
      </c>
      <c r="AB185" s="128">
        <f t="shared" si="162"/>
        <v>4305.7515066365086</v>
      </c>
    </row>
    <row r="186" spans="2:28" x14ac:dyDescent="0.3">
      <c r="B186" s="179" t="s">
        <v>167</v>
      </c>
      <c r="C186" s="91" t="s">
        <v>107</v>
      </c>
      <c r="D186" s="126" t="s">
        <v>1480</v>
      </c>
      <c r="E186" s="194">
        <f t="shared" si="145"/>
        <v>0.25</v>
      </c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8">
        <f t="shared" ref="P186:AB186" si="163">$E186*P408</f>
        <v>1336.84</v>
      </c>
      <c r="Q186" s="128">
        <f t="shared" si="163"/>
        <v>1678.2525000000001</v>
      </c>
      <c r="R186" s="128">
        <f t="shared" si="163"/>
        <v>3235.75</v>
      </c>
      <c r="S186" s="128">
        <f t="shared" si="163"/>
        <v>2687.5</v>
      </c>
      <c r="T186" s="128">
        <f t="shared" si="163"/>
        <v>2745.1544781735001</v>
      </c>
      <c r="U186" s="128">
        <f t="shared" si="163"/>
        <v>2804.0458080134035</v>
      </c>
      <c r="V186" s="128">
        <f t="shared" si="163"/>
        <v>2864.2005234871162</v>
      </c>
      <c r="W186" s="128">
        <f t="shared" si="163"/>
        <v>2925.6457277907125</v>
      </c>
      <c r="X186" s="128">
        <f t="shared" si="163"/>
        <v>2988.4091055604999</v>
      </c>
      <c r="Y186" s="128">
        <f t="shared" si="163"/>
        <v>3052.5189353465562</v>
      </c>
      <c r="Z186" s="128">
        <f t="shared" si="163"/>
        <v>3118.004102353862</v>
      </c>
      <c r="AA186" s="128">
        <f t="shared" si="163"/>
        <v>3184.8941114567624</v>
      </c>
      <c r="AB186" s="128">
        <f t="shared" si="163"/>
        <v>3253.2191004926294</v>
      </c>
    </row>
    <row r="187" spans="2:28" x14ac:dyDescent="0.3">
      <c r="B187" s="179" t="s">
        <v>168</v>
      </c>
      <c r="C187" s="91" t="s">
        <v>112</v>
      </c>
      <c r="D187" s="126" t="s">
        <v>1480</v>
      </c>
      <c r="E187" s="194">
        <f t="shared" si="145"/>
        <v>0.25</v>
      </c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8">
        <f t="shared" ref="P187:AB187" si="164">$E187*P409</f>
        <v>83.022499999999994</v>
      </c>
      <c r="Q187" s="128">
        <f t="shared" si="164"/>
        <v>14.4625</v>
      </c>
      <c r="R187" s="128">
        <f t="shared" si="164"/>
        <v>352.5</v>
      </c>
      <c r="S187" s="128">
        <f t="shared" si="164"/>
        <v>265</v>
      </c>
      <c r="T187" s="128">
        <f t="shared" si="164"/>
        <v>270.68499970827071</v>
      </c>
      <c r="U187" s="128">
        <f t="shared" si="164"/>
        <v>276.49195874364722</v>
      </c>
      <c r="V187" s="128">
        <f t="shared" si="164"/>
        <v>282.4234934787296</v>
      </c>
      <c r="W187" s="128">
        <f t="shared" si="164"/>
        <v>288.48227641471215</v>
      </c>
      <c r="X187" s="128">
        <f t="shared" si="164"/>
        <v>294.67103738550048</v>
      </c>
      <c r="Y187" s="128">
        <f t="shared" si="164"/>
        <v>300.99256478766046</v>
      </c>
      <c r="Z187" s="128">
        <f t="shared" si="164"/>
        <v>307.44970683675291</v>
      </c>
      <c r="AA187" s="128">
        <f t="shared" si="164"/>
        <v>314.04537285062031</v>
      </c>
      <c r="AB187" s="128">
        <f t="shared" si="164"/>
        <v>320.78253456020349</v>
      </c>
    </row>
    <row r="188" spans="2:28" x14ac:dyDescent="0.3">
      <c r="B188" s="179" t="s">
        <v>169</v>
      </c>
      <c r="C188" s="91" t="s">
        <v>170</v>
      </c>
      <c r="D188" s="126" t="s">
        <v>1480</v>
      </c>
      <c r="E188" s="194">
        <f t="shared" si="145"/>
        <v>0.25</v>
      </c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8">
        <f t="shared" ref="P188:AB188" si="165">$E188*P410</f>
        <v>360.09750000000003</v>
      </c>
      <c r="Q188" s="128">
        <f t="shared" si="165"/>
        <v>494.95499999999998</v>
      </c>
      <c r="R188" s="128">
        <f t="shared" si="165"/>
        <v>400</v>
      </c>
      <c r="S188" s="128">
        <f t="shared" si="165"/>
        <v>400</v>
      </c>
      <c r="T188" s="128">
        <f t="shared" si="165"/>
        <v>408.58113163512559</v>
      </c>
      <c r="U188" s="128">
        <f t="shared" si="165"/>
        <v>417.34635282059958</v>
      </c>
      <c r="V188" s="128">
        <f t="shared" si="165"/>
        <v>426.29961279808242</v>
      </c>
      <c r="W188" s="128">
        <f t="shared" si="165"/>
        <v>435.44494553164094</v>
      </c>
      <c r="X188" s="128">
        <f t="shared" si="165"/>
        <v>444.78647152528373</v>
      </c>
      <c r="Y188" s="128">
        <f t="shared" si="165"/>
        <v>454.32839967948746</v>
      </c>
      <c r="Z188" s="128">
        <f t="shared" si="165"/>
        <v>464.07502918755154</v>
      </c>
      <c r="AA188" s="128">
        <f t="shared" si="165"/>
        <v>474.03075147263439</v>
      </c>
      <c r="AB188" s="128">
        <f t="shared" si="165"/>
        <v>484.20005216634485</v>
      </c>
    </row>
    <row r="189" spans="2:28" x14ac:dyDescent="0.3">
      <c r="B189" s="179" t="s">
        <v>171</v>
      </c>
      <c r="C189" s="91" t="s">
        <v>116</v>
      </c>
      <c r="D189" s="126" t="s">
        <v>1480</v>
      </c>
      <c r="E189" s="194">
        <f t="shared" si="145"/>
        <v>0.25</v>
      </c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8">
        <f t="shared" ref="P189:AB189" si="166">$E189*P411</f>
        <v>95.265000000000001</v>
      </c>
      <c r="Q189" s="128">
        <f t="shared" si="166"/>
        <v>78.795000000000002</v>
      </c>
      <c r="R189" s="128">
        <f t="shared" si="166"/>
        <v>375</v>
      </c>
      <c r="S189" s="128">
        <f t="shared" si="166"/>
        <v>250</v>
      </c>
      <c r="T189" s="128">
        <f t="shared" si="166"/>
        <v>255.36320727195348</v>
      </c>
      <c r="U189" s="128">
        <f t="shared" si="166"/>
        <v>260.84147051287471</v>
      </c>
      <c r="V189" s="128">
        <f t="shared" si="166"/>
        <v>266.4372579988015</v>
      </c>
      <c r="W189" s="128">
        <f t="shared" si="166"/>
        <v>272.15309095727559</v>
      </c>
      <c r="X189" s="128">
        <f t="shared" si="166"/>
        <v>277.99154470330234</v>
      </c>
      <c r="Y189" s="128">
        <f t="shared" si="166"/>
        <v>283.95524979967968</v>
      </c>
      <c r="Z189" s="128">
        <f t="shared" si="166"/>
        <v>290.04689324221971</v>
      </c>
      <c r="AA189" s="128">
        <f t="shared" si="166"/>
        <v>296.26921967039647</v>
      </c>
      <c r="AB189" s="128">
        <f t="shared" si="166"/>
        <v>302.62503260396551</v>
      </c>
    </row>
    <row r="190" spans="2:28" x14ac:dyDescent="0.3">
      <c r="B190" s="179" t="s">
        <v>172</v>
      </c>
      <c r="C190" s="91" t="s">
        <v>173</v>
      </c>
      <c r="D190" s="126" t="s">
        <v>7</v>
      </c>
      <c r="E190" s="194">
        <f t="shared" si="145"/>
        <v>0.25</v>
      </c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8">
        <f t="shared" ref="P190:AB190" si="167">$E190*P412</f>
        <v>31596.75</v>
      </c>
      <c r="Q190" s="128">
        <f t="shared" si="167"/>
        <v>31937.01</v>
      </c>
      <c r="R190" s="128">
        <f t="shared" si="167"/>
        <v>34916.25</v>
      </c>
      <c r="S190" s="128">
        <f t="shared" si="167"/>
        <v>36306.5</v>
      </c>
      <c r="T190" s="128">
        <f t="shared" si="167"/>
        <v>37395.695</v>
      </c>
      <c r="U190" s="128">
        <f t="shared" si="167"/>
        <v>38517.565849999999</v>
      </c>
      <c r="V190" s="128">
        <f t="shared" si="167"/>
        <v>39673.092825500004</v>
      </c>
      <c r="W190" s="128">
        <f t="shared" si="167"/>
        <v>40863.285610265004</v>
      </c>
      <c r="X190" s="128">
        <f t="shared" si="167"/>
        <v>42089.184178572956</v>
      </c>
      <c r="Y190" s="128">
        <f t="shared" si="167"/>
        <v>43351.859703930146</v>
      </c>
      <c r="Z190" s="128">
        <f t="shared" si="167"/>
        <v>44652.415495048052</v>
      </c>
      <c r="AA190" s="128">
        <f t="shared" si="167"/>
        <v>45991.987959899496</v>
      </c>
      <c r="AB190" s="128">
        <f t="shared" si="167"/>
        <v>47371.747598696478</v>
      </c>
    </row>
    <row r="191" spans="2:28" x14ac:dyDescent="0.3">
      <c r="B191" s="179" t="s">
        <v>2014</v>
      </c>
      <c r="C191" s="91" t="s">
        <v>2015</v>
      </c>
      <c r="D191" s="126" t="s">
        <v>1480</v>
      </c>
      <c r="E191" s="194">
        <f t="shared" si="145"/>
        <v>0.25</v>
      </c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8">
        <f t="shared" ref="P191:AB191" si="168">$E191*P413</f>
        <v>0</v>
      </c>
      <c r="Q191" s="128">
        <f t="shared" si="168"/>
        <v>0</v>
      </c>
      <c r="R191" s="128">
        <f t="shared" si="168"/>
        <v>0</v>
      </c>
      <c r="S191" s="128">
        <f t="shared" si="168"/>
        <v>110.75</v>
      </c>
      <c r="T191" s="128">
        <f t="shared" si="168"/>
        <v>113.1259008214754</v>
      </c>
      <c r="U191" s="128">
        <f t="shared" si="168"/>
        <v>115.5527714372035</v>
      </c>
      <c r="V191" s="128">
        <f t="shared" si="168"/>
        <v>118.03170529346906</v>
      </c>
      <c r="W191" s="128">
        <f t="shared" si="168"/>
        <v>120.56381929407308</v>
      </c>
      <c r="X191" s="128">
        <f t="shared" si="168"/>
        <v>123.15025430356293</v>
      </c>
      <c r="Y191" s="128">
        <f t="shared" si="168"/>
        <v>125.7921756612581</v>
      </c>
      <c r="Z191" s="128">
        <f t="shared" si="168"/>
        <v>128.49077370630334</v>
      </c>
      <c r="AA191" s="128">
        <f t="shared" si="168"/>
        <v>131.24726431398565</v>
      </c>
      <c r="AB191" s="128">
        <f t="shared" si="168"/>
        <v>134.06288944355674</v>
      </c>
    </row>
    <row r="192" spans="2:28" x14ac:dyDescent="0.3">
      <c r="B192" s="179" t="s">
        <v>174</v>
      </c>
      <c r="C192" s="91" t="s">
        <v>175</v>
      </c>
      <c r="D192" s="126" t="s">
        <v>1480</v>
      </c>
      <c r="E192" s="194">
        <f t="shared" si="145"/>
        <v>0.25</v>
      </c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8">
        <f t="shared" ref="P192:AB192" si="169">$E192*P414</f>
        <v>1318.38</v>
      </c>
      <c r="Q192" s="128">
        <f t="shared" si="169"/>
        <v>1032.145</v>
      </c>
      <c r="R192" s="128">
        <f t="shared" si="169"/>
        <v>1250</v>
      </c>
      <c r="S192" s="128">
        <f t="shared" si="169"/>
        <v>1065</v>
      </c>
      <c r="T192" s="128">
        <f t="shared" si="169"/>
        <v>1087.8472629785219</v>
      </c>
      <c r="U192" s="128">
        <f t="shared" si="169"/>
        <v>1111.1846643848464</v>
      </c>
      <c r="V192" s="128">
        <f t="shared" si="169"/>
        <v>1135.0227190748944</v>
      </c>
      <c r="W192" s="128">
        <f t="shared" si="169"/>
        <v>1159.372167477994</v>
      </c>
      <c r="X192" s="128">
        <f t="shared" si="169"/>
        <v>1184.2439804360679</v>
      </c>
      <c r="Y192" s="128">
        <f t="shared" si="169"/>
        <v>1209.6493641466354</v>
      </c>
      <c r="Z192" s="128">
        <f t="shared" si="169"/>
        <v>1235.599765211856</v>
      </c>
      <c r="AA192" s="128">
        <f t="shared" si="169"/>
        <v>1262.106875795889</v>
      </c>
      <c r="AB192" s="128">
        <f t="shared" si="169"/>
        <v>1289.182638892893</v>
      </c>
    </row>
    <row r="193" spans="2:28" x14ac:dyDescent="0.3">
      <c r="B193" s="179" t="s">
        <v>176</v>
      </c>
      <c r="C193" s="91" t="s">
        <v>177</v>
      </c>
      <c r="D193" s="126" t="s">
        <v>8</v>
      </c>
      <c r="E193" s="194">
        <f t="shared" si="145"/>
        <v>0.25</v>
      </c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8">
        <f t="shared" ref="P193:AB193" si="170">$E193*P415</f>
        <v>0</v>
      </c>
      <c r="Q193" s="128">
        <f t="shared" si="170"/>
        <v>77.162499999999994</v>
      </c>
      <c r="R193" s="128">
        <f t="shared" si="170"/>
        <v>0</v>
      </c>
      <c r="S193" s="128">
        <f t="shared" si="170"/>
        <v>750</v>
      </c>
      <c r="T193" s="128">
        <f t="shared" si="170"/>
        <v>771.63030356348645</v>
      </c>
      <c r="U193" s="128">
        <f t="shared" si="170"/>
        <v>793.88443383663775</v>
      </c>
      <c r="V193" s="128">
        <f t="shared" si="170"/>
        <v>816.78038223425517</v>
      </c>
      <c r="W193" s="128">
        <f t="shared" si="170"/>
        <v>840.33665905082512</v>
      </c>
      <c r="X193" s="128">
        <f t="shared" si="170"/>
        <v>864.57230842521903</v>
      </c>
      <c r="Y193" s="128">
        <f t="shared" si="170"/>
        <v>889.50692373698143</v>
      </c>
      <c r="Z193" s="128">
        <f t="shared" si="170"/>
        <v>915.1606634466533</v>
      </c>
      <c r="AA193" s="128">
        <f t="shared" si="170"/>
        <v>941.55426739293705</v>
      </c>
      <c r="AB193" s="128">
        <f t="shared" si="170"/>
        <v>968.70907355987754</v>
      </c>
    </row>
    <row r="194" spans="2:28" x14ac:dyDescent="0.3">
      <c r="B194" s="179" t="s">
        <v>178</v>
      </c>
      <c r="C194" s="91" t="s">
        <v>122</v>
      </c>
      <c r="D194" s="126" t="s">
        <v>1480</v>
      </c>
      <c r="E194" s="194">
        <f t="shared" si="145"/>
        <v>0.25</v>
      </c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8">
        <f t="shared" ref="P194:AB194" si="171">$E194*P416</f>
        <v>742.77250000000004</v>
      </c>
      <c r="Q194" s="128">
        <f t="shared" si="171"/>
        <v>1140.9925000000001</v>
      </c>
      <c r="R194" s="128">
        <f t="shared" si="171"/>
        <v>3157.25</v>
      </c>
      <c r="S194" s="128">
        <f t="shared" si="171"/>
        <v>1393.5</v>
      </c>
      <c r="T194" s="128">
        <f t="shared" si="171"/>
        <v>1423.3945173338689</v>
      </c>
      <c r="U194" s="128">
        <f t="shared" si="171"/>
        <v>1453.9303566387639</v>
      </c>
      <c r="V194" s="128">
        <f t="shared" si="171"/>
        <v>1485.1212760853198</v>
      </c>
      <c r="W194" s="128">
        <f t="shared" si="171"/>
        <v>1516.9813289958543</v>
      </c>
      <c r="X194" s="128">
        <f t="shared" si="171"/>
        <v>1549.5248701762073</v>
      </c>
      <c r="Y194" s="128">
        <f t="shared" si="171"/>
        <v>1582.7665623834146</v>
      </c>
      <c r="Z194" s="128">
        <f t="shared" si="171"/>
        <v>1616.7213829321329</v>
      </c>
      <c r="AA194" s="128">
        <f t="shared" si="171"/>
        <v>1651.4046304427902</v>
      </c>
      <c r="AB194" s="128">
        <f t="shared" si="171"/>
        <v>1686.831931734504</v>
      </c>
    </row>
    <row r="195" spans="2:28" x14ac:dyDescent="0.3">
      <c r="B195" s="179" t="s">
        <v>179</v>
      </c>
      <c r="C195" s="91" t="s">
        <v>180</v>
      </c>
      <c r="D195" s="126" t="s">
        <v>7</v>
      </c>
      <c r="E195" s="194">
        <f t="shared" si="145"/>
        <v>0.25</v>
      </c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8">
        <f t="shared" ref="P195:AB195" si="172">$E195*P417</f>
        <v>0</v>
      </c>
      <c r="Q195" s="128">
        <f t="shared" si="172"/>
        <v>681.505</v>
      </c>
      <c r="R195" s="128">
        <f t="shared" si="172"/>
        <v>850</v>
      </c>
      <c r="S195" s="128">
        <f t="shared" si="172"/>
        <v>1650</v>
      </c>
      <c r="T195" s="128">
        <f t="shared" si="172"/>
        <v>1699.5</v>
      </c>
      <c r="U195" s="128">
        <f t="shared" si="172"/>
        <v>1750.4850000000001</v>
      </c>
      <c r="V195" s="128">
        <f t="shared" si="172"/>
        <v>1802.9995500000002</v>
      </c>
      <c r="W195" s="128">
        <f t="shared" si="172"/>
        <v>1857.0895365000003</v>
      </c>
      <c r="X195" s="128">
        <f t="shared" si="172"/>
        <v>1912.8022225950003</v>
      </c>
      <c r="Y195" s="128">
        <f t="shared" si="172"/>
        <v>1970.1862892728504</v>
      </c>
      <c r="Z195" s="128">
        <f t="shared" si="172"/>
        <v>2029.291877951036</v>
      </c>
      <c r="AA195" s="128">
        <f t="shared" si="172"/>
        <v>2090.1706342895673</v>
      </c>
      <c r="AB195" s="128">
        <f t="shared" si="172"/>
        <v>2152.8757533182543</v>
      </c>
    </row>
    <row r="196" spans="2:28" x14ac:dyDescent="0.3">
      <c r="B196" s="179" t="s">
        <v>181</v>
      </c>
      <c r="C196" s="91" t="s">
        <v>182</v>
      </c>
      <c r="D196" s="126" t="s">
        <v>7</v>
      </c>
      <c r="E196" s="194">
        <f t="shared" si="145"/>
        <v>0.25</v>
      </c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8">
        <f t="shared" ref="P196:AB196" si="173">$E196*P418</f>
        <v>1238.5975000000001</v>
      </c>
      <c r="Q196" s="128">
        <f t="shared" si="173"/>
        <v>54.607500000000002</v>
      </c>
      <c r="R196" s="128">
        <f t="shared" si="173"/>
        <v>1625</v>
      </c>
      <c r="S196" s="128">
        <f t="shared" si="173"/>
        <v>75</v>
      </c>
      <c r="T196" s="128">
        <f t="shared" si="173"/>
        <v>77.25</v>
      </c>
      <c r="U196" s="128">
        <f t="shared" si="173"/>
        <v>79.567499999999995</v>
      </c>
      <c r="V196" s="128">
        <f t="shared" si="173"/>
        <v>81.954525000000004</v>
      </c>
      <c r="W196" s="128">
        <f t="shared" si="173"/>
        <v>84.413160750000003</v>
      </c>
      <c r="X196" s="128">
        <f t="shared" si="173"/>
        <v>86.945555572499998</v>
      </c>
      <c r="Y196" s="128">
        <f t="shared" si="173"/>
        <v>89.553922239675003</v>
      </c>
      <c r="Z196" s="128">
        <f t="shared" si="173"/>
        <v>92.240539906865251</v>
      </c>
      <c r="AA196" s="128">
        <f t="shared" si="173"/>
        <v>95.007756104071206</v>
      </c>
      <c r="AB196" s="128">
        <f t="shared" si="173"/>
        <v>97.857988787193349</v>
      </c>
    </row>
    <row r="197" spans="2:28" x14ac:dyDescent="0.3">
      <c r="B197" s="179" t="s">
        <v>183</v>
      </c>
      <c r="C197" s="91" t="s">
        <v>184</v>
      </c>
      <c r="D197" s="126" t="s">
        <v>1480</v>
      </c>
      <c r="E197" s="194">
        <f t="shared" si="145"/>
        <v>0.25</v>
      </c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8">
        <f t="shared" ref="P197:AB197" si="174">$E197*P419</f>
        <v>0</v>
      </c>
      <c r="Q197" s="128">
        <f t="shared" si="174"/>
        <v>0</v>
      </c>
      <c r="R197" s="128">
        <f t="shared" si="174"/>
        <v>0</v>
      </c>
      <c r="S197" s="128">
        <f t="shared" si="174"/>
        <v>449.25</v>
      </c>
      <c r="T197" s="128">
        <f t="shared" si="174"/>
        <v>458.88768346770041</v>
      </c>
      <c r="U197" s="128">
        <f t="shared" si="174"/>
        <v>468.73212251163585</v>
      </c>
      <c r="V197" s="128">
        <f t="shared" si="174"/>
        <v>478.78775262384625</v>
      </c>
      <c r="W197" s="128">
        <f t="shared" si="174"/>
        <v>489.0591044502242</v>
      </c>
      <c r="X197" s="128">
        <f t="shared" si="174"/>
        <v>499.55080583183423</v>
      </c>
      <c r="Y197" s="128">
        <f t="shared" si="174"/>
        <v>510.2675838900243</v>
      </c>
      <c r="Z197" s="128">
        <f t="shared" si="174"/>
        <v>521.21426715626876</v>
      </c>
      <c r="AA197" s="128">
        <f t="shared" si="174"/>
        <v>532.39578774770246</v>
      </c>
      <c r="AB197" s="128">
        <f t="shared" si="174"/>
        <v>543.81718358932596</v>
      </c>
    </row>
    <row r="198" spans="2:28" x14ac:dyDescent="0.3">
      <c r="B198" s="179" t="s">
        <v>185</v>
      </c>
      <c r="C198" s="91" t="s">
        <v>186</v>
      </c>
      <c r="D198" s="126" t="s">
        <v>7</v>
      </c>
      <c r="E198" s="194">
        <f t="shared" si="145"/>
        <v>0.25</v>
      </c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8">
        <f t="shared" ref="P198:AB198" si="175">$E198*P420</f>
        <v>6862.26</v>
      </c>
      <c r="Q198" s="128">
        <f t="shared" si="175"/>
        <v>5176.26</v>
      </c>
      <c r="R198" s="128">
        <f t="shared" si="175"/>
        <v>6541</v>
      </c>
      <c r="S198" s="128">
        <f t="shared" si="175"/>
        <v>6338.25</v>
      </c>
      <c r="T198" s="128">
        <f t="shared" si="175"/>
        <v>6528.3975</v>
      </c>
      <c r="U198" s="128">
        <f t="shared" si="175"/>
        <v>6724.249425</v>
      </c>
      <c r="V198" s="128">
        <f t="shared" si="175"/>
        <v>6925.9769077500005</v>
      </c>
      <c r="W198" s="128">
        <f t="shared" si="175"/>
        <v>7133.7562149825008</v>
      </c>
      <c r="X198" s="128">
        <f t="shared" si="175"/>
        <v>7347.7689014319758</v>
      </c>
      <c r="Y198" s="128">
        <f t="shared" si="175"/>
        <v>7568.2019684749357</v>
      </c>
      <c r="Z198" s="128">
        <f t="shared" si="175"/>
        <v>7795.2480275291837</v>
      </c>
      <c r="AA198" s="128">
        <f t="shared" si="175"/>
        <v>8029.1054683550592</v>
      </c>
      <c r="AB198" s="128">
        <f t="shared" si="175"/>
        <v>8269.9786324057113</v>
      </c>
    </row>
    <row r="199" spans="2:28" x14ac:dyDescent="0.3">
      <c r="B199" s="179" t="s">
        <v>187</v>
      </c>
      <c r="C199" s="91" t="s">
        <v>188</v>
      </c>
      <c r="D199" s="126" t="s">
        <v>7</v>
      </c>
      <c r="E199" s="194">
        <f t="shared" si="145"/>
        <v>0.25</v>
      </c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8">
        <f t="shared" ref="P199:AB199" si="176">$E199*P421</f>
        <v>69339.990000000005</v>
      </c>
      <c r="Q199" s="128">
        <f t="shared" si="176"/>
        <v>82022.490000000005</v>
      </c>
      <c r="R199" s="128">
        <f t="shared" si="176"/>
        <v>66968.5</v>
      </c>
      <c r="S199" s="128">
        <f t="shared" si="176"/>
        <v>68484</v>
      </c>
      <c r="T199" s="128">
        <f t="shared" si="176"/>
        <v>70538.52</v>
      </c>
      <c r="U199" s="128">
        <f t="shared" si="176"/>
        <v>72654.675600000002</v>
      </c>
      <c r="V199" s="128">
        <f t="shared" si="176"/>
        <v>74834.315868000005</v>
      </c>
      <c r="W199" s="128">
        <f t="shared" si="176"/>
        <v>77079.345344040004</v>
      </c>
      <c r="X199" s="128">
        <f t="shared" si="176"/>
        <v>79391.725704361204</v>
      </c>
      <c r="Y199" s="128">
        <f t="shared" si="176"/>
        <v>81773.477475492036</v>
      </c>
      <c r="Z199" s="128">
        <f t="shared" si="176"/>
        <v>84226.6817997568</v>
      </c>
      <c r="AA199" s="128">
        <f t="shared" si="176"/>
        <v>86753.482253749506</v>
      </c>
      <c r="AB199" s="128">
        <f t="shared" si="176"/>
        <v>89356.086721361993</v>
      </c>
    </row>
    <row r="200" spans="2:28" x14ac:dyDescent="0.3">
      <c r="B200" s="179" t="s">
        <v>189</v>
      </c>
      <c r="C200" s="91" t="s">
        <v>124</v>
      </c>
      <c r="D200" s="126" t="s">
        <v>5</v>
      </c>
      <c r="E200" s="194">
        <f t="shared" si="145"/>
        <v>0.25</v>
      </c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8">
        <f t="shared" ref="P200:AB200" si="177">$E200*P422</f>
        <v>20972.49</v>
      </c>
      <c r="Q200" s="128">
        <f t="shared" si="177"/>
        <v>17337.75</v>
      </c>
      <c r="R200" s="128">
        <f t="shared" si="177"/>
        <v>48290.25</v>
      </c>
      <c r="S200" s="128">
        <f t="shared" si="177"/>
        <v>11537.75</v>
      </c>
      <c r="T200" s="128">
        <f t="shared" si="177"/>
        <v>11941.571249999999</v>
      </c>
      <c r="U200" s="128">
        <f t="shared" si="177"/>
        <v>12359.526243749999</v>
      </c>
      <c r="V200" s="128">
        <f t="shared" si="177"/>
        <v>12792.109662281247</v>
      </c>
      <c r="W200" s="128">
        <f t="shared" si="177"/>
        <v>13239.833500461091</v>
      </c>
      <c r="X200" s="128">
        <f t="shared" si="177"/>
        <v>13703.227672977227</v>
      </c>
      <c r="Y200" s="128">
        <f t="shared" si="177"/>
        <v>14182.840641531429</v>
      </c>
      <c r="Z200" s="128">
        <f t="shared" si="177"/>
        <v>14679.240063985028</v>
      </c>
      <c r="AA200" s="128">
        <f t="shared" si="177"/>
        <v>15193.013466224502</v>
      </c>
      <c r="AB200" s="128">
        <f t="shared" si="177"/>
        <v>15724.768937542358</v>
      </c>
    </row>
    <row r="201" spans="2:28" x14ac:dyDescent="0.3">
      <c r="B201" s="179" t="s">
        <v>190</v>
      </c>
      <c r="C201" s="91" t="s">
        <v>126</v>
      </c>
      <c r="D201" s="126" t="s">
        <v>7</v>
      </c>
      <c r="E201" s="194">
        <f t="shared" si="145"/>
        <v>0.25</v>
      </c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8">
        <f t="shared" ref="P201:AB201" si="178">$E201*P423</f>
        <v>1930.5</v>
      </c>
      <c r="Q201" s="128">
        <f t="shared" si="178"/>
        <v>1160.49</v>
      </c>
      <c r="R201" s="128">
        <f t="shared" si="178"/>
        <v>1156.5</v>
      </c>
      <c r="S201" s="128">
        <f t="shared" si="178"/>
        <v>1116</v>
      </c>
      <c r="T201" s="128">
        <f t="shared" si="178"/>
        <v>1149.48</v>
      </c>
      <c r="U201" s="128">
        <f t="shared" si="178"/>
        <v>1183.9644000000001</v>
      </c>
      <c r="V201" s="128">
        <f t="shared" si="178"/>
        <v>1219.483332</v>
      </c>
      <c r="W201" s="128">
        <f t="shared" si="178"/>
        <v>1256.0678319600001</v>
      </c>
      <c r="X201" s="128">
        <f t="shared" si="178"/>
        <v>1293.7498669188001</v>
      </c>
      <c r="Y201" s="128">
        <f t="shared" si="178"/>
        <v>1332.5623629263641</v>
      </c>
      <c r="Z201" s="128">
        <f t="shared" si="178"/>
        <v>1372.5392338141551</v>
      </c>
      <c r="AA201" s="128">
        <f t="shared" si="178"/>
        <v>1413.7154108285797</v>
      </c>
      <c r="AB201" s="128">
        <f t="shared" si="178"/>
        <v>1456.1268731534371</v>
      </c>
    </row>
    <row r="202" spans="2:28" x14ac:dyDescent="0.3">
      <c r="B202" s="179" t="s">
        <v>191</v>
      </c>
      <c r="C202" s="91" t="s">
        <v>128</v>
      </c>
      <c r="D202" s="126" t="s">
        <v>1480</v>
      </c>
      <c r="E202" s="194">
        <f t="shared" si="145"/>
        <v>0.25</v>
      </c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8">
        <f t="shared" ref="P202:AB202" si="179">$E202*P424</f>
        <v>2442.7750000000001</v>
      </c>
      <c r="Q202" s="128">
        <f t="shared" si="179"/>
        <v>1464.94</v>
      </c>
      <c r="R202" s="128">
        <f t="shared" si="179"/>
        <v>3312.5</v>
      </c>
      <c r="S202" s="128">
        <f t="shared" si="179"/>
        <v>3312.5</v>
      </c>
      <c r="T202" s="128">
        <f t="shared" si="179"/>
        <v>3383.5624963533837</v>
      </c>
      <c r="U202" s="128">
        <f t="shared" si="179"/>
        <v>3456.1494842955899</v>
      </c>
      <c r="V202" s="128">
        <f t="shared" si="179"/>
        <v>3530.2936684841197</v>
      </c>
      <c r="W202" s="128">
        <f t="shared" si="179"/>
        <v>3606.0284551839013</v>
      </c>
      <c r="X202" s="128">
        <f t="shared" si="179"/>
        <v>3683.3879673187553</v>
      </c>
      <c r="Y202" s="128">
        <f t="shared" si="179"/>
        <v>3762.4070598457552</v>
      </c>
      <c r="Z202" s="128">
        <f t="shared" si="179"/>
        <v>3843.1213354594111</v>
      </c>
      <c r="AA202" s="128">
        <f t="shared" si="179"/>
        <v>3925.5671606327533</v>
      </c>
      <c r="AB202" s="128">
        <f t="shared" si="179"/>
        <v>4009.7816820025428</v>
      </c>
    </row>
    <row r="203" spans="2:28" x14ac:dyDescent="0.3">
      <c r="B203" s="179" t="s">
        <v>192</v>
      </c>
      <c r="C203" s="91" t="s">
        <v>130</v>
      </c>
      <c r="D203" s="126" t="s">
        <v>1480</v>
      </c>
      <c r="E203" s="194">
        <f t="shared" si="145"/>
        <v>0.25</v>
      </c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8">
        <f t="shared" ref="P203:AB203" si="180">$E203*P425</f>
        <v>786.14499999999998</v>
      </c>
      <c r="Q203" s="128">
        <f t="shared" si="180"/>
        <v>0</v>
      </c>
      <c r="R203" s="128">
        <f t="shared" si="180"/>
        <v>0</v>
      </c>
      <c r="S203" s="128">
        <f t="shared" si="180"/>
        <v>0</v>
      </c>
      <c r="T203" s="128">
        <f t="shared" si="180"/>
        <v>0</v>
      </c>
      <c r="U203" s="128">
        <f t="shared" si="180"/>
        <v>0</v>
      </c>
      <c r="V203" s="128">
        <f t="shared" si="180"/>
        <v>0</v>
      </c>
      <c r="W203" s="128">
        <f t="shared" si="180"/>
        <v>0</v>
      </c>
      <c r="X203" s="128">
        <f t="shared" si="180"/>
        <v>0</v>
      </c>
      <c r="Y203" s="128">
        <f t="shared" si="180"/>
        <v>0</v>
      </c>
      <c r="Z203" s="128">
        <f t="shared" si="180"/>
        <v>0</v>
      </c>
      <c r="AA203" s="128">
        <f t="shared" si="180"/>
        <v>0</v>
      </c>
      <c r="AB203" s="128">
        <f t="shared" si="180"/>
        <v>0</v>
      </c>
    </row>
    <row r="204" spans="2:28" x14ac:dyDescent="0.3">
      <c r="B204" s="179" t="s">
        <v>193</v>
      </c>
      <c r="C204" s="91" t="s">
        <v>132</v>
      </c>
      <c r="D204" s="126" t="s">
        <v>1480</v>
      </c>
      <c r="E204" s="194">
        <f t="shared" si="145"/>
        <v>0.25</v>
      </c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8">
        <f t="shared" ref="P204:AB204" si="181">$E204*P426</f>
        <v>1012.5</v>
      </c>
      <c r="Q204" s="128">
        <f t="shared" si="181"/>
        <v>1027.625</v>
      </c>
      <c r="R204" s="128">
        <f t="shared" si="181"/>
        <v>5812.5</v>
      </c>
      <c r="S204" s="128">
        <f t="shared" si="181"/>
        <v>4250</v>
      </c>
      <c r="T204" s="128">
        <f t="shared" si="181"/>
        <v>4341.1745236232091</v>
      </c>
      <c r="U204" s="128">
        <f t="shared" si="181"/>
        <v>4434.3049987188697</v>
      </c>
      <c r="V204" s="128">
        <f t="shared" si="181"/>
        <v>4529.4333859796252</v>
      </c>
      <c r="W204" s="128">
        <f t="shared" si="181"/>
        <v>4626.6025462736843</v>
      </c>
      <c r="X204" s="128">
        <f t="shared" si="181"/>
        <v>4725.8562599561383</v>
      </c>
      <c r="Y204" s="128">
        <f t="shared" si="181"/>
        <v>4827.2392465945532</v>
      </c>
      <c r="Z204" s="128">
        <f t="shared" si="181"/>
        <v>4930.7971851177344</v>
      </c>
      <c r="AA204" s="128">
        <f t="shared" si="181"/>
        <v>5036.5767343967391</v>
      </c>
      <c r="AB204" s="128">
        <f t="shared" si="181"/>
        <v>5144.6255542674126</v>
      </c>
    </row>
    <row r="205" spans="2:28" x14ac:dyDescent="0.3">
      <c r="B205" s="179" t="s">
        <v>194</v>
      </c>
      <c r="C205" s="91" t="s">
        <v>134</v>
      </c>
      <c r="D205" s="126" t="s">
        <v>1480</v>
      </c>
      <c r="E205" s="194">
        <f t="shared" si="145"/>
        <v>0.25</v>
      </c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8">
        <f t="shared" ref="P205:AB205" si="182">$E205*P427</f>
        <v>842.74249999999995</v>
      </c>
      <c r="Q205" s="128">
        <f t="shared" si="182"/>
        <v>307.95249999999999</v>
      </c>
      <c r="R205" s="128">
        <f t="shared" si="182"/>
        <v>875</v>
      </c>
      <c r="S205" s="128">
        <f t="shared" si="182"/>
        <v>625</v>
      </c>
      <c r="T205" s="128">
        <f t="shared" si="182"/>
        <v>638.4080181798837</v>
      </c>
      <c r="U205" s="128">
        <f t="shared" si="182"/>
        <v>652.10367628218683</v>
      </c>
      <c r="V205" s="128">
        <f t="shared" si="182"/>
        <v>666.09314499700372</v>
      </c>
      <c r="W205" s="128">
        <f t="shared" si="182"/>
        <v>680.38272739318893</v>
      </c>
      <c r="X205" s="128">
        <f t="shared" si="182"/>
        <v>694.97886175825579</v>
      </c>
      <c r="Y205" s="128">
        <f t="shared" si="182"/>
        <v>709.88812449919919</v>
      </c>
      <c r="Z205" s="128">
        <f t="shared" si="182"/>
        <v>725.1172331055493</v>
      </c>
      <c r="AA205" s="128">
        <f t="shared" si="182"/>
        <v>740.6730491759912</v>
      </c>
      <c r="AB205" s="128">
        <f t="shared" si="182"/>
        <v>756.5625815099138</v>
      </c>
    </row>
    <row r="206" spans="2:28" x14ac:dyDescent="0.3">
      <c r="B206" s="179" t="s">
        <v>195</v>
      </c>
      <c r="C206" s="91" t="s">
        <v>136</v>
      </c>
      <c r="D206" s="126" t="s">
        <v>1480</v>
      </c>
      <c r="E206" s="194">
        <f t="shared" si="145"/>
        <v>0.25</v>
      </c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8">
        <f t="shared" ref="P206:AB206" si="183">$E206*P428</f>
        <v>255.11250000000001</v>
      </c>
      <c r="Q206" s="128">
        <f t="shared" si="183"/>
        <v>167.4425</v>
      </c>
      <c r="R206" s="128">
        <f t="shared" si="183"/>
        <v>275</v>
      </c>
      <c r="S206" s="128">
        <f t="shared" si="183"/>
        <v>275</v>
      </c>
      <c r="T206" s="128">
        <f t="shared" si="183"/>
        <v>280.89952799914886</v>
      </c>
      <c r="U206" s="128">
        <f t="shared" si="183"/>
        <v>286.92561756416222</v>
      </c>
      <c r="V206" s="128">
        <f t="shared" si="183"/>
        <v>293.0809837986817</v>
      </c>
      <c r="W206" s="128">
        <f t="shared" si="183"/>
        <v>299.3684000530032</v>
      </c>
      <c r="X206" s="128">
        <f t="shared" si="183"/>
        <v>305.79069917363262</v>
      </c>
      <c r="Y206" s="128">
        <f t="shared" si="183"/>
        <v>312.35077477964768</v>
      </c>
      <c r="Z206" s="128">
        <f t="shared" si="183"/>
        <v>319.05158256644177</v>
      </c>
      <c r="AA206" s="128">
        <f t="shared" si="183"/>
        <v>325.89614163743619</v>
      </c>
      <c r="AB206" s="128">
        <f t="shared" si="183"/>
        <v>332.88753586436212</v>
      </c>
    </row>
    <row r="207" spans="2:28" x14ac:dyDescent="0.3">
      <c r="B207" s="179" t="s">
        <v>196</v>
      </c>
      <c r="C207" s="91" t="s">
        <v>20</v>
      </c>
      <c r="D207" s="126" t="s">
        <v>1480</v>
      </c>
      <c r="E207" s="194">
        <f t="shared" si="145"/>
        <v>0.25</v>
      </c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8">
        <f t="shared" ref="P207:AB207" si="184">$E207*P429</f>
        <v>1383.4625000000001</v>
      </c>
      <c r="Q207" s="128">
        <f t="shared" si="184"/>
        <v>115.30249999999999</v>
      </c>
      <c r="R207" s="128">
        <f t="shared" si="184"/>
        <v>300</v>
      </c>
      <c r="S207" s="128">
        <f t="shared" si="184"/>
        <v>875</v>
      </c>
      <c r="T207" s="128">
        <f t="shared" si="184"/>
        <v>893.77122545183727</v>
      </c>
      <c r="U207" s="128">
        <f t="shared" si="184"/>
        <v>912.94514679506165</v>
      </c>
      <c r="V207" s="128">
        <f t="shared" si="184"/>
        <v>932.53040299580539</v>
      </c>
      <c r="W207" s="128">
        <f t="shared" si="184"/>
        <v>952.53581835046475</v>
      </c>
      <c r="X207" s="128">
        <f t="shared" si="184"/>
        <v>972.97040646155835</v>
      </c>
      <c r="Y207" s="128">
        <f t="shared" si="184"/>
        <v>993.8433742988791</v>
      </c>
      <c r="Z207" s="128">
        <f t="shared" si="184"/>
        <v>1015.1641263477693</v>
      </c>
      <c r="AA207" s="128">
        <f t="shared" si="184"/>
        <v>1036.9422688463881</v>
      </c>
      <c r="AB207" s="128">
        <f t="shared" si="184"/>
        <v>1059.1876141138796</v>
      </c>
    </row>
    <row r="208" spans="2:28" x14ac:dyDescent="0.3">
      <c r="B208" s="179" t="s">
        <v>197</v>
      </c>
      <c r="C208" s="91" t="s">
        <v>198</v>
      </c>
      <c r="D208" s="126" t="s">
        <v>1480</v>
      </c>
      <c r="E208" s="194">
        <f t="shared" si="145"/>
        <v>0.25</v>
      </c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8">
        <f t="shared" ref="P208:AB208" si="185">$E208*P430</f>
        <v>2374.3074999999999</v>
      </c>
      <c r="Q208" s="128">
        <f t="shared" si="185"/>
        <v>2255.1725000000001</v>
      </c>
      <c r="R208" s="128">
        <f t="shared" si="185"/>
        <v>2425</v>
      </c>
      <c r="S208" s="128">
        <f t="shared" si="185"/>
        <v>3037.5</v>
      </c>
      <c r="T208" s="128">
        <f t="shared" si="185"/>
        <v>3102.6629683542351</v>
      </c>
      <c r="U208" s="128">
        <f t="shared" si="185"/>
        <v>3169.2238667314282</v>
      </c>
      <c r="V208" s="128">
        <f t="shared" si="185"/>
        <v>3237.2126846854385</v>
      </c>
      <c r="W208" s="128">
        <f t="shared" si="185"/>
        <v>3306.6600551308989</v>
      </c>
      <c r="X208" s="128">
        <f t="shared" si="185"/>
        <v>3377.5972681451235</v>
      </c>
      <c r="Y208" s="128">
        <f t="shared" si="185"/>
        <v>3450.0562850661081</v>
      </c>
      <c r="Z208" s="128">
        <f t="shared" si="185"/>
        <v>3524.06975289297</v>
      </c>
      <c r="AA208" s="128">
        <f t="shared" si="185"/>
        <v>3599.6710189953178</v>
      </c>
      <c r="AB208" s="128">
        <f t="shared" si="185"/>
        <v>3676.8941461381814</v>
      </c>
    </row>
    <row r="209" spans="2:28" x14ac:dyDescent="0.3">
      <c r="B209" s="179" t="s">
        <v>201</v>
      </c>
      <c r="C209" s="91" t="s">
        <v>202</v>
      </c>
      <c r="D209" s="126" t="s">
        <v>1480</v>
      </c>
      <c r="E209" s="194">
        <f t="shared" si="145"/>
        <v>0.25</v>
      </c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8">
        <f t="shared" ref="P209:AB209" si="186">$E209*P431</f>
        <v>0</v>
      </c>
      <c r="Q209" s="128">
        <f t="shared" si="186"/>
        <v>0</v>
      </c>
      <c r="R209" s="128">
        <f t="shared" si="186"/>
        <v>25000</v>
      </c>
      <c r="S209" s="128">
        <f t="shared" si="186"/>
        <v>25000</v>
      </c>
      <c r="T209" s="128">
        <f t="shared" si="186"/>
        <v>25750</v>
      </c>
      <c r="U209" s="128">
        <f t="shared" si="186"/>
        <v>26522.5</v>
      </c>
      <c r="V209" s="128">
        <f t="shared" si="186"/>
        <v>27318.174999999999</v>
      </c>
      <c r="W209" s="128">
        <f t="shared" si="186"/>
        <v>28137.720249999998</v>
      </c>
      <c r="X209" s="128">
        <f t="shared" si="186"/>
        <v>28981.851857499998</v>
      </c>
      <c r="Y209" s="128">
        <f t="shared" si="186"/>
        <v>29851.307413225</v>
      </c>
      <c r="Z209" s="128">
        <f t="shared" si="186"/>
        <v>30746.84663562175</v>
      </c>
      <c r="AA209" s="128">
        <f t="shared" si="186"/>
        <v>31669.252034690402</v>
      </c>
      <c r="AB209" s="128">
        <f t="shared" si="186"/>
        <v>32619.329595731117</v>
      </c>
    </row>
    <row r="210" spans="2:28" x14ac:dyDescent="0.3">
      <c r="B210" s="182"/>
      <c r="C210" s="136" t="s">
        <v>203</v>
      </c>
      <c r="D210" s="134"/>
      <c r="E210" s="185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7">
        <f>SUM(P169:P209)</f>
        <v>1140088.5923391725</v>
      </c>
      <c r="Q210" s="137">
        <f t="shared" ref="Q210:AB210" si="187">SUM(Q169:Q209)</f>
        <v>686451.05500000005</v>
      </c>
      <c r="R210" s="137">
        <f t="shared" si="187"/>
        <v>832517</v>
      </c>
      <c r="S210" s="137">
        <f t="shared" si="187"/>
        <v>795078.5</v>
      </c>
      <c r="T210" s="137">
        <f t="shared" si="187"/>
        <v>824663.94475261972</v>
      </c>
      <c r="U210" s="137">
        <f>SUM(U169:U209)</f>
        <v>855422.72901521029</v>
      </c>
      <c r="V210" s="137">
        <f t="shared" si="187"/>
        <v>887405.07025419385</v>
      </c>
      <c r="W210" s="137">
        <f t="shared" si="187"/>
        <v>920663.5169975704</v>
      </c>
      <c r="X210" s="137">
        <f t="shared" si="187"/>
        <v>955253.0655191571</v>
      </c>
      <c r="Y210" s="137">
        <f t="shared" si="187"/>
        <v>991231.28273239615</v>
      </c>
      <c r="Z210" s="137">
        <f t="shared" si="187"/>
        <v>1028658.4356391684</v>
      </c>
      <c r="AA210" s="137">
        <f t="shared" si="187"/>
        <v>1067597.6276988657</v>
      </c>
      <c r="AB210" s="137">
        <f t="shared" si="187"/>
        <v>1108114.9425038942</v>
      </c>
    </row>
    <row r="211" spans="2:28" x14ac:dyDescent="0.3">
      <c r="B211" s="182"/>
      <c r="C211" s="135"/>
      <c r="D211" s="134"/>
      <c r="E211" s="185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</row>
    <row r="212" spans="2:28" x14ac:dyDescent="0.3">
      <c r="B212" s="183" t="s">
        <v>1464</v>
      </c>
      <c r="C212" s="135"/>
      <c r="D212" s="134"/>
      <c r="E212" s="185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</row>
    <row r="213" spans="2:28" x14ac:dyDescent="0.3">
      <c r="B213" s="179" t="s">
        <v>2009</v>
      </c>
      <c r="C213" s="865" t="s">
        <v>206</v>
      </c>
      <c r="D213" s="126" t="s">
        <v>1480</v>
      </c>
      <c r="E213" s="194">
        <v>1</v>
      </c>
      <c r="F213" s="127">
        <f>INDEX('Control Panel'!$C$7:$N$25,MATCH('O&amp;M'!$D213,Indicies,0),MATCH('O&amp;M'!F$4,'Control Panel'!$C$6:$N$6,0))</f>
        <v>2.1452829087813895E-2</v>
      </c>
      <c r="G213" s="127">
        <f>INDEX('Control Panel'!$C$7:$N$25,MATCH('O&amp;M'!$D213,Indicies,0),MATCH('O&amp;M'!G$4,'Control Panel'!$C$6:$N$6,0))</f>
        <v>2.1452829087813895E-2</v>
      </c>
      <c r="H213" s="127">
        <f>INDEX('Control Panel'!$C$7:$N$25,MATCH('O&amp;M'!$D213,Indicies,0),MATCH('O&amp;M'!H$4,'Control Panel'!$C$6:$N$6,0))</f>
        <v>2.1452829087813895E-2</v>
      </c>
      <c r="I213" s="127">
        <f>INDEX('Control Panel'!$C$7:$N$25,MATCH('O&amp;M'!$D213,Indicies,0),MATCH('O&amp;M'!I$4,'Control Panel'!$C$6:$N$6,0))</f>
        <v>2.1452829087813895E-2</v>
      </c>
      <c r="J213" s="127">
        <f>INDEX('Control Panel'!$C$7:$N$25,MATCH('O&amp;M'!$D213,Indicies,0),MATCH('O&amp;M'!J$4,'Control Panel'!$C$6:$N$6,0))</f>
        <v>2.1452829087813895E-2</v>
      </c>
      <c r="K213" s="127">
        <f>INDEX('Control Panel'!$C$7:$N$25,MATCH('O&amp;M'!$D213,Indicies,0),MATCH('O&amp;M'!K$4,'Control Panel'!$C$6:$N$6,0))</f>
        <v>2.1452829087813895E-2</v>
      </c>
      <c r="L213" s="127">
        <f>INDEX('Control Panel'!$C$7:$N$25,MATCH('O&amp;M'!$D213,Indicies,0),MATCH('O&amp;M'!L$4,'Control Panel'!$C$6:$N$6,0))</f>
        <v>2.1452829087813895E-2</v>
      </c>
      <c r="M213" s="127">
        <f>INDEX('Control Panel'!$C$7:$N$25,MATCH('O&amp;M'!$D213,Indicies,0),MATCH('O&amp;M'!M$4,'Control Panel'!$C$6:$N$6,0))</f>
        <v>2.1452829087813895E-2</v>
      </c>
      <c r="N213" s="127">
        <f>INDEX('Control Panel'!$C$7:$N$25,MATCH('O&amp;M'!$D213,Indicies,0),MATCH('O&amp;M'!N$4,'Control Panel'!$C$6:$N$6,0))</f>
        <v>2.1452829087813895E-2</v>
      </c>
      <c r="O213" s="127">
        <f>INDEX('Control Panel'!$C$7:$N$25,MATCH('O&amp;M'!$D213,Indicies,0),MATCH('O&amp;M'!O$4,'Control Panel'!$C$6:$N$6,0))</f>
        <v>2.1452829087813895E-2</v>
      </c>
      <c r="P213" s="762">
        <v>0</v>
      </c>
      <c r="Q213" s="762">
        <v>0</v>
      </c>
      <c r="R213" s="762">
        <v>0</v>
      </c>
      <c r="S213" s="863">
        <v>50000</v>
      </c>
      <c r="T213" s="861">
        <v>0</v>
      </c>
      <c r="U213" s="128">
        <f t="shared" ref="U213" si="188">T213*(1+H213)</f>
        <v>0</v>
      </c>
      <c r="V213" s="128">
        <f t="shared" ref="V213" si="189">U213*(1+I213)</f>
        <v>0</v>
      </c>
      <c r="W213" s="128">
        <f t="shared" ref="W213" si="190">V213*(1+J213)</f>
        <v>0</v>
      </c>
      <c r="X213" s="128">
        <f t="shared" ref="X213" si="191">W213*(1+K213)</f>
        <v>0</v>
      </c>
      <c r="Y213" s="128">
        <f t="shared" ref="Y213" si="192">X213*(1+L213)</f>
        <v>0</v>
      </c>
      <c r="Z213" s="128">
        <f t="shared" ref="Z213" si="193">Y213*(1+M213)</f>
        <v>0</v>
      </c>
      <c r="AA213" s="128">
        <f t="shared" ref="AA213" si="194">Z213*(1+N213)</f>
        <v>0</v>
      </c>
      <c r="AB213" s="128">
        <f t="shared" ref="AB213" si="195">AA213*(1+O213)</f>
        <v>0</v>
      </c>
    </row>
    <row r="214" spans="2:28" x14ac:dyDescent="0.3">
      <c r="B214" s="179" t="s">
        <v>264</v>
      </c>
      <c r="C214" s="91" t="s">
        <v>107</v>
      </c>
      <c r="D214" s="126" t="s">
        <v>1480</v>
      </c>
      <c r="E214" s="194">
        <v>1</v>
      </c>
      <c r="F214" s="127">
        <f>INDEX('Control Panel'!$C$7:$N$25,MATCH('O&amp;M'!$D214,Indicies,0),MATCH('O&amp;M'!F$4,'Control Panel'!$C$6:$N$6,0))</f>
        <v>2.1452829087813895E-2</v>
      </c>
      <c r="G214" s="127">
        <f>INDEX('Control Panel'!$C$7:$N$25,MATCH('O&amp;M'!$D214,Indicies,0),MATCH('O&amp;M'!G$4,'Control Panel'!$C$6:$N$6,0))</f>
        <v>2.1452829087813895E-2</v>
      </c>
      <c r="H214" s="127">
        <f>INDEX('Control Panel'!$C$7:$N$25,MATCH('O&amp;M'!$D214,Indicies,0),MATCH('O&amp;M'!H$4,'Control Panel'!$C$6:$N$6,0))</f>
        <v>2.1452829087813895E-2</v>
      </c>
      <c r="I214" s="127">
        <f>INDEX('Control Panel'!$C$7:$N$25,MATCH('O&amp;M'!$D214,Indicies,0),MATCH('O&amp;M'!I$4,'Control Panel'!$C$6:$N$6,0))</f>
        <v>2.1452829087813895E-2</v>
      </c>
      <c r="J214" s="127">
        <f>INDEX('Control Panel'!$C$7:$N$25,MATCH('O&amp;M'!$D214,Indicies,0),MATCH('O&amp;M'!J$4,'Control Panel'!$C$6:$N$6,0))</f>
        <v>2.1452829087813895E-2</v>
      </c>
      <c r="K214" s="127">
        <f>INDEX('Control Panel'!$C$7:$N$25,MATCH('O&amp;M'!$D214,Indicies,0),MATCH('O&amp;M'!K$4,'Control Panel'!$C$6:$N$6,0))</f>
        <v>2.1452829087813895E-2</v>
      </c>
      <c r="L214" s="127">
        <f>INDEX('Control Panel'!$C$7:$N$25,MATCH('O&amp;M'!$D214,Indicies,0),MATCH('O&amp;M'!L$4,'Control Panel'!$C$6:$N$6,0))</f>
        <v>2.1452829087813895E-2</v>
      </c>
      <c r="M214" s="127">
        <f>INDEX('Control Panel'!$C$7:$N$25,MATCH('O&amp;M'!$D214,Indicies,0),MATCH('O&amp;M'!M$4,'Control Panel'!$C$6:$N$6,0))</f>
        <v>2.1452829087813895E-2</v>
      </c>
      <c r="N214" s="127">
        <f>INDEX('Control Panel'!$C$7:$N$25,MATCH('O&amp;M'!$D214,Indicies,0),MATCH('O&amp;M'!N$4,'Control Panel'!$C$6:$N$6,0))</f>
        <v>2.1452829087813895E-2</v>
      </c>
      <c r="O214" s="127">
        <f>INDEX('Control Panel'!$C$7:$N$25,MATCH('O&amp;M'!$D214,Indicies,0),MATCH('O&amp;M'!O$4,'Control Panel'!$C$6:$N$6,0))</f>
        <v>2.1452829087813895E-2</v>
      </c>
      <c r="P214" s="762">
        <v>356.5</v>
      </c>
      <c r="Q214" s="762">
        <v>346.14</v>
      </c>
      <c r="R214" s="762">
        <v>365</v>
      </c>
      <c r="S214" s="762">
        <v>360</v>
      </c>
      <c r="T214" s="128">
        <f>S214*(1+G214)</f>
        <v>367.72301847161305</v>
      </c>
      <c r="U214" s="128">
        <f t="shared" ref="U214:AB230" si="196">T214*(1+H214)</f>
        <v>375.61171753853961</v>
      </c>
      <c r="V214" s="128">
        <f t="shared" si="196"/>
        <v>383.66965151827418</v>
      </c>
      <c r="W214" s="128">
        <f t="shared" si="196"/>
        <v>391.90045097847684</v>
      </c>
      <c r="X214" s="128">
        <f t="shared" si="196"/>
        <v>400.30782437275531</v>
      </c>
      <c r="Y214" s="128">
        <f t="shared" si="196"/>
        <v>408.89555971153868</v>
      </c>
      <c r="Z214" s="128">
        <f t="shared" si="196"/>
        <v>417.66752626879634</v>
      </c>
      <c r="AA214" s="128">
        <f t="shared" si="196"/>
        <v>426.62767632537089</v>
      </c>
      <c r="AB214" s="128">
        <f t="shared" si="196"/>
        <v>435.78004694971031</v>
      </c>
    </row>
    <row r="215" spans="2:28" x14ac:dyDescent="0.3">
      <c r="B215" s="179" t="s">
        <v>265</v>
      </c>
      <c r="C215" s="91" t="s">
        <v>213</v>
      </c>
      <c r="D215" s="126" t="s">
        <v>8</v>
      </c>
      <c r="E215" s="194">
        <v>1</v>
      </c>
      <c r="F215" s="127">
        <f>INDEX('Control Panel'!$C$7:$N$25,MATCH('O&amp;M'!$D215,Indicies,0),MATCH('O&amp;M'!F$4,'Control Panel'!$C$6:$N$6,0))</f>
        <v>2.8840404751315222E-2</v>
      </c>
      <c r="G215" s="127">
        <f>INDEX('Control Panel'!$C$7:$N$25,MATCH('O&amp;M'!$D215,Indicies,0),MATCH('O&amp;M'!G$4,'Control Panel'!$C$6:$N$6,0))</f>
        <v>2.8840404751315222E-2</v>
      </c>
      <c r="H215" s="127">
        <f>INDEX('Control Panel'!$C$7:$N$25,MATCH('O&amp;M'!$D215,Indicies,0),MATCH('O&amp;M'!H$4,'Control Panel'!$C$6:$N$6,0))</f>
        <v>2.8840404751315222E-2</v>
      </c>
      <c r="I215" s="127">
        <f>INDEX('Control Panel'!$C$7:$N$25,MATCH('O&amp;M'!$D215,Indicies,0),MATCH('O&amp;M'!I$4,'Control Panel'!$C$6:$N$6,0))</f>
        <v>2.8840404751315222E-2</v>
      </c>
      <c r="J215" s="127">
        <f>INDEX('Control Panel'!$C$7:$N$25,MATCH('O&amp;M'!$D215,Indicies,0),MATCH('O&amp;M'!J$4,'Control Panel'!$C$6:$N$6,0))</f>
        <v>2.8840404751315222E-2</v>
      </c>
      <c r="K215" s="127">
        <f>INDEX('Control Panel'!$C$7:$N$25,MATCH('O&amp;M'!$D215,Indicies,0),MATCH('O&amp;M'!K$4,'Control Panel'!$C$6:$N$6,0))</f>
        <v>2.8840404751315222E-2</v>
      </c>
      <c r="L215" s="127">
        <f>INDEX('Control Panel'!$C$7:$N$25,MATCH('O&amp;M'!$D215,Indicies,0),MATCH('O&amp;M'!L$4,'Control Panel'!$C$6:$N$6,0))</f>
        <v>2.8840404751315222E-2</v>
      </c>
      <c r="M215" s="127">
        <f>INDEX('Control Panel'!$C$7:$N$25,MATCH('O&amp;M'!$D215,Indicies,0),MATCH('O&amp;M'!M$4,'Control Panel'!$C$6:$N$6,0))</f>
        <v>2.8840404751315222E-2</v>
      </c>
      <c r="N215" s="127">
        <f>INDEX('Control Panel'!$C$7:$N$25,MATCH('O&amp;M'!$D215,Indicies,0),MATCH('O&amp;M'!N$4,'Control Panel'!$C$6:$N$6,0))</f>
        <v>2.8840404751315222E-2</v>
      </c>
      <c r="O215" s="127">
        <f>INDEX('Control Panel'!$C$7:$N$25,MATCH('O&amp;M'!$D215,Indicies,0),MATCH('O&amp;M'!O$4,'Control Panel'!$C$6:$N$6,0))</f>
        <v>2.8840404751315222E-2</v>
      </c>
      <c r="P215" s="762">
        <v>0</v>
      </c>
      <c r="Q215" s="762">
        <v>4490</v>
      </c>
      <c r="R215" s="762">
        <v>30700</v>
      </c>
      <c r="S215" s="762">
        <v>700</v>
      </c>
      <c r="T215" s="128">
        <f t="shared" ref="T215:T231" si="197">S215*(1+G215)</f>
        <v>720.18828332592068</v>
      </c>
      <c r="U215" s="128">
        <f t="shared" si="196"/>
        <v>740.95880491419518</v>
      </c>
      <c r="V215" s="128">
        <f t="shared" si="196"/>
        <v>762.32835675197146</v>
      </c>
      <c r="W215" s="128">
        <f t="shared" si="196"/>
        <v>784.31421511410338</v>
      </c>
      <c r="X215" s="128">
        <f t="shared" si="196"/>
        <v>806.9341545302043</v>
      </c>
      <c r="Y215" s="128">
        <f t="shared" si="196"/>
        <v>830.20646215451586</v>
      </c>
      <c r="Z215" s="128">
        <f t="shared" si="196"/>
        <v>854.1499525502096</v>
      </c>
      <c r="AA215" s="128">
        <f t="shared" si="196"/>
        <v>878.78398290007442</v>
      </c>
      <c r="AB215" s="128">
        <f t="shared" si="196"/>
        <v>904.12846865588551</v>
      </c>
    </row>
    <row r="216" spans="2:28" x14ac:dyDescent="0.3">
      <c r="B216" s="179" t="s">
        <v>266</v>
      </c>
      <c r="C216" s="91" t="s">
        <v>200</v>
      </c>
      <c r="D216" s="126" t="s">
        <v>8</v>
      </c>
      <c r="E216" s="194">
        <v>1</v>
      </c>
      <c r="F216" s="127">
        <f>INDEX('Control Panel'!$C$7:$N$25,MATCH('O&amp;M'!$D216,Indicies,0),MATCH('O&amp;M'!F$4,'Control Panel'!$C$6:$N$6,0))</f>
        <v>2.8840404751315222E-2</v>
      </c>
      <c r="G216" s="127">
        <f>INDEX('Control Panel'!$C$7:$N$25,MATCH('O&amp;M'!$D216,Indicies,0),MATCH('O&amp;M'!G$4,'Control Panel'!$C$6:$N$6,0))</f>
        <v>2.8840404751315222E-2</v>
      </c>
      <c r="H216" s="127">
        <f>INDEX('Control Panel'!$C$7:$N$25,MATCH('O&amp;M'!$D216,Indicies,0),MATCH('O&amp;M'!H$4,'Control Panel'!$C$6:$N$6,0))</f>
        <v>2.8840404751315222E-2</v>
      </c>
      <c r="I216" s="127">
        <f>INDEX('Control Panel'!$C$7:$N$25,MATCH('O&amp;M'!$D216,Indicies,0),MATCH('O&amp;M'!I$4,'Control Panel'!$C$6:$N$6,0))</f>
        <v>2.8840404751315222E-2</v>
      </c>
      <c r="J216" s="127">
        <f>INDEX('Control Panel'!$C$7:$N$25,MATCH('O&amp;M'!$D216,Indicies,0),MATCH('O&amp;M'!J$4,'Control Panel'!$C$6:$N$6,0))</f>
        <v>2.8840404751315222E-2</v>
      </c>
      <c r="K216" s="127">
        <f>INDEX('Control Panel'!$C$7:$N$25,MATCH('O&amp;M'!$D216,Indicies,0),MATCH('O&amp;M'!K$4,'Control Panel'!$C$6:$N$6,0))</f>
        <v>2.8840404751315222E-2</v>
      </c>
      <c r="L216" s="127">
        <f>INDEX('Control Panel'!$C$7:$N$25,MATCH('O&amp;M'!$D216,Indicies,0),MATCH('O&amp;M'!L$4,'Control Panel'!$C$6:$N$6,0))</f>
        <v>2.8840404751315222E-2</v>
      </c>
      <c r="M216" s="127">
        <f>INDEX('Control Panel'!$C$7:$N$25,MATCH('O&amp;M'!$D216,Indicies,0),MATCH('O&amp;M'!M$4,'Control Panel'!$C$6:$N$6,0))</f>
        <v>2.8840404751315222E-2</v>
      </c>
      <c r="N216" s="127">
        <f>INDEX('Control Panel'!$C$7:$N$25,MATCH('O&amp;M'!$D216,Indicies,0),MATCH('O&amp;M'!N$4,'Control Panel'!$C$6:$N$6,0))</f>
        <v>2.8840404751315222E-2</v>
      </c>
      <c r="O216" s="127">
        <f>INDEX('Control Panel'!$C$7:$N$25,MATCH('O&amp;M'!$D216,Indicies,0),MATCH('O&amp;M'!O$4,'Control Panel'!$C$6:$N$6,0))</f>
        <v>2.8840404751315222E-2</v>
      </c>
      <c r="P216" s="762">
        <v>40743.25</v>
      </c>
      <c r="Q216" s="762">
        <v>22028.76</v>
      </c>
      <c r="R216" s="762">
        <v>40000</v>
      </c>
      <c r="S216" s="762">
        <v>50000</v>
      </c>
      <c r="T216" s="861">
        <f t="shared" si="197"/>
        <v>51442.020237565768</v>
      </c>
      <c r="U216" s="128">
        <f t="shared" si="196"/>
        <v>52925.62892244252</v>
      </c>
      <c r="V216" s="128">
        <f t="shared" si="196"/>
        <v>54452.025482283687</v>
      </c>
      <c r="W216" s="128">
        <f t="shared" si="196"/>
        <v>56022.443936721684</v>
      </c>
      <c r="X216" s="128">
        <f t="shared" si="196"/>
        <v>57638.153895014606</v>
      </c>
      <c r="Y216" s="128">
        <f t="shared" si="196"/>
        <v>59300.461582465432</v>
      </c>
      <c r="Z216" s="128">
        <f t="shared" si="196"/>
        <v>61010.710896443561</v>
      </c>
      <c r="AA216" s="128">
        <f t="shared" si="196"/>
        <v>62770.284492862476</v>
      </c>
      <c r="AB216" s="128">
        <f t="shared" si="196"/>
        <v>64580.604903991843</v>
      </c>
    </row>
    <row r="217" spans="2:28" x14ac:dyDescent="0.3">
      <c r="B217" s="179" t="s">
        <v>267</v>
      </c>
      <c r="C217" s="91" t="s">
        <v>218</v>
      </c>
      <c r="D217" s="126" t="s">
        <v>8</v>
      </c>
      <c r="E217" s="194">
        <v>1</v>
      </c>
      <c r="F217" s="127">
        <f>INDEX('Control Panel'!$C$7:$N$25,MATCH('O&amp;M'!$D217,Indicies,0),MATCH('O&amp;M'!F$4,'Control Panel'!$C$6:$N$6,0))</f>
        <v>2.8840404751315222E-2</v>
      </c>
      <c r="G217" s="127">
        <f>INDEX('Control Panel'!$C$7:$N$25,MATCH('O&amp;M'!$D217,Indicies,0),MATCH('O&amp;M'!G$4,'Control Panel'!$C$6:$N$6,0))</f>
        <v>2.8840404751315222E-2</v>
      </c>
      <c r="H217" s="127">
        <f>INDEX('Control Panel'!$C$7:$N$25,MATCH('O&amp;M'!$D217,Indicies,0),MATCH('O&amp;M'!H$4,'Control Panel'!$C$6:$N$6,0))</f>
        <v>2.8840404751315222E-2</v>
      </c>
      <c r="I217" s="127">
        <f>INDEX('Control Panel'!$C$7:$N$25,MATCH('O&amp;M'!$D217,Indicies,0),MATCH('O&amp;M'!I$4,'Control Panel'!$C$6:$N$6,0))</f>
        <v>2.8840404751315222E-2</v>
      </c>
      <c r="J217" s="127">
        <f>INDEX('Control Panel'!$C$7:$N$25,MATCH('O&amp;M'!$D217,Indicies,0),MATCH('O&amp;M'!J$4,'Control Panel'!$C$6:$N$6,0))</f>
        <v>2.8840404751315222E-2</v>
      </c>
      <c r="K217" s="127">
        <f>INDEX('Control Panel'!$C$7:$N$25,MATCH('O&amp;M'!$D217,Indicies,0),MATCH('O&amp;M'!K$4,'Control Panel'!$C$6:$N$6,0))</f>
        <v>2.8840404751315222E-2</v>
      </c>
      <c r="L217" s="127">
        <f>INDEX('Control Panel'!$C$7:$N$25,MATCH('O&amp;M'!$D217,Indicies,0),MATCH('O&amp;M'!L$4,'Control Panel'!$C$6:$N$6,0))</f>
        <v>2.8840404751315222E-2</v>
      </c>
      <c r="M217" s="127">
        <f>INDEX('Control Panel'!$C$7:$N$25,MATCH('O&amp;M'!$D217,Indicies,0),MATCH('O&amp;M'!M$4,'Control Panel'!$C$6:$N$6,0))</f>
        <v>2.8840404751315222E-2</v>
      </c>
      <c r="N217" s="127">
        <f>INDEX('Control Panel'!$C$7:$N$25,MATCH('O&amp;M'!$D217,Indicies,0),MATCH('O&amp;M'!N$4,'Control Panel'!$C$6:$N$6,0))</f>
        <v>2.8840404751315222E-2</v>
      </c>
      <c r="O217" s="127">
        <f>INDEX('Control Panel'!$C$7:$N$25,MATCH('O&amp;M'!$D217,Indicies,0),MATCH('O&amp;M'!O$4,'Control Panel'!$C$6:$N$6,0))</f>
        <v>2.8840404751315222E-2</v>
      </c>
      <c r="P217" s="762">
        <v>400</v>
      </c>
      <c r="Q217" s="762">
        <v>23885</v>
      </c>
      <c r="R217" s="762">
        <v>25000</v>
      </c>
      <c r="S217" s="762">
        <v>12000</v>
      </c>
      <c r="T217" s="128">
        <f t="shared" si="197"/>
        <v>12346.084857015783</v>
      </c>
      <c r="U217" s="128">
        <f t="shared" si="196"/>
        <v>12702.150941386204</v>
      </c>
      <c r="V217" s="128">
        <f t="shared" si="196"/>
        <v>13068.486115748083</v>
      </c>
      <c r="W217" s="128">
        <f t="shared" si="196"/>
        <v>13445.386544813202</v>
      </c>
      <c r="X217" s="128">
        <f t="shared" si="196"/>
        <v>13833.156934803505</v>
      </c>
      <c r="Y217" s="128">
        <f t="shared" si="196"/>
        <v>14232.110779791703</v>
      </c>
      <c r="Z217" s="128">
        <f t="shared" si="196"/>
        <v>14642.570615146453</v>
      </c>
      <c r="AA217" s="128">
        <f t="shared" si="196"/>
        <v>15064.868278286993</v>
      </c>
      <c r="AB217" s="128">
        <f t="shared" si="196"/>
        <v>15499.345176958041</v>
      </c>
    </row>
    <row r="218" spans="2:28" x14ac:dyDescent="0.3">
      <c r="B218" s="179" t="s">
        <v>268</v>
      </c>
      <c r="C218" s="91" t="s">
        <v>220</v>
      </c>
      <c r="D218" s="126" t="s">
        <v>8</v>
      </c>
      <c r="E218" s="194">
        <v>1</v>
      </c>
      <c r="F218" s="127">
        <f>INDEX('Control Panel'!$C$7:$N$25,MATCH('O&amp;M'!$D218,Indicies,0),MATCH('O&amp;M'!F$4,'Control Panel'!$C$6:$N$6,0))</f>
        <v>2.8840404751315222E-2</v>
      </c>
      <c r="G218" s="127">
        <f>INDEX('Control Panel'!$C$7:$N$25,MATCH('O&amp;M'!$D218,Indicies,0),MATCH('O&amp;M'!G$4,'Control Panel'!$C$6:$N$6,0))</f>
        <v>2.8840404751315222E-2</v>
      </c>
      <c r="H218" s="127">
        <f>INDEX('Control Panel'!$C$7:$N$25,MATCH('O&amp;M'!$D218,Indicies,0),MATCH('O&amp;M'!H$4,'Control Panel'!$C$6:$N$6,0))</f>
        <v>2.8840404751315222E-2</v>
      </c>
      <c r="I218" s="127">
        <f>INDEX('Control Panel'!$C$7:$N$25,MATCH('O&amp;M'!$D218,Indicies,0),MATCH('O&amp;M'!I$4,'Control Panel'!$C$6:$N$6,0))</f>
        <v>2.8840404751315222E-2</v>
      </c>
      <c r="J218" s="127">
        <f>INDEX('Control Panel'!$C$7:$N$25,MATCH('O&amp;M'!$D218,Indicies,0),MATCH('O&amp;M'!J$4,'Control Panel'!$C$6:$N$6,0))</f>
        <v>2.8840404751315222E-2</v>
      </c>
      <c r="K218" s="127">
        <f>INDEX('Control Panel'!$C$7:$N$25,MATCH('O&amp;M'!$D218,Indicies,0),MATCH('O&amp;M'!K$4,'Control Panel'!$C$6:$N$6,0))</f>
        <v>2.8840404751315222E-2</v>
      </c>
      <c r="L218" s="127">
        <f>INDEX('Control Panel'!$C$7:$N$25,MATCH('O&amp;M'!$D218,Indicies,0),MATCH('O&amp;M'!L$4,'Control Panel'!$C$6:$N$6,0))</f>
        <v>2.8840404751315222E-2</v>
      </c>
      <c r="M218" s="127">
        <f>INDEX('Control Panel'!$C$7:$N$25,MATCH('O&amp;M'!$D218,Indicies,0),MATCH('O&amp;M'!M$4,'Control Panel'!$C$6:$N$6,0))</f>
        <v>2.8840404751315222E-2</v>
      </c>
      <c r="N218" s="127">
        <f>INDEX('Control Panel'!$C$7:$N$25,MATCH('O&amp;M'!$D218,Indicies,0),MATCH('O&amp;M'!N$4,'Control Panel'!$C$6:$N$6,0))</f>
        <v>2.8840404751315222E-2</v>
      </c>
      <c r="O218" s="127">
        <f>INDEX('Control Panel'!$C$7:$N$25,MATCH('O&amp;M'!$D218,Indicies,0),MATCH('O&amp;M'!O$4,'Control Panel'!$C$6:$N$6,0))</f>
        <v>2.8840404751315222E-2</v>
      </c>
      <c r="P218" s="762">
        <v>19197.009999999998</v>
      </c>
      <c r="Q218" s="762">
        <v>0</v>
      </c>
      <c r="R218" s="762">
        <v>25000</v>
      </c>
      <c r="S218" s="762">
        <v>25000</v>
      </c>
      <c r="T218" s="128">
        <f t="shared" si="197"/>
        <v>25721.010118782884</v>
      </c>
      <c r="U218" s="128">
        <f t="shared" si="196"/>
        <v>26462.81446122126</v>
      </c>
      <c r="V218" s="128">
        <f t="shared" si="196"/>
        <v>27226.012741141843</v>
      </c>
      <c r="W218" s="128">
        <f t="shared" si="196"/>
        <v>28011.221968360842</v>
      </c>
      <c r="X218" s="128">
        <f t="shared" si="196"/>
        <v>28819.076947507303</v>
      </c>
      <c r="Y218" s="128">
        <f t="shared" si="196"/>
        <v>29650.230791232716</v>
      </c>
      <c r="Z218" s="128">
        <f t="shared" si="196"/>
        <v>30505.355448221781</v>
      </c>
      <c r="AA218" s="128">
        <f t="shared" si="196"/>
        <v>31385.142246431238</v>
      </c>
      <c r="AB218" s="128">
        <f t="shared" si="196"/>
        <v>32290.302451995922</v>
      </c>
    </row>
    <row r="219" spans="2:28" x14ac:dyDescent="0.3">
      <c r="B219" s="179" t="s">
        <v>2010</v>
      </c>
      <c r="C219" s="91" t="s">
        <v>224</v>
      </c>
      <c r="D219" s="126" t="s">
        <v>8</v>
      </c>
      <c r="E219" s="194">
        <v>1</v>
      </c>
      <c r="F219" s="127">
        <f>INDEX('Control Panel'!$C$7:$N$25,MATCH('O&amp;M'!$D219,Indicies,0),MATCH('O&amp;M'!F$4,'Control Panel'!$C$6:$N$6,0))</f>
        <v>2.8840404751315222E-2</v>
      </c>
      <c r="G219" s="127">
        <f>INDEX('Control Panel'!$C$7:$N$25,MATCH('O&amp;M'!$D219,Indicies,0),MATCH('O&amp;M'!G$4,'Control Panel'!$C$6:$N$6,0))</f>
        <v>2.8840404751315222E-2</v>
      </c>
      <c r="H219" s="127">
        <f>INDEX('Control Panel'!$C$7:$N$25,MATCH('O&amp;M'!$D219,Indicies,0),MATCH('O&amp;M'!H$4,'Control Panel'!$C$6:$N$6,0))</f>
        <v>2.8840404751315222E-2</v>
      </c>
      <c r="I219" s="127">
        <f>INDEX('Control Panel'!$C$7:$N$25,MATCH('O&amp;M'!$D219,Indicies,0),MATCH('O&amp;M'!I$4,'Control Panel'!$C$6:$N$6,0))</f>
        <v>2.8840404751315222E-2</v>
      </c>
      <c r="J219" s="127">
        <f>INDEX('Control Panel'!$C$7:$N$25,MATCH('O&amp;M'!$D219,Indicies,0),MATCH('O&amp;M'!J$4,'Control Panel'!$C$6:$N$6,0))</f>
        <v>2.8840404751315222E-2</v>
      </c>
      <c r="K219" s="127">
        <f>INDEX('Control Panel'!$C$7:$N$25,MATCH('O&amp;M'!$D219,Indicies,0),MATCH('O&amp;M'!K$4,'Control Panel'!$C$6:$N$6,0))</f>
        <v>2.8840404751315222E-2</v>
      </c>
      <c r="L219" s="127">
        <f>INDEX('Control Panel'!$C$7:$N$25,MATCH('O&amp;M'!$D219,Indicies,0),MATCH('O&amp;M'!L$4,'Control Panel'!$C$6:$N$6,0))</f>
        <v>2.8840404751315222E-2</v>
      </c>
      <c r="M219" s="127">
        <f>INDEX('Control Panel'!$C$7:$N$25,MATCH('O&amp;M'!$D219,Indicies,0),MATCH('O&amp;M'!M$4,'Control Panel'!$C$6:$N$6,0))</f>
        <v>2.8840404751315222E-2</v>
      </c>
      <c r="N219" s="127">
        <f>INDEX('Control Panel'!$C$7:$N$25,MATCH('O&amp;M'!$D219,Indicies,0),MATCH('O&amp;M'!N$4,'Control Panel'!$C$6:$N$6,0))</f>
        <v>2.8840404751315222E-2</v>
      </c>
      <c r="O219" s="127">
        <f>INDEX('Control Panel'!$C$7:$N$25,MATCH('O&amp;M'!$D219,Indicies,0),MATCH('O&amp;M'!O$4,'Control Panel'!$C$6:$N$6,0))</f>
        <v>2.8840404751315222E-2</v>
      </c>
      <c r="P219" s="762">
        <v>0</v>
      </c>
      <c r="Q219" s="762">
        <v>0</v>
      </c>
      <c r="R219" s="762">
        <v>0</v>
      </c>
      <c r="S219" s="863">
        <v>2000</v>
      </c>
      <c r="T219" s="861">
        <f t="shared" si="197"/>
        <v>2057.6808095026308</v>
      </c>
      <c r="U219" s="128">
        <f t="shared" ref="U219" si="198">T219*(1+H219)</f>
        <v>2117.025156897701</v>
      </c>
      <c r="V219" s="128">
        <f t="shared" ref="V219" si="199">U219*(1+I219)</f>
        <v>2178.0810192913477</v>
      </c>
      <c r="W219" s="128">
        <f t="shared" ref="W219" si="200">V219*(1+J219)</f>
        <v>2240.8977574688674</v>
      </c>
      <c r="X219" s="128">
        <f t="shared" ref="X219" si="201">W219*(1+K219)</f>
        <v>2305.5261558005845</v>
      </c>
      <c r="Y219" s="128">
        <f t="shared" ref="Y219" si="202">X219*(1+L219)</f>
        <v>2372.0184632986175</v>
      </c>
      <c r="Z219" s="128">
        <f t="shared" ref="Z219" si="203">Y219*(1+M219)</f>
        <v>2440.4284358577424</v>
      </c>
      <c r="AA219" s="128">
        <f t="shared" ref="AA219" si="204">Z219*(1+N219)</f>
        <v>2510.8113797144993</v>
      </c>
      <c r="AB219" s="128">
        <f t="shared" ref="AB219" si="205">AA219*(1+O219)</f>
        <v>2583.2241961596737</v>
      </c>
    </row>
    <row r="220" spans="2:28" x14ac:dyDescent="0.3">
      <c r="B220" s="179" t="s">
        <v>269</v>
      </c>
      <c r="C220" s="91" t="s">
        <v>20</v>
      </c>
      <c r="D220" s="126" t="s">
        <v>8</v>
      </c>
      <c r="E220" s="194">
        <v>1</v>
      </c>
      <c r="F220" s="127">
        <f>INDEX('Control Panel'!$C$7:$N$25,MATCH('O&amp;M'!$D220,Indicies,0),MATCH('O&amp;M'!F$4,'Control Panel'!$C$6:$N$6,0))</f>
        <v>2.8840404751315222E-2</v>
      </c>
      <c r="G220" s="127">
        <f>INDEX('Control Panel'!$C$7:$N$25,MATCH('O&amp;M'!$D220,Indicies,0),MATCH('O&amp;M'!G$4,'Control Panel'!$C$6:$N$6,0))</f>
        <v>2.8840404751315222E-2</v>
      </c>
      <c r="H220" s="127">
        <f>INDEX('Control Panel'!$C$7:$N$25,MATCH('O&amp;M'!$D220,Indicies,0),MATCH('O&amp;M'!H$4,'Control Panel'!$C$6:$N$6,0))</f>
        <v>2.8840404751315222E-2</v>
      </c>
      <c r="I220" s="127">
        <f>INDEX('Control Panel'!$C$7:$N$25,MATCH('O&amp;M'!$D220,Indicies,0),MATCH('O&amp;M'!I$4,'Control Panel'!$C$6:$N$6,0))</f>
        <v>2.8840404751315222E-2</v>
      </c>
      <c r="J220" s="127">
        <f>INDEX('Control Panel'!$C$7:$N$25,MATCH('O&amp;M'!$D220,Indicies,0),MATCH('O&amp;M'!J$4,'Control Panel'!$C$6:$N$6,0))</f>
        <v>2.8840404751315222E-2</v>
      </c>
      <c r="K220" s="127">
        <f>INDEX('Control Panel'!$C$7:$N$25,MATCH('O&amp;M'!$D220,Indicies,0),MATCH('O&amp;M'!K$4,'Control Panel'!$C$6:$N$6,0))</f>
        <v>2.8840404751315222E-2</v>
      </c>
      <c r="L220" s="127">
        <f>INDEX('Control Panel'!$C$7:$N$25,MATCH('O&amp;M'!$D220,Indicies,0),MATCH('O&amp;M'!L$4,'Control Panel'!$C$6:$N$6,0))</f>
        <v>2.8840404751315222E-2</v>
      </c>
      <c r="M220" s="127">
        <f>INDEX('Control Panel'!$C$7:$N$25,MATCH('O&amp;M'!$D220,Indicies,0),MATCH('O&amp;M'!M$4,'Control Panel'!$C$6:$N$6,0))</f>
        <v>2.8840404751315222E-2</v>
      </c>
      <c r="N220" s="127">
        <f>INDEX('Control Panel'!$C$7:$N$25,MATCH('O&amp;M'!$D220,Indicies,0),MATCH('O&amp;M'!N$4,'Control Panel'!$C$6:$N$6,0))</f>
        <v>2.8840404751315222E-2</v>
      </c>
      <c r="O220" s="127">
        <f>INDEX('Control Panel'!$C$7:$N$25,MATCH('O&amp;M'!$D220,Indicies,0),MATCH('O&amp;M'!O$4,'Control Panel'!$C$6:$N$6,0))</f>
        <v>2.8840404751315222E-2</v>
      </c>
      <c r="P220" s="762">
        <v>0</v>
      </c>
      <c r="Q220" s="762">
        <v>95.08</v>
      </c>
      <c r="R220" s="762">
        <v>0</v>
      </c>
      <c r="S220" s="762">
        <v>0</v>
      </c>
      <c r="T220" s="128">
        <f t="shared" si="197"/>
        <v>0</v>
      </c>
      <c r="U220" s="128">
        <f t="shared" si="196"/>
        <v>0</v>
      </c>
      <c r="V220" s="128">
        <f t="shared" si="196"/>
        <v>0</v>
      </c>
      <c r="W220" s="128">
        <f t="shared" si="196"/>
        <v>0</v>
      </c>
      <c r="X220" s="128">
        <f t="shared" si="196"/>
        <v>0</v>
      </c>
      <c r="Y220" s="128">
        <f t="shared" si="196"/>
        <v>0</v>
      </c>
      <c r="Z220" s="128">
        <f t="shared" si="196"/>
        <v>0</v>
      </c>
      <c r="AA220" s="128">
        <f t="shared" si="196"/>
        <v>0</v>
      </c>
      <c r="AB220" s="128">
        <f t="shared" si="196"/>
        <v>0</v>
      </c>
    </row>
    <row r="221" spans="2:28" x14ac:dyDescent="0.3">
      <c r="B221" s="179" t="s">
        <v>270</v>
      </c>
      <c r="C221" s="91" t="s">
        <v>232</v>
      </c>
      <c r="D221" s="126" t="s">
        <v>7</v>
      </c>
      <c r="E221" s="194">
        <v>1</v>
      </c>
      <c r="F221" s="127">
        <f>INDEX('Control Panel'!$C$7:$N$25,MATCH('O&amp;M'!$D221,Indicies,0),MATCH('O&amp;M'!F$4,'Control Panel'!$C$6:$N$6,0))</f>
        <v>0.03</v>
      </c>
      <c r="G221" s="127">
        <f>INDEX('Control Panel'!$C$7:$N$25,MATCH('O&amp;M'!$D221,Indicies,0),MATCH('O&amp;M'!G$4,'Control Panel'!$C$6:$N$6,0))</f>
        <v>0.03</v>
      </c>
      <c r="H221" s="127">
        <f>INDEX('Control Panel'!$C$7:$N$25,MATCH('O&amp;M'!$D221,Indicies,0),MATCH('O&amp;M'!H$4,'Control Panel'!$C$6:$N$6,0))</f>
        <v>0.03</v>
      </c>
      <c r="I221" s="127">
        <f>INDEX('Control Panel'!$C$7:$N$25,MATCH('O&amp;M'!$D221,Indicies,0),MATCH('O&amp;M'!I$4,'Control Panel'!$C$6:$N$6,0))</f>
        <v>0.03</v>
      </c>
      <c r="J221" s="127">
        <f>INDEX('Control Panel'!$C$7:$N$25,MATCH('O&amp;M'!$D221,Indicies,0),MATCH('O&amp;M'!J$4,'Control Panel'!$C$6:$N$6,0))</f>
        <v>0.03</v>
      </c>
      <c r="K221" s="127">
        <f>INDEX('Control Panel'!$C$7:$N$25,MATCH('O&amp;M'!$D221,Indicies,0),MATCH('O&amp;M'!K$4,'Control Panel'!$C$6:$N$6,0))</f>
        <v>0.03</v>
      </c>
      <c r="L221" s="127">
        <f>INDEX('Control Panel'!$C$7:$N$25,MATCH('O&amp;M'!$D221,Indicies,0),MATCH('O&amp;M'!L$4,'Control Panel'!$C$6:$N$6,0))</f>
        <v>0.03</v>
      </c>
      <c r="M221" s="127">
        <f>INDEX('Control Panel'!$C$7:$N$25,MATCH('O&amp;M'!$D221,Indicies,0),MATCH('O&amp;M'!M$4,'Control Panel'!$C$6:$N$6,0))</f>
        <v>0.03</v>
      </c>
      <c r="N221" s="127">
        <f>INDEX('Control Panel'!$C$7:$N$25,MATCH('O&amp;M'!$D221,Indicies,0),MATCH('O&amp;M'!N$4,'Control Panel'!$C$6:$N$6,0))</f>
        <v>0.03</v>
      </c>
      <c r="O221" s="127">
        <f>INDEX('Control Panel'!$C$7:$N$25,MATCH('O&amp;M'!$D221,Indicies,0),MATCH('O&amp;M'!O$4,'Control Panel'!$C$6:$N$6,0))</f>
        <v>0.03</v>
      </c>
      <c r="P221" s="762">
        <v>1363.1</v>
      </c>
      <c r="Q221" s="762">
        <v>2781.61</v>
      </c>
      <c r="R221" s="762">
        <v>4500</v>
      </c>
      <c r="S221" s="762">
        <v>4500</v>
      </c>
      <c r="T221" s="128">
        <f t="shared" si="197"/>
        <v>4635</v>
      </c>
      <c r="U221" s="128">
        <f t="shared" si="196"/>
        <v>4774.05</v>
      </c>
      <c r="V221" s="128">
        <f t="shared" si="196"/>
        <v>4917.2715000000007</v>
      </c>
      <c r="W221" s="128">
        <f t="shared" si="196"/>
        <v>5064.7896450000007</v>
      </c>
      <c r="X221" s="128">
        <f t="shared" si="196"/>
        <v>5216.7333343500013</v>
      </c>
      <c r="Y221" s="128">
        <f t="shared" si="196"/>
        <v>5373.2353343805016</v>
      </c>
      <c r="Z221" s="128">
        <f t="shared" si="196"/>
        <v>5534.4323944119169</v>
      </c>
      <c r="AA221" s="128">
        <f t="shared" si="196"/>
        <v>5700.4653662442743</v>
      </c>
      <c r="AB221" s="128">
        <f t="shared" si="196"/>
        <v>5871.4793272316028</v>
      </c>
    </row>
    <row r="222" spans="2:28" x14ac:dyDescent="0.3">
      <c r="B222" s="179" t="s">
        <v>271</v>
      </c>
      <c r="C222" s="91" t="s">
        <v>234</v>
      </c>
      <c r="D222" s="126" t="s">
        <v>8</v>
      </c>
      <c r="E222" s="194">
        <v>1</v>
      </c>
      <c r="F222" s="127">
        <f>INDEX('Control Panel'!$C$7:$N$25,MATCH('O&amp;M'!$D222,Indicies,0),MATCH('O&amp;M'!F$4,'Control Panel'!$C$6:$N$6,0))</f>
        <v>2.8840404751315222E-2</v>
      </c>
      <c r="G222" s="127">
        <f>INDEX('Control Panel'!$C$7:$N$25,MATCH('O&amp;M'!$D222,Indicies,0),MATCH('O&amp;M'!G$4,'Control Panel'!$C$6:$N$6,0))</f>
        <v>2.8840404751315222E-2</v>
      </c>
      <c r="H222" s="127">
        <f>INDEX('Control Panel'!$C$7:$N$25,MATCH('O&amp;M'!$D222,Indicies,0),MATCH('O&amp;M'!H$4,'Control Panel'!$C$6:$N$6,0))</f>
        <v>2.8840404751315222E-2</v>
      </c>
      <c r="I222" s="127">
        <f>INDEX('Control Panel'!$C$7:$N$25,MATCH('O&amp;M'!$D222,Indicies,0),MATCH('O&amp;M'!I$4,'Control Panel'!$C$6:$N$6,0))</f>
        <v>2.8840404751315222E-2</v>
      </c>
      <c r="J222" s="127">
        <f>INDEX('Control Panel'!$C$7:$N$25,MATCH('O&amp;M'!$D222,Indicies,0),MATCH('O&amp;M'!J$4,'Control Panel'!$C$6:$N$6,0))</f>
        <v>2.8840404751315222E-2</v>
      </c>
      <c r="K222" s="127">
        <f>INDEX('Control Panel'!$C$7:$N$25,MATCH('O&amp;M'!$D222,Indicies,0),MATCH('O&amp;M'!K$4,'Control Panel'!$C$6:$N$6,0))</f>
        <v>2.8840404751315222E-2</v>
      </c>
      <c r="L222" s="127">
        <f>INDEX('Control Panel'!$C$7:$N$25,MATCH('O&amp;M'!$D222,Indicies,0),MATCH('O&amp;M'!L$4,'Control Panel'!$C$6:$N$6,0))</f>
        <v>2.8840404751315222E-2</v>
      </c>
      <c r="M222" s="127">
        <f>INDEX('Control Panel'!$C$7:$N$25,MATCH('O&amp;M'!$D222,Indicies,0),MATCH('O&amp;M'!M$4,'Control Panel'!$C$6:$N$6,0))</f>
        <v>2.8840404751315222E-2</v>
      </c>
      <c r="N222" s="127">
        <f>INDEX('Control Panel'!$C$7:$N$25,MATCH('O&amp;M'!$D222,Indicies,0),MATCH('O&amp;M'!N$4,'Control Panel'!$C$6:$N$6,0))</f>
        <v>2.8840404751315222E-2</v>
      </c>
      <c r="O222" s="127">
        <f>INDEX('Control Panel'!$C$7:$N$25,MATCH('O&amp;M'!$D222,Indicies,0),MATCH('O&amp;M'!O$4,'Control Panel'!$C$6:$N$6,0))</f>
        <v>2.8840404751315222E-2</v>
      </c>
      <c r="P222" s="762">
        <v>3170.98</v>
      </c>
      <c r="Q222" s="762">
        <v>365.64</v>
      </c>
      <c r="R222" s="762">
        <v>5300</v>
      </c>
      <c r="S222" s="762">
        <v>4500</v>
      </c>
      <c r="T222" s="128">
        <f t="shared" si="197"/>
        <v>4629.7818213809187</v>
      </c>
      <c r="U222" s="128">
        <f t="shared" si="196"/>
        <v>4763.3066030198261</v>
      </c>
      <c r="V222" s="128">
        <f t="shared" si="196"/>
        <v>4900.6822934055308</v>
      </c>
      <c r="W222" s="128">
        <f t="shared" si="196"/>
        <v>5042.0199543049503</v>
      </c>
      <c r="X222" s="128">
        <f t="shared" si="196"/>
        <v>5187.4338505513133</v>
      </c>
      <c r="Y222" s="128">
        <f t="shared" si="196"/>
        <v>5337.0415424218872</v>
      </c>
      <c r="Z222" s="128">
        <f t="shared" si="196"/>
        <v>5490.9639806799187</v>
      </c>
      <c r="AA222" s="128">
        <f t="shared" si="196"/>
        <v>5649.3256043576212</v>
      </c>
      <c r="AB222" s="128">
        <f t="shared" si="196"/>
        <v>5812.2544413592641</v>
      </c>
    </row>
    <row r="223" spans="2:28" x14ac:dyDescent="0.3">
      <c r="B223" s="179" t="s">
        <v>272</v>
      </c>
      <c r="C223" s="91" t="s">
        <v>238</v>
      </c>
      <c r="D223" s="126" t="s">
        <v>8</v>
      </c>
      <c r="E223" s="194">
        <v>1</v>
      </c>
      <c r="F223" s="127">
        <f>INDEX('Control Panel'!$C$7:$N$25,MATCH('O&amp;M'!$D223,Indicies,0),MATCH('O&amp;M'!F$4,'Control Panel'!$C$6:$N$6,0))</f>
        <v>2.8840404751315222E-2</v>
      </c>
      <c r="G223" s="127">
        <f>INDEX('Control Panel'!$C$7:$N$25,MATCH('O&amp;M'!$D223,Indicies,0),MATCH('O&amp;M'!G$4,'Control Panel'!$C$6:$N$6,0))</f>
        <v>2.8840404751315222E-2</v>
      </c>
      <c r="H223" s="127">
        <f>INDEX('Control Panel'!$C$7:$N$25,MATCH('O&amp;M'!$D223,Indicies,0),MATCH('O&amp;M'!H$4,'Control Panel'!$C$6:$N$6,0))</f>
        <v>2.8840404751315222E-2</v>
      </c>
      <c r="I223" s="127">
        <f>INDEX('Control Panel'!$C$7:$N$25,MATCH('O&amp;M'!$D223,Indicies,0),MATCH('O&amp;M'!I$4,'Control Panel'!$C$6:$N$6,0))</f>
        <v>2.8840404751315222E-2</v>
      </c>
      <c r="J223" s="127">
        <f>INDEX('Control Panel'!$C$7:$N$25,MATCH('O&amp;M'!$D223,Indicies,0),MATCH('O&amp;M'!J$4,'Control Panel'!$C$6:$N$6,0))</f>
        <v>2.8840404751315222E-2</v>
      </c>
      <c r="K223" s="127">
        <f>INDEX('Control Panel'!$C$7:$N$25,MATCH('O&amp;M'!$D223,Indicies,0),MATCH('O&amp;M'!K$4,'Control Panel'!$C$6:$N$6,0))</f>
        <v>2.8840404751315222E-2</v>
      </c>
      <c r="L223" s="127">
        <f>INDEX('Control Panel'!$C$7:$N$25,MATCH('O&amp;M'!$D223,Indicies,0),MATCH('O&amp;M'!L$4,'Control Panel'!$C$6:$N$6,0))</f>
        <v>2.8840404751315222E-2</v>
      </c>
      <c r="M223" s="127">
        <f>INDEX('Control Panel'!$C$7:$N$25,MATCH('O&amp;M'!$D223,Indicies,0),MATCH('O&amp;M'!M$4,'Control Panel'!$C$6:$N$6,0))</f>
        <v>2.8840404751315222E-2</v>
      </c>
      <c r="N223" s="127">
        <f>INDEX('Control Panel'!$C$7:$N$25,MATCH('O&amp;M'!$D223,Indicies,0),MATCH('O&amp;M'!N$4,'Control Panel'!$C$6:$N$6,0))</f>
        <v>2.8840404751315222E-2</v>
      </c>
      <c r="O223" s="127">
        <f>INDEX('Control Panel'!$C$7:$N$25,MATCH('O&amp;M'!$D223,Indicies,0),MATCH('O&amp;M'!O$4,'Control Panel'!$C$6:$N$6,0))</f>
        <v>2.8840404751315222E-2</v>
      </c>
      <c r="P223" s="762">
        <v>9344.23</v>
      </c>
      <c r="Q223" s="762">
        <v>12749.19</v>
      </c>
      <c r="R223" s="762">
        <v>20500</v>
      </c>
      <c r="S223" s="762">
        <v>12500</v>
      </c>
      <c r="T223" s="128">
        <f t="shared" si="197"/>
        <v>12860.505059391442</v>
      </c>
      <c r="U223" s="128">
        <f t="shared" si="196"/>
        <v>13231.40723061063</v>
      </c>
      <c r="V223" s="128">
        <f t="shared" si="196"/>
        <v>13613.006370570922</v>
      </c>
      <c r="W223" s="128">
        <f t="shared" si="196"/>
        <v>14005.610984180421</v>
      </c>
      <c r="X223" s="128">
        <f t="shared" si="196"/>
        <v>14409.538473753651</v>
      </c>
      <c r="Y223" s="128">
        <f t="shared" si="196"/>
        <v>14825.115395616358</v>
      </c>
      <c r="Z223" s="128">
        <f t="shared" si="196"/>
        <v>15252.67772411089</v>
      </c>
      <c r="AA223" s="128">
        <f t="shared" si="196"/>
        <v>15692.571123215619</v>
      </c>
      <c r="AB223" s="128">
        <f t="shared" si="196"/>
        <v>16145.151225997961</v>
      </c>
    </row>
    <row r="224" spans="2:28" x14ac:dyDescent="0.3">
      <c r="B224" s="179" t="s">
        <v>273</v>
      </c>
      <c r="C224" s="91" t="s">
        <v>274</v>
      </c>
      <c r="D224" s="126" t="s">
        <v>1480</v>
      </c>
      <c r="E224" s="194">
        <v>1</v>
      </c>
      <c r="F224" s="127">
        <f>INDEX('Control Panel'!$C$7:$N$25,MATCH('O&amp;M'!$D224,Indicies,0),MATCH('O&amp;M'!F$4,'Control Panel'!$C$6:$N$6,0))</f>
        <v>2.1452829087813895E-2</v>
      </c>
      <c r="G224" s="127">
        <f>INDEX('Control Panel'!$C$7:$N$25,MATCH('O&amp;M'!$D224,Indicies,0),MATCH('O&amp;M'!G$4,'Control Panel'!$C$6:$N$6,0))</f>
        <v>2.1452829087813895E-2</v>
      </c>
      <c r="H224" s="127">
        <f>INDEX('Control Panel'!$C$7:$N$25,MATCH('O&amp;M'!$D224,Indicies,0),MATCH('O&amp;M'!H$4,'Control Panel'!$C$6:$N$6,0))</f>
        <v>2.1452829087813895E-2</v>
      </c>
      <c r="I224" s="127">
        <f>INDEX('Control Panel'!$C$7:$N$25,MATCH('O&amp;M'!$D224,Indicies,0),MATCH('O&amp;M'!I$4,'Control Panel'!$C$6:$N$6,0))</f>
        <v>2.1452829087813895E-2</v>
      </c>
      <c r="J224" s="127">
        <f>INDEX('Control Panel'!$C$7:$N$25,MATCH('O&amp;M'!$D224,Indicies,0),MATCH('O&amp;M'!J$4,'Control Panel'!$C$6:$N$6,0))</f>
        <v>2.1452829087813895E-2</v>
      </c>
      <c r="K224" s="127">
        <f>INDEX('Control Panel'!$C$7:$N$25,MATCH('O&amp;M'!$D224,Indicies,0),MATCH('O&amp;M'!K$4,'Control Panel'!$C$6:$N$6,0))</f>
        <v>2.1452829087813895E-2</v>
      </c>
      <c r="L224" s="127">
        <f>INDEX('Control Panel'!$C$7:$N$25,MATCH('O&amp;M'!$D224,Indicies,0),MATCH('O&amp;M'!L$4,'Control Panel'!$C$6:$N$6,0))</f>
        <v>2.1452829087813895E-2</v>
      </c>
      <c r="M224" s="127">
        <f>INDEX('Control Panel'!$C$7:$N$25,MATCH('O&amp;M'!$D224,Indicies,0),MATCH('O&amp;M'!M$4,'Control Panel'!$C$6:$N$6,0))</f>
        <v>2.1452829087813895E-2</v>
      </c>
      <c r="N224" s="127">
        <f>INDEX('Control Panel'!$C$7:$N$25,MATCH('O&amp;M'!$D224,Indicies,0),MATCH('O&amp;M'!N$4,'Control Panel'!$C$6:$N$6,0))</f>
        <v>2.1452829087813895E-2</v>
      </c>
      <c r="O224" s="127">
        <f>INDEX('Control Panel'!$C$7:$N$25,MATCH('O&amp;M'!$D224,Indicies,0),MATCH('O&amp;M'!O$4,'Control Panel'!$C$6:$N$6,0))</f>
        <v>2.1452829087813895E-2</v>
      </c>
      <c r="P224" s="762">
        <v>6912.2</v>
      </c>
      <c r="Q224" s="762">
        <v>5931.94</v>
      </c>
      <c r="R224" s="762">
        <v>7000</v>
      </c>
      <c r="S224" s="762">
        <v>6000</v>
      </c>
      <c r="T224" s="128">
        <f t="shared" si="197"/>
        <v>6128.7169745268839</v>
      </c>
      <c r="U224" s="128">
        <f t="shared" si="196"/>
        <v>6260.1952923089939</v>
      </c>
      <c r="V224" s="128">
        <f t="shared" si="196"/>
        <v>6394.4941919712364</v>
      </c>
      <c r="W224" s="128">
        <f t="shared" si="196"/>
        <v>6531.6741829746143</v>
      </c>
      <c r="X224" s="128">
        <f t="shared" si="196"/>
        <v>6671.7970728792561</v>
      </c>
      <c r="Y224" s="128">
        <f t="shared" si="196"/>
        <v>6814.9259951923123</v>
      </c>
      <c r="Z224" s="128">
        <f t="shared" si="196"/>
        <v>6961.1254378132735</v>
      </c>
      <c r="AA224" s="128">
        <f t="shared" si="196"/>
        <v>7110.4612720895157</v>
      </c>
      <c r="AB224" s="128">
        <f t="shared" si="196"/>
        <v>7263.0007824951726</v>
      </c>
    </row>
    <row r="225" spans="1:28" x14ac:dyDescent="0.3">
      <c r="B225" s="179" t="s">
        <v>275</v>
      </c>
      <c r="C225" s="91" t="s">
        <v>242</v>
      </c>
      <c r="D225" s="126" t="s">
        <v>1480</v>
      </c>
      <c r="E225" s="194">
        <v>1</v>
      </c>
      <c r="F225" s="127">
        <f>INDEX('Control Panel'!$C$7:$N$25,MATCH('O&amp;M'!$D225,Indicies,0),MATCH('O&amp;M'!F$4,'Control Panel'!$C$6:$N$6,0))</f>
        <v>2.1452829087813895E-2</v>
      </c>
      <c r="G225" s="127">
        <f>INDEX('Control Panel'!$C$7:$N$25,MATCH('O&amp;M'!$D225,Indicies,0),MATCH('O&amp;M'!G$4,'Control Panel'!$C$6:$N$6,0))</f>
        <v>2.1452829087813895E-2</v>
      </c>
      <c r="H225" s="127">
        <f>INDEX('Control Panel'!$C$7:$N$25,MATCH('O&amp;M'!$D225,Indicies,0),MATCH('O&amp;M'!H$4,'Control Panel'!$C$6:$N$6,0))</f>
        <v>2.1452829087813895E-2</v>
      </c>
      <c r="I225" s="127">
        <f>INDEX('Control Panel'!$C$7:$N$25,MATCH('O&amp;M'!$D225,Indicies,0),MATCH('O&amp;M'!I$4,'Control Panel'!$C$6:$N$6,0))</f>
        <v>2.1452829087813895E-2</v>
      </c>
      <c r="J225" s="127">
        <f>INDEX('Control Panel'!$C$7:$N$25,MATCH('O&amp;M'!$D225,Indicies,0),MATCH('O&amp;M'!J$4,'Control Panel'!$C$6:$N$6,0))</f>
        <v>2.1452829087813895E-2</v>
      </c>
      <c r="K225" s="127">
        <f>INDEX('Control Panel'!$C$7:$N$25,MATCH('O&amp;M'!$D225,Indicies,0),MATCH('O&amp;M'!K$4,'Control Panel'!$C$6:$N$6,0))</f>
        <v>2.1452829087813895E-2</v>
      </c>
      <c r="L225" s="127">
        <f>INDEX('Control Panel'!$C$7:$N$25,MATCH('O&amp;M'!$D225,Indicies,0),MATCH('O&amp;M'!L$4,'Control Panel'!$C$6:$N$6,0))</f>
        <v>2.1452829087813895E-2</v>
      </c>
      <c r="M225" s="127">
        <f>INDEX('Control Panel'!$C$7:$N$25,MATCH('O&amp;M'!$D225,Indicies,0),MATCH('O&amp;M'!M$4,'Control Panel'!$C$6:$N$6,0))</f>
        <v>2.1452829087813895E-2</v>
      </c>
      <c r="N225" s="127">
        <f>INDEX('Control Panel'!$C$7:$N$25,MATCH('O&amp;M'!$D225,Indicies,0),MATCH('O&amp;M'!N$4,'Control Panel'!$C$6:$N$6,0))</f>
        <v>2.1452829087813895E-2</v>
      </c>
      <c r="O225" s="127">
        <f>INDEX('Control Panel'!$C$7:$N$25,MATCH('O&amp;M'!$D225,Indicies,0),MATCH('O&amp;M'!O$4,'Control Panel'!$C$6:$N$6,0))</f>
        <v>2.1452829087813895E-2</v>
      </c>
      <c r="P225" s="762">
        <v>1397.52</v>
      </c>
      <c r="Q225" s="762">
        <v>1837</v>
      </c>
      <c r="R225" s="762">
        <v>2500</v>
      </c>
      <c r="S225" s="762">
        <v>2500</v>
      </c>
      <c r="T225" s="128">
        <f t="shared" si="197"/>
        <v>2553.6320727195348</v>
      </c>
      <c r="U225" s="128">
        <f t="shared" si="196"/>
        <v>2608.4147051287473</v>
      </c>
      <c r="V225" s="128">
        <f t="shared" si="196"/>
        <v>2664.3725799880149</v>
      </c>
      <c r="W225" s="128">
        <f t="shared" si="196"/>
        <v>2721.5309095727557</v>
      </c>
      <c r="X225" s="128">
        <f t="shared" si="196"/>
        <v>2779.9154470330232</v>
      </c>
      <c r="Y225" s="128">
        <f t="shared" si="196"/>
        <v>2839.5524979967968</v>
      </c>
      <c r="Z225" s="128">
        <f t="shared" si="196"/>
        <v>2900.4689324221972</v>
      </c>
      <c r="AA225" s="128">
        <f t="shared" si="196"/>
        <v>2962.6921967039648</v>
      </c>
      <c r="AB225" s="128">
        <f t="shared" si="196"/>
        <v>3026.2503260396552</v>
      </c>
    </row>
    <row r="226" spans="1:28" x14ac:dyDescent="0.3">
      <c r="B226" s="179" t="s">
        <v>276</v>
      </c>
      <c r="C226" s="91" t="s">
        <v>244</v>
      </c>
      <c r="D226" s="126" t="s">
        <v>1480</v>
      </c>
      <c r="E226" s="194">
        <v>1</v>
      </c>
      <c r="F226" s="127">
        <f>INDEX('Control Panel'!$C$7:$N$25,MATCH('O&amp;M'!$D226,Indicies,0),MATCH('O&amp;M'!F$4,'Control Panel'!$C$6:$N$6,0))</f>
        <v>2.1452829087813895E-2</v>
      </c>
      <c r="G226" s="127">
        <f>INDEX('Control Panel'!$C$7:$N$25,MATCH('O&amp;M'!$D226,Indicies,0),MATCH('O&amp;M'!G$4,'Control Panel'!$C$6:$N$6,0))</f>
        <v>2.1452829087813895E-2</v>
      </c>
      <c r="H226" s="127">
        <f>INDEX('Control Panel'!$C$7:$N$25,MATCH('O&amp;M'!$D226,Indicies,0),MATCH('O&amp;M'!H$4,'Control Panel'!$C$6:$N$6,0))</f>
        <v>2.1452829087813895E-2</v>
      </c>
      <c r="I226" s="127">
        <f>INDEX('Control Panel'!$C$7:$N$25,MATCH('O&amp;M'!$D226,Indicies,0),MATCH('O&amp;M'!I$4,'Control Panel'!$C$6:$N$6,0))</f>
        <v>2.1452829087813895E-2</v>
      </c>
      <c r="J226" s="127">
        <f>INDEX('Control Panel'!$C$7:$N$25,MATCH('O&amp;M'!$D226,Indicies,0),MATCH('O&amp;M'!J$4,'Control Panel'!$C$6:$N$6,0))</f>
        <v>2.1452829087813895E-2</v>
      </c>
      <c r="K226" s="127">
        <f>INDEX('Control Panel'!$C$7:$N$25,MATCH('O&amp;M'!$D226,Indicies,0),MATCH('O&amp;M'!K$4,'Control Panel'!$C$6:$N$6,0))</f>
        <v>2.1452829087813895E-2</v>
      </c>
      <c r="L226" s="127">
        <f>INDEX('Control Panel'!$C$7:$N$25,MATCH('O&amp;M'!$D226,Indicies,0),MATCH('O&amp;M'!L$4,'Control Panel'!$C$6:$N$6,0))</f>
        <v>2.1452829087813895E-2</v>
      </c>
      <c r="M226" s="127">
        <f>INDEX('Control Panel'!$C$7:$N$25,MATCH('O&amp;M'!$D226,Indicies,0),MATCH('O&amp;M'!M$4,'Control Panel'!$C$6:$N$6,0))</f>
        <v>2.1452829087813895E-2</v>
      </c>
      <c r="N226" s="127">
        <f>INDEX('Control Panel'!$C$7:$N$25,MATCH('O&amp;M'!$D226,Indicies,0),MATCH('O&amp;M'!N$4,'Control Panel'!$C$6:$N$6,0))</f>
        <v>2.1452829087813895E-2</v>
      </c>
      <c r="O226" s="127">
        <f>INDEX('Control Panel'!$C$7:$N$25,MATCH('O&amp;M'!$D226,Indicies,0),MATCH('O&amp;M'!O$4,'Control Panel'!$C$6:$N$6,0))</f>
        <v>2.1452829087813895E-2</v>
      </c>
      <c r="P226" s="762">
        <v>4628.8599999999997</v>
      </c>
      <c r="Q226" s="762">
        <v>3398.79</v>
      </c>
      <c r="R226" s="762">
        <v>5000</v>
      </c>
      <c r="S226" s="762">
        <v>5000</v>
      </c>
      <c r="T226" s="128">
        <f t="shared" si="197"/>
        <v>5107.2641454390696</v>
      </c>
      <c r="U226" s="128">
        <f t="shared" si="196"/>
        <v>5216.8294102574946</v>
      </c>
      <c r="V226" s="128">
        <f t="shared" si="196"/>
        <v>5328.7451599760298</v>
      </c>
      <c r="W226" s="128">
        <f t="shared" si="196"/>
        <v>5443.0618191455114</v>
      </c>
      <c r="X226" s="128">
        <f t="shared" si="196"/>
        <v>5559.8308940660463</v>
      </c>
      <c r="Y226" s="128">
        <f t="shared" si="196"/>
        <v>5679.1049959935935</v>
      </c>
      <c r="Z226" s="128">
        <f t="shared" si="196"/>
        <v>5800.9378648443944</v>
      </c>
      <c r="AA226" s="128">
        <f t="shared" si="196"/>
        <v>5925.3843934079296</v>
      </c>
      <c r="AB226" s="128">
        <f t="shared" si="196"/>
        <v>6052.5006520793104</v>
      </c>
    </row>
    <row r="227" spans="1:28" x14ac:dyDescent="0.3">
      <c r="B227" s="179" t="s">
        <v>277</v>
      </c>
      <c r="C227" s="91" t="s">
        <v>248</v>
      </c>
      <c r="D227" s="126" t="s">
        <v>1480</v>
      </c>
      <c r="E227" s="194">
        <v>1</v>
      </c>
      <c r="F227" s="127">
        <f>INDEX('Control Panel'!$C$7:$N$25,MATCH('O&amp;M'!$D227,Indicies,0),MATCH('O&amp;M'!F$4,'Control Panel'!$C$6:$N$6,0))</f>
        <v>2.1452829087813895E-2</v>
      </c>
      <c r="G227" s="127">
        <f>INDEX('Control Panel'!$C$7:$N$25,MATCH('O&amp;M'!$D227,Indicies,0),MATCH('O&amp;M'!G$4,'Control Panel'!$C$6:$N$6,0))</f>
        <v>2.1452829087813895E-2</v>
      </c>
      <c r="H227" s="127">
        <f>INDEX('Control Panel'!$C$7:$N$25,MATCH('O&amp;M'!$D227,Indicies,0),MATCH('O&amp;M'!H$4,'Control Panel'!$C$6:$N$6,0))</f>
        <v>2.1452829087813895E-2</v>
      </c>
      <c r="I227" s="127">
        <f>INDEX('Control Panel'!$C$7:$N$25,MATCH('O&amp;M'!$D227,Indicies,0),MATCH('O&amp;M'!I$4,'Control Panel'!$C$6:$N$6,0))</f>
        <v>2.1452829087813895E-2</v>
      </c>
      <c r="J227" s="127">
        <f>INDEX('Control Panel'!$C$7:$N$25,MATCH('O&amp;M'!$D227,Indicies,0),MATCH('O&amp;M'!J$4,'Control Panel'!$C$6:$N$6,0))</f>
        <v>2.1452829087813895E-2</v>
      </c>
      <c r="K227" s="127">
        <f>INDEX('Control Panel'!$C$7:$N$25,MATCH('O&amp;M'!$D227,Indicies,0),MATCH('O&amp;M'!K$4,'Control Panel'!$C$6:$N$6,0))</f>
        <v>2.1452829087813895E-2</v>
      </c>
      <c r="L227" s="127">
        <f>INDEX('Control Panel'!$C$7:$N$25,MATCH('O&amp;M'!$D227,Indicies,0),MATCH('O&amp;M'!L$4,'Control Panel'!$C$6:$N$6,0))</f>
        <v>2.1452829087813895E-2</v>
      </c>
      <c r="M227" s="127">
        <f>INDEX('Control Panel'!$C$7:$N$25,MATCH('O&amp;M'!$D227,Indicies,0),MATCH('O&amp;M'!M$4,'Control Panel'!$C$6:$N$6,0))</f>
        <v>2.1452829087813895E-2</v>
      </c>
      <c r="N227" s="127">
        <f>INDEX('Control Panel'!$C$7:$N$25,MATCH('O&amp;M'!$D227,Indicies,0),MATCH('O&amp;M'!N$4,'Control Panel'!$C$6:$N$6,0))</f>
        <v>2.1452829087813895E-2</v>
      </c>
      <c r="O227" s="127">
        <f>INDEX('Control Panel'!$C$7:$N$25,MATCH('O&amp;M'!$D227,Indicies,0),MATCH('O&amp;M'!O$4,'Control Panel'!$C$6:$N$6,0))</f>
        <v>2.1452829087813895E-2</v>
      </c>
      <c r="P227" s="762">
        <v>1026.94</v>
      </c>
      <c r="Q227" s="762">
        <v>169.9</v>
      </c>
      <c r="R227" s="762">
        <v>1000</v>
      </c>
      <c r="S227" s="762">
        <v>1500</v>
      </c>
      <c r="T227" s="128">
        <f t="shared" si="197"/>
        <v>1532.179243631721</v>
      </c>
      <c r="U227" s="128">
        <f t="shared" si="196"/>
        <v>1565.0488230772485</v>
      </c>
      <c r="V227" s="128">
        <f t="shared" si="196"/>
        <v>1598.6235479928091</v>
      </c>
      <c r="W227" s="128">
        <f t="shared" si="196"/>
        <v>1632.9185457436536</v>
      </c>
      <c r="X227" s="128">
        <f t="shared" si="196"/>
        <v>1667.949268219814</v>
      </c>
      <c r="Y227" s="128">
        <f t="shared" si="196"/>
        <v>1703.7314987980781</v>
      </c>
      <c r="Z227" s="128">
        <f t="shared" si="196"/>
        <v>1740.2813594533184</v>
      </c>
      <c r="AA227" s="128">
        <f t="shared" si="196"/>
        <v>1777.6153180223789</v>
      </c>
      <c r="AB227" s="128">
        <f t="shared" si="196"/>
        <v>1815.7501956237932</v>
      </c>
    </row>
    <row r="228" spans="1:28" x14ac:dyDescent="0.3">
      <c r="B228" s="179" t="s">
        <v>278</v>
      </c>
      <c r="C228" s="91" t="s">
        <v>252</v>
      </c>
      <c r="D228" s="126" t="s">
        <v>8</v>
      </c>
      <c r="E228" s="194">
        <v>1</v>
      </c>
      <c r="F228" s="127">
        <f>INDEX('Control Panel'!$C$7:$N$25,MATCH('O&amp;M'!$D228,Indicies,0),MATCH('O&amp;M'!F$4,'Control Panel'!$C$6:$N$6,0))</f>
        <v>2.8840404751315222E-2</v>
      </c>
      <c r="G228" s="127">
        <f>INDEX('Control Panel'!$C$7:$N$25,MATCH('O&amp;M'!$D228,Indicies,0),MATCH('O&amp;M'!G$4,'Control Panel'!$C$6:$N$6,0))</f>
        <v>2.8840404751315222E-2</v>
      </c>
      <c r="H228" s="127">
        <f>INDEX('Control Panel'!$C$7:$N$25,MATCH('O&amp;M'!$D228,Indicies,0),MATCH('O&amp;M'!H$4,'Control Panel'!$C$6:$N$6,0))</f>
        <v>2.8840404751315222E-2</v>
      </c>
      <c r="I228" s="127">
        <f>INDEX('Control Panel'!$C$7:$N$25,MATCH('O&amp;M'!$D228,Indicies,0),MATCH('O&amp;M'!I$4,'Control Panel'!$C$6:$N$6,0))</f>
        <v>2.8840404751315222E-2</v>
      </c>
      <c r="J228" s="127">
        <f>INDEX('Control Panel'!$C$7:$N$25,MATCH('O&amp;M'!$D228,Indicies,0),MATCH('O&amp;M'!J$4,'Control Panel'!$C$6:$N$6,0))</f>
        <v>2.8840404751315222E-2</v>
      </c>
      <c r="K228" s="127">
        <f>INDEX('Control Panel'!$C$7:$N$25,MATCH('O&amp;M'!$D228,Indicies,0),MATCH('O&amp;M'!K$4,'Control Panel'!$C$6:$N$6,0))</f>
        <v>2.8840404751315222E-2</v>
      </c>
      <c r="L228" s="127">
        <f>INDEX('Control Panel'!$C$7:$N$25,MATCH('O&amp;M'!$D228,Indicies,0),MATCH('O&amp;M'!L$4,'Control Panel'!$C$6:$N$6,0))</f>
        <v>2.8840404751315222E-2</v>
      </c>
      <c r="M228" s="127">
        <f>INDEX('Control Panel'!$C$7:$N$25,MATCH('O&amp;M'!$D228,Indicies,0),MATCH('O&amp;M'!M$4,'Control Panel'!$C$6:$N$6,0))</f>
        <v>2.8840404751315222E-2</v>
      </c>
      <c r="N228" s="127">
        <f>INDEX('Control Panel'!$C$7:$N$25,MATCH('O&amp;M'!$D228,Indicies,0),MATCH('O&amp;M'!N$4,'Control Panel'!$C$6:$N$6,0))</f>
        <v>2.8840404751315222E-2</v>
      </c>
      <c r="O228" s="127">
        <f>INDEX('Control Panel'!$C$7:$N$25,MATCH('O&amp;M'!$D228,Indicies,0),MATCH('O&amp;M'!O$4,'Control Panel'!$C$6:$N$6,0))</f>
        <v>2.8840404751315222E-2</v>
      </c>
      <c r="P228" s="762">
        <v>1972.21</v>
      </c>
      <c r="Q228" s="762">
        <v>1502.55</v>
      </c>
      <c r="R228" s="762">
        <v>2500</v>
      </c>
      <c r="S228" s="762">
        <v>2500</v>
      </c>
      <c r="T228" s="128">
        <f t="shared" si="197"/>
        <v>2572.1010118782883</v>
      </c>
      <c r="U228" s="128">
        <f t="shared" si="196"/>
        <v>2646.281446122126</v>
      </c>
      <c r="V228" s="128">
        <f t="shared" si="196"/>
        <v>2722.601274114184</v>
      </c>
      <c r="W228" s="128">
        <f t="shared" si="196"/>
        <v>2801.1221968360837</v>
      </c>
      <c r="X228" s="128">
        <f t="shared" si="196"/>
        <v>2881.9076947507301</v>
      </c>
      <c r="Y228" s="128">
        <f t="shared" si="196"/>
        <v>2965.0230791232711</v>
      </c>
      <c r="Z228" s="128">
        <f t="shared" si="196"/>
        <v>3050.5355448221776</v>
      </c>
      <c r="AA228" s="128">
        <f t="shared" si="196"/>
        <v>3138.5142246431233</v>
      </c>
      <c r="AB228" s="128">
        <f t="shared" si="196"/>
        <v>3229.0302451995917</v>
      </c>
    </row>
    <row r="229" spans="1:28" x14ac:dyDescent="0.3">
      <c r="B229" s="179" t="s">
        <v>279</v>
      </c>
      <c r="C229" s="91" t="s">
        <v>280</v>
      </c>
      <c r="D229" s="126" t="s">
        <v>1480</v>
      </c>
      <c r="E229" s="194">
        <v>1</v>
      </c>
      <c r="F229" s="127">
        <f>INDEX('Control Panel'!$C$7:$N$25,MATCH('O&amp;M'!$D229,Indicies,0),MATCH('O&amp;M'!F$4,'Control Panel'!$C$6:$N$6,0))</f>
        <v>2.1452829087813895E-2</v>
      </c>
      <c r="G229" s="127">
        <f>INDEX('Control Panel'!$C$7:$N$25,MATCH('O&amp;M'!$D229,Indicies,0),MATCH('O&amp;M'!G$4,'Control Panel'!$C$6:$N$6,0))</f>
        <v>2.1452829087813895E-2</v>
      </c>
      <c r="H229" s="127">
        <f>INDEX('Control Panel'!$C$7:$N$25,MATCH('O&amp;M'!$D229,Indicies,0),MATCH('O&amp;M'!H$4,'Control Panel'!$C$6:$N$6,0))</f>
        <v>2.1452829087813895E-2</v>
      </c>
      <c r="I229" s="127">
        <f>INDEX('Control Panel'!$C$7:$N$25,MATCH('O&amp;M'!$D229,Indicies,0),MATCH('O&amp;M'!I$4,'Control Panel'!$C$6:$N$6,0))</f>
        <v>2.1452829087813895E-2</v>
      </c>
      <c r="J229" s="127">
        <f>INDEX('Control Panel'!$C$7:$N$25,MATCH('O&amp;M'!$D229,Indicies,0),MATCH('O&amp;M'!J$4,'Control Panel'!$C$6:$N$6,0))</f>
        <v>2.1452829087813895E-2</v>
      </c>
      <c r="K229" s="127">
        <f>INDEX('Control Panel'!$C$7:$N$25,MATCH('O&amp;M'!$D229,Indicies,0),MATCH('O&amp;M'!K$4,'Control Panel'!$C$6:$N$6,0))</f>
        <v>2.1452829087813895E-2</v>
      </c>
      <c r="L229" s="127">
        <f>INDEX('Control Panel'!$C$7:$N$25,MATCH('O&amp;M'!$D229,Indicies,0),MATCH('O&amp;M'!L$4,'Control Panel'!$C$6:$N$6,0))</f>
        <v>2.1452829087813895E-2</v>
      </c>
      <c r="M229" s="127">
        <f>INDEX('Control Panel'!$C$7:$N$25,MATCH('O&amp;M'!$D229,Indicies,0),MATCH('O&amp;M'!M$4,'Control Panel'!$C$6:$N$6,0))</f>
        <v>2.1452829087813895E-2</v>
      </c>
      <c r="N229" s="127">
        <f>INDEX('Control Panel'!$C$7:$N$25,MATCH('O&amp;M'!$D229,Indicies,0),MATCH('O&amp;M'!N$4,'Control Panel'!$C$6:$N$6,0))</f>
        <v>2.1452829087813895E-2</v>
      </c>
      <c r="O229" s="127">
        <f>INDEX('Control Panel'!$C$7:$N$25,MATCH('O&amp;M'!$D229,Indicies,0),MATCH('O&amp;M'!O$4,'Control Panel'!$C$6:$N$6,0))</f>
        <v>2.1452829087813895E-2</v>
      </c>
      <c r="P229" s="762">
        <v>6306.16</v>
      </c>
      <c r="Q229" s="762">
        <v>6577.4</v>
      </c>
      <c r="R229" s="762">
        <v>9000</v>
      </c>
      <c r="S229" s="762">
        <v>6500</v>
      </c>
      <c r="T229" s="128">
        <f t="shared" si="197"/>
        <v>6639.4433890707905</v>
      </c>
      <c r="U229" s="128">
        <f t="shared" si="196"/>
        <v>6781.8782333347426</v>
      </c>
      <c r="V229" s="128">
        <f t="shared" si="196"/>
        <v>6927.3687079688389</v>
      </c>
      <c r="W229" s="128">
        <f t="shared" si="196"/>
        <v>7075.9803648891648</v>
      </c>
      <c r="X229" s="128">
        <f t="shared" si="196"/>
        <v>7227.7801622858597</v>
      </c>
      <c r="Y229" s="128">
        <f t="shared" si="196"/>
        <v>7382.8364947916707</v>
      </c>
      <c r="Z229" s="128">
        <f t="shared" si="196"/>
        <v>7541.2192242977117</v>
      </c>
      <c r="AA229" s="128">
        <f t="shared" si="196"/>
        <v>7702.9997114303078</v>
      </c>
      <c r="AB229" s="128">
        <f t="shared" si="196"/>
        <v>7868.2508477031024</v>
      </c>
    </row>
    <row r="230" spans="1:28" x14ac:dyDescent="0.3">
      <c r="B230" s="179" t="s">
        <v>281</v>
      </c>
      <c r="C230" s="91" t="s">
        <v>254</v>
      </c>
      <c r="D230" s="126" t="s">
        <v>8</v>
      </c>
      <c r="E230" s="194">
        <v>1</v>
      </c>
      <c r="F230" s="127">
        <f>INDEX('Control Panel'!$C$7:$N$25,MATCH('O&amp;M'!$D230,Indicies,0),MATCH('O&amp;M'!F$4,'Control Panel'!$C$6:$N$6,0))</f>
        <v>2.8840404751315222E-2</v>
      </c>
      <c r="G230" s="127">
        <f>INDEX('Control Panel'!$C$7:$N$25,MATCH('O&amp;M'!$D230,Indicies,0),MATCH('O&amp;M'!G$4,'Control Panel'!$C$6:$N$6,0))</f>
        <v>2.8840404751315222E-2</v>
      </c>
      <c r="H230" s="127">
        <f>INDEX('Control Panel'!$C$7:$N$25,MATCH('O&amp;M'!$D230,Indicies,0),MATCH('O&amp;M'!H$4,'Control Panel'!$C$6:$N$6,0))</f>
        <v>2.8840404751315222E-2</v>
      </c>
      <c r="I230" s="127">
        <f>INDEX('Control Panel'!$C$7:$N$25,MATCH('O&amp;M'!$D230,Indicies,0),MATCH('O&amp;M'!I$4,'Control Panel'!$C$6:$N$6,0))</f>
        <v>2.8840404751315222E-2</v>
      </c>
      <c r="J230" s="127">
        <f>INDEX('Control Panel'!$C$7:$N$25,MATCH('O&amp;M'!$D230,Indicies,0),MATCH('O&amp;M'!J$4,'Control Panel'!$C$6:$N$6,0))</f>
        <v>2.8840404751315222E-2</v>
      </c>
      <c r="K230" s="127">
        <f>INDEX('Control Panel'!$C$7:$N$25,MATCH('O&amp;M'!$D230,Indicies,0),MATCH('O&amp;M'!K$4,'Control Panel'!$C$6:$N$6,0))</f>
        <v>2.8840404751315222E-2</v>
      </c>
      <c r="L230" s="127">
        <f>INDEX('Control Panel'!$C$7:$N$25,MATCH('O&amp;M'!$D230,Indicies,0),MATCH('O&amp;M'!L$4,'Control Panel'!$C$6:$N$6,0))</f>
        <v>2.8840404751315222E-2</v>
      </c>
      <c r="M230" s="127">
        <f>INDEX('Control Panel'!$C$7:$N$25,MATCH('O&amp;M'!$D230,Indicies,0),MATCH('O&amp;M'!M$4,'Control Panel'!$C$6:$N$6,0))</f>
        <v>2.8840404751315222E-2</v>
      </c>
      <c r="N230" s="127">
        <f>INDEX('Control Panel'!$C$7:$N$25,MATCH('O&amp;M'!$D230,Indicies,0),MATCH('O&amp;M'!N$4,'Control Panel'!$C$6:$N$6,0))</f>
        <v>2.8840404751315222E-2</v>
      </c>
      <c r="O230" s="127">
        <f>INDEX('Control Panel'!$C$7:$N$25,MATCH('O&amp;M'!$D230,Indicies,0),MATCH('O&amp;M'!O$4,'Control Panel'!$C$6:$N$6,0))</f>
        <v>2.8840404751315222E-2</v>
      </c>
      <c r="P230" s="762">
        <v>700</v>
      </c>
      <c r="Q230" s="762">
        <v>848.34</v>
      </c>
      <c r="R230" s="762">
        <v>4000</v>
      </c>
      <c r="S230" s="762">
        <v>4000</v>
      </c>
      <c r="T230" s="128">
        <f t="shared" si="197"/>
        <v>4115.3616190052617</v>
      </c>
      <c r="U230" s="128">
        <f t="shared" si="196"/>
        <v>4234.050313795402</v>
      </c>
      <c r="V230" s="128">
        <f t="shared" si="196"/>
        <v>4356.1620385826955</v>
      </c>
      <c r="W230" s="128">
        <f t="shared" si="196"/>
        <v>4481.7955149377349</v>
      </c>
      <c r="X230" s="128">
        <f t="shared" si="196"/>
        <v>4611.0523116011691</v>
      </c>
      <c r="Y230" s="128">
        <f t="shared" si="196"/>
        <v>4744.0369265972349</v>
      </c>
      <c r="Z230" s="128">
        <f t="shared" si="196"/>
        <v>4880.8568717154849</v>
      </c>
      <c r="AA230" s="128">
        <f t="shared" si="196"/>
        <v>5021.6227594289985</v>
      </c>
      <c r="AB230" s="128">
        <f t="shared" si="196"/>
        <v>5166.4483923193475</v>
      </c>
    </row>
    <row r="231" spans="1:28" x14ac:dyDescent="0.3">
      <c r="B231" s="179" t="s">
        <v>282</v>
      </c>
      <c r="C231" s="91" t="s">
        <v>261</v>
      </c>
      <c r="D231" s="126" t="s">
        <v>8</v>
      </c>
      <c r="E231" s="194">
        <v>1</v>
      </c>
      <c r="F231" s="127">
        <f>INDEX('Control Panel'!$C$7:$N$25,MATCH('O&amp;M'!$D231,Indicies,0),MATCH('O&amp;M'!F$4,'Control Panel'!$C$6:$N$6,0))</f>
        <v>2.8840404751315222E-2</v>
      </c>
      <c r="G231" s="127">
        <f>INDEX('Control Panel'!$C$7:$N$25,MATCH('O&amp;M'!$D231,Indicies,0),MATCH('O&amp;M'!G$4,'Control Panel'!$C$6:$N$6,0))</f>
        <v>2.8840404751315222E-2</v>
      </c>
      <c r="H231" s="127">
        <f>INDEX('Control Panel'!$C$7:$N$25,MATCH('O&amp;M'!$D231,Indicies,0),MATCH('O&amp;M'!H$4,'Control Panel'!$C$6:$N$6,0))</f>
        <v>2.8840404751315222E-2</v>
      </c>
      <c r="I231" s="127">
        <f>INDEX('Control Panel'!$C$7:$N$25,MATCH('O&amp;M'!$D231,Indicies,0),MATCH('O&amp;M'!I$4,'Control Panel'!$C$6:$N$6,0))</f>
        <v>2.8840404751315222E-2</v>
      </c>
      <c r="J231" s="127">
        <f>INDEX('Control Panel'!$C$7:$N$25,MATCH('O&amp;M'!$D231,Indicies,0),MATCH('O&amp;M'!J$4,'Control Panel'!$C$6:$N$6,0))</f>
        <v>2.8840404751315222E-2</v>
      </c>
      <c r="K231" s="127">
        <f>INDEX('Control Panel'!$C$7:$N$25,MATCH('O&amp;M'!$D231,Indicies,0),MATCH('O&amp;M'!K$4,'Control Panel'!$C$6:$N$6,0))</f>
        <v>2.8840404751315222E-2</v>
      </c>
      <c r="L231" s="127">
        <f>INDEX('Control Panel'!$C$7:$N$25,MATCH('O&amp;M'!$D231,Indicies,0),MATCH('O&amp;M'!L$4,'Control Panel'!$C$6:$N$6,0))</f>
        <v>2.8840404751315222E-2</v>
      </c>
      <c r="M231" s="127">
        <f>INDEX('Control Panel'!$C$7:$N$25,MATCH('O&amp;M'!$D231,Indicies,0),MATCH('O&amp;M'!M$4,'Control Panel'!$C$6:$N$6,0))</f>
        <v>2.8840404751315222E-2</v>
      </c>
      <c r="N231" s="127">
        <f>INDEX('Control Panel'!$C$7:$N$25,MATCH('O&amp;M'!$D231,Indicies,0),MATCH('O&amp;M'!N$4,'Control Panel'!$C$6:$N$6,0))</f>
        <v>2.8840404751315222E-2</v>
      </c>
      <c r="O231" s="127">
        <f>INDEX('Control Panel'!$C$7:$N$25,MATCH('O&amp;M'!$D231,Indicies,0),MATCH('O&amp;M'!O$4,'Control Panel'!$C$6:$N$6,0))</f>
        <v>2.8840404751315222E-2</v>
      </c>
      <c r="P231" s="762">
        <v>1617.7</v>
      </c>
      <c r="Q231" s="762">
        <v>3247.31</v>
      </c>
      <c r="R231" s="762">
        <v>3500</v>
      </c>
      <c r="S231" s="762">
        <v>3250</v>
      </c>
      <c r="T231" s="128">
        <f t="shared" si="197"/>
        <v>3343.7313154417748</v>
      </c>
      <c r="U231" s="128">
        <f t="shared" ref="U231" si="206">T231*(1+H231)</f>
        <v>3440.1658799587635</v>
      </c>
      <c r="V231" s="128">
        <f t="shared" ref="V231" si="207">U231*(1+I231)</f>
        <v>3539.3816563484393</v>
      </c>
      <c r="W231" s="128">
        <f t="shared" ref="W231" si="208">V231*(1+J231)</f>
        <v>3641.4588558869091</v>
      </c>
      <c r="X231" s="128">
        <f t="shared" ref="X231" si="209">W231*(1+K231)</f>
        <v>3746.4800031759492</v>
      </c>
      <c r="Y231" s="128">
        <f t="shared" ref="Y231" si="210">X231*(1+L231)</f>
        <v>3854.5300028602528</v>
      </c>
      <c r="Z231" s="128">
        <f t="shared" ref="Z231" si="211">Y231*(1+M231)</f>
        <v>3965.696208268831</v>
      </c>
      <c r="AA231" s="128">
        <f t="shared" ref="AA231" si="212">Z231*(1+N231)</f>
        <v>4080.0684920360604</v>
      </c>
      <c r="AB231" s="128">
        <f t="shared" ref="AB231" si="213">AA231*(1+O231)</f>
        <v>4197.7393187594689</v>
      </c>
    </row>
    <row r="232" spans="1:28" x14ac:dyDescent="0.3">
      <c r="C232" s="136" t="s">
        <v>283</v>
      </c>
      <c r="D232" s="134"/>
      <c r="E232" s="185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7">
        <f>SUM(P212:P231)</f>
        <v>99136.66</v>
      </c>
      <c r="Q232" s="137">
        <f t="shared" ref="Q232:AB232" si="214">SUM(Q212:Q231)</f>
        <v>90254.64999999998</v>
      </c>
      <c r="R232" s="137">
        <f t="shared" si="214"/>
        <v>185865</v>
      </c>
      <c r="S232" s="137">
        <f t="shared" si="214"/>
        <v>192810</v>
      </c>
      <c r="T232" s="137">
        <f t="shared" si="214"/>
        <v>146772.42397715032</v>
      </c>
      <c r="U232" s="137">
        <f>SUM(U212:U231)</f>
        <v>150845.8179420144</v>
      </c>
      <c r="V232" s="137">
        <f t="shared" si="214"/>
        <v>155033.31268765393</v>
      </c>
      <c r="W232" s="137">
        <f t="shared" si="214"/>
        <v>159338.12784692895</v>
      </c>
      <c r="X232" s="137">
        <f t="shared" si="214"/>
        <v>163763.57442469578</v>
      </c>
      <c r="Y232" s="137">
        <f t="shared" si="214"/>
        <v>168313.05740242649</v>
      </c>
      <c r="Z232" s="137">
        <f t="shared" si="214"/>
        <v>172990.07841732868</v>
      </c>
      <c r="AA232" s="137">
        <f t="shared" si="214"/>
        <v>177798.23851810044</v>
      </c>
      <c r="AB232" s="137">
        <f t="shared" si="214"/>
        <v>182741.24099951933</v>
      </c>
    </row>
    <row r="233" spans="1:28" x14ac:dyDescent="0.3">
      <c r="C233" s="131"/>
      <c r="D233" s="131"/>
      <c r="E233" s="185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x14ac:dyDescent="0.3">
      <c r="B234" s="132"/>
      <c r="C234" s="142" t="s">
        <v>1488</v>
      </c>
      <c r="D234" s="142"/>
      <c r="E234" s="186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3">
        <f>P232+P210+P166</f>
        <v>1541899.2987750317</v>
      </c>
      <c r="Q234" s="143">
        <f t="shared" ref="Q234:AB234" si="215">Q232+Q210+Q166</f>
        <v>1110788.3374999999</v>
      </c>
      <c r="R234" s="143">
        <f t="shared" si="215"/>
        <v>1343132.6</v>
      </c>
      <c r="S234" s="143">
        <f t="shared" si="215"/>
        <v>1263535.619465</v>
      </c>
      <c r="T234" s="143">
        <f t="shared" si="215"/>
        <v>1258850.3912375541</v>
      </c>
      <c r="U234" s="143">
        <f>U232+U210+U166</f>
        <v>1306082.6230100906</v>
      </c>
      <c r="V234" s="143">
        <f t="shared" si="215"/>
        <v>1355330.0612126112</v>
      </c>
      <c r="W234" s="143">
        <f t="shared" si="215"/>
        <v>1406696.6431072163</v>
      </c>
      <c r="X234" s="143">
        <f t="shared" si="215"/>
        <v>1460292.9688936626</v>
      </c>
      <c r="Y234" s="143">
        <f t="shared" si="215"/>
        <v>1516236.8144798349</v>
      </c>
      <c r="Z234" s="143">
        <f t="shared" si="215"/>
        <v>1574653.6886673693</v>
      </c>
      <c r="AA234" s="143">
        <f t="shared" si="215"/>
        <v>1635677.4388613196</v>
      </c>
      <c r="AB234" s="143">
        <f t="shared" si="215"/>
        <v>1699450.9098063414</v>
      </c>
    </row>
    <row r="235" spans="1:28" x14ac:dyDescent="0.3">
      <c r="B235" s="132"/>
      <c r="C235" s="177"/>
      <c r="D235" s="177"/>
      <c r="E235" s="18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8"/>
      <c r="Q235" s="144">
        <f>(Q234-P234)/P234</f>
        <v>-0.27959735218605369</v>
      </c>
      <c r="R235" s="144">
        <f>(R234-Q234)/Q234</f>
        <v>0.20917059952477238</v>
      </c>
      <c r="S235" s="144">
        <f>(S234-R234)/R234</f>
        <v>-5.9262190892395948E-2</v>
      </c>
      <c r="T235" s="144">
        <f t="shared" ref="T235" si="216">(T234-S234)/S234</f>
        <v>-3.7080301934263255E-3</v>
      </c>
      <c r="U235" s="144">
        <f t="shared" ref="U235" si="217">(U234-T234)/T234</f>
        <v>3.7520131146087356E-2</v>
      </c>
      <c r="V235" s="144">
        <f t="shared" ref="V235" si="218">(V234-U234)/U234</f>
        <v>3.7706219602724265E-2</v>
      </c>
      <c r="W235" s="144">
        <f t="shared" ref="W235" si="219">(W234-V234)/V234</f>
        <v>3.7899684633754531E-2</v>
      </c>
      <c r="X235" s="144">
        <f t="shared" ref="X235" si="220">(X234-W234)/W234</f>
        <v>3.810084146362834E-2</v>
      </c>
      <c r="Y235" s="144">
        <f t="shared" ref="Y235" si="221">(Y234-X234)/X234</f>
        <v>3.8310015029762216E-2</v>
      </c>
      <c r="Z235" s="144">
        <f t="shared" ref="Z235" si="222">(Z234-Y234)/Y234</f>
        <v>3.8527539781162169E-2</v>
      </c>
      <c r="AA235" s="144">
        <f t="shared" ref="AA235" si="223">(AA234-Z234)/Z234</f>
        <v>3.8753759403183249E-2</v>
      </c>
      <c r="AB235" s="144">
        <f t="shared" ref="AB235" si="224">(AB234-AA234)/AA234</f>
        <v>3.8989026460753702E-2</v>
      </c>
    </row>
    <row r="236" spans="1:28" x14ac:dyDescent="0.3">
      <c r="A236" s="125"/>
      <c r="B236" s="188" t="s">
        <v>70</v>
      </c>
      <c r="C236" s="91" t="s">
        <v>71</v>
      </c>
      <c r="D236" s="126" t="s">
        <v>5</v>
      </c>
      <c r="E236" s="172">
        <f t="shared" ref="E236:E270" si="225">(1-E5)/2</f>
        <v>0.15000000000000002</v>
      </c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8">
        <f t="shared" ref="P236:AB236" si="226">$E236*P350</f>
        <v>5559.241500000001</v>
      </c>
      <c r="Q236" s="128">
        <f t="shared" si="226"/>
        <v>687.60900000000015</v>
      </c>
      <c r="R236" s="128">
        <f t="shared" si="226"/>
        <v>0</v>
      </c>
      <c r="S236" s="128">
        <f t="shared" si="226"/>
        <v>0</v>
      </c>
      <c r="T236" s="128">
        <f t="shared" si="226"/>
        <v>0</v>
      </c>
      <c r="U236" s="128">
        <f t="shared" si="226"/>
        <v>0</v>
      </c>
      <c r="V236" s="128">
        <f t="shared" si="226"/>
        <v>0</v>
      </c>
      <c r="W236" s="128">
        <f t="shared" si="226"/>
        <v>0</v>
      </c>
      <c r="X236" s="128">
        <f t="shared" si="226"/>
        <v>0</v>
      </c>
      <c r="Y236" s="128">
        <f t="shared" si="226"/>
        <v>0</v>
      </c>
      <c r="Z236" s="128">
        <f t="shared" si="226"/>
        <v>0</v>
      </c>
      <c r="AA236" s="128">
        <f t="shared" si="226"/>
        <v>0</v>
      </c>
      <c r="AB236" s="128">
        <f t="shared" si="226"/>
        <v>0</v>
      </c>
    </row>
    <row r="237" spans="1:28" x14ac:dyDescent="0.3">
      <c r="B237" s="188" t="s">
        <v>72</v>
      </c>
      <c r="C237" s="91" t="s">
        <v>73</v>
      </c>
      <c r="D237" s="126" t="s">
        <v>5</v>
      </c>
      <c r="E237" s="172">
        <f t="shared" si="225"/>
        <v>0.15000000000000002</v>
      </c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8">
        <f t="shared" ref="P237:AB237" si="227">$E237*P351</f>
        <v>18166.050000000003</v>
      </c>
      <c r="Q237" s="128">
        <f t="shared" si="227"/>
        <v>17543.977500000005</v>
      </c>
      <c r="R237" s="128">
        <f t="shared" si="227"/>
        <v>16400.400000000001</v>
      </c>
      <c r="S237" s="861">
        <f t="shared" si="227"/>
        <v>26329.200000000004</v>
      </c>
      <c r="T237" s="128">
        <f t="shared" si="227"/>
        <v>27250.722000000002</v>
      </c>
      <c r="U237" s="128">
        <f t="shared" si="227"/>
        <v>28204.49727</v>
      </c>
      <c r="V237" s="128">
        <f t="shared" si="227"/>
        <v>29191.654674450001</v>
      </c>
      <c r="W237" s="128">
        <f t="shared" si="227"/>
        <v>30213.362588055752</v>
      </c>
      <c r="X237" s="128">
        <f t="shared" si="227"/>
        <v>31270.830278637703</v>
      </c>
      <c r="Y237" s="128">
        <f t="shared" si="227"/>
        <v>32365.30933839002</v>
      </c>
      <c r="Z237" s="128">
        <f t="shared" si="227"/>
        <v>33498.095165233666</v>
      </c>
      <c r="AA237" s="128">
        <f t="shared" si="227"/>
        <v>34670.528496016843</v>
      </c>
      <c r="AB237" s="128">
        <f t="shared" si="227"/>
        <v>35883.996993377426</v>
      </c>
    </row>
    <row r="238" spans="1:28" x14ac:dyDescent="0.3">
      <c r="B238" s="188" t="s">
        <v>74</v>
      </c>
      <c r="C238" s="91" t="s">
        <v>75</v>
      </c>
      <c r="D238" s="126" t="s">
        <v>5</v>
      </c>
      <c r="E238" s="172">
        <f t="shared" si="225"/>
        <v>0.15000000000000002</v>
      </c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8">
        <f t="shared" ref="P238:AB238" si="228">$E238*P352</f>
        <v>13760.364000000001</v>
      </c>
      <c r="Q238" s="128">
        <f t="shared" si="228"/>
        <v>15011.025000000001</v>
      </c>
      <c r="R238" s="128">
        <f t="shared" si="228"/>
        <v>14595.750000000002</v>
      </c>
      <c r="S238" s="128">
        <f t="shared" si="228"/>
        <v>0</v>
      </c>
      <c r="T238" s="128">
        <f t="shared" si="228"/>
        <v>0</v>
      </c>
      <c r="U238" s="128">
        <f t="shared" si="228"/>
        <v>0</v>
      </c>
      <c r="V238" s="128">
        <f t="shared" si="228"/>
        <v>0</v>
      </c>
      <c r="W238" s="128">
        <f t="shared" si="228"/>
        <v>0</v>
      </c>
      <c r="X238" s="128">
        <f t="shared" si="228"/>
        <v>0</v>
      </c>
      <c r="Y238" s="128">
        <f t="shared" si="228"/>
        <v>0</v>
      </c>
      <c r="Z238" s="128">
        <f t="shared" si="228"/>
        <v>0</v>
      </c>
      <c r="AA238" s="128">
        <f t="shared" si="228"/>
        <v>0</v>
      </c>
      <c r="AB238" s="128">
        <f t="shared" si="228"/>
        <v>0</v>
      </c>
    </row>
    <row r="239" spans="1:28" x14ac:dyDescent="0.3">
      <c r="B239" s="188" t="s">
        <v>76</v>
      </c>
      <c r="C239" s="91" t="s">
        <v>77</v>
      </c>
      <c r="D239" s="126" t="s">
        <v>5</v>
      </c>
      <c r="E239" s="172">
        <f t="shared" si="225"/>
        <v>0.15000000000000002</v>
      </c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8">
        <f t="shared" ref="P239:AB239" si="229">$E239*P353</f>
        <v>1.5750000000000002</v>
      </c>
      <c r="Q239" s="128">
        <f t="shared" si="229"/>
        <v>0</v>
      </c>
      <c r="R239" s="128">
        <f t="shared" si="229"/>
        <v>0</v>
      </c>
      <c r="S239" s="128">
        <f t="shared" si="229"/>
        <v>0</v>
      </c>
      <c r="T239" s="128">
        <f t="shared" si="229"/>
        <v>0</v>
      </c>
      <c r="U239" s="128">
        <f t="shared" si="229"/>
        <v>0</v>
      </c>
      <c r="V239" s="128">
        <f t="shared" si="229"/>
        <v>0</v>
      </c>
      <c r="W239" s="128">
        <f t="shared" si="229"/>
        <v>0</v>
      </c>
      <c r="X239" s="128">
        <f t="shared" si="229"/>
        <v>0</v>
      </c>
      <c r="Y239" s="128">
        <f t="shared" si="229"/>
        <v>0</v>
      </c>
      <c r="Z239" s="128">
        <f t="shared" si="229"/>
        <v>0</v>
      </c>
      <c r="AA239" s="128">
        <f t="shared" si="229"/>
        <v>0</v>
      </c>
      <c r="AB239" s="128">
        <f t="shared" si="229"/>
        <v>0</v>
      </c>
    </row>
    <row r="240" spans="1:28" x14ac:dyDescent="0.3">
      <c r="B240" s="188" t="s">
        <v>78</v>
      </c>
      <c r="C240" s="91" t="s">
        <v>79</v>
      </c>
      <c r="D240" s="126" t="s">
        <v>5</v>
      </c>
      <c r="E240" s="172">
        <f t="shared" si="225"/>
        <v>0.15000000000000002</v>
      </c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8">
        <f t="shared" ref="P240:AB240" si="230">$E240*P354</f>
        <v>225.00000000000003</v>
      </c>
      <c r="Q240" s="128">
        <f t="shared" si="230"/>
        <v>0</v>
      </c>
      <c r="R240" s="128">
        <f t="shared" si="230"/>
        <v>0</v>
      </c>
      <c r="S240" s="128">
        <f t="shared" si="230"/>
        <v>0</v>
      </c>
      <c r="T240" s="128">
        <f t="shared" si="230"/>
        <v>0</v>
      </c>
      <c r="U240" s="128">
        <f t="shared" si="230"/>
        <v>0</v>
      </c>
      <c r="V240" s="128">
        <f t="shared" si="230"/>
        <v>0</v>
      </c>
      <c r="W240" s="128">
        <f t="shared" si="230"/>
        <v>0</v>
      </c>
      <c r="X240" s="128">
        <f t="shared" si="230"/>
        <v>0</v>
      </c>
      <c r="Y240" s="128">
        <f t="shared" si="230"/>
        <v>0</v>
      </c>
      <c r="Z240" s="128">
        <f t="shared" si="230"/>
        <v>0</v>
      </c>
      <c r="AA240" s="128">
        <f t="shared" si="230"/>
        <v>0</v>
      </c>
      <c r="AB240" s="128">
        <f t="shared" si="230"/>
        <v>0</v>
      </c>
    </row>
    <row r="241" spans="2:28" x14ac:dyDescent="0.3">
      <c r="B241" s="188" t="s">
        <v>80</v>
      </c>
      <c r="C241" s="91" t="s">
        <v>81</v>
      </c>
      <c r="D241" s="126" t="s">
        <v>5</v>
      </c>
      <c r="E241" s="172">
        <f t="shared" si="225"/>
        <v>0.15000000000000002</v>
      </c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8">
        <f t="shared" ref="P241:AB241" si="231">$E241*P355</f>
        <v>0</v>
      </c>
      <c r="Q241" s="128">
        <f t="shared" si="231"/>
        <v>98.523000000000025</v>
      </c>
      <c r="R241" s="128">
        <f t="shared" si="231"/>
        <v>0</v>
      </c>
      <c r="S241" s="128">
        <f t="shared" si="231"/>
        <v>0</v>
      </c>
      <c r="T241" s="128">
        <f t="shared" si="231"/>
        <v>0</v>
      </c>
      <c r="U241" s="128">
        <f t="shared" si="231"/>
        <v>0</v>
      </c>
      <c r="V241" s="128">
        <f t="shared" si="231"/>
        <v>0</v>
      </c>
      <c r="W241" s="128">
        <f t="shared" si="231"/>
        <v>0</v>
      </c>
      <c r="X241" s="128">
        <f t="shared" si="231"/>
        <v>0</v>
      </c>
      <c r="Y241" s="128">
        <f t="shared" si="231"/>
        <v>0</v>
      </c>
      <c r="Z241" s="128">
        <f t="shared" si="231"/>
        <v>0</v>
      </c>
      <c r="AA241" s="128">
        <f t="shared" si="231"/>
        <v>0</v>
      </c>
      <c r="AB241" s="128">
        <f t="shared" si="231"/>
        <v>0</v>
      </c>
    </row>
    <row r="242" spans="2:28" x14ac:dyDescent="0.3">
      <c r="B242" s="188" t="s">
        <v>82</v>
      </c>
      <c r="C242" s="91" t="s">
        <v>83</v>
      </c>
      <c r="D242" s="126" t="s">
        <v>5</v>
      </c>
      <c r="E242" s="172">
        <f t="shared" si="225"/>
        <v>0.15000000000000002</v>
      </c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8">
        <f t="shared" ref="P242:AB242" si="232">$E242*P356</f>
        <v>2313.6225000000004</v>
      </c>
      <c r="Q242" s="128">
        <f t="shared" si="232"/>
        <v>1919.0010000000002</v>
      </c>
      <c r="R242" s="128">
        <f t="shared" si="232"/>
        <v>1921.6500000000003</v>
      </c>
      <c r="S242" s="128">
        <f t="shared" si="232"/>
        <v>1632.3000000000002</v>
      </c>
      <c r="T242" s="128">
        <f t="shared" si="232"/>
        <v>1689.4305000000002</v>
      </c>
      <c r="U242" s="128">
        <f t="shared" si="232"/>
        <v>1748.5605674999999</v>
      </c>
      <c r="V242" s="128">
        <f t="shared" si="232"/>
        <v>1809.7601873624997</v>
      </c>
      <c r="W242" s="128">
        <f t="shared" si="232"/>
        <v>1873.101793920187</v>
      </c>
      <c r="X242" s="128">
        <f t="shared" si="232"/>
        <v>1938.6603567073935</v>
      </c>
      <c r="Y242" s="128">
        <f t="shared" si="232"/>
        <v>2006.5134691921523</v>
      </c>
      <c r="Z242" s="128">
        <f t="shared" si="232"/>
        <v>2076.7414406138773</v>
      </c>
      <c r="AA242" s="128">
        <f t="shared" si="232"/>
        <v>2149.4273910353631</v>
      </c>
      <c r="AB242" s="128">
        <f t="shared" si="232"/>
        <v>2224.6573497216004</v>
      </c>
    </row>
    <row r="243" spans="2:28" x14ac:dyDescent="0.3">
      <c r="B243" s="188" t="s">
        <v>84</v>
      </c>
      <c r="C243" s="91" t="s">
        <v>85</v>
      </c>
      <c r="D243" s="126" t="s">
        <v>5</v>
      </c>
      <c r="E243" s="172">
        <f t="shared" si="225"/>
        <v>0.15000000000000002</v>
      </c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8">
        <f t="shared" ref="P243:AB243" si="233">$E243*P357</f>
        <v>3496.5255000000002</v>
      </c>
      <c r="Q243" s="128">
        <f t="shared" si="233"/>
        <v>3666.8625000000006</v>
      </c>
      <c r="R243" s="128">
        <f t="shared" si="233"/>
        <v>3115.0500000000006</v>
      </c>
      <c r="S243" s="128">
        <f t="shared" si="233"/>
        <v>3243.7500000000005</v>
      </c>
      <c r="T243" s="128">
        <f t="shared" si="233"/>
        <v>3357.2812500000005</v>
      </c>
      <c r="U243" s="128">
        <f t="shared" si="233"/>
        <v>3474.7860937500004</v>
      </c>
      <c r="V243" s="128">
        <f t="shared" si="233"/>
        <v>3596.4036070312504</v>
      </c>
      <c r="W243" s="128">
        <f t="shared" si="233"/>
        <v>3722.2777332773439</v>
      </c>
      <c r="X243" s="128">
        <f t="shared" si="233"/>
        <v>3852.5574539420504</v>
      </c>
      <c r="Y243" s="128">
        <f t="shared" si="233"/>
        <v>3987.3969648300222</v>
      </c>
      <c r="Z243" s="128">
        <f t="shared" si="233"/>
        <v>4126.9558585990726</v>
      </c>
      <c r="AA243" s="128">
        <f t="shared" si="233"/>
        <v>4271.3993136500403</v>
      </c>
      <c r="AB243" s="128">
        <f t="shared" si="233"/>
        <v>4420.8982896277912</v>
      </c>
    </row>
    <row r="244" spans="2:28" x14ac:dyDescent="0.3">
      <c r="B244" s="188" t="s">
        <v>86</v>
      </c>
      <c r="C244" s="91" t="s">
        <v>87</v>
      </c>
      <c r="D244" s="126" t="s">
        <v>6</v>
      </c>
      <c r="E244" s="172">
        <f t="shared" si="225"/>
        <v>0.15000000000000002</v>
      </c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8">
        <f t="shared" ref="P244:AB244" si="234">$E244*P358</f>
        <v>4460.3205000000007</v>
      </c>
      <c r="Q244" s="128">
        <f t="shared" si="234"/>
        <v>3186.4230000000002</v>
      </c>
      <c r="R244" s="128">
        <f t="shared" si="234"/>
        <v>3338.2500000000005</v>
      </c>
      <c r="S244" s="128">
        <f t="shared" si="234"/>
        <v>4996.2000000000007</v>
      </c>
      <c r="T244" s="128">
        <f t="shared" si="234"/>
        <v>5295.9720000000016</v>
      </c>
      <c r="U244" s="128">
        <f t="shared" si="234"/>
        <v>5613.7303200000015</v>
      </c>
      <c r="V244" s="128">
        <f t="shared" si="234"/>
        <v>5950.5541392000023</v>
      </c>
      <c r="W244" s="128">
        <f t="shared" si="234"/>
        <v>6307.5873875520028</v>
      </c>
      <c r="X244" s="128">
        <f t="shared" si="234"/>
        <v>6686.0426308051237</v>
      </c>
      <c r="Y244" s="128">
        <f t="shared" si="234"/>
        <v>7087.2051886534318</v>
      </c>
      <c r="Z244" s="128">
        <f t="shared" si="234"/>
        <v>7512.4374999726388</v>
      </c>
      <c r="AA244" s="128">
        <f t="shared" si="234"/>
        <v>7963.1837499709964</v>
      </c>
      <c r="AB244" s="128">
        <f t="shared" si="234"/>
        <v>8440.974774969256</v>
      </c>
    </row>
    <row r="245" spans="2:28" x14ac:dyDescent="0.3">
      <c r="B245" s="188" t="s">
        <v>88</v>
      </c>
      <c r="C245" s="91" t="s">
        <v>89</v>
      </c>
      <c r="D245" s="126" t="s">
        <v>6</v>
      </c>
      <c r="E245" s="172">
        <f t="shared" si="225"/>
        <v>0.15000000000000002</v>
      </c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8">
        <f t="shared" ref="P245:AB245" si="235">$E245*P359</f>
        <v>541.03800000000012</v>
      </c>
      <c r="Q245" s="128">
        <f t="shared" si="235"/>
        <v>448.90650000000005</v>
      </c>
      <c r="R245" s="128">
        <f t="shared" si="235"/>
        <v>449.40000000000009</v>
      </c>
      <c r="S245" s="128">
        <f t="shared" si="235"/>
        <v>381.90000000000003</v>
      </c>
      <c r="T245" s="128">
        <f t="shared" si="235"/>
        <v>404.81400000000008</v>
      </c>
      <c r="U245" s="128">
        <f t="shared" si="235"/>
        <v>429.10284000000013</v>
      </c>
      <c r="V245" s="128">
        <f t="shared" si="235"/>
        <v>454.84901040000011</v>
      </c>
      <c r="W245" s="128">
        <f t="shared" si="235"/>
        <v>482.1399510240002</v>
      </c>
      <c r="X245" s="128">
        <f t="shared" si="235"/>
        <v>511.06834808544022</v>
      </c>
      <c r="Y245" s="128">
        <f t="shared" si="235"/>
        <v>541.73244897056668</v>
      </c>
      <c r="Z245" s="128">
        <f t="shared" si="235"/>
        <v>574.23639590880066</v>
      </c>
      <c r="AA245" s="128">
        <f t="shared" si="235"/>
        <v>608.69057966332878</v>
      </c>
      <c r="AB245" s="128">
        <f t="shared" si="235"/>
        <v>645.21201444312862</v>
      </c>
    </row>
    <row r="246" spans="2:28" x14ac:dyDescent="0.3">
      <c r="B246" s="188" t="s">
        <v>90</v>
      </c>
      <c r="C246" s="91" t="s">
        <v>91</v>
      </c>
      <c r="D246" s="126" t="s">
        <v>5</v>
      </c>
      <c r="E246" s="172">
        <f t="shared" si="225"/>
        <v>0.15000000000000002</v>
      </c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8">
        <f t="shared" ref="P246:AB246" si="236">$E246*P360</f>
        <v>34.500000000000007</v>
      </c>
      <c r="Q246" s="128">
        <f t="shared" si="236"/>
        <v>0</v>
      </c>
      <c r="R246" s="128">
        <f t="shared" si="236"/>
        <v>0</v>
      </c>
      <c r="S246" s="128">
        <f t="shared" si="236"/>
        <v>0</v>
      </c>
      <c r="T246" s="128">
        <f t="shared" si="236"/>
        <v>0</v>
      </c>
      <c r="U246" s="128">
        <f t="shared" si="236"/>
        <v>0</v>
      </c>
      <c r="V246" s="128">
        <f t="shared" si="236"/>
        <v>0</v>
      </c>
      <c r="W246" s="128">
        <f t="shared" si="236"/>
        <v>0</v>
      </c>
      <c r="X246" s="128">
        <f t="shared" si="236"/>
        <v>0</v>
      </c>
      <c r="Y246" s="128">
        <f t="shared" si="236"/>
        <v>0</v>
      </c>
      <c r="Z246" s="128">
        <f t="shared" si="236"/>
        <v>0</v>
      </c>
      <c r="AA246" s="128">
        <f t="shared" si="236"/>
        <v>0</v>
      </c>
      <c r="AB246" s="128">
        <f t="shared" si="236"/>
        <v>0</v>
      </c>
    </row>
    <row r="247" spans="2:28" x14ac:dyDescent="0.3">
      <c r="B247" s="188" t="s">
        <v>92</v>
      </c>
      <c r="C247" s="91" t="s">
        <v>93</v>
      </c>
      <c r="D247" s="126" t="s">
        <v>1480</v>
      </c>
      <c r="E247" s="172">
        <f t="shared" si="225"/>
        <v>0.15000000000000002</v>
      </c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8">
        <f t="shared" ref="P247:AB247" si="237">$E247*P361</f>
        <v>84.15</v>
      </c>
      <c r="Q247" s="128">
        <f t="shared" si="237"/>
        <v>0</v>
      </c>
      <c r="R247" s="128">
        <f t="shared" si="237"/>
        <v>0</v>
      </c>
      <c r="S247" s="128">
        <f t="shared" si="237"/>
        <v>0</v>
      </c>
      <c r="T247" s="128">
        <f t="shared" si="237"/>
        <v>0</v>
      </c>
      <c r="U247" s="128">
        <f t="shared" si="237"/>
        <v>0</v>
      </c>
      <c r="V247" s="128">
        <f t="shared" si="237"/>
        <v>0</v>
      </c>
      <c r="W247" s="128">
        <f t="shared" si="237"/>
        <v>0</v>
      </c>
      <c r="X247" s="128">
        <f t="shared" si="237"/>
        <v>0</v>
      </c>
      <c r="Y247" s="128">
        <f t="shared" si="237"/>
        <v>0</v>
      </c>
      <c r="Z247" s="128">
        <f t="shared" si="237"/>
        <v>0</v>
      </c>
      <c r="AA247" s="128">
        <f t="shared" si="237"/>
        <v>0</v>
      </c>
      <c r="AB247" s="128">
        <f t="shared" si="237"/>
        <v>0</v>
      </c>
    </row>
    <row r="248" spans="2:28" x14ac:dyDescent="0.3">
      <c r="B248" s="188" t="s">
        <v>94</v>
      </c>
      <c r="C248" s="91" t="s">
        <v>95</v>
      </c>
      <c r="D248" s="126" t="s">
        <v>7</v>
      </c>
      <c r="E248" s="172">
        <f t="shared" si="225"/>
        <v>0.15000000000000002</v>
      </c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8">
        <f t="shared" ref="P248:AB248" si="238">$E248*P362</f>
        <v>5.8125000000000009</v>
      </c>
      <c r="Q248" s="128">
        <f t="shared" si="238"/>
        <v>0</v>
      </c>
      <c r="R248" s="128">
        <f t="shared" si="238"/>
        <v>7.5000000000000009</v>
      </c>
      <c r="S248" s="128">
        <f t="shared" si="238"/>
        <v>0</v>
      </c>
      <c r="T248" s="128">
        <f t="shared" si="238"/>
        <v>0</v>
      </c>
      <c r="U248" s="128">
        <f t="shared" si="238"/>
        <v>0</v>
      </c>
      <c r="V248" s="128">
        <f t="shared" si="238"/>
        <v>0</v>
      </c>
      <c r="W248" s="128">
        <f t="shared" si="238"/>
        <v>0</v>
      </c>
      <c r="X248" s="128">
        <f t="shared" si="238"/>
        <v>0</v>
      </c>
      <c r="Y248" s="128">
        <f t="shared" si="238"/>
        <v>0</v>
      </c>
      <c r="Z248" s="128">
        <f t="shared" si="238"/>
        <v>0</v>
      </c>
      <c r="AA248" s="128">
        <f t="shared" si="238"/>
        <v>0</v>
      </c>
      <c r="AB248" s="128">
        <f t="shared" si="238"/>
        <v>0</v>
      </c>
    </row>
    <row r="249" spans="2:28" x14ac:dyDescent="0.3">
      <c r="B249" s="188" t="s">
        <v>96</v>
      </c>
      <c r="C249" s="91" t="s">
        <v>97</v>
      </c>
      <c r="D249" s="126" t="s">
        <v>7</v>
      </c>
      <c r="E249" s="172">
        <f t="shared" si="225"/>
        <v>0.15000000000000002</v>
      </c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8">
        <f t="shared" ref="P249:AB249" si="239">$E249*P363</f>
        <v>2369.9190000000003</v>
      </c>
      <c r="Q249" s="128">
        <f t="shared" si="239"/>
        <v>3234.6945000000005</v>
      </c>
      <c r="R249" s="128">
        <f t="shared" si="239"/>
        <v>2475.0000000000005</v>
      </c>
      <c r="S249" s="128">
        <f t="shared" si="239"/>
        <v>3325.5000000000005</v>
      </c>
      <c r="T249" s="128">
        <f t="shared" si="239"/>
        <v>3425.2650000000008</v>
      </c>
      <c r="U249" s="128">
        <f t="shared" si="239"/>
        <v>3528.0229500000009</v>
      </c>
      <c r="V249" s="128">
        <f t="shared" si="239"/>
        <v>3633.8636385000009</v>
      </c>
      <c r="W249" s="128">
        <f t="shared" si="239"/>
        <v>3742.8795476550008</v>
      </c>
      <c r="X249" s="128">
        <f t="shared" si="239"/>
        <v>3855.1659340846513</v>
      </c>
      <c r="Y249" s="128">
        <f t="shared" si="239"/>
        <v>3970.8209121071909</v>
      </c>
      <c r="Z249" s="128">
        <f t="shared" si="239"/>
        <v>4089.9455394704069</v>
      </c>
      <c r="AA249" s="128">
        <f t="shared" si="239"/>
        <v>4212.6439056545187</v>
      </c>
      <c r="AB249" s="128">
        <f t="shared" si="239"/>
        <v>4339.0232228241548</v>
      </c>
    </row>
    <row r="250" spans="2:28" x14ac:dyDescent="0.3">
      <c r="B250" s="188" t="s">
        <v>98</v>
      </c>
      <c r="C250" s="91" t="s">
        <v>99</v>
      </c>
      <c r="D250" s="126" t="s">
        <v>7</v>
      </c>
      <c r="E250" s="172">
        <f t="shared" si="225"/>
        <v>0.15000000000000002</v>
      </c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8">
        <f t="shared" ref="P250:AB250" si="240">$E250*P364</f>
        <v>8561.2965000000004</v>
      </c>
      <c r="Q250" s="128">
        <f t="shared" si="240"/>
        <v>11881.468500000001</v>
      </c>
      <c r="R250" s="128">
        <f t="shared" si="240"/>
        <v>11146.350000000002</v>
      </c>
      <c r="S250" s="128">
        <f t="shared" si="240"/>
        <v>11146.350000000002</v>
      </c>
      <c r="T250" s="128">
        <f t="shared" si="240"/>
        <v>11480.740500000002</v>
      </c>
      <c r="U250" s="128">
        <f t="shared" si="240"/>
        <v>11825.162715000004</v>
      </c>
      <c r="V250" s="128">
        <f t="shared" si="240"/>
        <v>12179.917596450005</v>
      </c>
      <c r="W250" s="128">
        <f t="shared" si="240"/>
        <v>12545.315124343506</v>
      </c>
      <c r="X250" s="128">
        <f t="shared" si="240"/>
        <v>12921.674578073811</v>
      </c>
      <c r="Y250" s="128">
        <f t="shared" si="240"/>
        <v>13309.324815416026</v>
      </c>
      <c r="Z250" s="128">
        <f t="shared" si="240"/>
        <v>13708.604559878508</v>
      </c>
      <c r="AA250" s="128">
        <f t="shared" si="240"/>
        <v>14119.862696674863</v>
      </c>
      <c r="AB250" s="128">
        <f t="shared" si="240"/>
        <v>14543.458577575109</v>
      </c>
    </row>
    <row r="251" spans="2:28" ht="15.75" customHeight="1" x14ac:dyDescent="0.3">
      <c r="B251" s="188" t="s">
        <v>100</v>
      </c>
      <c r="C251" s="91" t="s">
        <v>101</v>
      </c>
      <c r="D251" s="126" t="s">
        <v>7</v>
      </c>
      <c r="E251" s="172">
        <f t="shared" si="225"/>
        <v>0.15000000000000002</v>
      </c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8">
        <f t="shared" ref="P251:AB251" si="241">$E251*P365</f>
        <v>671.81250000000011</v>
      </c>
      <c r="Q251" s="128">
        <f t="shared" si="241"/>
        <v>44.614500000000007</v>
      </c>
      <c r="R251" s="128">
        <f t="shared" si="241"/>
        <v>201.60000000000002</v>
      </c>
      <c r="S251" s="128">
        <f t="shared" si="241"/>
        <v>45.000000000000007</v>
      </c>
      <c r="T251" s="128">
        <f t="shared" si="241"/>
        <v>46.350000000000009</v>
      </c>
      <c r="U251" s="128">
        <f t="shared" si="241"/>
        <v>47.740500000000004</v>
      </c>
      <c r="V251" s="128">
        <f t="shared" si="241"/>
        <v>49.172715000000011</v>
      </c>
      <c r="W251" s="128">
        <f t="shared" si="241"/>
        <v>50.647896450000012</v>
      </c>
      <c r="X251" s="128">
        <f t="shared" si="241"/>
        <v>52.167333343500005</v>
      </c>
      <c r="Y251" s="128">
        <f t="shared" si="241"/>
        <v>53.732353343805009</v>
      </c>
      <c r="Z251" s="128">
        <f t="shared" si="241"/>
        <v>55.344323944119161</v>
      </c>
      <c r="AA251" s="128">
        <f t="shared" si="241"/>
        <v>57.004653662442735</v>
      </c>
      <c r="AB251" s="128">
        <f t="shared" si="241"/>
        <v>58.714793272316015</v>
      </c>
    </row>
    <row r="252" spans="2:28" x14ac:dyDescent="0.3">
      <c r="B252" s="188" t="s">
        <v>102</v>
      </c>
      <c r="C252" s="91" t="s">
        <v>103</v>
      </c>
      <c r="D252" s="126" t="s">
        <v>7</v>
      </c>
      <c r="E252" s="172">
        <f t="shared" si="225"/>
        <v>0.15000000000000002</v>
      </c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8">
        <f t="shared" ref="P252:AB252" si="242">$E252*P366</f>
        <v>867.82200000000012</v>
      </c>
      <c r="Q252" s="128">
        <f t="shared" si="242"/>
        <v>625.95000000000005</v>
      </c>
      <c r="R252" s="128">
        <f t="shared" si="242"/>
        <v>769.35000000000014</v>
      </c>
      <c r="S252" s="128">
        <f t="shared" si="242"/>
        <v>788.55000000000007</v>
      </c>
      <c r="T252" s="128">
        <f t="shared" si="242"/>
        <v>812.20650000000012</v>
      </c>
      <c r="U252" s="128">
        <f t="shared" si="242"/>
        <v>836.57269500000018</v>
      </c>
      <c r="V252" s="128">
        <f t="shared" si="242"/>
        <v>861.66987585000015</v>
      </c>
      <c r="W252" s="128">
        <f t="shared" si="242"/>
        <v>887.51997212550032</v>
      </c>
      <c r="X252" s="128">
        <f t="shared" si="242"/>
        <v>914.14557128926526</v>
      </c>
      <c r="Y252" s="128">
        <f t="shared" si="242"/>
        <v>941.56993842794327</v>
      </c>
      <c r="Z252" s="128">
        <f t="shared" si="242"/>
        <v>969.81703658078152</v>
      </c>
      <c r="AA252" s="128">
        <f t="shared" si="242"/>
        <v>998.9115476782049</v>
      </c>
      <c r="AB252" s="128">
        <f t="shared" si="242"/>
        <v>1028.8788941085511</v>
      </c>
    </row>
    <row r="253" spans="2:28" x14ac:dyDescent="0.3">
      <c r="B253" s="188" t="s">
        <v>104</v>
      </c>
      <c r="C253" s="91" t="s">
        <v>105</v>
      </c>
      <c r="D253" s="126" t="s">
        <v>7</v>
      </c>
      <c r="E253" s="172">
        <f t="shared" si="225"/>
        <v>0.15000000000000002</v>
      </c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8">
        <f t="shared" ref="P253:AB253" si="243">$E253*P367</f>
        <v>0</v>
      </c>
      <c r="Q253" s="128">
        <f t="shared" si="243"/>
        <v>6.1590000000000016</v>
      </c>
      <c r="R253" s="128">
        <f t="shared" si="243"/>
        <v>7500.0000000000009</v>
      </c>
      <c r="S253" s="128">
        <f t="shared" si="243"/>
        <v>0</v>
      </c>
      <c r="T253" s="128">
        <f t="shared" si="243"/>
        <v>0</v>
      </c>
      <c r="U253" s="128">
        <f t="shared" si="243"/>
        <v>0</v>
      </c>
      <c r="V253" s="128">
        <f t="shared" si="243"/>
        <v>0</v>
      </c>
      <c r="W253" s="128">
        <f t="shared" si="243"/>
        <v>0</v>
      </c>
      <c r="X253" s="128">
        <f t="shared" si="243"/>
        <v>0</v>
      </c>
      <c r="Y253" s="128">
        <f t="shared" si="243"/>
        <v>0</v>
      </c>
      <c r="Z253" s="128">
        <f t="shared" si="243"/>
        <v>0</v>
      </c>
      <c r="AA253" s="128">
        <f t="shared" si="243"/>
        <v>0</v>
      </c>
      <c r="AB253" s="128">
        <f t="shared" si="243"/>
        <v>0</v>
      </c>
    </row>
    <row r="254" spans="2:28" x14ac:dyDescent="0.3">
      <c r="B254" s="188" t="s">
        <v>106</v>
      </c>
      <c r="C254" s="91" t="s">
        <v>107</v>
      </c>
      <c r="D254" s="126" t="s">
        <v>8</v>
      </c>
      <c r="E254" s="172">
        <f t="shared" si="225"/>
        <v>0.15000000000000002</v>
      </c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8">
        <f t="shared" ref="P254:AB254" si="244">$E254*P368</f>
        <v>19.794000000000004</v>
      </c>
      <c r="Q254" s="128">
        <f t="shared" si="244"/>
        <v>64.02600000000001</v>
      </c>
      <c r="R254" s="128">
        <f t="shared" si="244"/>
        <v>67.200000000000017</v>
      </c>
      <c r="S254" s="128">
        <f t="shared" si="244"/>
        <v>64.500000000000014</v>
      </c>
      <c r="T254" s="128">
        <f t="shared" si="244"/>
        <v>66.360206106459842</v>
      </c>
      <c r="U254" s="128">
        <f t="shared" si="244"/>
        <v>68.274061309950852</v>
      </c>
      <c r="V254" s="128">
        <f t="shared" si="244"/>
        <v>70.243112872145957</v>
      </c>
      <c r="W254" s="128">
        <f t="shared" si="244"/>
        <v>72.268952678370965</v>
      </c>
      <c r="X254" s="128">
        <f t="shared" si="244"/>
        <v>74.353218524568845</v>
      </c>
      <c r="Y254" s="128">
        <f t="shared" si="244"/>
        <v>76.497595441380412</v>
      </c>
      <c r="Z254" s="128">
        <f t="shared" si="244"/>
        <v>78.703817056412191</v>
      </c>
      <c r="AA254" s="128">
        <f t="shared" si="244"/>
        <v>80.973666995792598</v>
      </c>
      <c r="AB254" s="128">
        <f t="shared" si="244"/>
        <v>83.308980326149481</v>
      </c>
    </row>
    <row r="255" spans="2:28" x14ac:dyDescent="0.3">
      <c r="B255" s="188" t="s">
        <v>108</v>
      </c>
      <c r="C255" s="91" t="s">
        <v>16</v>
      </c>
      <c r="D255" s="126" t="s">
        <v>1474</v>
      </c>
      <c r="E255" s="172">
        <f t="shared" si="225"/>
        <v>0</v>
      </c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8">
        <f t="shared" ref="P255:AB255" si="245">$E255*P369</f>
        <v>0</v>
      </c>
      <c r="Q255" s="128">
        <f t="shared" si="245"/>
        <v>0</v>
      </c>
      <c r="R255" s="128">
        <f t="shared" si="245"/>
        <v>0</v>
      </c>
      <c r="S255" s="128">
        <f t="shared" si="245"/>
        <v>0</v>
      </c>
      <c r="T255" s="128">
        <f t="shared" si="245"/>
        <v>0</v>
      </c>
      <c r="U255" s="128">
        <f t="shared" si="245"/>
        <v>0</v>
      </c>
      <c r="V255" s="128">
        <f t="shared" si="245"/>
        <v>0</v>
      </c>
      <c r="W255" s="128">
        <f t="shared" si="245"/>
        <v>0</v>
      </c>
      <c r="X255" s="128">
        <f t="shared" si="245"/>
        <v>0</v>
      </c>
      <c r="Y255" s="128">
        <f t="shared" si="245"/>
        <v>0</v>
      </c>
      <c r="Z255" s="128">
        <f t="shared" si="245"/>
        <v>0</v>
      </c>
      <c r="AA255" s="128">
        <f t="shared" si="245"/>
        <v>0</v>
      </c>
      <c r="AB255" s="128">
        <f t="shared" si="245"/>
        <v>0</v>
      </c>
    </row>
    <row r="256" spans="2:28" x14ac:dyDescent="0.3">
      <c r="B256" s="188" t="s">
        <v>109</v>
      </c>
      <c r="C256" s="91" t="s">
        <v>112</v>
      </c>
      <c r="D256" s="126" t="s">
        <v>5</v>
      </c>
      <c r="E256" s="172">
        <f t="shared" si="225"/>
        <v>0.15000000000000002</v>
      </c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8">
        <f t="shared" ref="P256:AB256" si="246">$E256*P370</f>
        <v>7951.5075000000015</v>
      </c>
      <c r="Q256" s="128">
        <f t="shared" si="246"/>
        <v>10327.725000000002</v>
      </c>
      <c r="R256" s="128">
        <f t="shared" si="246"/>
        <v>9285.0000000000018</v>
      </c>
      <c r="S256" s="128">
        <f t="shared" si="246"/>
        <v>10843.500000000002</v>
      </c>
      <c r="T256" s="128">
        <f t="shared" si="246"/>
        <v>11156.23092892089</v>
      </c>
      <c r="U256" s="128">
        <f t="shared" si="246"/>
        <v>11477.981144410109</v>
      </c>
      <c r="V256" s="128">
        <f t="shared" si="246"/>
        <v>11809.010766342863</v>
      </c>
      <c r="W256" s="128">
        <f t="shared" si="246"/>
        <v>12149.587416556831</v>
      </c>
      <c r="X256" s="128">
        <f t="shared" si="246"/>
        <v>12499.986435211817</v>
      </c>
      <c r="Y256" s="128">
        <f t="shared" si="246"/>
        <v>12860.491103389277</v>
      </c>
      <c r="Z256" s="128">
        <f t="shared" si="246"/>
        <v>13231.392872111714</v>
      </c>
      <c r="AA256" s="128">
        <f t="shared" si="246"/>
        <v>13612.991597967082</v>
      </c>
      <c r="AB256" s="128">
        <f t="shared" si="246"/>
        <v>14005.595785528707</v>
      </c>
    </row>
    <row r="257" spans="2:28" x14ac:dyDescent="0.3">
      <c r="B257" s="188" t="s">
        <v>111</v>
      </c>
      <c r="C257" s="91" t="s">
        <v>116</v>
      </c>
      <c r="D257" s="126" t="s">
        <v>8</v>
      </c>
      <c r="E257" s="172">
        <f t="shared" si="225"/>
        <v>0.15000000000000002</v>
      </c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8">
        <f t="shared" ref="P257:AB257" si="247">$E257*P371</f>
        <v>0</v>
      </c>
      <c r="Q257" s="128">
        <f t="shared" si="247"/>
        <v>0</v>
      </c>
      <c r="R257" s="128">
        <f t="shared" si="247"/>
        <v>0</v>
      </c>
      <c r="S257" s="128">
        <f t="shared" si="247"/>
        <v>0</v>
      </c>
      <c r="T257" s="128">
        <f t="shared" si="247"/>
        <v>0</v>
      </c>
      <c r="U257" s="128">
        <f t="shared" si="247"/>
        <v>0</v>
      </c>
      <c r="V257" s="128">
        <f t="shared" si="247"/>
        <v>0</v>
      </c>
      <c r="W257" s="128">
        <f t="shared" si="247"/>
        <v>0</v>
      </c>
      <c r="X257" s="128">
        <f t="shared" si="247"/>
        <v>0</v>
      </c>
      <c r="Y257" s="128">
        <f t="shared" si="247"/>
        <v>0</v>
      </c>
      <c r="Z257" s="128">
        <f t="shared" si="247"/>
        <v>0</v>
      </c>
      <c r="AA257" s="128">
        <f t="shared" si="247"/>
        <v>0</v>
      </c>
      <c r="AB257" s="128">
        <f t="shared" si="247"/>
        <v>0</v>
      </c>
    </row>
    <row r="258" spans="2:28" x14ac:dyDescent="0.3">
      <c r="B258" s="188" t="s">
        <v>113</v>
      </c>
      <c r="C258" s="91" t="s">
        <v>118</v>
      </c>
      <c r="D258" s="126" t="s">
        <v>5</v>
      </c>
      <c r="E258" s="172">
        <f t="shared" si="225"/>
        <v>0.15000000000000002</v>
      </c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8">
        <f t="shared" ref="P258:AB258" si="248">$E258*P372</f>
        <v>2818.7955000000006</v>
      </c>
      <c r="Q258" s="128">
        <f t="shared" si="248"/>
        <v>2351.2275000000004</v>
      </c>
      <c r="R258" s="128">
        <f t="shared" si="248"/>
        <v>2700.0000000000005</v>
      </c>
      <c r="S258" s="128">
        <f t="shared" si="248"/>
        <v>2700.0000000000005</v>
      </c>
      <c r="T258" s="128">
        <f t="shared" si="248"/>
        <v>2794.5000000000005</v>
      </c>
      <c r="U258" s="128">
        <f t="shared" si="248"/>
        <v>2892.3075000000003</v>
      </c>
      <c r="V258" s="128">
        <f t="shared" si="248"/>
        <v>2993.5382625000002</v>
      </c>
      <c r="W258" s="128">
        <f t="shared" si="248"/>
        <v>3098.3121016874998</v>
      </c>
      <c r="X258" s="128">
        <f t="shared" si="248"/>
        <v>3206.7530252465617</v>
      </c>
      <c r="Y258" s="128">
        <f t="shared" si="248"/>
        <v>3318.9893811301908</v>
      </c>
      <c r="Z258" s="128">
        <f t="shared" si="248"/>
        <v>3435.1540094697475</v>
      </c>
      <c r="AA258" s="128">
        <f t="shared" si="248"/>
        <v>3555.384399801188</v>
      </c>
      <c r="AB258" s="128">
        <f t="shared" si="248"/>
        <v>3679.8228537942296</v>
      </c>
    </row>
    <row r="259" spans="2:28" x14ac:dyDescent="0.3">
      <c r="B259" s="188" t="s">
        <v>115</v>
      </c>
      <c r="C259" s="91" t="s">
        <v>120</v>
      </c>
      <c r="D259" s="126" t="s">
        <v>7</v>
      </c>
      <c r="E259" s="172">
        <f t="shared" si="225"/>
        <v>0.15000000000000002</v>
      </c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8">
        <f t="shared" ref="P259:AB259" si="249">$E259*P373</f>
        <v>128.41500000000002</v>
      </c>
      <c r="Q259" s="128">
        <f t="shared" si="249"/>
        <v>130.09200000000001</v>
      </c>
      <c r="R259" s="128">
        <f t="shared" si="249"/>
        <v>124.35000000000002</v>
      </c>
      <c r="S259" s="128">
        <f t="shared" si="249"/>
        <v>128.70000000000002</v>
      </c>
      <c r="T259" s="128">
        <f t="shared" si="249"/>
        <v>131.46097910360169</v>
      </c>
      <c r="U259" s="128">
        <f t="shared" si="249"/>
        <v>134.28118902002794</v>
      </c>
      <c r="V259" s="128">
        <f t="shared" si="249"/>
        <v>137.16190041778304</v>
      </c>
      <c r="W259" s="128">
        <f t="shared" si="249"/>
        <v>140.10441122480552</v>
      </c>
      <c r="X259" s="128">
        <f t="shared" si="249"/>
        <v>143.11004721326006</v>
      </c>
      <c r="Y259" s="128">
        <f t="shared" si="249"/>
        <v>146.18016259687514</v>
      </c>
      <c r="Z259" s="128">
        <f t="shared" si="249"/>
        <v>149.31614064109476</v>
      </c>
      <c r="AA259" s="128">
        <f t="shared" si="249"/>
        <v>152.51939428632016</v>
      </c>
      <c r="AB259" s="128">
        <f t="shared" si="249"/>
        <v>155.79136678452147</v>
      </c>
    </row>
    <row r="260" spans="2:28" x14ac:dyDescent="0.3">
      <c r="B260" s="188" t="s">
        <v>117</v>
      </c>
      <c r="C260" s="91" t="s">
        <v>122</v>
      </c>
      <c r="D260" s="126" t="s">
        <v>5</v>
      </c>
      <c r="E260" s="172">
        <f t="shared" si="225"/>
        <v>0.15000000000000002</v>
      </c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8">
        <f t="shared" ref="P260:AB260" si="250">$E260*P374</f>
        <v>431.93700000000007</v>
      </c>
      <c r="Q260" s="128">
        <f t="shared" si="250"/>
        <v>427.40100000000007</v>
      </c>
      <c r="R260" s="128">
        <f t="shared" si="250"/>
        <v>28.500000000000004</v>
      </c>
      <c r="S260" s="128">
        <f t="shared" si="250"/>
        <v>42.900000000000006</v>
      </c>
      <c r="T260" s="128">
        <f t="shared" si="250"/>
        <v>43.820326367867224</v>
      </c>
      <c r="U260" s="128">
        <f t="shared" si="250"/>
        <v>44.760396340009308</v>
      </c>
      <c r="V260" s="128">
        <f t="shared" si="250"/>
        <v>45.720633472594344</v>
      </c>
      <c r="W260" s="128">
        <f t="shared" si="250"/>
        <v>46.701470408268491</v>
      </c>
      <c r="X260" s="128">
        <f t="shared" si="250"/>
        <v>47.703349071086684</v>
      </c>
      <c r="Y260" s="128">
        <f t="shared" si="250"/>
        <v>48.726720865625033</v>
      </c>
      <c r="Z260" s="128">
        <f t="shared" si="250"/>
        <v>49.772046880364904</v>
      </c>
      <c r="AA260" s="128">
        <f t="shared" si="250"/>
        <v>50.839798095440045</v>
      </c>
      <c r="AB260" s="128">
        <f t="shared" si="250"/>
        <v>51.930455594840495</v>
      </c>
    </row>
    <row r="261" spans="2:28" x14ac:dyDescent="0.3">
      <c r="B261" s="188" t="s">
        <v>119</v>
      </c>
      <c r="C261" s="91" t="s">
        <v>124</v>
      </c>
      <c r="D261" s="126" t="s">
        <v>1480</v>
      </c>
      <c r="E261" s="172">
        <f t="shared" si="225"/>
        <v>0.15000000000000002</v>
      </c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8">
        <f t="shared" ref="P261:AB261" si="251">$E261*P375</f>
        <v>1125.9000000000001</v>
      </c>
      <c r="Q261" s="128">
        <f t="shared" si="251"/>
        <v>20380.356000000003</v>
      </c>
      <c r="R261" s="128">
        <f t="shared" si="251"/>
        <v>137.55000000000001</v>
      </c>
      <c r="S261" s="128">
        <f t="shared" si="251"/>
        <v>692.25000000000011</v>
      </c>
      <c r="T261" s="128">
        <f t="shared" si="251"/>
        <v>716.4787500000001</v>
      </c>
      <c r="U261" s="128">
        <f t="shared" si="251"/>
        <v>741.55550625000001</v>
      </c>
      <c r="V261" s="128">
        <f t="shared" si="251"/>
        <v>767.50994896874988</v>
      </c>
      <c r="W261" s="128">
        <f t="shared" si="251"/>
        <v>794.3727971826562</v>
      </c>
      <c r="X261" s="128">
        <f t="shared" si="251"/>
        <v>822.175845084049</v>
      </c>
      <c r="Y261" s="128">
        <f t="shared" si="251"/>
        <v>850.95199966199073</v>
      </c>
      <c r="Z261" s="128">
        <f t="shared" si="251"/>
        <v>880.73531965016036</v>
      </c>
      <c r="AA261" s="128">
        <f t="shared" si="251"/>
        <v>911.56105583791577</v>
      </c>
      <c r="AB261" s="128">
        <f t="shared" si="251"/>
        <v>943.46569279224275</v>
      </c>
    </row>
    <row r="262" spans="2:28" x14ac:dyDescent="0.3">
      <c r="B262" s="188" t="s">
        <v>121</v>
      </c>
      <c r="C262" s="91" t="s">
        <v>126</v>
      </c>
      <c r="D262" s="126" t="s">
        <v>1480</v>
      </c>
      <c r="E262" s="172">
        <f t="shared" si="225"/>
        <v>0.15000000000000002</v>
      </c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8">
        <f t="shared" ref="P262:AB262" si="252">$E262*P376</f>
        <v>751.35600000000011</v>
      </c>
      <c r="Q262" s="128">
        <f t="shared" si="252"/>
        <v>52.056000000000012</v>
      </c>
      <c r="R262" s="128">
        <f t="shared" si="252"/>
        <v>36.000000000000007</v>
      </c>
      <c r="S262" s="128">
        <f t="shared" si="252"/>
        <v>35.700000000000003</v>
      </c>
      <c r="T262" s="128">
        <f t="shared" si="252"/>
        <v>36.771000000000008</v>
      </c>
      <c r="U262" s="128">
        <f t="shared" si="252"/>
        <v>37.874130000000008</v>
      </c>
      <c r="V262" s="128">
        <f t="shared" si="252"/>
        <v>39.010353900000013</v>
      </c>
      <c r="W262" s="128">
        <f t="shared" si="252"/>
        <v>40.180664517000018</v>
      </c>
      <c r="X262" s="128">
        <f t="shared" si="252"/>
        <v>41.386084452510019</v>
      </c>
      <c r="Y262" s="128">
        <f t="shared" si="252"/>
        <v>42.627666986085323</v>
      </c>
      <c r="Z262" s="128">
        <f t="shared" si="252"/>
        <v>43.906496995667887</v>
      </c>
      <c r="AA262" s="128">
        <f t="shared" si="252"/>
        <v>45.223691905537919</v>
      </c>
      <c r="AB262" s="128">
        <f t="shared" si="252"/>
        <v>46.58040266270406</v>
      </c>
    </row>
    <row r="263" spans="2:28" x14ac:dyDescent="0.3">
      <c r="B263" s="188" t="s">
        <v>123</v>
      </c>
      <c r="C263" s="91" t="s">
        <v>128</v>
      </c>
      <c r="D263" s="126" t="s">
        <v>5</v>
      </c>
      <c r="E263" s="172">
        <f t="shared" si="225"/>
        <v>0.15000000000000002</v>
      </c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8">
        <f t="shared" ref="P263:AB263" si="253">$E263*P377</f>
        <v>423.28350000000006</v>
      </c>
      <c r="Q263" s="128">
        <f t="shared" si="253"/>
        <v>175.05450000000002</v>
      </c>
      <c r="R263" s="128">
        <f t="shared" si="253"/>
        <v>397.50000000000006</v>
      </c>
      <c r="S263" s="128">
        <f t="shared" si="253"/>
        <v>240.00000000000003</v>
      </c>
      <c r="T263" s="128">
        <f t="shared" si="253"/>
        <v>245.14867898107539</v>
      </c>
      <c r="U263" s="128">
        <f t="shared" si="253"/>
        <v>250.40781169235979</v>
      </c>
      <c r="V263" s="128">
        <f t="shared" si="253"/>
        <v>255.77976767884948</v>
      </c>
      <c r="W263" s="128">
        <f t="shared" si="253"/>
        <v>261.2669673189846</v>
      </c>
      <c r="X263" s="128">
        <f t="shared" si="253"/>
        <v>266.87188291517026</v>
      </c>
      <c r="Y263" s="128">
        <f t="shared" si="253"/>
        <v>272.59703980769251</v>
      </c>
      <c r="Z263" s="128">
        <f t="shared" si="253"/>
        <v>278.44501751253097</v>
      </c>
      <c r="AA263" s="128">
        <f t="shared" si="253"/>
        <v>284.4184508835807</v>
      </c>
      <c r="AB263" s="128">
        <f t="shared" si="253"/>
        <v>290.52003129980693</v>
      </c>
    </row>
    <row r="264" spans="2:28" x14ac:dyDescent="0.3">
      <c r="B264" s="188" t="s">
        <v>125</v>
      </c>
      <c r="C264" s="91" t="s">
        <v>130</v>
      </c>
      <c r="D264" s="126" t="s">
        <v>7</v>
      </c>
      <c r="E264" s="172">
        <f t="shared" si="225"/>
        <v>0.15000000000000002</v>
      </c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8">
        <f t="shared" ref="P264:AB264" si="254">$E264*P378</f>
        <v>0</v>
      </c>
      <c r="Q264" s="128">
        <f t="shared" si="254"/>
        <v>348.00000000000006</v>
      </c>
      <c r="R264" s="128">
        <f t="shared" si="254"/>
        <v>0</v>
      </c>
      <c r="S264" s="128">
        <f t="shared" si="254"/>
        <v>0</v>
      </c>
      <c r="T264" s="128">
        <f t="shared" si="254"/>
        <v>0</v>
      </c>
      <c r="U264" s="128">
        <f t="shared" si="254"/>
        <v>0</v>
      </c>
      <c r="V264" s="128">
        <f t="shared" si="254"/>
        <v>0</v>
      </c>
      <c r="W264" s="128">
        <f t="shared" si="254"/>
        <v>0</v>
      </c>
      <c r="X264" s="128">
        <f t="shared" si="254"/>
        <v>0</v>
      </c>
      <c r="Y264" s="128">
        <f t="shared" si="254"/>
        <v>0</v>
      </c>
      <c r="Z264" s="128">
        <f t="shared" si="254"/>
        <v>0</v>
      </c>
      <c r="AA264" s="128">
        <f t="shared" si="254"/>
        <v>0</v>
      </c>
      <c r="AB264" s="128">
        <f t="shared" si="254"/>
        <v>0</v>
      </c>
    </row>
    <row r="265" spans="2:28" x14ac:dyDescent="0.3">
      <c r="B265" s="188" t="s">
        <v>127</v>
      </c>
      <c r="C265" s="91" t="s">
        <v>132</v>
      </c>
      <c r="D265" s="126" t="s">
        <v>1480</v>
      </c>
      <c r="E265" s="172">
        <f t="shared" si="225"/>
        <v>0.15000000000000002</v>
      </c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8">
        <f t="shared" ref="P265:AB265" si="255">$E265*P379</f>
        <v>0</v>
      </c>
      <c r="Q265" s="128">
        <f t="shared" si="255"/>
        <v>0</v>
      </c>
      <c r="R265" s="128">
        <f t="shared" si="255"/>
        <v>1695.0000000000002</v>
      </c>
      <c r="S265" s="128">
        <f t="shared" si="255"/>
        <v>0</v>
      </c>
      <c r="T265" s="128">
        <f t="shared" si="255"/>
        <v>0</v>
      </c>
      <c r="U265" s="128">
        <f t="shared" si="255"/>
        <v>0</v>
      </c>
      <c r="V265" s="128">
        <f t="shared" si="255"/>
        <v>0</v>
      </c>
      <c r="W265" s="128">
        <f t="shared" si="255"/>
        <v>0</v>
      </c>
      <c r="X265" s="128">
        <f t="shared" si="255"/>
        <v>0</v>
      </c>
      <c r="Y265" s="128">
        <f t="shared" si="255"/>
        <v>0</v>
      </c>
      <c r="Z265" s="128">
        <f t="shared" si="255"/>
        <v>0</v>
      </c>
      <c r="AA265" s="128">
        <f t="shared" si="255"/>
        <v>0</v>
      </c>
      <c r="AB265" s="128">
        <f t="shared" si="255"/>
        <v>0</v>
      </c>
    </row>
    <row r="266" spans="2:28" x14ac:dyDescent="0.3">
      <c r="B266" s="188" t="s">
        <v>129</v>
      </c>
      <c r="C266" s="91" t="s">
        <v>134</v>
      </c>
      <c r="D266" s="126" t="s">
        <v>1480</v>
      </c>
      <c r="E266" s="172">
        <f t="shared" si="225"/>
        <v>0.15000000000000002</v>
      </c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8">
        <f t="shared" ref="P266:AB266" si="256">$E266*P380</f>
        <v>257.72850000000005</v>
      </c>
      <c r="Q266" s="128">
        <f t="shared" si="256"/>
        <v>213.63300000000004</v>
      </c>
      <c r="R266" s="128">
        <f t="shared" si="256"/>
        <v>375.00000000000006</v>
      </c>
      <c r="S266" s="128">
        <f t="shared" si="256"/>
        <v>330.00000000000006</v>
      </c>
      <c r="T266" s="128">
        <f t="shared" si="256"/>
        <v>337.07943359897865</v>
      </c>
      <c r="U266" s="128">
        <f t="shared" si="256"/>
        <v>344.3107410769947</v>
      </c>
      <c r="V266" s="128">
        <f t="shared" si="256"/>
        <v>351.6971805584181</v>
      </c>
      <c r="W266" s="128">
        <f t="shared" si="256"/>
        <v>359.24208006360391</v>
      </c>
      <c r="X266" s="128">
        <f t="shared" si="256"/>
        <v>366.94883900835919</v>
      </c>
      <c r="Y266" s="128">
        <f t="shared" si="256"/>
        <v>374.82092973557729</v>
      </c>
      <c r="Z266" s="128">
        <f t="shared" si="256"/>
        <v>382.86189907973016</v>
      </c>
      <c r="AA266" s="128">
        <f t="shared" si="256"/>
        <v>391.07536996492348</v>
      </c>
      <c r="AB266" s="128">
        <f t="shared" si="256"/>
        <v>399.46504303723458</v>
      </c>
    </row>
    <row r="267" spans="2:28" x14ac:dyDescent="0.3">
      <c r="B267" s="188" t="s">
        <v>131</v>
      </c>
      <c r="C267" s="91" t="s">
        <v>136</v>
      </c>
      <c r="D267" s="126" t="s">
        <v>1480</v>
      </c>
      <c r="E267" s="172">
        <f t="shared" si="225"/>
        <v>0.15000000000000002</v>
      </c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8">
        <f t="shared" ref="P267:AB267" si="257">$E267*P381</f>
        <v>8.4000000000000021</v>
      </c>
      <c r="Q267" s="128">
        <f t="shared" si="257"/>
        <v>0</v>
      </c>
      <c r="R267" s="128">
        <f t="shared" si="257"/>
        <v>30.000000000000004</v>
      </c>
      <c r="S267" s="128">
        <f t="shared" si="257"/>
        <v>30.000000000000004</v>
      </c>
      <c r="T267" s="128">
        <f t="shared" si="257"/>
        <v>30.643584872634424</v>
      </c>
      <c r="U267" s="128">
        <f t="shared" si="257"/>
        <v>31.300976461544973</v>
      </c>
      <c r="V267" s="128">
        <f t="shared" si="257"/>
        <v>31.972470959856185</v>
      </c>
      <c r="W267" s="128">
        <f t="shared" si="257"/>
        <v>32.658370914873075</v>
      </c>
      <c r="X267" s="128">
        <f t="shared" si="257"/>
        <v>33.358985364396283</v>
      </c>
      <c r="Y267" s="128">
        <f t="shared" si="257"/>
        <v>34.074629975961564</v>
      </c>
      <c r="Z267" s="128">
        <f t="shared" si="257"/>
        <v>34.805627189066371</v>
      </c>
      <c r="AA267" s="128">
        <f t="shared" si="257"/>
        <v>35.552306360447588</v>
      </c>
      <c r="AB267" s="128">
        <f t="shared" si="257"/>
        <v>36.315003912475866</v>
      </c>
    </row>
    <row r="268" spans="2:28" x14ac:dyDescent="0.3">
      <c r="B268" s="188" t="s">
        <v>133</v>
      </c>
      <c r="C268" s="91" t="s">
        <v>20</v>
      </c>
      <c r="D268" s="126" t="s">
        <v>1480</v>
      </c>
      <c r="E268" s="172">
        <f t="shared" si="225"/>
        <v>0.15000000000000002</v>
      </c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8">
        <f t="shared" ref="P268:AB268" si="258">$E268*P382</f>
        <v>3.3735000000000004</v>
      </c>
      <c r="Q268" s="128">
        <f t="shared" si="258"/>
        <v>0</v>
      </c>
      <c r="R268" s="128">
        <f t="shared" si="258"/>
        <v>75.000000000000014</v>
      </c>
      <c r="S268" s="128">
        <f t="shared" si="258"/>
        <v>30.000000000000004</v>
      </c>
      <c r="T268" s="128">
        <f t="shared" si="258"/>
        <v>30.643584872634424</v>
      </c>
      <c r="U268" s="128">
        <f t="shared" si="258"/>
        <v>31.300976461544973</v>
      </c>
      <c r="V268" s="128">
        <f t="shared" si="258"/>
        <v>31.972470959856185</v>
      </c>
      <c r="W268" s="128">
        <f t="shared" si="258"/>
        <v>32.658370914873075</v>
      </c>
      <c r="X268" s="128">
        <f t="shared" si="258"/>
        <v>33.358985364396283</v>
      </c>
      <c r="Y268" s="128">
        <f t="shared" si="258"/>
        <v>34.074629975961564</v>
      </c>
      <c r="Z268" s="128">
        <f t="shared" si="258"/>
        <v>34.805627189066371</v>
      </c>
      <c r="AA268" s="128">
        <f t="shared" si="258"/>
        <v>35.552306360447588</v>
      </c>
      <c r="AB268" s="128">
        <f t="shared" si="258"/>
        <v>36.315003912475866</v>
      </c>
    </row>
    <row r="269" spans="2:28" x14ac:dyDescent="0.3">
      <c r="B269" s="188" t="s">
        <v>135</v>
      </c>
      <c r="C269" s="91" t="s">
        <v>130</v>
      </c>
      <c r="D269" s="126" t="s">
        <v>1480</v>
      </c>
      <c r="E269" s="172">
        <f t="shared" si="225"/>
        <v>0.15000000000000002</v>
      </c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8">
        <f t="shared" ref="P269:AB269" si="259">$E269*P383</f>
        <v>0</v>
      </c>
      <c r="Q269" s="128">
        <f t="shared" si="259"/>
        <v>0</v>
      </c>
      <c r="R269" s="128">
        <f t="shared" si="259"/>
        <v>0</v>
      </c>
      <c r="S269" s="128">
        <f t="shared" si="259"/>
        <v>0</v>
      </c>
      <c r="T269" s="128">
        <f t="shared" si="259"/>
        <v>0</v>
      </c>
      <c r="U269" s="128">
        <f t="shared" si="259"/>
        <v>0</v>
      </c>
      <c r="V269" s="128">
        <f t="shared" si="259"/>
        <v>0</v>
      </c>
      <c r="W269" s="128">
        <f t="shared" si="259"/>
        <v>0</v>
      </c>
      <c r="X269" s="128">
        <f t="shared" si="259"/>
        <v>0</v>
      </c>
      <c r="Y269" s="128">
        <f t="shared" si="259"/>
        <v>0</v>
      </c>
      <c r="Z269" s="128">
        <f t="shared" si="259"/>
        <v>0</v>
      </c>
      <c r="AA269" s="128">
        <f t="shared" si="259"/>
        <v>0</v>
      </c>
      <c r="AB269" s="128">
        <f t="shared" si="259"/>
        <v>0</v>
      </c>
    </row>
    <row r="270" spans="2:28" x14ac:dyDescent="0.3">
      <c r="B270" s="188" t="s">
        <v>137</v>
      </c>
      <c r="C270" s="91" t="s">
        <v>132</v>
      </c>
      <c r="D270" s="126" t="s">
        <v>1480</v>
      </c>
      <c r="E270" s="172">
        <f t="shared" si="225"/>
        <v>0.15000000000000002</v>
      </c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8">
        <f t="shared" ref="P270:AB270" si="260">$E270*P384</f>
        <v>0</v>
      </c>
      <c r="Q270" s="128">
        <f t="shared" si="260"/>
        <v>0</v>
      </c>
      <c r="R270" s="128">
        <f t="shared" si="260"/>
        <v>0</v>
      </c>
      <c r="S270" s="128">
        <f t="shared" si="260"/>
        <v>0</v>
      </c>
      <c r="T270" s="128">
        <f t="shared" si="260"/>
        <v>0</v>
      </c>
      <c r="U270" s="128">
        <f t="shared" si="260"/>
        <v>0</v>
      </c>
      <c r="V270" s="128">
        <f t="shared" si="260"/>
        <v>0</v>
      </c>
      <c r="W270" s="128">
        <f t="shared" si="260"/>
        <v>0</v>
      </c>
      <c r="X270" s="128">
        <f t="shared" si="260"/>
        <v>0</v>
      </c>
      <c r="Y270" s="128">
        <f t="shared" si="260"/>
        <v>0</v>
      </c>
      <c r="Z270" s="128">
        <f t="shared" si="260"/>
        <v>0</v>
      </c>
      <c r="AA270" s="128">
        <f t="shared" si="260"/>
        <v>0</v>
      </c>
      <c r="AB270" s="128">
        <f t="shared" si="260"/>
        <v>0</v>
      </c>
    </row>
    <row r="271" spans="2:28" x14ac:dyDescent="0.3">
      <c r="B271" s="188" t="s">
        <v>140</v>
      </c>
      <c r="C271" s="91" t="s">
        <v>141</v>
      </c>
      <c r="D271" s="126" t="s">
        <v>1480</v>
      </c>
      <c r="E271" s="172">
        <v>0.15</v>
      </c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8">
        <f t="shared" ref="P271:AB271" si="261">$E271*P385</f>
        <v>227600.75643585919</v>
      </c>
      <c r="Q271" s="128">
        <f t="shared" si="261"/>
        <v>241190.34749999997</v>
      </c>
      <c r="R271" s="128">
        <f t="shared" si="261"/>
        <v>246014.25</v>
      </c>
      <c r="S271" s="128">
        <f t="shared" si="261"/>
        <v>206287.11946500003</v>
      </c>
      <c r="T271" s="128">
        <f t="shared" si="261"/>
        <v>215646.72378495999</v>
      </c>
      <c r="U271" s="128">
        <f t="shared" si="261"/>
        <v>225551.62788609319</v>
      </c>
      <c r="V271" s="128">
        <f t="shared" si="261"/>
        <v>236042.80105300099</v>
      </c>
      <c r="W271" s="128">
        <f t="shared" si="261"/>
        <v>247164.83823828734</v>
      </c>
      <c r="X271" s="128">
        <f t="shared" si="261"/>
        <v>258966.30623589639</v>
      </c>
      <c r="Y271" s="128">
        <f t="shared" si="261"/>
        <v>271500.12390102423</v>
      </c>
      <c r="Z271" s="128">
        <f t="shared" si="261"/>
        <v>284823.97980137647</v>
      </c>
      <c r="AA271" s="128">
        <f t="shared" si="261"/>
        <v>299000.79102232656</v>
      </c>
      <c r="AB271" s="128">
        <f t="shared" si="261"/>
        <v>314099.20722006692</v>
      </c>
    </row>
    <row r="272" spans="2:28" x14ac:dyDescent="0.3">
      <c r="B272" s="188" t="s">
        <v>142</v>
      </c>
      <c r="C272" s="91" t="s">
        <v>143</v>
      </c>
      <c r="D272" s="126" t="s">
        <v>1480</v>
      </c>
      <c r="E272" s="172">
        <f>(1-E41)/2</f>
        <v>0.15000000000000002</v>
      </c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8">
        <f t="shared" ref="P272:AB272" si="262">$E272*P386</f>
        <v>33.750000000000007</v>
      </c>
      <c r="Q272" s="128">
        <f t="shared" si="262"/>
        <v>67.500000000000014</v>
      </c>
      <c r="R272" s="128">
        <f t="shared" si="262"/>
        <v>0</v>
      </c>
      <c r="S272" s="128">
        <f t="shared" si="262"/>
        <v>0</v>
      </c>
      <c r="T272" s="128">
        <f t="shared" si="262"/>
        <v>0</v>
      </c>
      <c r="U272" s="128">
        <f t="shared" si="262"/>
        <v>0</v>
      </c>
      <c r="V272" s="128">
        <f t="shared" si="262"/>
        <v>0</v>
      </c>
      <c r="W272" s="128">
        <f t="shared" si="262"/>
        <v>0</v>
      </c>
      <c r="X272" s="128">
        <f t="shared" si="262"/>
        <v>0</v>
      </c>
      <c r="Y272" s="128">
        <f t="shared" si="262"/>
        <v>0</v>
      </c>
      <c r="Z272" s="128">
        <f t="shared" si="262"/>
        <v>0</v>
      </c>
      <c r="AA272" s="128">
        <f t="shared" si="262"/>
        <v>0</v>
      </c>
      <c r="AB272" s="128">
        <f t="shared" si="262"/>
        <v>0</v>
      </c>
    </row>
    <row r="273" spans="2:28" x14ac:dyDescent="0.3">
      <c r="B273" s="188" t="s">
        <v>144</v>
      </c>
      <c r="C273" s="91" t="s">
        <v>145</v>
      </c>
      <c r="D273" s="126" t="s">
        <v>1480</v>
      </c>
      <c r="E273" s="172">
        <f>(1-E42)/2</f>
        <v>0.15000000000000002</v>
      </c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8">
        <f t="shared" ref="P273:AB273" si="263">$E273*P387</f>
        <v>0</v>
      </c>
      <c r="Q273" s="128">
        <f t="shared" si="263"/>
        <v>0</v>
      </c>
      <c r="R273" s="128">
        <f t="shared" si="263"/>
        <v>1864.9500000000003</v>
      </c>
      <c r="S273" s="128">
        <f t="shared" si="263"/>
        <v>2333.7000000000003</v>
      </c>
      <c r="T273" s="128">
        <f t="shared" si="263"/>
        <v>2415.3795</v>
      </c>
      <c r="U273" s="128">
        <f t="shared" si="263"/>
        <v>2499.9177825000002</v>
      </c>
      <c r="V273" s="128">
        <f t="shared" si="263"/>
        <v>2587.4149048875001</v>
      </c>
      <c r="W273" s="128">
        <f t="shared" si="263"/>
        <v>2677.9744265585628</v>
      </c>
      <c r="X273" s="128">
        <f t="shared" si="263"/>
        <v>2771.7035314881123</v>
      </c>
      <c r="Y273" s="128">
        <f t="shared" si="263"/>
        <v>2868.7131550901963</v>
      </c>
      <c r="Z273" s="128">
        <f t="shared" si="263"/>
        <v>2969.1181155183531</v>
      </c>
      <c r="AA273" s="128">
        <f t="shared" si="263"/>
        <v>3073.0372495614952</v>
      </c>
      <c r="AB273" s="128">
        <f t="shared" si="263"/>
        <v>3180.5935532961471</v>
      </c>
    </row>
    <row r="274" spans="2:28" x14ac:dyDescent="0.3">
      <c r="B274" s="189"/>
      <c r="C274" s="130" t="s">
        <v>284</v>
      </c>
      <c r="D274" s="131"/>
      <c r="E274" s="200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204">
        <f>SUM(P236:P273)</f>
        <v>302674.04643585917</v>
      </c>
      <c r="Q274" s="204">
        <f t="shared" ref="Q274:AB274" si="264">SUM(Q236:Q273)</f>
        <v>334082.63249999995</v>
      </c>
      <c r="R274" s="204">
        <f t="shared" si="264"/>
        <v>324750.60000000003</v>
      </c>
      <c r="S274" s="204">
        <f t="shared" si="264"/>
        <v>275647.11946500005</v>
      </c>
      <c r="T274" s="204">
        <f t="shared" si="264"/>
        <v>287414.02250778413</v>
      </c>
      <c r="U274" s="204">
        <f>SUM(U236:U273)</f>
        <v>299814.07605286571</v>
      </c>
      <c r="V274" s="204">
        <f t="shared" si="264"/>
        <v>312891.67827076331</v>
      </c>
      <c r="W274" s="204">
        <f t="shared" si="264"/>
        <v>326694.99826271698</v>
      </c>
      <c r="X274" s="204">
        <f t="shared" si="264"/>
        <v>341276.32894980966</v>
      </c>
      <c r="Y274" s="204">
        <f t="shared" si="264"/>
        <v>356692.47434501216</v>
      </c>
      <c r="Z274" s="204">
        <f t="shared" si="264"/>
        <v>373005.17461087223</v>
      </c>
      <c r="AA274" s="204">
        <f t="shared" si="264"/>
        <v>390281.57264435338</v>
      </c>
      <c r="AB274" s="204">
        <f t="shared" si="264"/>
        <v>408594.72630292783</v>
      </c>
    </row>
    <row r="275" spans="2:28" x14ac:dyDescent="0.3">
      <c r="B275" s="189"/>
      <c r="C275" s="129"/>
      <c r="D275" s="132"/>
      <c r="E275" s="200"/>
      <c r="F275" s="132"/>
      <c r="G275" s="132"/>
      <c r="H275" s="132"/>
      <c r="I275" s="132"/>
      <c r="J275" s="132"/>
      <c r="K275" s="132"/>
      <c r="L275" s="132"/>
      <c r="M275" s="132"/>
      <c r="N275" s="132"/>
      <c r="O275" s="132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</row>
    <row r="276" spans="2:28" x14ac:dyDescent="0.3">
      <c r="B276" s="190" t="s">
        <v>285</v>
      </c>
      <c r="C276" s="129"/>
      <c r="D276" s="132"/>
      <c r="E276" s="200"/>
      <c r="F276" s="132"/>
      <c r="G276" s="132"/>
      <c r="H276" s="132"/>
      <c r="I276" s="132"/>
      <c r="J276" s="132"/>
      <c r="K276" s="132"/>
      <c r="L276" s="132"/>
      <c r="M276" s="132"/>
      <c r="N276" s="132"/>
      <c r="O276" s="132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</row>
    <row r="277" spans="2:28" s="134" customFormat="1" x14ac:dyDescent="0.3">
      <c r="B277" s="188" t="s">
        <v>146</v>
      </c>
      <c r="C277" s="91" t="s">
        <v>71</v>
      </c>
      <c r="D277" s="126" t="s">
        <v>5</v>
      </c>
      <c r="E277" s="172">
        <f t="shared" ref="E277:E317" si="265">(1-E46)/2</f>
        <v>0.25</v>
      </c>
      <c r="F277" s="127"/>
      <c r="G277" s="127"/>
      <c r="H277" s="127"/>
      <c r="I277" s="127"/>
      <c r="J277" s="127"/>
      <c r="K277" s="127"/>
      <c r="L277" s="127"/>
      <c r="M277" s="127"/>
      <c r="N277" s="127"/>
      <c r="O277" s="132"/>
      <c r="P277" s="128">
        <f t="shared" ref="P277:AB277" si="266">$E277*P391</f>
        <v>39279.635000000002</v>
      </c>
      <c r="Q277" s="128">
        <f t="shared" si="266"/>
        <v>30585.27</v>
      </c>
      <c r="R277" s="128">
        <f t="shared" si="266"/>
        <v>78131.5</v>
      </c>
      <c r="S277" s="915">
        <f t="shared" si="266"/>
        <v>81545.25</v>
      </c>
      <c r="T277" s="128">
        <f t="shared" si="266"/>
        <v>84399.333749999991</v>
      </c>
      <c r="U277" s="128">
        <f t="shared" si="266"/>
        <v>87353.310431249978</v>
      </c>
      <c r="V277" s="128">
        <f t="shared" si="266"/>
        <v>90410.676296343721</v>
      </c>
      <c r="W277" s="128">
        <f t="shared" si="266"/>
        <v>93575.049966715742</v>
      </c>
      <c r="X277" s="128">
        <f t="shared" si="266"/>
        <v>96850.176715550784</v>
      </c>
      <c r="Y277" s="128">
        <f t="shared" si="266"/>
        <v>100239.93290059506</v>
      </c>
      <c r="Z277" s="128">
        <f t="shared" si="266"/>
        <v>103748.33055211588</v>
      </c>
      <c r="AA277" s="128">
        <f t="shared" si="266"/>
        <v>107379.52212143992</v>
      </c>
      <c r="AB277" s="128">
        <f t="shared" si="266"/>
        <v>111137.8053956903</v>
      </c>
    </row>
    <row r="278" spans="2:28" s="134" customFormat="1" x14ac:dyDescent="0.3">
      <c r="B278" s="188" t="s">
        <v>147</v>
      </c>
      <c r="C278" s="91" t="s">
        <v>73</v>
      </c>
      <c r="D278" s="126" t="s">
        <v>5</v>
      </c>
      <c r="E278" s="172">
        <f t="shared" si="265"/>
        <v>0.25</v>
      </c>
      <c r="F278" s="127"/>
      <c r="G278" s="127"/>
      <c r="H278" s="127"/>
      <c r="I278" s="127"/>
      <c r="J278" s="127"/>
      <c r="K278" s="127"/>
      <c r="L278" s="127"/>
      <c r="M278" s="127"/>
      <c r="N278" s="127"/>
      <c r="O278" s="132"/>
      <c r="P278" s="128">
        <f t="shared" ref="P278:AB278" si="267">$E278*P392</f>
        <v>274428.34499999997</v>
      </c>
      <c r="Q278" s="128">
        <f t="shared" si="267"/>
        <v>266126.8</v>
      </c>
      <c r="R278" s="128">
        <f t="shared" si="267"/>
        <v>297851.5</v>
      </c>
      <c r="S278" s="861">
        <f t="shared" si="267"/>
        <v>297040.25</v>
      </c>
      <c r="T278" s="128">
        <f t="shared" si="267"/>
        <v>307436.65875</v>
      </c>
      <c r="U278" s="128">
        <f t="shared" si="267"/>
        <v>318196.94180624996</v>
      </c>
      <c r="V278" s="128">
        <f t="shared" si="267"/>
        <v>329333.8347694687</v>
      </c>
      <c r="W278" s="128">
        <f t="shared" si="267"/>
        <v>340860.5189864001</v>
      </c>
      <c r="X278" s="128">
        <f t="shared" si="267"/>
        <v>352790.63715092407</v>
      </c>
      <c r="Y278" s="128">
        <f t="shared" si="267"/>
        <v>365138.30945120641</v>
      </c>
      <c r="Z278" s="128">
        <f t="shared" si="267"/>
        <v>377918.15028199862</v>
      </c>
      <c r="AA278" s="128">
        <f t="shared" si="267"/>
        <v>391145.28554186854</v>
      </c>
      <c r="AB278" s="128">
        <f t="shared" si="267"/>
        <v>404835.37053583388</v>
      </c>
    </row>
    <row r="279" spans="2:28" s="134" customFormat="1" x14ac:dyDescent="0.3">
      <c r="B279" s="188" t="s">
        <v>148</v>
      </c>
      <c r="C279" s="91" t="s">
        <v>75</v>
      </c>
      <c r="D279" s="126" t="s">
        <v>5</v>
      </c>
      <c r="E279" s="172">
        <f t="shared" si="265"/>
        <v>0.25</v>
      </c>
      <c r="F279" s="127"/>
      <c r="G279" s="127"/>
      <c r="H279" s="127"/>
      <c r="I279" s="127"/>
      <c r="J279" s="127"/>
      <c r="K279" s="127"/>
      <c r="L279" s="127"/>
      <c r="M279" s="127"/>
      <c r="N279" s="127"/>
      <c r="O279" s="132"/>
      <c r="P279" s="128">
        <f t="shared" ref="P279:AB279" si="268">$E279*P393</f>
        <v>32154.2925</v>
      </c>
      <c r="Q279" s="128">
        <f t="shared" si="268"/>
        <v>27657.360000000001</v>
      </c>
      <c r="R279" s="128">
        <f t="shared" si="268"/>
        <v>28525.75</v>
      </c>
      <c r="S279" s="915">
        <f t="shared" si="268"/>
        <v>28609</v>
      </c>
      <c r="T279" s="128">
        <f t="shared" si="268"/>
        <v>29610.314999999999</v>
      </c>
      <c r="U279" s="128">
        <f t="shared" si="268"/>
        <v>30646.676024999997</v>
      </c>
      <c r="V279" s="128">
        <f t="shared" si="268"/>
        <v>31719.309685874996</v>
      </c>
      <c r="W279" s="128">
        <f t="shared" si="268"/>
        <v>32829.48552488062</v>
      </c>
      <c r="X279" s="128">
        <f t="shared" si="268"/>
        <v>33978.517518251436</v>
      </c>
      <c r="Y279" s="128">
        <f t="shared" si="268"/>
        <v>35167.765631390233</v>
      </c>
      <c r="Z279" s="128">
        <f t="shared" si="268"/>
        <v>36398.637428488888</v>
      </c>
      <c r="AA279" s="128">
        <f t="shared" si="268"/>
        <v>37672.589738485993</v>
      </c>
      <c r="AB279" s="128">
        <f t="shared" si="268"/>
        <v>38991.130379333001</v>
      </c>
    </row>
    <row r="280" spans="2:28" s="134" customFormat="1" x14ac:dyDescent="0.3">
      <c r="B280" s="188" t="s">
        <v>149</v>
      </c>
      <c r="C280" s="91" t="s">
        <v>77</v>
      </c>
      <c r="D280" s="126" t="s">
        <v>5</v>
      </c>
      <c r="E280" s="172">
        <f t="shared" si="265"/>
        <v>0.25</v>
      </c>
      <c r="F280" s="127"/>
      <c r="G280" s="127"/>
      <c r="H280" s="127"/>
      <c r="I280" s="127"/>
      <c r="J280" s="127"/>
      <c r="K280" s="127"/>
      <c r="L280" s="127"/>
      <c r="M280" s="127"/>
      <c r="N280" s="127"/>
      <c r="O280" s="132"/>
      <c r="P280" s="128">
        <f t="shared" ref="P280:AB280" si="269">$E280*P394</f>
        <v>20529.509999999998</v>
      </c>
      <c r="Q280" s="128">
        <f t="shared" si="269"/>
        <v>29857.192500000001</v>
      </c>
      <c r="R280" s="128">
        <f t="shared" si="269"/>
        <v>17500</v>
      </c>
      <c r="S280" s="915">
        <f t="shared" si="269"/>
        <v>17500</v>
      </c>
      <c r="T280" s="128">
        <f t="shared" si="269"/>
        <v>18112.5</v>
      </c>
      <c r="U280" s="128">
        <f t="shared" si="269"/>
        <v>18746.4375</v>
      </c>
      <c r="V280" s="128">
        <f t="shared" si="269"/>
        <v>19402.5628125</v>
      </c>
      <c r="W280" s="128">
        <f t="shared" si="269"/>
        <v>20081.6525109375</v>
      </c>
      <c r="X280" s="128">
        <f t="shared" si="269"/>
        <v>20784.510348820309</v>
      </c>
      <c r="Y280" s="128">
        <f t="shared" si="269"/>
        <v>21511.96821102902</v>
      </c>
      <c r="Z280" s="128">
        <f t="shared" si="269"/>
        <v>22264.887098415034</v>
      </c>
      <c r="AA280" s="128">
        <f t="shared" si="269"/>
        <v>23044.158146859558</v>
      </c>
      <c r="AB280" s="128">
        <f t="shared" si="269"/>
        <v>23850.703681999639</v>
      </c>
    </row>
    <row r="281" spans="2:28" s="134" customFormat="1" x14ac:dyDescent="0.3">
      <c r="B281" s="188" t="s">
        <v>150</v>
      </c>
      <c r="C281" s="91" t="s">
        <v>79</v>
      </c>
      <c r="D281" s="126" t="s">
        <v>5</v>
      </c>
      <c r="E281" s="172">
        <f t="shared" si="265"/>
        <v>0.25</v>
      </c>
      <c r="F281" s="127"/>
      <c r="G281" s="127"/>
      <c r="H281" s="127"/>
      <c r="I281" s="127"/>
      <c r="J281" s="127"/>
      <c r="K281" s="127"/>
      <c r="L281" s="127"/>
      <c r="M281" s="127"/>
      <c r="N281" s="127"/>
      <c r="O281" s="132"/>
      <c r="P281" s="128">
        <f t="shared" ref="P281:AB281" si="270">$E281*P395</f>
        <v>4325</v>
      </c>
      <c r="Q281" s="128">
        <f t="shared" si="270"/>
        <v>4350</v>
      </c>
      <c r="R281" s="128">
        <f t="shared" si="270"/>
        <v>4725</v>
      </c>
      <c r="S281" s="915">
        <f t="shared" si="270"/>
        <v>4600</v>
      </c>
      <c r="T281" s="128">
        <f t="shared" si="270"/>
        <v>4761</v>
      </c>
      <c r="U281" s="128">
        <f t="shared" si="270"/>
        <v>4927.6349999999993</v>
      </c>
      <c r="V281" s="128">
        <f t="shared" si="270"/>
        <v>5100.1022249999987</v>
      </c>
      <c r="W281" s="128">
        <f t="shared" si="270"/>
        <v>5278.6058028749985</v>
      </c>
      <c r="X281" s="128">
        <f t="shared" si="270"/>
        <v>5463.357005975623</v>
      </c>
      <c r="Y281" s="128">
        <f t="shared" si="270"/>
        <v>5654.5745011847694</v>
      </c>
      <c r="Z281" s="128">
        <f t="shared" si="270"/>
        <v>5852.4846087262358</v>
      </c>
      <c r="AA281" s="128">
        <f t="shared" si="270"/>
        <v>6057.3215700316532</v>
      </c>
      <c r="AB281" s="128">
        <f t="shared" si="270"/>
        <v>6269.3278249827608</v>
      </c>
    </row>
    <row r="282" spans="2:28" s="134" customFormat="1" x14ac:dyDescent="0.3">
      <c r="B282" s="188" t="s">
        <v>151</v>
      </c>
      <c r="C282" s="91" t="s">
        <v>83</v>
      </c>
      <c r="D282" s="126" t="s">
        <v>5</v>
      </c>
      <c r="E282" s="172">
        <f t="shared" si="265"/>
        <v>0.25</v>
      </c>
      <c r="F282" s="127"/>
      <c r="G282" s="127"/>
      <c r="H282" s="127"/>
      <c r="I282" s="127"/>
      <c r="J282" s="127"/>
      <c r="K282" s="127"/>
      <c r="L282" s="127"/>
      <c r="M282" s="127"/>
      <c r="N282" s="127"/>
      <c r="O282" s="132"/>
      <c r="P282" s="128">
        <f t="shared" ref="P282:AB282" si="271">$E282*P396</f>
        <v>22357.56</v>
      </c>
      <c r="Q282" s="128">
        <f t="shared" si="271"/>
        <v>21638.645</v>
      </c>
      <c r="R282" s="128">
        <f t="shared" si="271"/>
        <v>25839</v>
      </c>
      <c r="S282" s="915">
        <f t="shared" si="271"/>
        <v>26086.75</v>
      </c>
      <c r="T282" s="128">
        <f t="shared" si="271"/>
        <v>26999.786249999997</v>
      </c>
      <c r="U282" s="128">
        <f t="shared" si="271"/>
        <v>27944.778768749995</v>
      </c>
      <c r="V282" s="128">
        <f t="shared" si="271"/>
        <v>28922.846025656243</v>
      </c>
      <c r="W282" s="128">
        <f t="shared" si="271"/>
        <v>29935.145636554211</v>
      </c>
      <c r="X282" s="128">
        <f t="shared" si="271"/>
        <v>30982.875733833607</v>
      </c>
      <c r="Y282" s="128">
        <f t="shared" si="271"/>
        <v>32067.27638451778</v>
      </c>
      <c r="Z282" s="128">
        <f t="shared" si="271"/>
        <v>33189.631057975901</v>
      </c>
      <c r="AA282" s="128">
        <f t="shared" si="271"/>
        <v>34351.268145005051</v>
      </c>
      <c r="AB282" s="128">
        <f t="shared" si="271"/>
        <v>35553.562530080228</v>
      </c>
    </row>
    <row r="283" spans="2:28" s="134" customFormat="1" x14ac:dyDescent="0.3">
      <c r="B283" s="188" t="s">
        <v>152</v>
      </c>
      <c r="C283" s="91" t="s">
        <v>85</v>
      </c>
      <c r="D283" s="126" t="s">
        <v>5</v>
      </c>
      <c r="E283" s="172">
        <f t="shared" si="265"/>
        <v>0.25</v>
      </c>
      <c r="F283" s="127"/>
      <c r="G283" s="127"/>
      <c r="H283" s="127"/>
      <c r="I283" s="127"/>
      <c r="J283" s="127"/>
      <c r="K283" s="127"/>
      <c r="L283" s="127"/>
      <c r="M283" s="127"/>
      <c r="N283" s="127"/>
      <c r="O283" s="132"/>
      <c r="P283" s="128">
        <f t="shared" ref="P283:AB283" si="272">$E283*P397</f>
        <v>46411.702499999999</v>
      </c>
      <c r="Q283" s="128">
        <f t="shared" si="272"/>
        <v>47357.477500000001</v>
      </c>
      <c r="R283" s="128">
        <f t="shared" si="272"/>
        <v>49999</v>
      </c>
      <c r="S283" s="915">
        <f t="shared" si="272"/>
        <v>49231.75</v>
      </c>
      <c r="T283" s="128">
        <f t="shared" si="272"/>
        <v>50954.861249999994</v>
      </c>
      <c r="U283" s="128">
        <f t="shared" si="272"/>
        <v>52738.281393749989</v>
      </c>
      <c r="V283" s="128">
        <f t="shared" si="272"/>
        <v>54584.121242531233</v>
      </c>
      <c r="W283" s="128">
        <f t="shared" si="272"/>
        <v>56494.565486019819</v>
      </c>
      <c r="X283" s="128">
        <f t="shared" si="272"/>
        <v>58471.875278030508</v>
      </c>
      <c r="Y283" s="128">
        <f t="shared" si="272"/>
        <v>60518.39091276157</v>
      </c>
      <c r="Z283" s="128">
        <f t="shared" si="272"/>
        <v>62636.534594708217</v>
      </c>
      <c r="AA283" s="128">
        <f t="shared" si="272"/>
        <v>64828.813305522999</v>
      </c>
      <c r="AB283" s="128">
        <f t="shared" si="272"/>
        <v>67097.821771216302</v>
      </c>
    </row>
    <row r="284" spans="2:28" s="134" customFormat="1" x14ac:dyDescent="0.3">
      <c r="B284" s="188" t="s">
        <v>153</v>
      </c>
      <c r="C284" s="91" t="s">
        <v>87</v>
      </c>
      <c r="D284" s="126" t="s">
        <v>6</v>
      </c>
      <c r="E284" s="172">
        <f t="shared" si="265"/>
        <v>0.25</v>
      </c>
      <c r="F284" s="127"/>
      <c r="G284" s="127"/>
      <c r="H284" s="127"/>
      <c r="I284" s="127"/>
      <c r="J284" s="127"/>
      <c r="K284" s="127"/>
      <c r="L284" s="127"/>
      <c r="M284" s="127"/>
      <c r="N284" s="127"/>
      <c r="O284" s="132"/>
      <c r="P284" s="128">
        <f t="shared" ref="P284:AB284" si="273">$E284*P398</f>
        <v>101884.77250000001</v>
      </c>
      <c r="Q284" s="128">
        <f t="shared" si="273"/>
        <v>100545.9175</v>
      </c>
      <c r="R284" s="128">
        <f t="shared" si="273"/>
        <v>107446.5</v>
      </c>
      <c r="S284" s="915">
        <f t="shared" si="273"/>
        <v>104208</v>
      </c>
      <c r="T284" s="128">
        <f t="shared" si="273"/>
        <v>110460.48000000001</v>
      </c>
      <c r="U284" s="128">
        <f t="shared" si="273"/>
        <v>117088.10880000002</v>
      </c>
      <c r="V284" s="128">
        <f t="shared" si="273"/>
        <v>124113.39532800003</v>
      </c>
      <c r="W284" s="128">
        <f t="shared" si="273"/>
        <v>131560.19904768004</v>
      </c>
      <c r="X284" s="128">
        <f t="shared" si="273"/>
        <v>139453.81099054086</v>
      </c>
      <c r="Y284" s="128">
        <f t="shared" si="273"/>
        <v>147821.03964997333</v>
      </c>
      <c r="Z284" s="128">
        <f t="shared" si="273"/>
        <v>156690.30202897175</v>
      </c>
      <c r="AA284" s="128">
        <f t="shared" si="273"/>
        <v>166091.72015071005</v>
      </c>
      <c r="AB284" s="128">
        <f t="shared" si="273"/>
        <v>176057.22335975268</v>
      </c>
    </row>
    <row r="285" spans="2:28" s="134" customFormat="1" x14ac:dyDescent="0.3">
      <c r="B285" s="188" t="s">
        <v>154</v>
      </c>
      <c r="C285" s="91" t="s">
        <v>89</v>
      </c>
      <c r="D285" s="126" t="s">
        <v>6</v>
      </c>
      <c r="E285" s="172">
        <f t="shared" si="265"/>
        <v>0.25</v>
      </c>
      <c r="F285" s="127"/>
      <c r="G285" s="127"/>
      <c r="H285" s="127"/>
      <c r="I285" s="127"/>
      <c r="J285" s="127"/>
      <c r="K285" s="127"/>
      <c r="L285" s="127"/>
      <c r="M285" s="127"/>
      <c r="N285" s="127"/>
      <c r="O285" s="132"/>
      <c r="P285" s="128">
        <f t="shared" ref="P285:AB285" si="274">$E285*P399</f>
        <v>111089.38259966775</v>
      </c>
      <c r="Q285" s="128">
        <f t="shared" si="274"/>
        <v>5060.7974999999997</v>
      </c>
      <c r="R285" s="128">
        <f t="shared" si="274"/>
        <v>6042</v>
      </c>
      <c r="S285" s="128">
        <f t="shared" si="274"/>
        <v>6100.25</v>
      </c>
      <c r="T285" s="128">
        <f t="shared" si="274"/>
        <v>6466.2650000000003</v>
      </c>
      <c r="U285" s="128">
        <f t="shared" si="274"/>
        <v>6854.2409000000007</v>
      </c>
      <c r="V285" s="128">
        <f t="shared" si="274"/>
        <v>7265.4953540000015</v>
      </c>
      <c r="W285" s="128">
        <f t="shared" si="274"/>
        <v>7701.4250752400021</v>
      </c>
      <c r="X285" s="128">
        <f t="shared" si="274"/>
        <v>8163.5105797544029</v>
      </c>
      <c r="Y285" s="128">
        <f t="shared" si="274"/>
        <v>8653.3212145396683</v>
      </c>
      <c r="Z285" s="128">
        <f t="shared" si="274"/>
        <v>9172.5204874120482</v>
      </c>
      <c r="AA285" s="128">
        <f t="shared" si="274"/>
        <v>9722.8717166567712</v>
      </c>
      <c r="AB285" s="128">
        <f t="shared" si="274"/>
        <v>10306.244019656178</v>
      </c>
    </row>
    <row r="286" spans="2:28" s="134" customFormat="1" x14ac:dyDescent="0.3">
      <c r="B286" s="188" t="s">
        <v>155</v>
      </c>
      <c r="C286" s="91" t="s">
        <v>91</v>
      </c>
      <c r="D286" s="126" t="s">
        <v>5</v>
      </c>
      <c r="E286" s="172">
        <f t="shared" si="265"/>
        <v>0.25</v>
      </c>
      <c r="F286" s="127"/>
      <c r="G286" s="127"/>
      <c r="H286" s="127"/>
      <c r="I286" s="127"/>
      <c r="J286" s="127"/>
      <c r="K286" s="127"/>
      <c r="L286" s="127"/>
      <c r="M286" s="127"/>
      <c r="N286" s="127"/>
      <c r="O286" s="132"/>
      <c r="P286" s="128">
        <f t="shared" ref="P286:AB286" si="275">$E286*P400</f>
        <v>111989.36125641799</v>
      </c>
      <c r="Q286" s="128">
        <f t="shared" si="275"/>
        <v>650.4</v>
      </c>
      <c r="R286" s="128">
        <f t="shared" si="275"/>
        <v>3875</v>
      </c>
      <c r="S286" s="128">
        <f t="shared" si="275"/>
        <v>3825</v>
      </c>
      <c r="T286" s="128">
        <f t="shared" si="275"/>
        <v>3958.8749999999995</v>
      </c>
      <c r="U286" s="128">
        <f t="shared" si="275"/>
        <v>4097.4356249999992</v>
      </c>
      <c r="V286" s="128">
        <f t="shared" si="275"/>
        <v>4240.8458718749989</v>
      </c>
      <c r="W286" s="128">
        <f t="shared" si="275"/>
        <v>4389.2754773906236</v>
      </c>
      <c r="X286" s="128">
        <f t="shared" si="275"/>
        <v>4542.9001190992949</v>
      </c>
      <c r="Y286" s="128">
        <f t="shared" si="275"/>
        <v>4701.9016232677695</v>
      </c>
      <c r="Z286" s="128">
        <f t="shared" si="275"/>
        <v>4866.4681800821409</v>
      </c>
      <c r="AA286" s="128">
        <f t="shared" si="275"/>
        <v>5036.7945663850151</v>
      </c>
      <c r="AB286" s="128">
        <f t="shared" si="275"/>
        <v>5213.0823762084901</v>
      </c>
    </row>
    <row r="287" spans="2:28" s="134" customFormat="1" x14ac:dyDescent="0.3">
      <c r="B287" s="188" t="s">
        <v>156</v>
      </c>
      <c r="C287" s="91" t="s">
        <v>157</v>
      </c>
      <c r="D287" s="126" t="s">
        <v>5</v>
      </c>
      <c r="E287" s="172">
        <f t="shared" si="265"/>
        <v>0.25</v>
      </c>
      <c r="F287" s="127"/>
      <c r="G287" s="127"/>
      <c r="H287" s="127"/>
      <c r="I287" s="127"/>
      <c r="J287" s="127"/>
      <c r="K287" s="127"/>
      <c r="L287" s="127"/>
      <c r="M287" s="127"/>
      <c r="N287" s="127"/>
      <c r="O287" s="132"/>
      <c r="P287" s="128">
        <f t="shared" ref="P287:AB287" si="276">$E287*P401</f>
        <v>112889.33991316825</v>
      </c>
      <c r="Q287" s="128">
        <f t="shared" si="276"/>
        <v>0</v>
      </c>
      <c r="R287" s="128">
        <f t="shared" si="276"/>
        <v>125</v>
      </c>
      <c r="S287" s="128">
        <f t="shared" si="276"/>
        <v>125</v>
      </c>
      <c r="T287" s="128">
        <f t="shared" si="276"/>
        <v>129.375</v>
      </c>
      <c r="U287" s="128">
        <f t="shared" si="276"/>
        <v>133.90312499999999</v>
      </c>
      <c r="V287" s="128">
        <f t="shared" si="276"/>
        <v>138.58973437499998</v>
      </c>
      <c r="W287" s="128">
        <f t="shared" si="276"/>
        <v>143.44037507812496</v>
      </c>
      <c r="X287" s="128">
        <f t="shared" si="276"/>
        <v>148.46078820585933</v>
      </c>
      <c r="Y287" s="128">
        <f t="shared" si="276"/>
        <v>153.6569157930644</v>
      </c>
      <c r="Z287" s="128">
        <f t="shared" si="276"/>
        <v>159.03490784582164</v>
      </c>
      <c r="AA287" s="128">
        <f t="shared" si="276"/>
        <v>164.60112962042538</v>
      </c>
      <c r="AB287" s="128">
        <f t="shared" si="276"/>
        <v>170.36216915714024</v>
      </c>
    </row>
    <row r="288" spans="2:28" s="134" customFormat="1" x14ac:dyDescent="0.3">
      <c r="B288" s="188" t="s">
        <v>158</v>
      </c>
      <c r="C288" s="91" t="s">
        <v>159</v>
      </c>
      <c r="D288" s="126" t="s">
        <v>1480</v>
      </c>
      <c r="E288" s="172">
        <f t="shared" si="265"/>
        <v>0.25</v>
      </c>
      <c r="F288" s="127"/>
      <c r="G288" s="127"/>
      <c r="H288" s="127"/>
      <c r="I288" s="127"/>
      <c r="J288" s="127"/>
      <c r="K288" s="127"/>
      <c r="L288" s="127"/>
      <c r="M288" s="127"/>
      <c r="N288" s="127"/>
      <c r="O288" s="132"/>
      <c r="P288" s="128">
        <f t="shared" ref="P288:AB288" si="277">$E288*P402</f>
        <v>113789.3185699185</v>
      </c>
      <c r="Q288" s="128">
        <f t="shared" si="277"/>
        <v>1010.25</v>
      </c>
      <c r="R288" s="128">
        <f t="shared" si="277"/>
        <v>1306.25</v>
      </c>
      <c r="S288" s="128">
        <f t="shared" si="277"/>
        <v>1321.25</v>
      </c>
      <c r="T288" s="128">
        <f t="shared" si="277"/>
        <v>1349.5945504322742</v>
      </c>
      <c r="U288" s="128">
        <f t="shared" si="277"/>
        <v>1378.547171660543</v>
      </c>
      <c r="V288" s="128">
        <f t="shared" si="277"/>
        <v>1408.120908523666</v>
      </c>
      <c r="W288" s="128">
        <f t="shared" si="277"/>
        <v>1438.3290857092015</v>
      </c>
      <c r="X288" s="128">
        <f t="shared" si="277"/>
        <v>1469.1853137569528</v>
      </c>
      <c r="Y288" s="128">
        <f t="shared" si="277"/>
        <v>1500.7034951913072</v>
      </c>
      <c r="Z288" s="128">
        <f t="shared" si="277"/>
        <v>1532.8978307851314</v>
      </c>
      <c r="AA288" s="128">
        <f t="shared" si="277"/>
        <v>1565.7828259580456</v>
      </c>
      <c r="AB288" s="128">
        <f t="shared" si="277"/>
        <v>1599.3732973119579</v>
      </c>
    </row>
    <row r="289" spans="2:28" s="134" customFormat="1" x14ac:dyDescent="0.3">
      <c r="B289" s="188" t="s">
        <v>160</v>
      </c>
      <c r="C289" s="91" t="s">
        <v>93</v>
      </c>
      <c r="D289" s="126" t="s">
        <v>1480</v>
      </c>
      <c r="E289" s="172">
        <f t="shared" si="265"/>
        <v>0.25</v>
      </c>
      <c r="F289" s="127"/>
      <c r="G289" s="127"/>
      <c r="H289" s="127"/>
      <c r="I289" s="127"/>
      <c r="J289" s="127"/>
      <c r="K289" s="127"/>
      <c r="L289" s="127"/>
      <c r="M289" s="127"/>
      <c r="N289" s="127"/>
      <c r="O289" s="132"/>
      <c r="P289" s="128">
        <f t="shared" ref="P289:AB289" si="278">$E289*P403</f>
        <v>95.5</v>
      </c>
      <c r="Q289" s="128">
        <f t="shared" si="278"/>
        <v>194.83250000000001</v>
      </c>
      <c r="R289" s="128">
        <f t="shared" si="278"/>
        <v>400</v>
      </c>
      <c r="S289" s="128">
        <f t="shared" si="278"/>
        <v>250</v>
      </c>
      <c r="T289" s="128">
        <f t="shared" si="278"/>
        <v>255.36320727195348</v>
      </c>
      <c r="U289" s="128">
        <f t="shared" si="278"/>
        <v>260.84147051287471</v>
      </c>
      <c r="V289" s="128">
        <f t="shared" si="278"/>
        <v>266.4372579988015</v>
      </c>
      <c r="W289" s="128">
        <f t="shared" si="278"/>
        <v>272.15309095727559</v>
      </c>
      <c r="X289" s="128">
        <f t="shared" si="278"/>
        <v>277.99154470330234</v>
      </c>
      <c r="Y289" s="128">
        <f t="shared" si="278"/>
        <v>283.95524979967968</v>
      </c>
      <c r="Z289" s="128">
        <f t="shared" si="278"/>
        <v>290.04689324221971</v>
      </c>
      <c r="AA289" s="128">
        <f t="shared" si="278"/>
        <v>296.26921967039647</v>
      </c>
      <c r="AB289" s="128">
        <f t="shared" si="278"/>
        <v>302.62503260396551</v>
      </c>
    </row>
    <row r="290" spans="2:28" s="134" customFormat="1" x14ac:dyDescent="0.3">
      <c r="B290" s="188" t="s">
        <v>161</v>
      </c>
      <c r="C290" s="91" t="s">
        <v>162</v>
      </c>
      <c r="D290" s="126" t="s">
        <v>7</v>
      </c>
      <c r="E290" s="172">
        <f t="shared" si="265"/>
        <v>0.25</v>
      </c>
      <c r="F290" s="127"/>
      <c r="G290" s="127"/>
      <c r="H290" s="127"/>
      <c r="I290" s="127"/>
      <c r="J290" s="127"/>
      <c r="K290" s="127"/>
      <c r="L290" s="127"/>
      <c r="M290" s="127"/>
      <c r="N290" s="127"/>
      <c r="O290" s="132"/>
      <c r="P290" s="128">
        <f t="shared" ref="P290:AB290" si="279">$E290*P404</f>
        <v>31.5</v>
      </c>
      <c r="Q290" s="128">
        <f t="shared" si="279"/>
        <v>8.7375000000000007</v>
      </c>
      <c r="R290" s="128">
        <f t="shared" si="279"/>
        <v>175</v>
      </c>
      <c r="S290" s="128">
        <f t="shared" si="279"/>
        <v>325</v>
      </c>
      <c r="T290" s="128">
        <f t="shared" si="279"/>
        <v>334.75</v>
      </c>
      <c r="U290" s="128">
        <f t="shared" si="279"/>
        <v>344.79250000000002</v>
      </c>
      <c r="V290" s="128">
        <f t="shared" si="279"/>
        <v>355.13627500000001</v>
      </c>
      <c r="W290" s="128">
        <f t="shared" si="279"/>
        <v>365.79036325000004</v>
      </c>
      <c r="X290" s="128">
        <f t="shared" si="279"/>
        <v>376.76407414750003</v>
      </c>
      <c r="Y290" s="128">
        <f t="shared" si="279"/>
        <v>388.06699637192503</v>
      </c>
      <c r="Z290" s="128">
        <f t="shared" si="279"/>
        <v>399.70900626308281</v>
      </c>
      <c r="AA290" s="128">
        <f t="shared" si="279"/>
        <v>411.70027645097531</v>
      </c>
      <c r="AB290" s="128">
        <f t="shared" si="279"/>
        <v>424.05128474450458</v>
      </c>
    </row>
    <row r="291" spans="2:28" s="134" customFormat="1" x14ac:dyDescent="0.3">
      <c r="B291" s="188" t="s">
        <v>163</v>
      </c>
      <c r="C291" s="91" t="s">
        <v>95</v>
      </c>
      <c r="D291" s="126" t="s">
        <v>7</v>
      </c>
      <c r="E291" s="172">
        <f t="shared" si="265"/>
        <v>0.25</v>
      </c>
      <c r="F291" s="127"/>
      <c r="G291" s="127"/>
      <c r="H291" s="127"/>
      <c r="I291" s="127"/>
      <c r="J291" s="127"/>
      <c r="K291" s="127"/>
      <c r="L291" s="127"/>
      <c r="M291" s="127"/>
      <c r="N291" s="127"/>
      <c r="O291" s="132"/>
      <c r="P291" s="128">
        <f t="shared" ref="P291:AB291" si="280">$E291*P405</f>
        <v>733.25</v>
      </c>
      <c r="Q291" s="128">
        <f t="shared" si="280"/>
        <v>720</v>
      </c>
      <c r="R291" s="128">
        <f t="shared" si="280"/>
        <v>757.5</v>
      </c>
      <c r="S291" s="128">
        <f t="shared" si="280"/>
        <v>757.5</v>
      </c>
      <c r="T291" s="128">
        <f t="shared" si="280"/>
        <v>780.22500000000002</v>
      </c>
      <c r="U291" s="128">
        <f t="shared" si="280"/>
        <v>803.63175000000001</v>
      </c>
      <c r="V291" s="128">
        <f t="shared" si="280"/>
        <v>827.7407025</v>
      </c>
      <c r="W291" s="128">
        <f t="shared" si="280"/>
        <v>852.572923575</v>
      </c>
      <c r="X291" s="128">
        <f t="shared" si="280"/>
        <v>878.15011128225001</v>
      </c>
      <c r="Y291" s="128">
        <f t="shared" si="280"/>
        <v>904.49461462071758</v>
      </c>
      <c r="Z291" s="128">
        <f t="shared" si="280"/>
        <v>931.62945305933908</v>
      </c>
      <c r="AA291" s="128">
        <f t="shared" si="280"/>
        <v>959.57833665111923</v>
      </c>
      <c r="AB291" s="128">
        <f t="shared" si="280"/>
        <v>988.3656867506528</v>
      </c>
    </row>
    <row r="292" spans="2:28" s="134" customFormat="1" x14ac:dyDescent="0.3">
      <c r="B292" s="188" t="s">
        <v>164</v>
      </c>
      <c r="C292" s="91" t="s">
        <v>165</v>
      </c>
      <c r="D292" s="126" t="s">
        <v>7</v>
      </c>
      <c r="E292" s="172">
        <f t="shared" si="265"/>
        <v>0</v>
      </c>
      <c r="F292" s="127"/>
      <c r="G292" s="127"/>
      <c r="H292" s="127"/>
      <c r="I292" s="127"/>
      <c r="J292" s="127"/>
      <c r="K292" s="127"/>
      <c r="L292" s="127"/>
      <c r="M292" s="127"/>
      <c r="N292" s="127"/>
      <c r="O292" s="132"/>
      <c r="P292" s="128">
        <f t="shared" ref="P292:AB292" si="281">$E292*P406</f>
        <v>0</v>
      </c>
      <c r="Q292" s="128">
        <f t="shared" si="281"/>
        <v>0</v>
      </c>
      <c r="R292" s="128">
        <f t="shared" si="281"/>
        <v>0</v>
      </c>
      <c r="S292" s="128">
        <f t="shared" si="281"/>
        <v>0</v>
      </c>
      <c r="T292" s="128">
        <f t="shared" si="281"/>
        <v>0</v>
      </c>
      <c r="U292" s="128">
        <f t="shared" si="281"/>
        <v>0</v>
      </c>
      <c r="V292" s="128">
        <f t="shared" si="281"/>
        <v>0</v>
      </c>
      <c r="W292" s="128">
        <f t="shared" si="281"/>
        <v>0</v>
      </c>
      <c r="X292" s="128">
        <f t="shared" si="281"/>
        <v>0</v>
      </c>
      <c r="Y292" s="128">
        <f t="shared" si="281"/>
        <v>0</v>
      </c>
      <c r="Z292" s="128">
        <f t="shared" si="281"/>
        <v>0</v>
      </c>
      <c r="AA292" s="128">
        <f t="shared" si="281"/>
        <v>0</v>
      </c>
      <c r="AB292" s="128">
        <f t="shared" si="281"/>
        <v>0</v>
      </c>
    </row>
    <row r="293" spans="2:28" s="134" customFormat="1" x14ac:dyDescent="0.3">
      <c r="B293" s="188" t="s">
        <v>166</v>
      </c>
      <c r="C293" s="91" t="s">
        <v>105</v>
      </c>
      <c r="D293" s="126" t="s">
        <v>7</v>
      </c>
      <c r="E293" s="172">
        <f t="shared" si="265"/>
        <v>0.25</v>
      </c>
      <c r="F293" s="127"/>
      <c r="G293" s="127"/>
      <c r="H293" s="127"/>
      <c r="I293" s="127"/>
      <c r="J293" s="127"/>
      <c r="K293" s="127"/>
      <c r="L293" s="127"/>
      <c r="M293" s="127"/>
      <c r="N293" s="127"/>
      <c r="O293" s="132"/>
      <c r="P293" s="128">
        <f t="shared" ref="P293:AB293" si="282">$E293*P407</f>
        <v>3126.1125000000002</v>
      </c>
      <c r="Q293" s="128">
        <f t="shared" si="282"/>
        <v>2462.0625</v>
      </c>
      <c r="R293" s="128">
        <f t="shared" si="282"/>
        <v>2700</v>
      </c>
      <c r="S293" s="128">
        <f t="shared" si="282"/>
        <v>3300</v>
      </c>
      <c r="T293" s="128">
        <f t="shared" si="282"/>
        <v>3399</v>
      </c>
      <c r="U293" s="128">
        <f t="shared" si="282"/>
        <v>3500.9700000000003</v>
      </c>
      <c r="V293" s="128">
        <f t="shared" si="282"/>
        <v>3605.9991000000005</v>
      </c>
      <c r="W293" s="128">
        <f t="shared" si="282"/>
        <v>3714.1790730000007</v>
      </c>
      <c r="X293" s="128">
        <f t="shared" si="282"/>
        <v>3825.6044451900007</v>
      </c>
      <c r="Y293" s="128">
        <f t="shared" si="282"/>
        <v>3940.3725785457009</v>
      </c>
      <c r="Z293" s="128">
        <f t="shared" si="282"/>
        <v>4058.583755902072</v>
      </c>
      <c r="AA293" s="128">
        <f t="shared" si="282"/>
        <v>4180.3412685791345</v>
      </c>
      <c r="AB293" s="128">
        <f t="shared" si="282"/>
        <v>4305.7515066365086</v>
      </c>
    </row>
    <row r="294" spans="2:28" s="134" customFormat="1" x14ac:dyDescent="0.3">
      <c r="B294" s="188" t="s">
        <v>167</v>
      </c>
      <c r="C294" s="91" t="s">
        <v>107</v>
      </c>
      <c r="D294" s="126" t="s">
        <v>1480</v>
      </c>
      <c r="E294" s="172">
        <f t="shared" si="265"/>
        <v>0.25</v>
      </c>
      <c r="F294" s="127"/>
      <c r="G294" s="127"/>
      <c r="H294" s="127"/>
      <c r="I294" s="127"/>
      <c r="J294" s="127"/>
      <c r="K294" s="127"/>
      <c r="L294" s="127"/>
      <c r="M294" s="127"/>
      <c r="N294" s="127"/>
      <c r="O294" s="132"/>
      <c r="P294" s="128">
        <f t="shared" ref="P294:AB294" si="283">$E294*P408</f>
        <v>1336.84</v>
      </c>
      <c r="Q294" s="128">
        <f t="shared" si="283"/>
        <v>1678.2525000000001</v>
      </c>
      <c r="R294" s="128">
        <f t="shared" si="283"/>
        <v>3235.75</v>
      </c>
      <c r="S294" s="128">
        <f t="shared" si="283"/>
        <v>2687.5</v>
      </c>
      <c r="T294" s="128">
        <f t="shared" si="283"/>
        <v>2745.1544781735001</v>
      </c>
      <c r="U294" s="128">
        <f t="shared" si="283"/>
        <v>2804.0458080134035</v>
      </c>
      <c r="V294" s="128">
        <f t="shared" si="283"/>
        <v>2864.2005234871162</v>
      </c>
      <c r="W294" s="128">
        <f t="shared" si="283"/>
        <v>2925.6457277907125</v>
      </c>
      <c r="X294" s="128">
        <f t="shared" si="283"/>
        <v>2988.4091055604999</v>
      </c>
      <c r="Y294" s="128">
        <f t="shared" si="283"/>
        <v>3052.5189353465562</v>
      </c>
      <c r="Z294" s="128">
        <f t="shared" si="283"/>
        <v>3118.004102353862</v>
      </c>
      <c r="AA294" s="128">
        <f t="shared" si="283"/>
        <v>3184.8941114567624</v>
      </c>
      <c r="AB294" s="128">
        <f t="shared" si="283"/>
        <v>3253.2191004926294</v>
      </c>
    </row>
    <row r="295" spans="2:28" s="134" customFormat="1" x14ac:dyDescent="0.3">
      <c r="B295" s="188" t="s">
        <v>168</v>
      </c>
      <c r="C295" s="91" t="s">
        <v>112</v>
      </c>
      <c r="D295" s="126" t="s">
        <v>1480</v>
      </c>
      <c r="E295" s="172">
        <f t="shared" si="265"/>
        <v>0.25</v>
      </c>
      <c r="F295" s="127"/>
      <c r="G295" s="127"/>
      <c r="H295" s="127"/>
      <c r="I295" s="127"/>
      <c r="J295" s="127"/>
      <c r="K295" s="127"/>
      <c r="L295" s="127"/>
      <c r="M295" s="127"/>
      <c r="N295" s="127"/>
      <c r="O295" s="132"/>
      <c r="P295" s="128">
        <f t="shared" ref="P295:AB295" si="284">$E295*P409</f>
        <v>83.022499999999994</v>
      </c>
      <c r="Q295" s="128">
        <f t="shared" si="284"/>
        <v>14.4625</v>
      </c>
      <c r="R295" s="128">
        <f t="shared" si="284"/>
        <v>352.5</v>
      </c>
      <c r="S295" s="128">
        <f t="shared" si="284"/>
        <v>265</v>
      </c>
      <c r="T295" s="128">
        <f t="shared" si="284"/>
        <v>270.68499970827071</v>
      </c>
      <c r="U295" s="128">
        <f t="shared" si="284"/>
        <v>276.49195874364722</v>
      </c>
      <c r="V295" s="128">
        <f t="shared" si="284"/>
        <v>282.4234934787296</v>
      </c>
      <c r="W295" s="128">
        <f t="shared" si="284"/>
        <v>288.48227641471215</v>
      </c>
      <c r="X295" s="128">
        <f t="shared" si="284"/>
        <v>294.67103738550048</v>
      </c>
      <c r="Y295" s="128">
        <f t="shared" si="284"/>
        <v>300.99256478766046</v>
      </c>
      <c r="Z295" s="128">
        <f t="shared" si="284"/>
        <v>307.44970683675291</v>
      </c>
      <c r="AA295" s="128">
        <f t="shared" si="284"/>
        <v>314.04537285062031</v>
      </c>
      <c r="AB295" s="128">
        <f t="shared" si="284"/>
        <v>320.78253456020349</v>
      </c>
    </row>
    <row r="296" spans="2:28" s="134" customFormat="1" x14ac:dyDescent="0.3">
      <c r="B296" s="188" t="s">
        <v>169</v>
      </c>
      <c r="C296" s="91" t="s">
        <v>170</v>
      </c>
      <c r="D296" s="126" t="s">
        <v>1480</v>
      </c>
      <c r="E296" s="172">
        <f t="shared" si="265"/>
        <v>0.25</v>
      </c>
      <c r="F296" s="127"/>
      <c r="G296" s="127"/>
      <c r="H296" s="127"/>
      <c r="I296" s="127"/>
      <c r="J296" s="127"/>
      <c r="K296" s="127"/>
      <c r="L296" s="127"/>
      <c r="M296" s="127"/>
      <c r="N296" s="127"/>
      <c r="O296" s="132"/>
      <c r="P296" s="128">
        <f t="shared" ref="P296:AB296" si="285">$E296*P410</f>
        <v>360.09750000000003</v>
      </c>
      <c r="Q296" s="128">
        <f t="shared" si="285"/>
        <v>494.95499999999998</v>
      </c>
      <c r="R296" s="128">
        <f t="shared" si="285"/>
        <v>400</v>
      </c>
      <c r="S296" s="128">
        <f t="shared" si="285"/>
        <v>400</v>
      </c>
      <c r="T296" s="128">
        <f t="shared" si="285"/>
        <v>408.58113163512559</v>
      </c>
      <c r="U296" s="128">
        <f t="shared" si="285"/>
        <v>417.34635282059958</v>
      </c>
      <c r="V296" s="128">
        <f t="shared" si="285"/>
        <v>426.29961279808242</v>
      </c>
      <c r="W296" s="128">
        <f t="shared" si="285"/>
        <v>435.44494553164094</v>
      </c>
      <c r="X296" s="128">
        <f t="shared" si="285"/>
        <v>444.78647152528373</v>
      </c>
      <c r="Y296" s="128">
        <f t="shared" si="285"/>
        <v>454.32839967948746</v>
      </c>
      <c r="Z296" s="128">
        <f t="shared" si="285"/>
        <v>464.07502918755154</v>
      </c>
      <c r="AA296" s="128">
        <f t="shared" si="285"/>
        <v>474.03075147263439</v>
      </c>
      <c r="AB296" s="128">
        <f t="shared" si="285"/>
        <v>484.20005216634485</v>
      </c>
    </row>
    <row r="297" spans="2:28" s="134" customFormat="1" x14ac:dyDescent="0.3">
      <c r="B297" s="188" t="s">
        <v>171</v>
      </c>
      <c r="C297" s="91" t="s">
        <v>116</v>
      </c>
      <c r="D297" s="126" t="s">
        <v>1480</v>
      </c>
      <c r="E297" s="172">
        <f t="shared" si="265"/>
        <v>0.25</v>
      </c>
      <c r="F297" s="127"/>
      <c r="G297" s="127"/>
      <c r="H297" s="127"/>
      <c r="I297" s="127"/>
      <c r="J297" s="127"/>
      <c r="K297" s="127"/>
      <c r="L297" s="127"/>
      <c r="M297" s="127"/>
      <c r="N297" s="127"/>
      <c r="O297" s="132"/>
      <c r="P297" s="128">
        <f t="shared" ref="P297:AB297" si="286">$E297*P411</f>
        <v>95.265000000000001</v>
      </c>
      <c r="Q297" s="128">
        <f t="shared" si="286"/>
        <v>78.795000000000002</v>
      </c>
      <c r="R297" s="128">
        <f t="shared" si="286"/>
        <v>375</v>
      </c>
      <c r="S297" s="128">
        <f t="shared" si="286"/>
        <v>250</v>
      </c>
      <c r="T297" s="128">
        <f t="shared" si="286"/>
        <v>255.36320727195348</v>
      </c>
      <c r="U297" s="128">
        <f t="shared" si="286"/>
        <v>260.84147051287471</v>
      </c>
      <c r="V297" s="128">
        <f t="shared" si="286"/>
        <v>266.4372579988015</v>
      </c>
      <c r="W297" s="128">
        <f t="shared" si="286"/>
        <v>272.15309095727559</v>
      </c>
      <c r="X297" s="128">
        <f t="shared" si="286"/>
        <v>277.99154470330234</v>
      </c>
      <c r="Y297" s="128">
        <f t="shared" si="286"/>
        <v>283.95524979967968</v>
      </c>
      <c r="Z297" s="128">
        <f t="shared" si="286"/>
        <v>290.04689324221971</v>
      </c>
      <c r="AA297" s="128">
        <f t="shared" si="286"/>
        <v>296.26921967039647</v>
      </c>
      <c r="AB297" s="128">
        <f t="shared" si="286"/>
        <v>302.62503260396551</v>
      </c>
    </row>
    <row r="298" spans="2:28" s="134" customFormat="1" x14ac:dyDescent="0.3">
      <c r="B298" s="188" t="s">
        <v>172</v>
      </c>
      <c r="C298" s="91" t="s">
        <v>173</v>
      </c>
      <c r="D298" s="126" t="s">
        <v>7</v>
      </c>
      <c r="E298" s="172">
        <f t="shared" si="265"/>
        <v>0.25</v>
      </c>
      <c r="F298" s="127"/>
      <c r="G298" s="127"/>
      <c r="H298" s="127"/>
      <c r="I298" s="127"/>
      <c r="J298" s="127"/>
      <c r="K298" s="127"/>
      <c r="L298" s="127"/>
      <c r="M298" s="127"/>
      <c r="N298" s="127"/>
      <c r="O298" s="132"/>
      <c r="P298" s="128">
        <f t="shared" ref="P298:AB298" si="287">$E298*P412</f>
        <v>31596.75</v>
      </c>
      <c r="Q298" s="128">
        <f t="shared" si="287"/>
        <v>31937.01</v>
      </c>
      <c r="R298" s="128">
        <f t="shared" si="287"/>
        <v>34916.25</v>
      </c>
      <c r="S298" s="128">
        <f t="shared" si="287"/>
        <v>36306.5</v>
      </c>
      <c r="T298" s="128">
        <f t="shared" si="287"/>
        <v>37395.695</v>
      </c>
      <c r="U298" s="128">
        <f t="shared" si="287"/>
        <v>38517.565849999999</v>
      </c>
      <c r="V298" s="128">
        <f t="shared" si="287"/>
        <v>39673.092825500004</v>
      </c>
      <c r="W298" s="128">
        <f t="shared" si="287"/>
        <v>40863.285610265004</v>
      </c>
      <c r="X298" s="128">
        <f t="shared" si="287"/>
        <v>42089.184178572956</v>
      </c>
      <c r="Y298" s="128">
        <f t="shared" si="287"/>
        <v>43351.859703930146</v>
      </c>
      <c r="Z298" s="128">
        <f t="shared" si="287"/>
        <v>44652.415495048052</v>
      </c>
      <c r="AA298" s="128">
        <f t="shared" si="287"/>
        <v>45991.987959899496</v>
      </c>
      <c r="AB298" s="128">
        <f t="shared" si="287"/>
        <v>47371.747598696478</v>
      </c>
    </row>
    <row r="299" spans="2:28" s="134" customFormat="1" x14ac:dyDescent="0.3">
      <c r="B299" s="188" t="s">
        <v>2014</v>
      </c>
      <c r="C299" s="91" t="s">
        <v>2016</v>
      </c>
      <c r="D299" s="126" t="s">
        <v>1480</v>
      </c>
      <c r="E299" s="172">
        <f t="shared" si="265"/>
        <v>0.25</v>
      </c>
      <c r="F299" s="127"/>
      <c r="G299" s="127"/>
      <c r="H299" s="127"/>
      <c r="I299" s="127"/>
      <c r="J299" s="127"/>
      <c r="K299" s="127"/>
      <c r="L299" s="127"/>
      <c r="M299" s="127"/>
      <c r="N299" s="127"/>
      <c r="O299" s="132"/>
      <c r="P299" s="128">
        <f t="shared" ref="P299:AB299" si="288">$E299*P413</f>
        <v>0</v>
      </c>
      <c r="Q299" s="128">
        <f t="shared" si="288"/>
        <v>0</v>
      </c>
      <c r="R299" s="128">
        <f t="shared" si="288"/>
        <v>0</v>
      </c>
      <c r="S299" s="128">
        <f t="shared" si="288"/>
        <v>110.75</v>
      </c>
      <c r="T299" s="128">
        <f t="shared" si="288"/>
        <v>113.1259008214754</v>
      </c>
      <c r="U299" s="128">
        <f t="shared" si="288"/>
        <v>115.5527714372035</v>
      </c>
      <c r="V299" s="128">
        <f t="shared" si="288"/>
        <v>118.03170529346906</v>
      </c>
      <c r="W299" s="128">
        <f t="shared" si="288"/>
        <v>120.56381929407308</v>
      </c>
      <c r="X299" s="128">
        <f t="shared" si="288"/>
        <v>123.15025430356293</v>
      </c>
      <c r="Y299" s="128">
        <f t="shared" si="288"/>
        <v>125.7921756612581</v>
      </c>
      <c r="Z299" s="128">
        <f t="shared" si="288"/>
        <v>128.49077370630334</v>
      </c>
      <c r="AA299" s="128">
        <f t="shared" si="288"/>
        <v>131.24726431398565</v>
      </c>
      <c r="AB299" s="128">
        <f t="shared" si="288"/>
        <v>134.06288944355674</v>
      </c>
    </row>
    <row r="300" spans="2:28" s="134" customFormat="1" x14ac:dyDescent="0.3">
      <c r="B300" s="188" t="s">
        <v>174</v>
      </c>
      <c r="C300" s="91" t="s">
        <v>175</v>
      </c>
      <c r="D300" s="126" t="s">
        <v>1480</v>
      </c>
      <c r="E300" s="172">
        <f t="shared" si="265"/>
        <v>0.25</v>
      </c>
      <c r="F300" s="127"/>
      <c r="G300" s="127"/>
      <c r="H300" s="127"/>
      <c r="I300" s="127"/>
      <c r="J300" s="127"/>
      <c r="K300" s="127"/>
      <c r="L300" s="127"/>
      <c r="M300" s="127"/>
      <c r="N300" s="127"/>
      <c r="O300" s="132"/>
      <c r="P300" s="128">
        <f t="shared" ref="P300:AB300" si="289">$E300*P414</f>
        <v>1318.38</v>
      </c>
      <c r="Q300" s="128">
        <f t="shared" si="289"/>
        <v>1032.145</v>
      </c>
      <c r="R300" s="128">
        <f t="shared" si="289"/>
        <v>1250</v>
      </c>
      <c r="S300" s="128">
        <f t="shared" si="289"/>
        <v>1065</v>
      </c>
      <c r="T300" s="128">
        <f t="shared" si="289"/>
        <v>1087.8472629785219</v>
      </c>
      <c r="U300" s="128">
        <f t="shared" si="289"/>
        <v>1111.1846643848464</v>
      </c>
      <c r="V300" s="128">
        <f t="shared" si="289"/>
        <v>1135.0227190748944</v>
      </c>
      <c r="W300" s="128">
        <f t="shared" si="289"/>
        <v>1159.372167477994</v>
      </c>
      <c r="X300" s="128">
        <f t="shared" si="289"/>
        <v>1184.2439804360679</v>
      </c>
      <c r="Y300" s="128">
        <f t="shared" si="289"/>
        <v>1209.6493641466354</v>
      </c>
      <c r="Z300" s="128">
        <f t="shared" si="289"/>
        <v>1235.599765211856</v>
      </c>
      <c r="AA300" s="128">
        <f t="shared" si="289"/>
        <v>1262.106875795889</v>
      </c>
      <c r="AB300" s="128">
        <f t="shared" si="289"/>
        <v>1289.182638892893</v>
      </c>
    </row>
    <row r="301" spans="2:28" s="134" customFormat="1" x14ac:dyDescent="0.3">
      <c r="B301" s="188" t="s">
        <v>176</v>
      </c>
      <c r="C301" s="91" t="s">
        <v>177</v>
      </c>
      <c r="D301" s="126" t="s">
        <v>8</v>
      </c>
      <c r="E301" s="172">
        <f t="shared" si="265"/>
        <v>0.25</v>
      </c>
      <c r="F301" s="127"/>
      <c r="G301" s="127"/>
      <c r="H301" s="127"/>
      <c r="I301" s="127"/>
      <c r="J301" s="127"/>
      <c r="K301" s="127"/>
      <c r="L301" s="127"/>
      <c r="M301" s="127"/>
      <c r="N301" s="127"/>
      <c r="O301" s="132"/>
      <c r="P301" s="128">
        <f t="shared" ref="P301:AB301" si="290">$E301*P415</f>
        <v>0</v>
      </c>
      <c r="Q301" s="128">
        <f t="shared" si="290"/>
        <v>77.162499999999994</v>
      </c>
      <c r="R301" s="128">
        <f t="shared" si="290"/>
        <v>0</v>
      </c>
      <c r="S301" s="128">
        <f t="shared" si="290"/>
        <v>750</v>
      </c>
      <c r="T301" s="128">
        <f t="shared" si="290"/>
        <v>771.63030356348645</v>
      </c>
      <c r="U301" s="128">
        <f t="shared" si="290"/>
        <v>793.88443383663775</v>
      </c>
      <c r="V301" s="128">
        <f t="shared" si="290"/>
        <v>816.78038223425517</v>
      </c>
      <c r="W301" s="128">
        <f t="shared" si="290"/>
        <v>840.33665905082512</v>
      </c>
      <c r="X301" s="128">
        <f t="shared" si="290"/>
        <v>864.57230842521903</v>
      </c>
      <c r="Y301" s="128">
        <f t="shared" si="290"/>
        <v>889.50692373698143</v>
      </c>
      <c r="Z301" s="128">
        <f t="shared" si="290"/>
        <v>915.1606634466533</v>
      </c>
      <c r="AA301" s="128">
        <f t="shared" si="290"/>
        <v>941.55426739293705</v>
      </c>
      <c r="AB301" s="128">
        <f t="shared" si="290"/>
        <v>968.70907355987754</v>
      </c>
    </row>
    <row r="302" spans="2:28" s="134" customFormat="1" x14ac:dyDescent="0.3">
      <c r="B302" s="188" t="s">
        <v>178</v>
      </c>
      <c r="C302" s="91" t="s">
        <v>122</v>
      </c>
      <c r="D302" s="126" t="s">
        <v>1480</v>
      </c>
      <c r="E302" s="172">
        <f t="shared" si="265"/>
        <v>0.25</v>
      </c>
      <c r="F302" s="127"/>
      <c r="G302" s="127"/>
      <c r="H302" s="127"/>
      <c r="I302" s="127"/>
      <c r="J302" s="127"/>
      <c r="K302" s="127"/>
      <c r="L302" s="127"/>
      <c r="M302" s="127"/>
      <c r="N302" s="127"/>
      <c r="O302" s="132"/>
      <c r="P302" s="128">
        <f t="shared" ref="P302:AB302" si="291">$E302*P416</f>
        <v>742.77250000000004</v>
      </c>
      <c r="Q302" s="128">
        <f t="shared" si="291"/>
        <v>1140.9925000000001</v>
      </c>
      <c r="R302" s="128">
        <f t="shared" si="291"/>
        <v>3157.25</v>
      </c>
      <c r="S302" s="128">
        <f t="shared" si="291"/>
        <v>1393.5</v>
      </c>
      <c r="T302" s="128">
        <f t="shared" si="291"/>
        <v>1423.3945173338689</v>
      </c>
      <c r="U302" s="128">
        <f t="shared" si="291"/>
        <v>1453.9303566387639</v>
      </c>
      <c r="V302" s="128">
        <f t="shared" si="291"/>
        <v>1485.1212760853198</v>
      </c>
      <c r="W302" s="128">
        <f t="shared" si="291"/>
        <v>1516.9813289958543</v>
      </c>
      <c r="X302" s="128">
        <f t="shared" si="291"/>
        <v>1549.5248701762073</v>
      </c>
      <c r="Y302" s="128">
        <f t="shared" si="291"/>
        <v>1582.7665623834146</v>
      </c>
      <c r="Z302" s="128">
        <f t="shared" si="291"/>
        <v>1616.7213829321329</v>
      </c>
      <c r="AA302" s="128">
        <f t="shared" si="291"/>
        <v>1651.4046304427902</v>
      </c>
      <c r="AB302" s="128">
        <f t="shared" si="291"/>
        <v>1686.831931734504</v>
      </c>
    </row>
    <row r="303" spans="2:28" s="134" customFormat="1" x14ac:dyDescent="0.3">
      <c r="B303" s="188" t="s">
        <v>179</v>
      </c>
      <c r="C303" s="91" t="s">
        <v>180</v>
      </c>
      <c r="D303" s="126" t="s">
        <v>7</v>
      </c>
      <c r="E303" s="172">
        <f t="shared" si="265"/>
        <v>0.25</v>
      </c>
      <c r="F303" s="127"/>
      <c r="G303" s="127"/>
      <c r="H303" s="127"/>
      <c r="I303" s="127"/>
      <c r="J303" s="127"/>
      <c r="K303" s="127"/>
      <c r="L303" s="127"/>
      <c r="M303" s="127"/>
      <c r="N303" s="127"/>
      <c r="O303" s="132"/>
      <c r="P303" s="128">
        <f t="shared" ref="P303:AB303" si="292">$E303*P417</f>
        <v>0</v>
      </c>
      <c r="Q303" s="128">
        <f t="shared" si="292"/>
        <v>681.505</v>
      </c>
      <c r="R303" s="128">
        <f t="shared" si="292"/>
        <v>850</v>
      </c>
      <c r="S303" s="128">
        <f t="shared" si="292"/>
        <v>1650</v>
      </c>
      <c r="T303" s="128">
        <f t="shared" si="292"/>
        <v>1699.5</v>
      </c>
      <c r="U303" s="128">
        <f t="shared" si="292"/>
        <v>1750.4850000000001</v>
      </c>
      <c r="V303" s="128">
        <f t="shared" si="292"/>
        <v>1802.9995500000002</v>
      </c>
      <c r="W303" s="128">
        <f t="shared" si="292"/>
        <v>1857.0895365000003</v>
      </c>
      <c r="X303" s="128">
        <f t="shared" si="292"/>
        <v>1912.8022225950003</v>
      </c>
      <c r="Y303" s="128">
        <f t="shared" si="292"/>
        <v>1970.1862892728504</v>
      </c>
      <c r="Z303" s="128">
        <f t="shared" si="292"/>
        <v>2029.291877951036</v>
      </c>
      <c r="AA303" s="128">
        <f t="shared" si="292"/>
        <v>2090.1706342895673</v>
      </c>
      <c r="AB303" s="128">
        <f t="shared" si="292"/>
        <v>2152.8757533182543</v>
      </c>
    </row>
    <row r="304" spans="2:28" s="134" customFormat="1" x14ac:dyDescent="0.3">
      <c r="B304" s="188" t="s">
        <v>181</v>
      </c>
      <c r="C304" s="91" t="s">
        <v>182</v>
      </c>
      <c r="D304" s="126" t="s">
        <v>7</v>
      </c>
      <c r="E304" s="172">
        <f t="shared" si="265"/>
        <v>0.25</v>
      </c>
      <c r="F304" s="127"/>
      <c r="G304" s="127"/>
      <c r="H304" s="127"/>
      <c r="I304" s="127"/>
      <c r="J304" s="127"/>
      <c r="K304" s="127"/>
      <c r="L304" s="127"/>
      <c r="M304" s="127"/>
      <c r="N304" s="127"/>
      <c r="O304" s="132"/>
      <c r="P304" s="128">
        <f t="shared" ref="P304:AB304" si="293">$E304*P418</f>
        <v>1238.5975000000001</v>
      </c>
      <c r="Q304" s="128">
        <f t="shared" si="293"/>
        <v>54.607500000000002</v>
      </c>
      <c r="R304" s="128">
        <f t="shared" si="293"/>
        <v>1625</v>
      </c>
      <c r="S304" s="128">
        <f t="shared" si="293"/>
        <v>75</v>
      </c>
      <c r="T304" s="128">
        <f t="shared" si="293"/>
        <v>77.25</v>
      </c>
      <c r="U304" s="128">
        <f t="shared" si="293"/>
        <v>79.567499999999995</v>
      </c>
      <c r="V304" s="128">
        <f t="shared" si="293"/>
        <v>81.954525000000004</v>
      </c>
      <c r="W304" s="128">
        <f t="shared" si="293"/>
        <v>84.413160750000003</v>
      </c>
      <c r="X304" s="128">
        <f t="shared" si="293"/>
        <v>86.945555572499998</v>
      </c>
      <c r="Y304" s="128">
        <f t="shared" si="293"/>
        <v>89.553922239675003</v>
      </c>
      <c r="Z304" s="128">
        <f t="shared" si="293"/>
        <v>92.240539906865251</v>
      </c>
      <c r="AA304" s="128">
        <f t="shared" si="293"/>
        <v>95.007756104071206</v>
      </c>
      <c r="AB304" s="128">
        <f t="shared" si="293"/>
        <v>97.857988787193349</v>
      </c>
    </row>
    <row r="305" spans="2:28" s="134" customFormat="1" x14ac:dyDescent="0.3">
      <c r="B305" s="188" t="s">
        <v>183</v>
      </c>
      <c r="C305" s="91" t="s">
        <v>184</v>
      </c>
      <c r="D305" s="126" t="s">
        <v>1480</v>
      </c>
      <c r="E305" s="172">
        <f t="shared" si="265"/>
        <v>0.25</v>
      </c>
      <c r="F305" s="127"/>
      <c r="G305" s="127"/>
      <c r="H305" s="127"/>
      <c r="I305" s="127"/>
      <c r="J305" s="127"/>
      <c r="K305" s="127"/>
      <c r="L305" s="127"/>
      <c r="M305" s="127"/>
      <c r="N305" s="127"/>
      <c r="O305" s="132"/>
      <c r="P305" s="128">
        <f t="shared" ref="P305:AB305" si="294">$E305*P419</f>
        <v>0</v>
      </c>
      <c r="Q305" s="128">
        <f t="shared" si="294"/>
        <v>0</v>
      </c>
      <c r="R305" s="128">
        <f t="shared" si="294"/>
        <v>0</v>
      </c>
      <c r="S305" s="128">
        <f t="shared" si="294"/>
        <v>449.25</v>
      </c>
      <c r="T305" s="128">
        <f t="shared" si="294"/>
        <v>458.88768346770041</v>
      </c>
      <c r="U305" s="128">
        <f t="shared" si="294"/>
        <v>468.73212251163585</v>
      </c>
      <c r="V305" s="128">
        <f t="shared" si="294"/>
        <v>478.78775262384625</v>
      </c>
      <c r="W305" s="128">
        <f t="shared" si="294"/>
        <v>489.0591044502242</v>
      </c>
      <c r="X305" s="128">
        <f t="shared" si="294"/>
        <v>499.55080583183423</v>
      </c>
      <c r="Y305" s="128">
        <f t="shared" si="294"/>
        <v>510.2675838900243</v>
      </c>
      <c r="Z305" s="128">
        <f t="shared" si="294"/>
        <v>521.21426715626876</v>
      </c>
      <c r="AA305" s="128">
        <f t="shared" si="294"/>
        <v>532.39578774770246</v>
      </c>
      <c r="AB305" s="128">
        <f t="shared" si="294"/>
        <v>543.81718358932596</v>
      </c>
    </row>
    <row r="306" spans="2:28" s="134" customFormat="1" x14ac:dyDescent="0.3">
      <c r="B306" s="188" t="s">
        <v>185</v>
      </c>
      <c r="C306" s="91" t="s">
        <v>186</v>
      </c>
      <c r="D306" s="126" t="s">
        <v>7</v>
      </c>
      <c r="E306" s="172">
        <f t="shared" si="265"/>
        <v>0.25</v>
      </c>
      <c r="F306" s="127"/>
      <c r="G306" s="127"/>
      <c r="H306" s="127"/>
      <c r="I306" s="127"/>
      <c r="J306" s="127"/>
      <c r="K306" s="127"/>
      <c r="L306" s="127"/>
      <c r="M306" s="127"/>
      <c r="N306" s="127"/>
      <c r="O306" s="132"/>
      <c r="P306" s="128">
        <f t="shared" ref="P306:AB306" si="295">$E306*P420</f>
        <v>6862.26</v>
      </c>
      <c r="Q306" s="128">
        <f t="shared" si="295"/>
        <v>5176.26</v>
      </c>
      <c r="R306" s="128">
        <f t="shared" si="295"/>
        <v>6541</v>
      </c>
      <c r="S306" s="128">
        <f t="shared" si="295"/>
        <v>6338.25</v>
      </c>
      <c r="T306" s="128">
        <f t="shared" si="295"/>
        <v>6528.3975</v>
      </c>
      <c r="U306" s="128">
        <f t="shared" si="295"/>
        <v>6724.249425</v>
      </c>
      <c r="V306" s="128">
        <f t="shared" si="295"/>
        <v>6925.9769077500005</v>
      </c>
      <c r="W306" s="128">
        <f t="shared" si="295"/>
        <v>7133.7562149825008</v>
      </c>
      <c r="X306" s="128">
        <f t="shared" si="295"/>
        <v>7347.7689014319758</v>
      </c>
      <c r="Y306" s="128">
        <f t="shared" si="295"/>
        <v>7568.2019684749357</v>
      </c>
      <c r="Z306" s="128">
        <f t="shared" si="295"/>
        <v>7795.2480275291837</v>
      </c>
      <c r="AA306" s="128">
        <f t="shared" si="295"/>
        <v>8029.1054683550592</v>
      </c>
      <c r="AB306" s="128">
        <f t="shared" si="295"/>
        <v>8269.9786324057113</v>
      </c>
    </row>
    <row r="307" spans="2:28" s="134" customFormat="1" x14ac:dyDescent="0.3">
      <c r="B307" s="188" t="s">
        <v>187</v>
      </c>
      <c r="C307" s="91" t="s">
        <v>188</v>
      </c>
      <c r="D307" s="126" t="s">
        <v>7</v>
      </c>
      <c r="E307" s="172">
        <f t="shared" si="265"/>
        <v>0.25</v>
      </c>
      <c r="F307" s="127"/>
      <c r="G307" s="127"/>
      <c r="H307" s="127"/>
      <c r="I307" s="127"/>
      <c r="J307" s="127"/>
      <c r="K307" s="127"/>
      <c r="L307" s="127"/>
      <c r="M307" s="127"/>
      <c r="N307" s="127"/>
      <c r="O307" s="132"/>
      <c r="P307" s="128">
        <f t="shared" ref="P307:AB307" si="296">$E307*P421</f>
        <v>69339.990000000005</v>
      </c>
      <c r="Q307" s="128">
        <f t="shared" si="296"/>
        <v>82022.490000000005</v>
      </c>
      <c r="R307" s="128">
        <f t="shared" si="296"/>
        <v>66968.5</v>
      </c>
      <c r="S307" s="861">
        <f t="shared" si="296"/>
        <v>68484</v>
      </c>
      <c r="T307" s="128">
        <f t="shared" si="296"/>
        <v>70538.52</v>
      </c>
      <c r="U307" s="128">
        <f t="shared" si="296"/>
        <v>72654.675600000002</v>
      </c>
      <c r="V307" s="128">
        <f t="shared" si="296"/>
        <v>74834.315868000005</v>
      </c>
      <c r="W307" s="128">
        <f t="shared" si="296"/>
        <v>77079.345344040004</v>
      </c>
      <c r="X307" s="128">
        <f t="shared" si="296"/>
        <v>79391.725704361204</v>
      </c>
      <c r="Y307" s="128">
        <f t="shared" si="296"/>
        <v>81773.477475492036</v>
      </c>
      <c r="Z307" s="128">
        <f t="shared" si="296"/>
        <v>84226.6817997568</v>
      </c>
      <c r="AA307" s="128">
        <f t="shared" si="296"/>
        <v>86753.482253749506</v>
      </c>
      <c r="AB307" s="128">
        <f t="shared" si="296"/>
        <v>89356.086721361993</v>
      </c>
    </row>
    <row r="308" spans="2:28" s="134" customFormat="1" x14ac:dyDescent="0.3">
      <c r="B308" s="188" t="s">
        <v>189</v>
      </c>
      <c r="C308" s="91" t="s">
        <v>124</v>
      </c>
      <c r="D308" s="126" t="s">
        <v>5</v>
      </c>
      <c r="E308" s="172">
        <f t="shared" si="265"/>
        <v>0.25</v>
      </c>
      <c r="F308" s="127"/>
      <c r="G308" s="127"/>
      <c r="H308" s="127"/>
      <c r="I308" s="127"/>
      <c r="J308" s="127"/>
      <c r="K308" s="127"/>
      <c r="L308" s="127"/>
      <c r="M308" s="127"/>
      <c r="N308" s="127"/>
      <c r="O308" s="132"/>
      <c r="P308" s="128">
        <f t="shared" ref="P308:AB308" si="297">$E308*P422</f>
        <v>20972.49</v>
      </c>
      <c r="Q308" s="128">
        <f t="shared" si="297"/>
        <v>17337.75</v>
      </c>
      <c r="R308" s="128">
        <f t="shared" si="297"/>
        <v>48290.25</v>
      </c>
      <c r="S308" s="128">
        <f t="shared" si="297"/>
        <v>11537.75</v>
      </c>
      <c r="T308" s="128">
        <f t="shared" si="297"/>
        <v>11941.571249999999</v>
      </c>
      <c r="U308" s="128">
        <f t="shared" si="297"/>
        <v>12359.526243749999</v>
      </c>
      <c r="V308" s="128">
        <f t="shared" si="297"/>
        <v>12792.109662281247</v>
      </c>
      <c r="W308" s="128">
        <f t="shared" si="297"/>
        <v>13239.833500461091</v>
      </c>
      <c r="X308" s="128">
        <f t="shared" si="297"/>
        <v>13703.227672977227</v>
      </c>
      <c r="Y308" s="128">
        <f t="shared" si="297"/>
        <v>14182.840641531429</v>
      </c>
      <c r="Z308" s="128">
        <f t="shared" si="297"/>
        <v>14679.240063985028</v>
      </c>
      <c r="AA308" s="128">
        <f t="shared" si="297"/>
        <v>15193.013466224502</v>
      </c>
      <c r="AB308" s="128">
        <f t="shared" si="297"/>
        <v>15724.768937542358</v>
      </c>
    </row>
    <row r="309" spans="2:28" s="134" customFormat="1" x14ac:dyDescent="0.3">
      <c r="B309" s="188" t="s">
        <v>190</v>
      </c>
      <c r="C309" s="91" t="s">
        <v>126</v>
      </c>
      <c r="D309" s="126" t="s">
        <v>7</v>
      </c>
      <c r="E309" s="172">
        <f t="shared" si="265"/>
        <v>0.25</v>
      </c>
      <c r="F309" s="127"/>
      <c r="G309" s="127"/>
      <c r="H309" s="127"/>
      <c r="I309" s="127"/>
      <c r="J309" s="127"/>
      <c r="K309" s="127"/>
      <c r="L309" s="127"/>
      <c r="M309" s="127"/>
      <c r="N309" s="127"/>
      <c r="O309" s="132"/>
      <c r="P309" s="128">
        <f t="shared" ref="P309:AB309" si="298">$E309*P423</f>
        <v>1930.5</v>
      </c>
      <c r="Q309" s="128">
        <f t="shared" si="298"/>
        <v>1160.49</v>
      </c>
      <c r="R309" s="128">
        <f t="shared" si="298"/>
        <v>1156.5</v>
      </c>
      <c r="S309" s="128">
        <f t="shared" si="298"/>
        <v>1116</v>
      </c>
      <c r="T309" s="128">
        <f t="shared" si="298"/>
        <v>1149.48</v>
      </c>
      <c r="U309" s="128">
        <f t="shared" si="298"/>
        <v>1183.9644000000001</v>
      </c>
      <c r="V309" s="128">
        <f t="shared" si="298"/>
        <v>1219.483332</v>
      </c>
      <c r="W309" s="128">
        <f t="shared" si="298"/>
        <v>1256.0678319600001</v>
      </c>
      <c r="X309" s="128">
        <f t="shared" si="298"/>
        <v>1293.7498669188001</v>
      </c>
      <c r="Y309" s="128">
        <f t="shared" si="298"/>
        <v>1332.5623629263641</v>
      </c>
      <c r="Z309" s="128">
        <f t="shared" si="298"/>
        <v>1372.5392338141551</v>
      </c>
      <c r="AA309" s="128">
        <f t="shared" si="298"/>
        <v>1413.7154108285797</v>
      </c>
      <c r="AB309" s="128">
        <f t="shared" si="298"/>
        <v>1456.1268731534371</v>
      </c>
    </row>
    <row r="310" spans="2:28" s="134" customFormat="1" x14ac:dyDescent="0.3">
      <c r="B310" s="188" t="s">
        <v>191</v>
      </c>
      <c r="C310" s="91" t="s">
        <v>128</v>
      </c>
      <c r="D310" s="126" t="s">
        <v>1480</v>
      </c>
      <c r="E310" s="172">
        <f t="shared" si="265"/>
        <v>0.25</v>
      </c>
      <c r="F310" s="127"/>
      <c r="G310" s="127"/>
      <c r="H310" s="127"/>
      <c r="I310" s="127"/>
      <c r="J310" s="127"/>
      <c r="K310" s="127"/>
      <c r="L310" s="127"/>
      <c r="M310" s="127"/>
      <c r="N310" s="127"/>
      <c r="O310" s="132"/>
      <c r="P310" s="128">
        <f t="shared" ref="P310:AB310" si="299">$E310*P424</f>
        <v>2442.7750000000001</v>
      </c>
      <c r="Q310" s="128">
        <f t="shared" si="299"/>
        <v>1464.94</v>
      </c>
      <c r="R310" s="128">
        <f t="shared" si="299"/>
        <v>3312.5</v>
      </c>
      <c r="S310" s="128">
        <f t="shared" si="299"/>
        <v>3312.5</v>
      </c>
      <c r="T310" s="128">
        <f t="shared" si="299"/>
        <v>3383.5624963533837</v>
      </c>
      <c r="U310" s="128">
        <f t="shared" si="299"/>
        <v>3456.1494842955899</v>
      </c>
      <c r="V310" s="128">
        <f t="shared" si="299"/>
        <v>3530.2936684841197</v>
      </c>
      <c r="W310" s="128">
        <f t="shared" si="299"/>
        <v>3606.0284551839013</v>
      </c>
      <c r="X310" s="128">
        <f t="shared" si="299"/>
        <v>3683.3879673187553</v>
      </c>
      <c r="Y310" s="128">
        <f t="shared" si="299"/>
        <v>3762.4070598457552</v>
      </c>
      <c r="Z310" s="128">
        <f t="shared" si="299"/>
        <v>3843.1213354594111</v>
      </c>
      <c r="AA310" s="128">
        <f t="shared" si="299"/>
        <v>3925.5671606327533</v>
      </c>
      <c r="AB310" s="128">
        <f t="shared" si="299"/>
        <v>4009.7816820025428</v>
      </c>
    </row>
    <row r="311" spans="2:28" s="134" customFormat="1" x14ac:dyDescent="0.3">
      <c r="B311" s="188" t="s">
        <v>192</v>
      </c>
      <c r="C311" s="91" t="s">
        <v>130</v>
      </c>
      <c r="D311" s="126" t="s">
        <v>1480</v>
      </c>
      <c r="E311" s="172">
        <f t="shared" si="265"/>
        <v>0.25</v>
      </c>
      <c r="F311" s="127"/>
      <c r="G311" s="127"/>
      <c r="H311" s="127"/>
      <c r="I311" s="127"/>
      <c r="J311" s="127"/>
      <c r="K311" s="127"/>
      <c r="L311" s="127"/>
      <c r="M311" s="127"/>
      <c r="N311" s="127"/>
      <c r="O311" s="132"/>
      <c r="P311" s="128">
        <f t="shared" ref="P311:AB311" si="300">$E311*P425</f>
        <v>786.14499999999998</v>
      </c>
      <c r="Q311" s="128">
        <f t="shared" si="300"/>
        <v>0</v>
      </c>
      <c r="R311" s="128">
        <f t="shared" si="300"/>
        <v>0</v>
      </c>
      <c r="S311" s="128">
        <f t="shared" si="300"/>
        <v>0</v>
      </c>
      <c r="T311" s="128">
        <f t="shared" si="300"/>
        <v>0</v>
      </c>
      <c r="U311" s="128">
        <f t="shared" si="300"/>
        <v>0</v>
      </c>
      <c r="V311" s="128">
        <f t="shared" si="300"/>
        <v>0</v>
      </c>
      <c r="W311" s="128">
        <f t="shared" si="300"/>
        <v>0</v>
      </c>
      <c r="X311" s="128">
        <f t="shared" si="300"/>
        <v>0</v>
      </c>
      <c r="Y311" s="128">
        <f t="shared" si="300"/>
        <v>0</v>
      </c>
      <c r="Z311" s="128">
        <f t="shared" si="300"/>
        <v>0</v>
      </c>
      <c r="AA311" s="128">
        <f t="shared" si="300"/>
        <v>0</v>
      </c>
      <c r="AB311" s="128">
        <f t="shared" si="300"/>
        <v>0</v>
      </c>
    </row>
    <row r="312" spans="2:28" s="134" customFormat="1" x14ac:dyDescent="0.3">
      <c r="B312" s="188" t="s">
        <v>193</v>
      </c>
      <c r="C312" s="91" t="s">
        <v>132</v>
      </c>
      <c r="D312" s="126" t="s">
        <v>1480</v>
      </c>
      <c r="E312" s="172">
        <f t="shared" si="265"/>
        <v>0.25</v>
      </c>
      <c r="F312" s="127"/>
      <c r="G312" s="127"/>
      <c r="H312" s="127"/>
      <c r="I312" s="127"/>
      <c r="J312" s="127"/>
      <c r="K312" s="127"/>
      <c r="L312" s="127"/>
      <c r="M312" s="127"/>
      <c r="N312" s="127"/>
      <c r="O312" s="132"/>
      <c r="P312" s="128">
        <f t="shared" ref="P312:AB312" si="301">$E312*P426</f>
        <v>1012.5</v>
      </c>
      <c r="Q312" s="128">
        <f t="shared" si="301"/>
        <v>1027.625</v>
      </c>
      <c r="R312" s="128">
        <f t="shared" si="301"/>
        <v>5812.5</v>
      </c>
      <c r="S312" s="128">
        <f t="shared" si="301"/>
        <v>4250</v>
      </c>
      <c r="T312" s="128">
        <f t="shared" si="301"/>
        <v>4341.1745236232091</v>
      </c>
      <c r="U312" s="128">
        <f t="shared" si="301"/>
        <v>4434.3049987188697</v>
      </c>
      <c r="V312" s="128">
        <f t="shared" si="301"/>
        <v>4529.4333859796252</v>
      </c>
      <c r="W312" s="128">
        <f t="shared" si="301"/>
        <v>4626.6025462736843</v>
      </c>
      <c r="X312" s="128">
        <f t="shared" si="301"/>
        <v>4725.8562599561383</v>
      </c>
      <c r="Y312" s="128">
        <f t="shared" si="301"/>
        <v>4827.2392465945532</v>
      </c>
      <c r="Z312" s="128">
        <f t="shared" si="301"/>
        <v>4930.7971851177344</v>
      </c>
      <c r="AA312" s="128">
        <f t="shared" si="301"/>
        <v>5036.5767343967391</v>
      </c>
      <c r="AB312" s="128">
        <f t="shared" si="301"/>
        <v>5144.6255542674126</v>
      </c>
    </row>
    <row r="313" spans="2:28" s="134" customFormat="1" x14ac:dyDescent="0.3">
      <c r="B313" s="188" t="s">
        <v>194</v>
      </c>
      <c r="C313" s="91" t="s">
        <v>134</v>
      </c>
      <c r="D313" s="126" t="s">
        <v>1480</v>
      </c>
      <c r="E313" s="172">
        <f t="shared" si="265"/>
        <v>0.25</v>
      </c>
      <c r="F313" s="127"/>
      <c r="G313" s="127"/>
      <c r="H313" s="127"/>
      <c r="I313" s="127"/>
      <c r="J313" s="127"/>
      <c r="K313" s="127"/>
      <c r="L313" s="127"/>
      <c r="M313" s="127"/>
      <c r="N313" s="127"/>
      <c r="O313" s="132"/>
      <c r="P313" s="128">
        <f t="shared" ref="P313:AB313" si="302">$E313*P427</f>
        <v>842.74249999999995</v>
      </c>
      <c r="Q313" s="128">
        <f t="shared" si="302"/>
        <v>307.95249999999999</v>
      </c>
      <c r="R313" s="128">
        <f t="shared" si="302"/>
        <v>875</v>
      </c>
      <c r="S313" s="128">
        <f t="shared" si="302"/>
        <v>625</v>
      </c>
      <c r="T313" s="128">
        <f t="shared" si="302"/>
        <v>638.4080181798837</v>
      </c>
      <c r="U313" s="128">
        <f t="shared" si="302"/>
        <v>652.10367628218683</v>
      </c>
      <c r="V313" s="128">
        <f t="shared" si="302"/>
        <v>666.09314499700372</v>
      </c>
      <c r="W313" s="128">
        <f t="shared" si="302"/>
        <v>680.38272739318893</v>
      </c>
      <c r="X313" s="128">
        <f t="shared" si="302"/>
        <v>694.97886175825579</v>
      </c>
      <c r="Y313" s="128">
        <f t="shared" si="302"/>
        <v>709.88812449919919</v>
      </c>
      <c r="Z313" s="128">
        <f t="shared" si="302"/>
        <v>725.1172331055493</v>
      </c>
      <c r="AA313" s="128">
        <f t="shared" si="302"/>
        <v>740.6730491759912</v>
      </c>
      <c r="AB313" s="128">
        <f t="shared" si="302"/>
        <v>756.5625815099138</v>
      </c>
    </row>
    <row r="314" spans="2:28" s="134" customFormat="1" x14ac:dyDescent="0.3">
      <c r="B314" s="188" t="s">
        <v>195</v>
      </c>
      <c r="C314" s="91" t="s">
        <v>136</v>
      </c>
      <c r="D314" s="126" t="s">
        <v>1480</v>
      </c>
      <c r="E314" s="172">
        <f t="shared" si="265"/>
        <v>0.25</v>
      </c>
      <c r="F314" s="127"/>
      <c r="G314" s="127"/>
      <c r="H314" s="127"/>
      <c r="I314" s="127"/>
      <c r="J314" s="127"/>
      <c r="K314" s="127"/>
      <c r="L314" s="127"/>
      <c r="M314" s="127"/>
      <c r="N314" s="127"/>
      <c r="O314" s="132"/>
      <c r="P314" s="128">
        <f t="shared" ref="P314:AB314" si="303">$E314*P428</f>
        <v>255.11250000000001</v>
      </c>
      <c r="Q314" s="128">
        <f t="shared" si="303"/>
        <v>167.4425</v>
      </c>
      <c r="R314" s="128">
        <f t="shared" si="303"/>
        <v>275</v>
      </c>
      <c r="S314" s="128">
        <f t="shared" si="303"/>
        <v>275</v>
      </c>
      <c r="T314" s="128">
        <f t="shared" si="303"/>
        <v>280.89952799914886</v>
      </c>
      <c r="U314" s="128">
        <f t="shared" si="303"/>
        <v>286.92561756416222</v>
      </c>
      <c r="V314" s="128">
        <f t="shared" si="303"/>
        <v>293.0809837986817</v>
      </c>
      <c r="W314" s="128">
        <f t="shared" si="303"/>
        <v>299.3684000530032</v>
      </c>
      <c r="X314" s="128">
        <f t="shared" si="303"/>
        <v>305.79069917363262</v>
      </c>
      <c r="Y314" s="128">
        <f t="shared" si="303"/>
        <v>312.35077477964768</v>
      </c>
      <c r="Z314" s="128">
        <f t="shared" si="303"/>
        <v>319.05158256644177</v>
      </c>
      <c r="AA314" s="128">
        <f t="shared" si="303"/>
        <v>325.89614163743619</v>
      </c>
      <c r="AB314" s="128">
        <f t="shared" si="303"/>
        <v>332.88753586436212</v>
      </c>
    </row>
    <row r="315" spans="2:28" s="134" customFormat="1" x14ac:dyDescent="0.3">
      <c r="B315" s="188" t="s">
        <v>196</v>
      </c>
      <c r="C315" s="91" t="s">
        <v>20</v>
      </c>
      <c r="D315" s="126" t="s">
        <v>1480</v>
      </c>
      <c r="E315" s="172">
        <f t="shared" si="265"/>
        <v>0.25</v>
      </c>
      <c r="F315" s="127"/>
      <c r="G315" s="127"/>
      <c r="H315" s="127"/>
      <c r="I315" s="127"/>
      <c r="J315" s="127"/>
      <c r="K315" s="127"/>
      <c r="L315" s="127"/>
      <c r="M315" s="127"/>
      <c r="N315" s="127"/>
      <c r="O315" s="132"/>
      <c r="P315" s="128">
        <f t="shared" ref="P315:AB315" si="304">$E315*P429</f>
        <v>1383.4625000000001</v>
      </c>
      <c r="Q315" s="128">
        <f t="shared" si="304"/>
        <v>115.30249999999999</v>
      </c>
      <c r="R315" s="128">
        <f t="shared" si="304"/>
        <v>300</v>
      </c>
      <c r="S315" s="128">
        <f t="shared" si="304"/>
        <v>875</v>
      </c>
      <c r="T315" s="128">
        <f t="shared" si="304"/>
        <v>893.77122545183727</v>
      </c>
      <c r="U315" s="128">
        <f t="shared" si="304"/>
        <v>912.94514679506165</v>
      </c>
      <c r="V315" s="128">
        <f t="shared" si="304"/>
        <v>932.53040299580539</v>
      </c>
      <c r="W315" s="128">
        <f t="shared" si="304"/>
        <v>952.53581835046475</v>
      </c>
      <c r="X315" s="128">
        <f t="shared" si="304"/>
        <v>972.97040646155835</v>
      </c>
      <c r="Y315" s="128">
        <f t="shared" si="304"/>
        <v>993.8433742988791</v>
      </c>
      <c r="Z315" s="128">
        <f t="shared" si="304"/>
        <v>1015.1641263477693</v>
      </c>
      <c r="AA315" s="128">
        <f t="shared" si="304"/>
        <v>1036.9422688463881</v>
      </c>
      <c r="AB315" s="128">
        <f t="shared" si="304"/>
        <v>1059.1876141138796</v>
      </c>
    </row>
    <row r="316" spans="2:28" s="134" customFormat="1" x14ac:dyDescent="0.3">
      <c r="B316" s="188" t="s">
        <v>197</v>
      </c>
      <c r="C316" s="91" t="s">
        <v>198</v>
      </c>
      <c r="D316" s="126" t="s">
        <v>1480</v>
      </c>
      <c r="E316" s="172">
        <f t="shared" si="265"/>
        <v>0.25</v>
      </c>
      <c r="F316" s="127"/>
      <c r="G316" s="127"/>
      <c r="H316" s="127"/>
      <c r="I316" s="127"/>
      <c r="J316" s="127"/>
      <c r="K316" s="127"/>
      <c r="L316" s="127"/>
      <c r="M316" s="127"/>
      <c r="N316" s="127"/>
      <c r="O316" s="132"/>
      <c r="P316" s="128">
        <f t="shared" ref="P316:AB316" si="305">$E316*P430</f>
        <v>2374.3074999999999</v>
      </c>
      <c r="Q316" s="128">
        <f t="shared" si="305"/>
        <v>2255.1725000000001</v>
      </c>
      <c r="R316" s="128">
        <f t="shared" si="305"/>
        <v>2425</v>
      </c>
      <c r="S316" s="128">
        <f t="shared" si="305"/>
        <v>3037.5</v>
      </c>
      <c r="T316" s="128">
        <f t="shared" si="305"/>
        <v>3102.6629683542351</v>
      </c>
      <c r="U316" s="128">
        <f t="shared" si="305"/>
        <v>3169.2238667314282</v>
      </c>
      <c r="V316" s="128">
        <f t="shared" si="305"/>
        <v>3237.2126846854385</v>
      </c>
      <c r="W316" s="128">
        <f t="shared" si="305"/>
        <v>3306.6600551308989</v>
      </c>
      <c r="X316" s="128">
        <f t="shared" si="305"/>
        <v>3377.5972681451235</v>
      </c>
      <c r="Y316" s="128">
        <f t="shared" si="305"/>
        <v>3450.0562850661081</v>
      </c>
      <c r="Z316" s="128">
        <f t="shared" si="305"/>
        <v>3524.06975289297</v>
      </c>
      <c r="AA316" s="128">
        <f t="shared" si="305"/>
        <v>3599.6710189953178</v>
      </c>
      <c r="AB316" s="128">
        <f t="shared" si="305"/>
        <v>3676.8941461381814</v>
      </c>
    </row>
    <row r="317" spans="2:28" s="134" customFormat="1" x14ac:dyDescent="0.3">
      <c r="B317" s="188" t="s">
        <v>201</v>
      </c>
      <c r="C317" s="91" t="s">
        <v>202</v>
      </c>
      <c r="D317" s="126" t="s">
        <v>7</v>
      </c>
      <c r="E317" s="172">
        <f t="shared" si="265"/>
        <v>0.25</v>
      </c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8">
        <f t="shared" ref="P317:AB317" si="306">$E317*P431</f>
        <v>0</v>
      </c>
      <c r="Q317" s="128">
        <f t="shared" si="306"/>
        <v>0</v>
      </c>
      <c r="R317" s="128">
        <f t="shared" si="306"/>
        <v>25000</v>
      </c>
      <c r="S317" s="128">
        <f t="shared" si="306"/>
        <v>25000</v>
      </c>
      <c r="T317" s="128">
        <f t="shared" si="306"/>
        <v>25750</v>
      </c>
      <c r="U317" s="128">
        <f t="shared" si="306"/>
        <v>26522.5</v>
      </c>
      <c r="V317" s="128">
        <f t="shared" si="306"/>
        <v>27318.174999999999</v>
      </c>
      <c r="W317" s="128">
        <f t="shared" si="306"/>
        <v>28137.720249999998</v>
      </c>
      <c r="X317" s="128">
        <f t="shared" si="306"/>
        <v>28981.851857499998</v>
      </c>
      <c r="Y317" s="128">
        <f t="shared" si="306"/>
        <v>29851.307413225</v>
      </c>
      <c r="Z317" s="128">
        <f t="shared" si="306"/>
        <v>30746.84663562175</v>
      </c>
      <c r="AA317" s="128">
        <f t="shared" si="306"/>
        <v>31669.252034690402</v>
      </c>
      <c r="AB317" s="128">
        <f t="shared" si="306"/>
        <v>32619.329595731117</v>
      </c>
    </row>
    <row r="318" spans="2:28" s="134" customFormat="1" x14ac:dyDescent="0.3">
      <c r="B318" s="191"/>
      <c r="C318" s="136" t="s">
        <v>203</v>
      </c>
      <c r="E318" s="202"/>
      <c r="P318" s="137">
        <f>SUM(P277:P317)</f>
        <v>1140088.5923391725</v>
      </c>
      <c r="Q318" s="137">
        <f t="shared" ref="Q318:AB318" si="307">SUM(Q277:Q317)</f>
        <v>686451.05500000005</v>
      </c>
      <c r="R318" s="137">
        <f t="shared" si="307"/>
        <v>832517</v>
      </c>
      <c r="S318" s="137">
        <f t="shared" si="307"/>
        <v>795078.5</v>
      </c>
      <c r="T318" s="137">
        <f t="shared" si="307"/>
        <v>824663.94475261972</v>
      </c>
      <c r="U318" s="137">
        <f>SUM(U277:U317)</f>
        <v>855422.72901521029</v>
      </c>
      <c r="V318" s="137">
        <f t="shared" si="307"/>
        <v>887405.07025419385</v>
      </c>
      <c r="W318" s="137">
        <f t="shared" si="307"/>
        <v>920663.5169975704</v>
      </c>
      <c r="X318" s="137">
        <f t="shared" si="307"/>
        <v>955253.0655191571</v>
      </c>
      <c r="Y318" s="137">
        <f t="shared" si="307"/>
        <v>991231.28273239615</v>
      </c>
      <c r="Z318" s="137">
        <f t="shared" si="307"/>
        <v>1028658.4356391684</v>
      </c>
      <c r="AA318" s="137">
        <f t="shared" si="307"/>
        <v>1067597.6276988657</v>
      </c>
      <c r="AB318" s="137">
        <f t="shared" si="307"/>
        <v>1108114.9425038942</v>
      </c>
    </row>
    <row r="319" spans="2:28" s="134" customFormat="1" x14ac:dyDescent="0.3">
      <c r="B319" s="191"/>
      <c r="C319" s="135"/>
      <c r="E319" s="202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</row>
    <row r="320" spans="2:28" s="134" customFormat="1" x14ac:dyDescent="0.3">
      <c r="B320" s="192" t="s">
        <v>313</v>
      </c>
      <c r="E320" s="200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</row>
    <row r="321" spans="2:28" s="134" customFormat="1" x14ac:dyDescent="0.3">
      <c r="B321" s="193" t="s">
        <v>286</v>
      </c>
      <c r="C321" s="140" t="s">
        <v>165</v>
      </c>
      <c r="D321" s="126" t="s">
        <v>7</v>
      </c>
      <c r="E321" s="203">
        <v>1</v>
      </c>
      <c r="F321" s="127">
        <f>INDEX('Control Panel'!$C$7:$N$25,MATCH('O&amp;M'!$D321,Indicies,0),MATCH('O&amp;M'!F$4,'Control Panel'!$C$6:$N$6,0))</f>
        <v>0.03</v>
      </c>
      <c r="G321" s="127">
        <f>INDEX('Control Panel'!$C$7:$N$25,MATCH('O&amp;M'!$D321,Indicies,0),MATCH('O&amp;M'!G$4,'Control Panel'!$C$6:$N$6,0))</f>
        <v>0.03</v>
      </c>
      <c r="H321" s="127">
        <f>INDEX('Control Panel'!$C$7:$N$25,MATCH('O&amp;M'!$D321,Indicies,0),MATCH('O&amp;M'!H$4,'Control Panel'!$C$6:$N$6,0))</f>
        <v>0.03</v>
      </c>
      <c r="I321" s="127">
        <f>INDEX('Control Panel'!$C$7:$N$25,MATCH('O&amp;M'!$D321,Indicies,0),MATCH('O&amp;M'!I$4,'Control Panel'!$C$6:$N$6,0))</f>
        <v>0.03</v>
      </c>
      <c r="J321" s="127">
        <f>INDEX('Control Panel'!$C$7:$N$25,MATCH('O&amp;M'!$D321,Indicies,0),MATCH('O&amp;M'!J$4,'Control Panel'!$C$6:$N$6,0))</f>
        <v>0.03</v>
      </c>
      <c r="K321" s="127">
        <f>INDEX('Control Panel'!$C$7:$N$25,MATCH('O&amp;M'!$D321,Indicies,0),MATCH('O&amp;M'!K$4,'Control Panel'!$C$6:$N$6,0))</f>
        <v>0.03</v>
      </c>
      <c r="L321" s="127">
        <f>INDEX('Control Panel'!$C$7:$N$25,MATCH('O&amp;M'!$D321,Indicies,0),MATCH('O&amp;M'!L$4,'Control Panel'!$C$6:$N$6,0))</f>
        <v>0.03</v>
      </c>
      <c r="M321" s="127">
        <f>INDEX('Control Panel'!$C$7:$N$25,MATCH('O&amp;M'!$D321,Indicies,0),MATCH('O&amp;M'!M$4,'Control Panel'!$C$6:$N$6,0))</f>
        <v>0.03</v>
      </c>
      <c r="N321" s="127">
        <f>INDEX('Control Panel'!$C$7:$N$25,MATCH('O&amp;M'!$D321,Indicies,0),MATCH('O&amp;M'!N$4,'Control Panel'!$C$6:$N$6,0))</f>
        <v>0.03</v>
      </c>
      <c r="O321" s="127">
        <f>INDEX('Control Panel'!$C$7:$N$25,MATCH('O&amp;M'!$D321,Indicies,0),MATCH('O&amp;M'!O$4,'Control Panel'!$C$6:$N$6,0))</f>
        <v>0.03</v>
      </c>
      <c r="P321" s="762">
        <v>13267.41</v>
      </c>
      <c r="Q321" s="762">
        <v>14000.04</v>
      </c>
      <c r="R321" s="762">
        <v>20000</v>
      </c>
      <c r="S321" s="762">
        <v>20000</v>
      </c>
      <c r="T321" s="128">
        <f>S321*(1+G321)</f>
        <v>20600</v>
      </c>
      <c r="U321" s="128">
        <f t="shared" ref="U321:AB338" si="308">T321*(1+H321)</f>
        <v>21218</v>
      </c>
      <c r="V321" s="128">
        <f t="shared" si="308"/>
        <v>21854.54</v>
      </c>
      <c r="W321" s="128">
        <f t="shared" si="308"/>
        <v>22510.176200000002</v>
      </c>
      <c r="X321" s="128">
        <f t="shared" si="308"/>
        <v>23185.481486000001</v>
      </c>
      <c r="Y321" s="128">
        <f t="shared" si="308"/>
        <v>23881.04593058</v>
      </c>
      <c r="Z321" s="128">
        <f t="shared" si="308"/>
        <v>24597.4773084974</v>
      </c>
      <c r="AA321" s="128">
        <f t="shared" si="308"/>
        <v>25335.401627752322</v>
      </c>
      <c r="AB321" s="128">
        <f t="shared" si="308"/>
        <v>26095.463676584892</v>
      </c>
    </row>
    <row r="322" spans="2:28" s="134" customFormat="1" x14ac:dyDescent="0.3">
      <c r="B322" s="193" t="s">
        <v>287</v>
      </c>
      <c r="C322" s="140" t="s">
        <v>105</v>
      </c>
      <c r="D322" s="126" t="s">
        <v>7</v>
      </c>
      <c r="E322" s="203">
        <v>1</v>
      </c>
      <c r="F322" s="127">
        <f>INDEX('Control Panel'!$C$7:$N$25,MATCH('O&amp;M'!$D322,Indicies,0),MATCH('O&amp;M'!F$4,'Control Panel'!$C$6:$N$6,0))</f>
        <v>0.03</v>
      </c>
      <c r="G322" s="127">
        <f>INDEX('Control Panel'!$C$7:$N$25,MATCH('O&amp;M'!$D322,Indicies,0),MATCH('O&amp;M'!G$4,'Control Panel'!$C$6:$N$6,0))</f>
        <v>0.03</v>
      </c>
      <c r="H322" s="127">
        <f>INDEX('Control Panel'!$C$7:$N$25,MATCH('O&amp;M'!$D322,Indicies,0),MATCH('O&amp;M'!H$4,'Control Panel'!$C$6:$N$6,0))</f>
        <v>0.03</v>
      </c>
      <c r="I322" s="127">
        <f>INDEX('Control Panel'!$C$7:$N$25,MATCH('O&amp;M'!$D322,Indicies,0),MATCH('O&amp;M'!I$4,'Control Panel'!$C$6:$N$6,0))</f>
        <v>0.03</v>
      </c>
      <c r="J322" s="127">
        <f>INDEX('Control Panel'!$C$7:$N$25,MATCH('O&amp;M'!$D322,Indicies,0),MATCH('O&amp;M'!J$4,'Control Panel'!$C$6:$N$6,0))</f>
        <v>0.03</v>
      </c>
      <c r="K322" s="127">
        <f>INDEX('Control Panel'!$C$7:$N$25,MATCH('O&amp;M'!$D322,Indicies,0),MATCH('O&amp;M'!K$4,'Control Panel'!$C$6:$N$6,0))</f>
        <v>0.03</v>
      </c>
      <c r="L322" s="127">
        <f>INDEX('Control Panel'!$C$7:$N$25,MATCH('O&amp;M'!$D322,Indicies,0),MATCH('O&amp;M'!L$4,'Control Panel'!$C$6:$N$6,0))</f>
        <v>0.03</v>
      </c>
      <c r="M322" s="127">
        <f>INDEX('Control Panel'!$C$7:$N$25,MATCH('O&amp;M'!$D322,Indicies,0),MATCH('O&amp;M'!M$4,'Control Panel'!$C$6:$N$6,0))</f>
        <v>0.03</v>
      </c>
      <c r="N322" s="127">
        <f>INDEX('Control Panel'!$C$7:$N$25,MATCH('O&amp;M'!$D322,Indicies,0),MATCH('O&amp;M'!N$4,'Control Panel'!$C$6:$N$6,0))</f>
        <v>0.03</v>
      </c>
      <c r="O322" s="127">
        <f>INDEX('Control Panel'!$C$7:$N$25,MATCH('O&amp;M'!$D322,Indicies,0),MATCH('O&amp;M'!O$4,'Control Panel'!$C$6:$N$6,0))</f>
        <v>0.03</v>
      </c>
      <c r="P322" s="762">
        <v>5502</v>
      </c>
      <c r="Q322" s="762">
        <v>5140.93</v>
      </c>
      <c r="R322" s="762">
        <v>10500</v>
      </c>
      <c r="S322" s="762">
        <v>13000</v>
      </c>
      <c r="T322" s="128">
        <f t="shared" ref="T322:T343" si="309">S322*(1+G322)</f>
        <v>13390</v>
      </c>
      <c r="U322" s="128">
        <f t="shared" si="308"/>
        <v>13791.7</v>
      </c>
      <c r="V322" s="128">
        <f t="shared" si="308"/>
        <v>14205.451000000001</v>
      </c>
      <c r="W322" s="128">
        <f t="shared" si="308"/>
        <v>14631.614530000001</v>
      </c>
      <c r="X322" s="128">
        <f t="shared" si="308"/>
        <v>15070.562965900001</v>
      </c>
      <c r="Y322" s="128">
        <f t="shared" si="308"/>
        <v>15522.679854877</v>
      </c>
      <c r="Z322" s="128">
        <f t="shared" si="308"/>
        <v>15988.36025052331</v>
      </c>
      <c r="AA322" s="128">
        <f t="shared" si="308"/>
        <v>16468.01105803901</v>
      </c>
      <c r="AB322" s="128">
        <f t="shared" si="308"/>
        <v>16962.051389780179</v>
      </c>
    </row>
    <row r="323" spans="2:28" s="134" customFormat="1" x14ac:dyDescent="0.3">
      <c r="B323" s="193" t="s">
        <v>288</v>
      </c>
      <c r="C323" s="140" t="s">
        <v>289</v>
      </c>
      <c r="D323" s="126" t="s">
        <v>7</v>
      </c>
      <c r="E323" s="203">
        <v>1</v>
      </c>
      <c r="F323" s="127">
        <f>INDEX('Control Panel'!$C$7:$N$25,MATCH('O&amp;M'!$D323,Indicies,0),MATCH('O&amp;M'!F$4,'Control Panel'!$C$6:$N$6,0))</f>
        <v>0.03</v>
      </c>
      <c r="G323" s="127">
        <f>INDEX('Control Panel'!$C$7:$N$25,MATCH('O&amp;M'!$D323,Indicies,0),MATCH('O&amp;M'!G$4,'Control Panel'!$C$6:$N$6,0))</f>
        <v>0.03</v>
      </c>
      <c r="H323" s="127">
        <f>INDEX('Control Panel'!$C$7:$N$25,MATCH('O&amp;M'!$D323,Indicies,0),MATCH('O&amp;M'!H$4,'Control Panel'!$C$6:$N$6,0))</f>
        <v>0.03</v>
      </c>
      <c r="I323" s="127">
        <f>INDEX('Control Panel'!$C$7:$N$25,MATCH('O&amp;M'!$D323,Indicies,0),MATCH('O&amp;M'!I$4,'Control Panel'!$C$6:$N$6,0))</f>
        <v>0.03</v>
      </c>
      <c r="J323" s="127">
        <f>INDEX('Control Panel'!$C$7:$N$25,MATCH('O&amp;M'!$D323,Indicies,0),MATCH('O&amp;M'!J$4,'Control Panel'!$C$6:$N$6,0))</f>
        <v>0.03</v>
      </c>
      <c r="K323" s="127">
        <f>INDEX('Control Panel'!$C$7:$N$25,MATCH('O&amp;M'!$D323,Indicies,0),MATCH('O&amp;M'!K$4,'Control Panel'!$C$6:$N$6,0))</f>
        <v>0.03</v>
      </c>
      <c r="L323" s="127">
        <f>INDEX('Control Panel'!$C$7:$N$25,MATCH('O&amp;M'!$D323,Indicies,0),MATCH('O&amp;M'!L$4,'Control Panel'!$C$6:$N$6,0))</f>
        <v>0.03</v>
      </c>
      <c r="M323" s="127">
        <f>INDEX('Control Panel'!$C$7:$N$25,MATCH('O&amp;M'!$D323,Indicies,0),MATCH('O&amp;M'!M$4,'Control Panel'!$C$6:$N$6,0))</f>
        <v>0.03</v>
      </c>
      <c r="N323" s="127">
        <f>INDEX('Control Panel'!$C$7:$N$25,MATCH('O&amp;M'!$D323,Indicies,0),MATCH('O&amp;M'!N$4,'Control Panel'!$C$6:$N$6,0))</f>
        <v>0.03</v>
      </c>
      <c r="O323" s="127">
        <f>INDEX('Control Panel'!$C$7:$N$25,MATCH('O&amp;M'!$D323,Indicies,0),MATCH('O&amp;M'!O$4,'Control Panel'!$C$6:$N$6,0))</f>
        <v>0.03</v>
      </c>
      <c r="P323" s="762">
        <v>3100</v>
      </c>
      <c r="Q323" s="762">
        <v>7000</v>
      </c>
      <c r="R323" s="762">
        <v>5000</v>
      </c>
      <c r="S323" s="762">
        <v>2000</v>
      </c>
      <c r="T323" s="128">
        <f t="shared" si="309"/>
        <v>2060</v>
      </c>
      <c r="U323" s="128">
        <f t="shared" si="308"/>
        <v>2121.8000000000002</v>
      </c>
      <c r="V323" s="128">
        <f t="shared" si="308"/>
        <v>2185.4540000000002</v>
      </c>
      <c r="W323" s="128">
        <f t="shared" si="308"/>
        <v>2251.0176200000001</v>
      </c>
      <c r="X323" s="128">
        <f t="shared" si="308"/>
        <v>2318.5481486000003</v>
      </c>
      <c r="Y323" s="128">
        <f t="shared" si="308"/>
        <v>2388.1045930580003</v>
      </c>
      <c r="Z323" s="128">
        <f t="shared" si="308"/>
        <v>2459.7477308497405</v>
      </c>
      <c r="AA323" s="128">
        <f t="shared" si="308"/>
        <v>2533.5401627752326</v>
      </c>
      <c r="AB323" s="128">
        <f t="shared" si="308"/>
        <v>2609.5463676584895</v>
      </c>
    </row>
    <row r="324" spans="2:28" s="134" customFormat="1" x14ac:dyDescent="0.3">
      <c r="B324" s="193" t="s">
        <v>290</v>
      </c>
      <c r="C324" s="140" t="s">
        <v>206</v>
      </c>
      <c r="D324" s="126" t="s">
        <v>7</v>
      </c>
      <c r="E324" s="203">
        <v>1</v>
      </c>
      <c r="F324" s="127">
        <f>INDEX('Control Panel'!$C$7:$N$25,MATCH('O&amp;M'!$D324,Indicies,0),MATCH('O&amp;M'!F$4,'Control Panel'!$C$6:$N$6,0))</f>
        <v>0.03</v>
      </c>
      <c r="G324" s="127">
        <f>INDEX('Control Panel'!$C$7:$N$25,MATCH('O&amp;M'!$D324,Indicies,0),MATCH('O&amp;M'!G$4,'Control Panel'!$C$6:$N$6,0))</f>
        <v>0.03</v>
      </c>
      <c r="H324" s="127">
        <f>INDEX('Control Panel'!$C$7:$N$25,MATCH('O&amp;M'!$D324,Indicies,0),MATCH('O&amp;M'!H$4,'Control Panel'!$C$6:$N$6,0))</f>
        <v>0.03</v>
      </c>
      <c r="I324" s="127">
        <f>INDEX('Control Panel'!$C$7:$N$25,MATCH('O&amp;M'!$D324,Indicies,0),MATCH('O&amp;M'!I$4,'Control Panel'!$C$6:$N$6,0))</f>
        <v>0.03</v>
      </c>
      <c r="J324" s="127">
        <f>INDEX('Control Panel'!$C$7:$N$25,MATCH('O&amp;M'!$D324,Indicies,0),MATCH('O&amp;M'!J$4,'Control Panel'!$C$6:$N$6,0))</f>
        <v>0.03</v>
      </c>
      <c r="K324" s="127">
        <f>INDEX('Control Panel'!$C$7:$N$25,MATCH('O&amp;M'!$D324,Indicies,0),MATCH('O&amp;M'!K$4,'Control Panel'!$C$6:$N$6,0))</f>
        <v>0.03</v>
      </c>
      <c r="L324" s="127">
        <f>INDEX('Control Panel'!$C$7:$N$25,MATCH('O&amp;M'!$D324,Indicies,0),MATCH('O&amp;M'!L$4,'Control Panel'!$C$6:$N$6,0))</f>
        <v>0.03</v>
      </c>
      <c r="M324" s="127">
        <f>INDEX('Control Panel'!$C$7:$N$25,MATCH('O&amp;M'!$D324,Indicies,0),MATCH('O&amp;M'!M$4,'Control Panel'!$C$6:$N$6,0))</f>
        <v>0.03</v>
      </c>
      <c r="N324" s="127">
        <f>INDEX('Control Panel'!$C$7:$N$25,MATCH('O&amp;M'!$D324,Indicies,0),MATCH('O&amp;M'!N$4,'Control Panel'!$C$6:$N$6,0))</f>
        <v>0.03</v>
      </c>
      <c r="O324" s="127">
        <f>INDEX('Control Panel'!$C$7:$N$25,MATCH('O&amp;M'!$D324,Indicies,0),MATCH('O&amp;M'!O$4,'Control Panel'!$C$6:$N$6,0))</f>
        <v>0.03</v>
      </c>
      <c r="P324" s="762">
        <v>35744</v>
      </c>
      <c r="Q324" s="762">
        <v>164691</v>
      </c>
      <c r="R324" s="762">
        <v>6500</v>
      </c>
      <c r="S324" s="762">
        <v>5500</v>
      </c>
      <c r="T324" s="128">
        <f t="shared" si="309"/>
        <v>5665</v>
      </c>
      <c r="U324" s="128">
        <f t="shared" si="308"/>
        <v>5834.95</v>
      </c>
      <c r="V324" s="128">
        <f t="shared" si="308"/>
        <v>6009.9984999999997</v>
      </c>
      <c r="W324" s="128">
        <f t="shared" si="308"/>
        <v>6190.2984550000001</v>
      </c>
      <c r="X324" s="128">
        <f t="shared" si="308"/>
        <v>6376.0074086499999</v>
      </c>
      <c r="Y324" s="128">
        <f t="shared" si="308"/>
        <v>6567.2876309095</v>
      </c>
      <c r="Z324" s="128">
        <f t="shared" si="308"/>
        <v>6764.3062598367851</v>
      </c>
      <c r="AA324" s="128">
        <f t="shared" si="308"/>
        <v>6967.2354476318887</v>
      </c>
      <c r="AB324" s="128">
        <f t="shared" si="308"/>
        <v>7176.2525110608458</v>
      </c>
    </row>
    <row r="325" spans="2:28" s="134" customFormat="1" x14ac:dyDescent="0.3">
      <c r="B325" s="193" t="s">
        <v>291</v>
      </c>
      <c r="C325" s="140" t="s">
        <v>292</v>
      </c>
      <c r="D325" s="126" t="s">
        <v>7</v>
      </c>
      <c r="E325" s="203">
        <v>1</v>
      </c>
      <c r="F325" s="127">
        <f>INDEX('Control Panel'!$C$7:$N$25,MATCH('O&amp;M'!$D325,Indicies,0),MATCH('O&amp;M'!F$4,'Control Panel'!$C$6:$N$6,0))</f>
        <v>0.03</v>
      </c>
      <c r="G325" s="127">
        <f>INDEX('Control Panel'!$C$7:$N$25,MATCH('O&amp;M'!$D325,Indicies,0),MATCH('O&amp;M'!G$4,'Control Panel'!$C$6:$N$6,0))</f>
        <v>0.03</v>
      </c>
      <c r="H325" s="127">
        <f>INDEX('Control Panel'!$C$7:$N$25,MATCH('O&amp;M'!$D325,Indicies,0),MATCH('O&amp;M'!H$4,'Control Panel'!$C$6:$N$6,0))</f>
        <v>0.03</v>
      </c>
      <c r="I325" s="127">
        <f>INDEX('Control Panel'!$C$7:$N$25,MATCH('O&amp;M'!$D325,Indicies,0),MATCH('O&amp;M'!I$4,'Control Panel'!$C$6:$N$6,0))</f>
        <v>0.03</v>
      </c>
      <c r="J325" s="127">
        <f>INDEX('Control Panel'!$C$7:$N$25,MATCH('O&amp;M'!$D325,Indicies,0),MATCH('O&amp;M'!J$4,'Control Panel'!$C$6:$N$6,0))</f>
        <v>0.03</v>
      </c>
      <c r="K325" s="127">
        <f>INDEX('Control Panel'!$C$7:$N$25,MATCH('O&amp;M'!$D325,Indicies,0),MATCH('O&amp;M'!K$4,'Control Panel'!$C$6:$N$6,0))</f>
        <v>0.03</v>
      </c>
      <c r="L325" s="127">
        <f>INDEX('Control Panel'!$C$7:$N$25,MATCH('O&amp;M'!$D325,Indicies,0),MATCH('O&amp;M'!L$4,'Control Panel'!$C$6:$N$6,0))</f>
        <v>0.03</v>
      </c>
      <c r="M325" s="127">
        <f>INDEX('Control Panel'!$C$7:$N$25,MATCH('O&amp;M'!$D325,Indicies,0),MATCH('O&amp;M'!M$4,'Control Panel'!$C$6:$N$6,0))</f>
        <v>0.03</v>
      </c>
      <c r="N325" s="127">
        <f>INDEX('Control Panel'!$C$7:$N$25,MATCH('O&amp;M'!$D325,Indicies,0),MATCH('O&amp;M'!N$4,'Control Panel'!$C$6:$N$6,0))</f>
        <v>0.03</v>
      </c>
      <c r="O325" s="127">
        <f>INDEX('Control Panel'!$C$7:$N$25,MATCH('O&amp;M'!$D325,Indicies,0),MATCH('O&amp;M'!O$4,'Control Panel'!$C$6:$N$6,0))</f>
        <v>0.03</v>
      </c>
      <c r="P325" s="762">
        <v>26724.89</v>
      </c>
      <c r="Q325" s="762">
        <v>26204.16</v>
      </c>
      <c r="R325" s="762">
        <v>45000</v>
      </c>
      <c r="S325" s="762">
        <v>32000</v>
      </c>
      <c r="T325" s="128">
        <f t="shared" si="309"/>
        <v>32960</v>
      </c>
      <c r="U325" s="128">
        <f t="shared" si="308"/>
        <v>33948.800000000003</v>
      </c>
      <c r="V325" s="128">
        <f t="shared" si="308"/>
        <v>34967.264000000003</v>
      </c>
      <c r="W325" s="128">
        <f t="shared" si="308"/>
        <v>36016.281920000001</v>
      </c>
      <c r="X325" s="128">
        <f t="shared" si="308"/>
        <v>37096.770377600005</v>
      </c>
      <c r="Y325" s="128">
        <f t="shared" si="308"/>
        <v>38209.673488928005</v>
      </c>
      <c r="Z325" s="128">
        <f t="shared" si="308"/>
        <v>39355.963693595848</v>
      </c>
      <c r="AA325" s="128">
        <f t="shared" si="308"/>
        <v>40536.642604403722</v>
      </c>
      <c r="AB325" s="128">
        <f t="shared" si="308"/>
        <v>41752.741882535833</v>
      </c>
    </row>
    <row r="326" spans="2:28" s="134" customFormat="1" x14ac:dyDescent="0.3">
      <c r="B326" s="193" t="s">
        <v>293</v>
      </c>
      <c r="C326" s="140" t="s">
        <v>200</v>
      </c>
      <c r="D326" s="126" t="s">
        <v>8</v>
      </c>
      <c r="E326" s="203">
        <v>1</v>
      </c>
      <c r="F326" s="127">
        <f>INDEX('Control Panel'!$C$7:$N$25,MATCH('O&amp;M'!$D326,Indicies,0),MATCH('O&amp;M'!F$4,'Control Panel'!$C$6:$N$6,0))</f>
        <v>2.8840404751315222E-2</v>
      </c>
      <c r="G326" s="127">
        <f>INDEX('Control Panel'!$C$7:$N$25,MATCH('O&amp;M'!$D326,Indicies,0),MATCH('O&amp;M'!G$4,'Control Panel'!$C$6:$N$6,0))</f>
        <v>2.8840404751315222E-2</v>
      </c>
      <c r="H326" s="127">
        <f>INDEX('Control Panel'!$C$7:$N$25,MATCH('O&amp;M'!$D326,Indicies,0),MATCH('O&amp;M'!H$4,'Control Panel'!$C$6:$N$6,0))</f>
        <v>2.8840404751315222E-2</v>
      </c>
      <c r="I326" s="127">
        <f>INDEX('Control Panel'!$C$7:$N$25,MATCH('O&amp;M'!$D326,Indicies,0),MATCH('O&amp;M'!I$4,'Control Panel'!$C$6:$N$6,0))</f>
        <v>2.8840404751315222E-2</v>
      </c>
      <c r="J326" s="127">
        <f>INDEX('Control Panel'!$C$7:$N$25,MATCH('O&amp;M'!$D326,Indicies,0),MATCH('O&amp;M'!J$4,'Control Panel'!$C$6:$N$6,0))</f>
        <v>2.8840404751315222E-2</v>
      </c>
      <c r="K326" s="127">
        <f>INDEX('Control Panel'!$C$7:$N$25,MATCH('O&amp;M'!$D326,Indicies,0),MATCH('O&amp;M'!K$4,'Control Panel'!$C$6:$N$6,0))</f>
        <v>2.8840404751315222E-2</v>
      </c>
      <c r="L326" s="127">
        <f>INDEX('Control Panel'!$C$7:$N$25,MATCH('O&amp;M'!$D326,Indicies,0),MATCH('O&amp;M'!L$4,'Control Panel'!$C$6:$N$6,0))</f>
        <v>2.8840404751315222E-2</v>
      </c>
      <c r="M326" s="127">
        <f>INDEX('Control Panel'!$C$7:$N$25,MATCH('O&amp;M'!$D326,Indicies,0),MATCH('O&amp;M'!M$4,'Control Panel'!$C$6:$N$6,0))</f>
        <v>2.8840404751315222E-2</v>
      </c>
      <c r="N326" s="127">
        <f>INDEX('Control Panel'!$C$7:$N$25,MATCH('O&amp;M'!$D326,Indicies,0),MATCH('O&amp;M'!N$4,'Control Panel'!$C$6:$N$6,0))</f>
        <v>2.8840404751315222E-2</v>
      </c>
      <c r="O326" s="127">
        <f>INDEX('Control Panel'!$C$7:$N$25,MATCH('O&amp;M'!$D326,Indicies,0),MATCH('O&amp;M'!O$4,'Control Panel'!$C$6:$N$6,0))</f>
        <v>2.8840404751315222E-2</v>
      </c>
      <c r="P326" s="762">
        <v>187.5</v>
      </c>
      <c r="Q326" s="762">
        <v>0</v>
      </c>
      <c r="R326" s="762">
        <v>5000</v>
      </c>
      <c r="S326" s="762">
        <v>5000</v>
      </c>
      <c r="T326" s="128">
        <f t="shared" si="309"/>
        <v>5144.2020237565766</v>
      </c>
      <c r="U326" s="128">
        <f t="shared" si="308"/>
        <v>5292.562892244252</v>
      </c>
      <c r="V326" s="128">
        <f t="shared" si="308"/>
        <v>5445.202548228368</v>
      </c>
      <c r="W326" s="128">
        <f t="shared" si="308"/>
        <v>5602.2443936721675</v>
      </c>
      <c r="X326" s="128">
        <f t="shared" si="308"/>
        <v>5763.8153895014602</v>
      </c>
      <c r="Y326" s="128">
        <f t="shared" si="308"/>
        <v>5930.0461582465423</v>
      </c>
      <c r="Z326" s="128">
        <f t="shared" si="308"/>
        <v>6101.0710896443552</v>
      </c>
      <c r="AA326" s="128">
        <f t="shared" si="308"/>
        <v>6277.0284492862465</v>
      </c>
      <c r="AB326" s="128">
        <f t="shared" si="308"/>
        <v>6458.0604903991834</v>
      </c>
    </row>
    <row r="327" spans="2:28" s="134" customFormat="1" x14ac:dyDescent="0.3">
      <c r="B327" s="193" t="s">
        <v>300</v>
      </c>
      <c r="C327" s="140" t="s">
        <v>2011</v>
      </c>
      <c r="D327" s="126" t="s">
        <v>8</v>
      </c>
      <c r="E327" s="203">
        <v>1</v>
      </c>
      <c r="F327" s="127">
        <f>INDEX('Control Panel'!$C$7:$N$25,MATCH('O&amp;M'!$D327,Indicies,0),MATCH('O&amp;M'!F$4,'Control Panel'!$C$6:$N$6,0))</f>
        <v>2.8840404751315222E-2</v>
      </c>
      <c r="G327" s="127">
        <f>INDEX('Control Panel'!$C$7:$N$25,MATCH('O&amp;M'!$D327,Indicies,0),MATCH('O&amp;M'!G$4,'Control Panel'!$C$6:$N$6,0))</f>
        <v>2.8840404751315222E-2</v>
      </c>
      <c r="H327" s="127">
        <f>INDEX('Control Panel'!$C$7:$N$25,MATCH('O&amp;M'!$D327,Indicies,0),MATCH('O&amp;M'!H$4,'Control Panel'!$C$6:$N$6,0))</f>
        <v>2.8840404751315222E-2</v>
      </c>
      <c r="I327" s="127">
        <f>INDEX('Control Panel'!$C$7:$N$25,MATCH('O&amp;M'!$D327,Indicies,0),MATCH('O&amp;M'!I$4,'Control Panel'!$C$6:$N$6,0))</f>
        <v>2.8840404751315222E-2</v>
      </c>
      <c r="J327" s="127">
        <f>INDEX('Control Panel'!$C$7:$N$25,MATCH('O&amp;M'!$D327,Indicies,0),MATCH('O&amp;M'!J$4,'Control Panel'!$C$6:$N$6,0))</f>
        <v>2.8840404751315222E-2</v>
      </c>
      <c r="K327" s="127">
        <f>INDEX('Control Panel'!$C$7:$N$25,MATCH('O&amp;M'!$D327,Indicies,0),MATCH('O&amp;M'!K$4,'Control Panel'!$C$6:$N$6,0))</f>
        <v>2.8840404751315222E-2</v>
      </c>
      <c r="L327" s="127">
        <f>INDEX('Control Panel'!$C$7:$N$25,MATCH('O&amp;M'!$D327,Indicies,0),MATCH('O&amp;M'!L$4,'Control Panel'!$C$6:$N$6,0))</f>
        <v>2.8840404751315222E-2</v>
      </c>
      <c r="M327" s="127">
        <f>INDEX('Control Panel'!$C$7:$N$25,MATCH('O&amp;M'!$D327,Indicies,0),MATCH('O&amp;M'!M$4,'Control Panel'!$C$6:$N$6,0))</f>
        <v>2.8840404751315222E-2</v>
      </c>
      <c r="N327" s="127">
        <f>INDEX('Control Panel'!$C$7:$N$25,MATCH('O&amp;M'!$D327,Indicies,0),MATCH('O&amp;M'!N$4,'Control Panel'!$C$6:$N$6,0))</f>
        <v>2.8840404751315222E-2</v>
      </c>
      <c r="O327" s="127">
        <f>INDEX('Control Panel'!$C$7:$N$25,MATCH('O&amp;M'!$D327,Indicies,0),MATCH('O&amp;M'!O$4,'Control Panel'!$C$6:$N$6,0))</f>
        <v>2.8840404751315222E-2</v>
      </c>
      <c r="P327" s="762">
        <v>0</v>
      </c>
      <c r="Q327" s="762">
        <v>0</v>
      </c>
      <c r="R327" s="762">
        <v>0</v>
      </c>
      <c r="S327" s="863">
        <v>1500</v>
      </c>
      <c r="T327" s="128">
        <f t="shared" ref="T327" si="310">S327*(1+G327)</f>
        <v>1543.2606071269729</v>
      </c>
      <c r="U327" s="128">
        <f t="shared" ref="U327" si="311">T327*(1+H327)</f>
        <v>1587.7688676732755</v>
      </c>
      <c r="V327" s="128">
        <f t="shared" ref="V327" si="312">U327*(1+I327)</f>
        <v>1633.5607644685103</v>
      </c>
      <c r="W327" s="128">
        <f t="shared" ref="W327" si="313">V327*(1+J327)</f>
        <v>1680.6733181016502</v>
      </c>
      <c r="X327" s="128">
        <f t="shared" ref="X327" si="314">W327*(1+K327)</f>
        <v>1729.1446168504381</v>
      </c>
      <c r="Y327" s="128">
        <f t="shared" ref="Y327" si="315">X327*(1+L327)</f>
        <v>1779.0138474739629</v>
      </c>
      <c r="Z327" s="128">
        <f t="shared" ref="Z327" si="316">Y327*(1+M327)</f>
        <v>1830.3213268933066</v>
      </c>
      <c r="AA327" s="128">
        <f t="shared" ref="AA327" si="317">Z327*(1+N327)</f>
        <v>1883.1085347858741</v>
      </c>
      <c r="AB327" s="128">
        <f t="shared" ref="AB327" si="318">AA327*(1+O327)</f>
        <v>1937.4181471197551</v>
      </c>
    </row>
    <row r="328" spans="2:28" s="134" customFormat="1" x14ac:dyDescent="0.3">
      <c r="B328" s="193" t="s">
        <v>294</v>
      </c>
      <c r="C328" s="140" t="s">
        <v>218</v>
      </c>
      <c r="D328" s="126" t="s">
        <v>7</v>
      </c>
      <c r="E328" s="203">
        <v>1</v>
      </c>
      <c r="F328" s="127">
        <f>INDEX('Control Panel'!$C$7:$N$25,MATCH('O&amp;M'!$D328,Indicies,0),MATCH('O&amp;M'!F$4,'Control Panel'!$C$6:$N$6,0))</f>
        <v>0.03</v>
      </c>
      <c r="G328" s="127">
        <f>INDEX('Control Panel'!$C$7:$N$25,MATCH('O&amp;M'!$D328,Indicies,0),MATCH('O&amp;M'!G$4,'Control Panel'!$C$6:$N$6,0))</f>
        <v>0.03</v>
      </c>
      <c r="H328" s="127">
        <f>INDEX('Control Panel'!$C$7:$N$25,MATCH('O&amp;M'!$D328,Indicies,0),MATCH('O&amp;M'!H$4,'Control Panel'!$C$6:$N$6,0))</f>
        <v>0.03</v>
      </c>
      <c r="I328" s="127">
        <f>INDEX('Control Panel'!$C$7:$N$25,MATCH('O&amp;M'!$D328,Indicies,0),MATCH('O&amp;M'!I$4,'Control Panel'!$C$6:$N$6,0))</f>
        <v>0.03</v>
      </c>
      <c r="J328" s="127">
        <f>INDEX('Control Panel'!$C$7:$N$25,MATCH('O&amp;M'!$D328,Indicies,0),MATCH('O&amp;M'!J$4,'Control Panel'!$C$6:$N$6,0))</f>
        <v>0.03</v>
      </c>
      <c r="K328" s="127">
        <f>INDEX('Control Panel'!$C$7:$N$25,MATCH('O&amp;M'!$D328,Indicies,0),MATCH('O&amp;M'!K$4,'Control Panel'!$C$6:$N$6,0))</f>
        <v>0.03</v>
      </c>
      <c r="L328" s="127">
        <f>INDEX('Control Panel'!$C$7:$N$25,MATCH('O&amp;M'!$D328,Indicies,0),MATCH('O&amp;M'!L$4,'Control Panel'!$C$6:$N$6,0))</f>
        <v>0.03</v>
      </c>
      <c r="M328" s="127">
        <f>INDEX('Control Panel'!$C$7:$N$25,MATCH('O&amp;M'!$D328,Indicies,0),MATCH('O&amp;M'!M$4,'Control Panel'!$C$6:$N$6,0))</f>
        <v>0.03</v>
      </c>
      <c r="N328" s="127">
        <f>INDEX('Control Panel'!$C$7:$N$25,MATCH('O&amp;M'!$D328,Indicies,0),MATCH('O&amp;M'!N$4,'Control Panel'!$C$6:$N$6,0))</f>
        <v>0.03</v>
      </c>
      <c r="O328" s="127">
        <f>INDEX('Control Panel'!$C$7:$N$25,MATCH('O&amp;M'!$D328,Indicies,0),MATCH('O&amp;M'!O$4,'Control Panel'!$C$6:$N$6,0))</f>
        <v>0.03</v>
      </c>
      <c r="P328" s="762">
        <v>131842.26999999999</v>
      </c>
      <c r="Q328" s="762">
        <v>30845</v>
      </c>
      <c r="R328" s="762">
        <v>366000</v>
      </c>
      <c r="S328" s="863">
        <f>336000-300000</f>
        <v>36000</v>
      </c>
      <c r="T328" s="861">
        <f t="shared" si="309"/>
        <v>37080</v>
      </c>
      <c r="U328" s="128">
        <f t="shared" si="308"/>
        <v>38192.400000000001</v>
      </c>
      <c r="V328" s="128">
        <f t="shared" si="308"/>
        <v>39338.172000000006</v>
      </c>
      <c r="W328" s="128">
        <f t="shared" si="308"/>
        <v>40518.317160000006</v>
      </c>
      <c r="X328" s="128">
        <f t="shared" si="308"/>
        <v>41733.866674800011</v>
      </c>
      <c r="Y328" s="128">
        <f t="shared" si="308"/>
        <v>42985.882675044013</v>
      </c>
      <c r="Z328" s="128">
        <f t="shared" si="308"/>
        <v>44275.459155295335</v>
      </c>
      <c r="AA328" s="128">
        <f t="shared" si="308"/>
        <v>45603.722929954194</v>
      </c>
      <c r="AB328" s="128">
        <f t="shared" si="308"/>
        <v>46971.834617852823</v>
      </c>
    </row>
    <row r="329" spans="2:28" s="134" customFormat="1" x14ac:dyDescent="0.3">
      <c r="B329" s="193" t="s">
        <v>295</v>
      </c>
      <c r="C329" s="140" t="s">
        <v>296</v>
      </c>
      <c r="D329" s="126" t="s">
        <v>7</v>
      </c>
      <c r="E329" s="203">
        <v>1</v>
      </c>
      <c r="F329" s="127">
        <f>INDEX('Control Panel'!$C$7:$N$25,MATCH('O&amp;M'!$D329,Indicies,0),MATCH('O&amp;M'!F$4,'Control Panel'!$C$6:$N$6,0))</f>
        <v>0.03</v>
      </c>
      <c r="G329" s="127">
        <f>INDEX('Control Panel'!$C$7:$N$25,MATCH('O&amp;M'!$D329,Indicies,0),MATCH('O&amp;M'!G$4,'Control Panel'!$C$6:$N$6,0))</f>
        <v>0.03</v>
      </c>
      <c r="H329" s="127">
        <f>INDEX('Control Panel'!$C$7:$N$25,MATCH('O&amp;M'!$D329,Indicies,0),MATCH('O&amp;M'!H$4,'Control Panel'!$C$6:$N$6,0))</f>
        <v>0.03</v>
      </c>
      <c r="I329" s="127">
        <f>INDEX('Control Panel'!$C$7:$N$25,MATCH('O&amp;M'!$D329,Indicies,0),MATCH('O&amp;M'!I$4,'Control Panel'!$C$6:$N$6,0))</f>
        <v>0.03</v>
      </c>
      <c r="J329" s="127">
        <f>INDEX('Control Panel'!$C$7:$N$25,MATCH('O&amp;M'!$D329,Indicies,0),MATCH('O&amp;M'!J$4,'Control Panel'!$C$6:$N$6,0))</f>
        <v>0.03</v>
      </c>
      <c r="K329" s="127">
        <f>INDEX('Control Panel'!$C$7:$N$25,MATCH('O&amp;M'!$D329,Indicies,0),MATCH('O&amp;M'!K$4,'Control Panel'!$C$6:$N$6,0))</f>
        <v>0.03</v>
      </c>
      <c r="L329" s="127">
        <f>INDEX('Control Panel'!$C$7:$N$25,MATCH('O&amp;M'!$D329,Indicies,0),MATCH('O&amp;M'!L$4,'Control Panel'!$C$6:$N$6,0))</f>
        <v>0.03</v>
      </c>
      <c r="M329" s="127">
        <f>INDEX('Control Panel'!$C$7:$N$25,MATCH('O&amp;M'!$D329,Indicies,0),MATCH('O&amp;M'!M$4,'Control Panel'!$C$6:$N$6,0))</f>
        <v>0.03</v>
      </c>
      <c r="N329" s="127">
        <f>INDEX('Control Panel'!$C$7:$N$25,MATCH('O&amp;M'!$D329,Indicies,0),MATCH('O&amp;M'!N$4,'Control Panel'!$C$6:$N$6,0))</f>
        <v>0.03</v>
      </c>
      <c r="O329" s="127">
        <f>INDEX('Control Panel'!$C$7:$N$25,MATCH('O&amp;M'!$D329,Indicies,0),MATCH('O&amp;M'!O$4,'Control Panel'!$C$6:$N$6,0))</f>
        <v>0.03</v>
      </c>
      <c r="P329" s="762">
        <v>114501.31</v>
      </c>
      <c r="Q329" s="762">
        <v>119246.83</v>
      </c>
      <c r="R329" s="762">
        <v>131250</v>
      </c>
      <c r="S329" s="762">
        <v>131540</v>
      </c>
      <c r="T329" s="128">
        <f t="shared" si="309"/>
        <v>135486.20000000001</v>
      </c>
      <c r="U329" s="128">
        <f t="shared" si="308"/>
        <v>139550.78600000002</v>
      </c>
      <c r="V329" s="128">
        <f t="shared" si="308"/>
        <v>143737.30958000003</v>
      </c>
      <c r="W329" s="128">
        <f t="shared" si="308"/>
        <v>148049.42886740004</v>
      </c>
      <c r="X329" s="128">
        <f t="shared" si="308"/>
        <v>152490.91173342205</v>
      </c>
      <c r="Y329" s="128">
        <f t="shared" si="308"/>
        <v>157065.63908542471</v>
      </c>
      <c r="Z329" s="128">
        <f t="shared" si="308"/>
        <v>161777.60825798745</v>
      </c>
      <c r="AA329" s="128">
        <f t="shared" si="308"/>
        <v>166630.93650572706</v>
      </c>
      <c r="AB329" s="128">
        <f t="shared" si="308"/>
        <v>171629.86460089887</v>
      </c>
    </row>
    <row r="330" spans="2:28" s="134" customFormat="1" x14ac:dyDescent="0.3">
      <c r="B330" s="193" t="s">
        <v>297</v>
      </c>
      <c r="C330" s="140" t="s">
        <v>298</v>
      </c>
      <c r="D330" s="126" t="s">
        <v>7</v>
      </c>
      <c r="E330" s="203">
        <v>1</v>
      </c>
      <c r="F330" s="127">
        <f>INDEX('Control Panel'!$C$7:$N$25,MATCH('O&amp;M'!$D330,Indicies,0),MATCH('O&amp;M'!F$4,'Control Panel'!$C$6:$N$6,0))</f>
        <v>0.03</v>
      </c>
      <c r="G330" s="127">
        <f>INDEX('Control Panel'!$C$7:$N$25,MATCH('O&amp;M'!$D330,Indicies,0),MATCH('O&amp;M'!G$4,'Control Panel'!$C$6:$N$6,0))</f>
        <v>0.03</v>
      </c>
      <c r="H330" s="127">
        <f>INDEX('Control Panel'!$C$7:$N$25,MATCH('O&amp;M'!$D330,Indicies,0),MATCH('O&amp;M'!H$4,'Control Panel'!$C$6:$N$6,0))</f>
        <v>0.03</v>
      </c>
      <c r="I330" s="127">
        <f>INDEX('Control Panel'!$C$7:$N$25,MATCH('O&amp;M'!$D330,Indicies,0),MATCH('O&amp;M'!I$4,'Control Panel'!$C$6:$N$6,0))</f>
        <v>0.03</v>
      </c>
      <c r="J330" s="127">
        <f>INDEX('Control Panel'!$C$7:$N$25,MATCH('O&amp;M'!$D330,Indicies,0),MATCH('O&amp;M'!J$4,'Control Panel'!$C$6:$N$6,0))</f>
        <v>0.03</v>
      </c>
      <c r="K330" s="127">
        <f>INDEX('Control Panel'!$C$7:$N$25,MATCH('O&amp;M'!$D330,Indicies,0),MATCH('O&amp;M'!K$4,'Control Panel'!$C$6:$N$6,0))</f>
        <v>0.03</v>
      </c>
      <c r="L330" s="127">
        <f>INDEX('Control Panel'!$C$7:$N$25,MATCH('O&amp;M'!$D330,Indicies,0),MATCH('O&amp;M'!L$4,'Control Panel'!$C$6:$N$6,0))</f>
        <v>0.03</v>
      </c>
      <c r="M330" s="127">
        <f>INDEX('Control Panel'!$C$7:$N$25,MATCH('O&amp;M'!$D330,Indicies,0),MATCH('O&amp;M'!M$4,'Control Panel'!$C$6:$N$6,0))</f>
        <v>0.03</v>
      </c>
      <c r="N330" s="127">
        <f>INDEX('Control Panel'!$C$7:$N$25,MATCH('O&amp;M'!$D330,Indicies,0),MATCH('O&amp;M'!N$4,'Control Panel'!$C$6:$N$6,0))</f>
        <v>0.03</v>
      </c>
      <c r="O330" s="127">
        <f>INDEX('Control Panel'!$C$7:$N$25,MATCH('O&amp;M'!$D330,Indicies,0),MATCH('O&amp;M'!O$4,'Control Panel'!$C$6:$N$6,0))</f>
        <v>0.03</v>
      </c>
      <c r="P330" s="762">
        <v>2000</v>
      </c>
      <c r="Q330" s="762">
        <v>141468.51999999999</v>
      </c>
      <c r="R330" s="762">
        <v>10000</v>
      </c>
      <c r="S330" s="762">
        <v>7500</v>
      </c>
      <c r="T330" s="128">
        <f t="shared" si="309"/>
        <v>7725</v>
      </c>
      <c r="U330" s="128">
        <f t="shared" si="308"/>
        <v>7956.75</v>
      </c>
      <c r="V330" s="128">
        <f t="shared" si="308"/>
        <v>8195.4524999999994</v>
      </c>
      <c r="W330" s="128">
        <f t="shared" si="308"/>
        <v>8441.3160749999988</v>
      </c>
      <c r="X330" s="128">
        <f t="shared" si="308"/>
        <v>8694.5555572499998</v>
      </c>
      <c r="Y330" s="128">
        <f t="shared" si="308"/>
        <v>8955.3922239674994</v>
      </c>
      <c r="Z330" s="128">
        <f t="shared" si="308"/>
        <v>9224.0539906865251</v>
      </c>
      <c r="AA330" s="128">
        <f t="shared" si="308"/>
        <v>9500.7756104071213</v>
      </c>
      <c r="AB330" s="128">
        <f t="shared" si="308"/>
        <v>9785.7988787193353</v>
      </c>
    </row>
    <row r="331" spans="2:28" s="134" customFormat="1" x14ac:dyDescent="0.3">
      <c r="B331" s="193" t="s">
        <v>299</v>
      </c>
      <c r="C331" s="140" t="s">
        <v>220</v>
      </c>
      <c r="D331" s="126" t="s">
        <v>8</v>
      </c>
      <c r="E331" s="203">
        <v>1</v>
      </c>
      <c r="F331" s="127">
        <f>INDEX('Control Panel'!$C$7:$N$25,MATCH('O&amp;M'!$D331,Indicies,0),MATCH('O&amp;M'!F$4,'Control Panel'!$C$6:$N$6,0))</f>
        <v>2.8840404751315222E-2</v>
      </c>
      <c r="G331" s="127">
        <f>INDEX('Control Panel'!$C$7:$N$25,MATCH('O&amp;M'!$D331,Indicies,0),MATCH('O&amp;M'!G$4,'Control Panel'!$C$6:$N$6,0))</f>
        <v>2.8840404751315222E-2</v>
      </c>
      <c r="H331" s="127">
        <f>INDEX('Control Panel'!$C$7:$N$25,MATCH('O&amp;M'!$D331,Indicies,0),MATCH('O&amp;M'!H$4,'Control Panel'!$C$6:$N$6,0))</f>
        <v>2.8840404751315222E-2</v>
      </c>
      <c r="I331" s="127">
        <f>INDEX('Control Panel'!$C$7:$N$25,MATCH('O&amp;M'!$D331,Indicies,0),MATCH('O&amp;M'!I$4,'Control Panel'!$C$6:$N$6,0))</f>
        <v>2.8840404751315222E-2</v>
      </c>
      <c r="J331" s="127">
        <f>INDEX('Control Panel'!$C$7:$N$25,MATCH('O&amp;M'!$D331,Indicies,0),MATCH('O&amp;M'!J$4,'Control Panel'!$C$6:$N$6,0))</f>
        <v>2.8840404751315222E-2</v>
      </c>
      <c r="K331" s="127">
        <f>INDEX('Control Panel'!$C$7:$N$25,MATCH('O&amp;M'!$D331,Indicies,0),MATCH('O&amp;M'!K$4,'Control Panel'!$C$6:$N$6,0))</f>
        <v>2.8840404751315222E-2</v>
      </c>
      <c r="L331" s="127">
        <f>INDEX('Control Panel'!$C$7:$N$25,MATCH('O&amp;M'!$D331,Indicies,0),MATCH('O&amp;M'!L$4,'Control Panel'!$C$6:$N$6,0))</f>
        <v>2.8840404751315222E-2</v>
      </c>
      <c r="M331" s="127">
        <f>INDEX('Control Panel'!$C$7:$N$25,MATCH('O&amp;M'!$D331,Indicies,0),MATCH('O&amp;M'!M$4,'Control Panel'!$C$6:$N$6,0))</f>
        <v>2.8840404751315222E-2</v>
      </c>
      <c r="N331" s="127">
        <f>INDEX('Control Panel'!$C$7:$N$25,MATCH('O&amp;M'!$D331,Indicies,0),MATCH('O&amp;M'!N$4,'Control Panel'!$C$6:$N$6,0))</f>
        <v>2.8840404751315222E-2</v>
      </c>
      <c r="O331" s="127">
        <f>INDEX('Control Panel'!$C$7:$N$25,MATCH('O&amp;M'!$D331,Indicies,0),MATCH('O&amp;M'!O$4,'Control Panel'!$C$6:$N$6,0))</f>
        <v>2.8840404751315222E-2</v>
      </c>
      <c r="P331" s="762">
        <v>6595</v>
      </c>
      <c r="Q331" s="762">
        <v>0</v>
      </c>
      <c r="R331" s="762">
        <v>35000</v>
      </c>
      <c r="S331" s="762">
        <v>32000</v>
      </c>
      <c r="T331" s="128">
        <f t="shared" si="309"/>
        <v>32922.892952042093</v>
      </c>
      <c r="U331" s="128">
        <f t="shared" si="308"/>
        <v>33872.402510363216</v>
      </c>
      <c r="V331" s="128">
        <f t="shared" si="308"/>
        <v>34849.296308661564</v>
      </c>
      <c r="W331" s="128">
        <f t="shared" si="308"/>
        <v>35854.364119501879</v>
      </c>
      <c r="X331" s="128">
        <f t="shared" si="308"/>
        <v>36888.418492809353</v>
      </c>
      <c r="Y331" s="128">
        <f t="shared" si="308"/>
        <v>37952.295412777879</v>
      </c>
      <c r="Z331" s="128">
        <f t="shared" si="308"/>
        <v>39046.854973723879</v>
      </c>
      <c r="AA331" s="128">
        <f t="shared" si="308"/>
        <v>40172.982075431988</v>
      </c>
      <c r="AB331" s="128">
        <f t="shared" si="308"/>
        <v>41331.58713855478</v>
      </c>
    </row>
    <row r="332" spans="2:28" s="134" customFormat="1" x14ac:dyDescent="0.3">
      <c r="B332" s="193" t="s">
        <v>300</v>
      </c>
      <c r="C332" s="140" t="s">
        <v>224</v>
      </c>
      <c r="D332" s="126" t="s">
        <v>1480</v>
      </c>
      <c r="E332" s="203">
        <v>1</v>
      </c>
      <c r="F332" s="127">
        <f>INDEX('Control Panel'!$C$7:$N$25,MATCH('O&amp;M'!$D332,Indicies,0),MATCH('O&amp;M'!F$4,'Control Panel'!$C$6:$N$6,0))</f>
        <v>2.1452829087813895E-2</v>
      </c>
      <c r="G332" s="127">
        <f>INDEX('Control Panel'!$C$7:$N$25,MATCH('O&amp;M'!$D332,Indicies,0),MATCH('O&amp;M'!G$4,'Control Panel'!$C$6:$N$6,0))</f>
        <v>2.1452829087813895E-2</v>
      </c>
      <c r="H332" s="127">
        <f>INDEX('Control Panel'!$C$7:$N$25,MATCH('O&amp;M'!$D332,Indicies,0),MATCH('O&amp;M'!H$4,'Control Panel'!$C$6:$N$6,0))</f>
        <v>2.1452829087813895E-2</v>
      </c>
      <c r="I332" s="127">
        <f>INDEX('Control Panel'!$C$7:$N$25,MATCH('O&amp;M'!$D332,Indicies,0),MATCH('O&amp;M'!I$4,'Control Panel'!$C$6:$N$6,0))</f>
        <v>2.1452829087813895E-2</v>
      </c>
      <c r="J332" s="127">
        <f>INDEX('Control Panel'!$C$7:$N$25,MATCH('O&amp;M'!$D332,Indicies,0),MATCH('O&amp;M'!J$4,'Control Panel'!$C$6:$N$6,0))</f>
        <v>2.1452829087813895E-2</v>
      </c>
      <c r="K332" s="127">
        <f>INDEX('Control Panel'!$C$7:$N$25,MATCH('O&amp;M'!$D332,Indicies,0),MATCH('O&amp;M'!K$4,'Control Panel'!$C$6:$N$6,0))</f>
        <v>2.1452829087813895E-2</v>
      </c>
      <c r="L332" s="127">
        <f>INDEX('Control Panel'!$C$7:$N$25,MATCH('O&amp;M'!$D332,Indicies,0),MATCH('O&amp;M'!L$4,'Control Panel'!$C$6:$N$6,0))</f>
        <v>2.1452829087813895E-2</v>
      </c>
      <c r="M332" s="127">
        <f>INDEX('Control Panel'!$C$7:$N$25,MATCH('O&amp;M'!$D332,Indicies,0),MATCH('O&amp;M'!M$4,'Control Panel'!$C$6:$N$6,0))</f>
        <v>2.1452829087813895E-2</v>
      </c>
      <c r="N332" s="127">
        <f>INDEX('Control Panel'!$C$7:$N$25,MATCH('O&amp;M'!$D332,Indicies,0),MATCH('O&amp;M'!N$4,'Control Panel'!$C$6:$N$6,0))</f>
        <v>2.1452829087813895E-2</v>
      </c>
      <c r="O332" s="127">
        <f>INDEX('Control Panel'!$C$7:$N$25,MATCH('O&amp;M'!$D332,Indicies,0),MATCH('O&amp;M'!O$4,'Control Panel'!$C$6:$N$6,0))</f>
        <v>2.1452829087813895E-2</v>
      </c>
      <c r="P332" s="762">
        <v>2625</v>
      </c>
      <c r="Q332" s="762">
        <v>0</v>
      </c>
      <c r="R332" s="762">
        <v>6000</v>
      </c>
      <c r="S332" s="762">
        <v>4000</v>
      </c>
      <c r="T332" s="128">
        <f t="shared" si="309"/>
        <v>4085.8113163512558</v>
      </c>
      <c r="U332" s="128">
        <f t="shared" si="308"/>
        <v>4173.4635282059953</v>
      </c>
      <c r="V332" s="128">
        <f t="shared" si="308"/>
        <v>4262.996127980824</v>
      </c>
      <c r="W332" s="128">
        <f t="shared" si="308"/>
        <v>4354.4494553164095</v>
      </c>
      <c r="X332" s="128">
        <f t="shared" si="308"/>
        <v>4447.8647152528374</v>
      </c>
      <c r="Y332" s="128">
        <f t="shared" si="308"/>
        <v>4543.2839967948748</v>
      </c>
      <c r="Z332" s="128">
        <f t="shared" si="308"/>
        <v>4640.7502918755154</v>
      </c>
      <c r="AA332" s="128">
        <f t="shared" si="308"/>
        <v>4740.3075147263435</v>
      </c>
      <c r="AB332" s="128">
        <f t="shared" si="308"/>
        <v>4842.0005216634481</v>
      </c>
    </row>
    <row r="333" spans="2:28" s="134" customFormat="1" x14ac:dyDescent="0.3">
      <c r="B333" s="193" t="s">
        <v>2012</v>
      </c>
      <c r="C333" s="140" t="s">
        <v>229</v>
      </c>
      <c r="D333" s="126" t="s">
        <v>1480</v>
      </c>
      <c r="E333" s="203">
        <v>1</v>
      </c>
      <c r="F333" s="127">
        <f>INDEX('Control Panel'!$C$7:$N$25,MATCH('O&amp;M'!$D333,Indicies,0),MATCH('O&amp;M'!F$4,'Control Panel'!$C$6:$N$6,0))</f>
        <v>2.1452829087813895E-2</v>
      </c>
      <c r="G333" s="127">
        <f>INDEX('Control Panel'!$C$7:$N$25,MATCH('O&amp;M'!$D333,Indicies,0),MATCH('O&amp;M'!G$4,'Control Panel'!$C$6:$N$6,0))</f>
        <v>2.1452829087813895E-2</v>
      </c>
      <c r="H333" s="127">
        <f>INDEX('Control Panel'!$C$7:$N$25,MATCH('O&amp;M'!$D333,Indicies,0),MATCH('O&amp;M'!H$4,'Control Panel'!$C$6:$N$6,0))</f>
        <v>2.1452829087813895E-2</v>
      </c>
      <c r="I333" s="127">
        <f>INDEX('Control Panel'!$C$7:$N$25,MATCH('O&amp;M'!$D333,Indicies,0),MATCH('O&amp;M'!I$4,'Control Panel'!$C$6:$N$6,0))</f>
        <v>2.1452829087813895E-2</v>
      </c>
      <c r="J333" s="127">
        <f>INDEX('Control Panel'!$C$7:$N$25,MATCH('O&amp;M'!$D333,Indicies,0),MATCH('O&amp;M'!J$4,'Control Panel'!$C$6:$N$6,0))</f>
        <v>2.1452829087813895E-2</v>
      </c>
      <c r="K333" s="127">
        <f>INDEX('Control Panel'!$C$7:$N$25,MATCH('O&amp;M'!$D333,Indicies,0),MATCH('O&amp;M'!K$4,'Control Panel'!$C$6:$N$6,0))</f>
        <v>2.1452829087813895E-2</v>
      </c>
      <c r="L333" s="127">
        <f>INDEX('Control Panel'!$C$7:$N$25,MATCH('O&amp;M'!$D333,Indicies,0),MATCH('O&amp;M'!L$4,'Control Panel'!$C$6:$N$6,0))</f>
        <v>2.1452829087813895E-2</v>
      </c>
      <c r="M333" s="127">
        <f>INDEX('Control Panel'!$C$7:$N$25,MATCH('O&amp;M'!$D333,Indicies,0),MATCH('O&amp;M'!M$4,'Control Panel'!$C$6:$N$6,0))</f>
        <v>2.1452829087813895E-2</v>
      </c>
      <c r="N333" s="127">
        <f>INDEX('Control Panel'!$C$7:$N$25,MATCH('O&amp;M'!$D333,Indicies,0),MATCH('O&amp;M'!N$4,'Control Panel'!$C$6:$N$6,0))</f>
        <v>2.1452829087813895E-2</v>
      </c>
      <c r="O333" s="127">
        <f>INDEX('Control Panel'!$C$7:$N$25,MATCH('O&amp;M'!$D333,Indicies,0),MATCH('O&amp;M'!O$4,'Control Panel'!$C$6:$N$6,0))</f>
        <v>2.1452829087813895E-2</v>
      </c>
      <c r="P333" s="762">
        <v>0</v>
      </c>
      <c r="Q333" s="762">
        <v>0</v>
      </c>
      <c r="R333" s="762">
        <v>0</v>
      </c>
      <c r="S333" s="863">
        <v>700</v>
      </c>
      <c r="T333" s="128">
        <f t="shared" ref="T333" si="319">S333*(1+G333)</f>
        <v>715.01698036146979</v>
      </c>
      <c r="U333" s="128">
        <f t="shared" ref="U333" si="320">T333*(1+H333)</f>
        <v>730.3561174360492</v>
      </c>
      <c r="V333" s="128">
        <f t="shared" ref="V333" si="321">U333*(1+I333)</f>
        <v>746.02432239664415</v>
      </c>
      <c r="W333" s="128">
        <f t="shared" ref="W333" si="322">V333*(1+J333)</f>
        <v>762.02865468037157</v>
      </c>
      <c r="X333" s="128">
        <f t="shared" ref="X333" si="323">W333*(1+K333)</f>
        <v>778.37632516924646</v>
      </c>
      <c r="Y333" s="128">
        <f t="shared" ref="Y333" si="324">X333*(1+L333)</f>
        <v>795.07469943910303</v>
      </c>
      <c r="Z333" s="128">
        <f t="shared" ref="Z333" si="325">Y333*(1+M333)</f>
        <v>812.13130107821519</v>
      </c>
      <c r="AA333" s="128">
        <f t="shared" ref="AA333" si="326">Z333*(1+N333)</f>
        <v>829.55381507711013</v>
      </c>
      <c r="AB333" s="128">
        <f t="shared" ref="AB333" si="327">AA333*(1+O333)</f>
        <v>847.35009129110347</v>
      </c>
    </row>
    <row r="334" spans="2:28" s="134" customFormat="1" x14ac:dyDescent="0.3">
      <c r="B334" s="193" t="s">
        <v>301</v>
      </c>
      <c r="C334" s="140" t="s">
        <v>20</v>
      </c>
      <c r="D334" s="126" t="s">
        <v>1480</v>
      </c>
      <c r="E334" s="203">
        <v>1</v>
      </c>
      <c r="F334" s="127">
        <f>INDEX('Control Panel'!$C$7:$N$25,MATCH('O&amp;M'!$D334,Indicies,0),MATCH('O&amp;M'!F$4,'Control Panel'!$C$6:$N$6,0))</f>
        <v>2.1452829087813895E-2</v>
      </c>
      <c r="G334" s="127">
        <f>INDEX('Control Panel'!$C$7:$N$25,MATCH('O&amp;M'!$D334,Indicies,0),MATCH('O&amp;M'!G$4,'Control Panel'!$C$6:$N$6,0))</f>
        <v>2.1452829087813895E-2</v>
      </c>
      <c r="H334" s="127">
        <f>INDEX('Control Panel'!$C$7:$N$25,MATCH('O&amp;M'!$D334,Indicies,0),MATCH('O&amp;M'!H$4,'Control Panel'!$C$6:$N$6,0))</f>
        <v>2.1452829087813895E-2</v>
      </c>
      <c r="I334" s="127">
        <f>INDEX('Control Panel'!$C$7:$N$25,MATCH('O&amp;M'!$D334,Indicies,0),MATCH('O&amp;M'!I$4,'Control Panel'!$C$6:$N$6,0))</f>
        <v>2.1452829087813895E-2</v>
      </c>
      <c r="J334" s="127">
        <f>INDEX('Control Panel'!$C$7:$N$25,MATCH('O&amp;M'!$D334,Indicies,0),MATCH('O&amp;M'!J$4,'Control Panel'!$C$6:$N$6,0))</f>
        <v>2.1452829087813895E-2</v>
      </c>
      <c r="K334" s="127">
        <f>INDEX('Control Panel'!$C$7:$N$25,MATCH('O&amp;M'!$D334,Indicies,0),MATCH('O&amp;M'!K$4,'Control Panel'!$C$6:$N$6,0))</f>
        <v>2.1452829087813895E-2</v>
      </c>
      <c r="L334" s="127">
        <f>INDEX('Control Panel'!$C$7:$N$25,MATCH('O&amp;M'!$D334,Indicies,0),MATCH('O&amp;M'!L$4,'Control Panel'!$C$6:$N$6,0))</f>
        <v>2.1452829087813895E-2</v>
      </c>
      <c r="M334" s="127">
        <f>INDEX('Control Panel'!$C$7:$N$25,MATCH('O&amp;M'!$D334,Indicies,0),MATCH('O&amp;M'!M$4,'Control Panel'!$C$6:$N$6,0))</f>
        <v>2.1452829087813895E-2</v>
      </c>
      <c r="N334" s="127">
        <f>INDEX('Control Panel'!$C$7:$N$25,MATCH('O&amp;M'!$D334,Indicies,0),MATCH('O&amp;M'!N$4,'Control Panel'!$C$6:$N$6,0))</f>
        <v>2.1452829087813895E-2</v>
      </c>
      <c r="O334" s="127">
        <f>INDEX('Control Panel'!$C$7:$N$25,MATCH('O&amp;M'!$D334,Indicies,0),MATCH('O&amp;M'!O$4,'Control Panel'!$C$6:$N$6,0))</f>
        <v>2.1452829087813895E-2</v>
      </c>
      <c r="P334" s="762">
        <v>0</v>
      </c>
      <c r="Q334" s="762">
        <v>0</v>
      </c>
      <c r="R334" s="762">
        <v>3400</v>
      </c>
      <c r="S334" s="762">
        <v>19000</v>
      </c>
      <c r="T334" s="861">
        <f t="shared" si="309"/>
        <v>19407.603752668467</v>
      </c>
      <c r="U334" s="128">
        <f t="shared" si="308"/>
        <v>19823.951758978481</v>
      </c>
      <c r="V334" s="128">
        <f t="shared" si="308"/>
        <v>20249.231607908914</v>
      </c>
      <c r="W334" s="128">
        <f t="shared" si="308"/>
        <v>20683.634912752947</v>
      </c>
      <c r="X334" s="128">
        <f t="shared" si="308"/>
        <v>21127.357397450978</v>
      </c>
      <c r="Y334" s="128">
        <f t="shared" si="308"/>
        <v>21580.598984775657</v>
      </c>
      <c r="Z334" s="128">
        <f t="shared" si="308"/>
        <v>22043.563886408701</v>
      </c>
      <c r="AA334" s="128">
        <f t="shared" si="308"/>
        <v>22516.460694950136</v>
      </c>
      <c r="AB334" s="128">
        <f t="shared" si="308"/>
        <v>22999.502477901384</v>
      </c>
    </row>
    <row r="335" spans="2:28" s="134" customFormat="1" x14ac:dyDescent="0.3">
      <c r="B335" s="193" t="s">
        <v>302</v>
      </c>
      <c r="C335" s="140" t="s">
        <v>232</v>
      </c>
      <c r="D335" s="126" t="s">
        <v>1480</v>
      </c>
      <c r="E335" s="203">
        <v>1</v>
      </c>
      <c r="F335" s="127">
        <f>INDEX('Control Panel'!$C$7:$N$25,MATCH('O&amp;M'!$D335,Indicies,0),MATCH('O&amp;M'!F$4,'Control Panel'!$C$6:$N$6,0))</f>
        <v>2.1452829087813895E-2</v>
      </c>
      <c r="G335" s="127">
        <f>INDEX('Control Panel'!$C$7:$N$25,MATCH('O&amp;M'!$D335,Indicies,0),MATCH('O&amp;M'!G$4,'Control Panel'!$C$6:$N$6,0))</f>
        <v>2.1452829087813895E-2</v>
      </c>
      <c r="H335" s="127">
        <f>INDEX('Control Panel'!$C$7:$N$25,MATCH('O&amp;M'!$D335,Indicies,0),MATCH('O&amp;M'!H$4,'Control Panel'!$C$6:$N$6,0))</f>
        <v>2.1452829087813895E-2</v>
      </c>
      <c r="I335" s="127">
        <f>INDEX('Control Panel'!$C$7:$N$25,MATCH('O&amp;M'!$D335,Indicies,0),MATCH('O&amp;M'!I$4,'Control Panel'!$C$6:$N$6,0))</f>
        <v>2.1452829087813895E-2</v>
      </c>
      <c r="J335" s="127">
        <f>INDEX('Control Panel'!$C$7:$N$25,MATCH('O&amp;M'!$D335,Indicies,0),MATCH('O&amp;M'!J$4,'Control Panel'!$C$6:$N$6,0))</f>
        <v>2.1452829087813895E-2</v>
      </c>
      <c r="K335" s="127">
        <f>INDEX('Control Panel'!$C$7:$N$25,MATCH('O&amp;M'!$D335,Indicies,0),MATCH('O&amp;M'!K$4,'Control Panel'!$C$6:$N$6,0))</f>
        <v>2.1452829087813895E-2</v>
      </c>
      <c r="L335" s="127">
        <f>INDEX('Control Panel'!$C$7:$N$25,MATCH('O&amp;M'!$D335,Indicies,0),MATCH('O&amp;M'!L$4,'Control Panel'!$C$6:$N$6,0))</f>
        <v>2.1452829087813895E-2</v>
      </c>
      <c r="M335" s="127">
        <f>INDEX('Control Panel'!$C$7:$N$25,MATCH('O&amp;M'!$D335,Indicies,0),MATCH('O&amp;M'!M$4,'Control Panel'!$C$6:$N$6,0))</f>
        <v>2.1452829087813895E-2</v>
      </c>
      <c r="N335" s="127">
        <f>INDEX('Control Panel'!$C$7:$N$25,MATCH('O&amp;M'!$D335,Indicies,0),MATCH('O&amp;M'!N$4,'Control Panel'!$C$6:$N$6,0))</f>
        <v>2.1452829087813895E-2</v>
      </c>
      <c r="O335" s="127">
        <f>INDEX('Control Panel'!$C$7:$N$25,MATCH('O&amp;M'!$D335,Indicies,0),MATCH('O&amp;M'!O$4,'Control Panel'!$C$6:$N$6,0))</f>
        <v>2.1452829087813895E-2</v>
      </c>
      <c r="P335" s="762">
        <v>520.35</v>
      </c>
      <c r="Q335" s="762">
        <v>54.72</v>
      </c>
      <c r="R335" s="762">
        <v>500</v>
      </c>
      <c r="S335" s="762">
        <v>500</v>
      </c>
      <c r="T335" s="128">
        <f t="shared" si="309"/>
        <v>510.72641454390697</v>
      </c>
      <c r="U335" s="128">
        <f t="shared" si="308"/>
        <v>521.68294102574941</v>
      </c>
      <c r="V335" s="128">
        <f t="shared" si="308"/>
        <v>532.874515997603</v>
      </c>
      <c r="W335" s="128">
        <f t="shared" si="308"/>
        <v>544.30618191455119</v>
      </c>
      <c r="X335" s="128">
        <f t="shared" si="308"/>
        <v>555.98308940660468</v>
      </c>
      <c r="Y335" s="128">
        <f t="shared" si="308"/>
        <v>567.91049959935935</v>
      </c>
      <c r="Z335" s="128">
        <f t="shared" si="308"/>
        <v>580.09378648443942</v>
      </c>
      <c r="AA335" s="128">
        <f t="shared" si="308"/>
        <v>592.53843934079293</v>
      </c>
      <c r="AB335" s="128">
        <f t="shared" si="308"/>
        <v>605.25006520793102</v>
      </c>
    </row>
    <row r="336" spans="2:28" s="134" customFormat="1" x14ac:dyDescent="0.3">
      <c r="B336" s="193" t="s">
        <v>303</v>
      </c>
      <c r="C336" s="140" t="s">
        <v>236</v>
      </c>
      <c r="D336" s="126" t="s">
        <v>8</v>
      </c>
      <c r="E336" s="203">
        <v>1</v>
      </c>
      <c r="F336" s="127">
        <f>INDEX('Control Panel'!$C$7:$N$25,MATCH('O&amp;M'!$D336,Indicies,0),MATCH('O&amp;M'!F$4,'Control Panel'!$C$6:$N$6,0))</f>
        <v>2.8840404751315222E-2</v>
      </c>
      <c r="G336" s="127">
        <f>INDEX('Control Panel'!$C$7:$N$25,MATCH('O&amp;M'!$D336,Indicies,0),MATCH('O&amp;M'!G$4,'Control Panel'!$C$6:$N$6,0))</f>
        <v>2.8840404751315222E-2</v>
      </c>
      <c r="H336" s="127">
        <f>INDEX('Control Panel'!$C$7:$N$25,MATCH('O&amp;M'!$D336,Indicies,0),MATCH('O&amp;M'!H$4,'Control Panel'!$C$6:$N$6,0))</f>
        <v>2.8840404751315222E-2</v>
      </c>
      <c r="I336" s="127">
        <f>INDEX('Control Panel'!$C$7:$N$25,MATCH('O&amp;M'!$D336,Indicies,0),MATCH('O&amp;M'!I$4,'Control Panel'!$C$6:$N$6,0))</f>
        <v>2.8840404751315222E-2</v>
      </c>
      <c r="J336" s="127">
        <f>INDEX('Control Panel'!$C$7:$N$25,MATCH('O&amp;M'!$D336,Indicies,0),MATCH('O&amp;M'!J$4,'Control Panel'!$C$6:$N$6,0))</f>
        <v>2.8840404751315222E-2</v>
      </c>
      <c r="K336" s="127">
        <f>INDEX('Control Panel'!$C$7:$N$25,MATCH('O&amp;M'!$D336,Indicies,0),MATCH('O&amp;M'!K$4,'Control Panel'!$C$6:$N$6,0))</f>
        <v>2.8840404751315222E-2</v>
      </c>
      <c r="L336" s="127">
        <f>INDEX('Control Panel'!$C$7:$N$25,MATCH('O&amp;M'!$D336,Indicies,0),MATCH('O&amp;M'!L$4,'Control Panel'!$C$6:$N$6,0))</f>
        <v>2.8840404751315222E-2</v>
      </c>
      <c r="M336" s="127">
        <f>INDEX('Control Panel'!$C$7:$N$25,MATCH('O&amp;M'!$D336,Indicies,0),MATCH('O&amp;M'!M$4,'Control Panel'!$C$6:$N$6,0))</f>
        <v>2.8840404751315222E-2</v>
      </c>
      <c r="N336" s="127">
        <f>INDEX('Control Panel'!$C$7:$N$25,MATCH('O&amp;M'!$D336,Indicies,0),MATCH('O&amp;M'!N$4,'Control Panel'!$C$6:$N$6,0))</f>
        <v>2.8840404751315222E-2</v>
      </c>
      <c r="O336" s="127">
        <f>INDEX('Control Panel'!$C$7:$N$25,MATCH('O&amp;M'!$D336,Indicies,0),MATCH('O&amp;M'!O$4,'Control Panel'!$C$6:$N$6,0))</f>
        <v>2.8840404751315222E-2</v>
      </c>
      <c r="P336" s="762">
        <v>0</v>
      </c>
      <c r="Q336" s="762">
        <v>0</v>
      </c>
      <c r="R336" s="762">
        <v>1750</v>
      </c>
      <c r="S336" s="762">
        <v>750</v>
      </c>
      <c r="T336" s="128">
        <f t="shared" si="309"/>
        <v>771.63030356348645</v>
      </c>
      <c r="U336" s="128">
        <f t="shared" si="308"/>
        <v>793.88443383663775</v>
      </c>
      <c r="V336" s="128">
        <f t="shared" si="308"/>
        <v>816.78038223425517</v>
      </c>
      <c r="W336" s="128">
        <f t="shared" si="308"/>
        <v>840.33665905082512</v>
      </c>
      <c r="X336" s="128">
        <f t="shared" si="308"/>
        <v>864.57230842521903</v>
      </c>
      <c r="Y336" s="128">
        <f t="shared" si="308"/>
        <v>889.50692373698143</v>
      </c>
      <c r="Z336" s="128">
        <f t="shared" si="308"/>
        <v>915.1606634466533</v>
      </c>
      <c r="AA336" s="128">
        <f t="shared" si="308"/>
        <v>941.55426739293705</v>
      </c>
      <c r="AB336" s="128">
        <f t="shared" si="308"/>
        <v>968.70907355987754</v>
      </c>
    </row>
    <row r="337" spans="1:28" s="134" customFormat="1" x14ac:dyDescent="0.3">
      <c r="B337" s="193" t="s">
        <v>304</v>
      </c>
      <c r="C337" s="140" t="s">
        <v>238</v>
      </c>
      <c r="D337" s="126" t="s">
        <v>1480</v>
      </c>
      <c r="E337" s="203">
        <v>1</v>
      </c>
      <c r="F337" s="127">
        <f>INDEX('Control Panel'!$C$7:$N$25,MATCH('O&amp;M'!$D337,Indicies,0),MATCH('O&amp;M'!F$4,'Control Panel'!$C$6:$N$6,0))</f>
        <v>2.1452829087813895E-2</v>
      </c>
      <c r="G337" s="127">
        <f>INDEX('Control Panel'!$C$7:$N$25,MATCH('O&amp;M'!$D337,Indicies,0),MATCH('O&amp;M'!G$4,'Control Panel'!$C$6:$N$6,0))</f>
        <v>2.1452829087813895E-2</v>
      </c>
      <c r="H337" s="127">
        <f>INDEX('Control Panel'!$C$7:$N$25,MATCH('O&amp;M'!$D337,Indicies,0),MATCH('O&amp;M'!H$4,'Control Panel'!$C$6:$N$6,0))</f>
        <v>2.1452829087813895E-2</v>
      </c>
      <c r="I337" s="127">
        <f>INDEX('Control Panel'!$C$7:$N$25,MATCH('O&amp;M'!$D337,Indicies,0),MATCH('O&amp;M'!I$4,'Control Panel'!$C$6:$N$6,0))</f>
        <v>2.1452829087813895E-2</v>
      </c>
      <c r="J337" s="127">
        <f>INDEX('Control Panel'!$C$7:$N$25,MATCH('O&amp;M'!$D337,Indicies,0),MATCH('O&amp;M'!J$4,'Control Panel'!$C$6:$N$6,0))</f>
        <v>2.1452829087813895E-2</v>
      </c>
      <c r="K337" s="127">
        <f>INDEX('Control Panel'!$C$7:$N$25,MATCH('O&amp;M'!$D337,Indicies,0),MATCH('O&amp;M'!K$4,'Control Panel'!$C$6:$N$6,0))</f>
        <v>2.1452829087813895E-2</v>
      </c>
      <c r="L337" s="127">
        <f>INDEX('Control Panel'!$C$7:$N$25,MATCH('O&amp;M'!$D337,Indicies,0),MATCH('O&amp;M'!L$4,'Control Panel'!$C$6:$N$6,0))</f>
        <v>2.1452829087813895E-2</v>
      </c>
      <c r="M337" s="127">
        <f>INDEX('Control Panel'!$C$7:$N$25,MATCH('O&amp;M'!$D337,Indicies,0),MATCH('O&amp;M'!M$4,'Control Panel'!$C$6:$N$6,0))</f>
        <v>2.1452829087813895E-2</v>
      </c>
      <c r="N337" s="127">
        <f>INDEX('Control Panel'!$C$7:$N$25,MATCH('O&amp;M'!$D337,Indicies,0),MATCH('O&amp;M'!N$4,'Control Panel'!$C$6:$N$6,0))</f>
        <v>2.1452829087813895E-2</v>
      </c>
      <c r="O337" s="127">
        <f>INDEX('Control Panel'!$C$7:$N$25,MATCH('O&amp;M'!$D337,Indicies,0),MATCH('O&amp;M'!O$4,'Control Panel'!$C$6:$N$6,0))</f>
        <v>2.1452829087813895E-2</v>
      </c>
      <c r="P337" s="762">
        <v>50.76</v>
      </c>
      <c r="Q337" s="762">
        <v>0</v>
      </c>
      <c r="R337" s="762">
        <v>2000</v>
      </c>
      <c r="S337" s="762">
        <v>4600</v>
      </c>
      <c r="T337" s="128">
        <f t="shared" si="309"/>
        <v>4698.683013803944</v>
      </c>
      <c r="U337" s="128">
        <f t="shared" si="308"/>
        <v>4799.4830574368943</v>
      </c>
      <c r="V337" s="128">
        <f t="shared" si="308"/>
        <v>4902.4455471779465</v>
      </c>
      <c r="W337" s="128">
        <f t="shared" si="308"/>
        <v>5007.6168736138698</v>
      </c>
      <c r="X337" s="128">
        <f t="shared" si="308"/>
        <v>5115.0444225407618</v>
      </c>
      <c r="Y337" s="128">
        <f t="shared" si="308"/>
        <v>5224.7765963141046</v>
      </c>
      <c r="Z337" s="128">
        <f t="shared" si="308"/>
        <v>5336.8628356568415</v>
      </c>
      <c r="AA337" s="128">
        <f t="shared" si="308"/>
        <v>5451.353641935294</v>
      </c>
      <c r="AB337" s="128">
        <f t="shared" si="308"/>
        <v>5568.3005999129646</v>
      </c>
    </row>
    <row r="338" spans="1:28" s="134" customFormat="1" x14ac:dyDescent="0.3">
      <c r="B338" s="193" t="s">
        <v>305</v>
      </c>
      <c r="C338" s="140" t="s">
        <v>244</v>
      </c>
      <c r="D338" s="126" t="s">
        <v>8</v>
      </c>
      <c r="E338" s="203">
        <v>1</v>
      </c>
      <c r="F338" s="127">
        <f>INDEX('Control Panel'!$C$7:$N$25,MATCH('O&amp;M'!$D338,Indicies,0),MATCH('O&amp;M'!F$4,'Control Panel'!$C$6:$N$6,0))</f>
        <v>2.8840404751315222E-2</v>
      </c>
      <c r="G338" s="127">
        <f>INDEX('Control Panel'!$C$7:$N$25,MATCH('O&amp;M'!$D338,Indicies,0),MATCH('O&amp;M'!G$4,'Control Panel'!$C$6:$N$6,0))</f>
        <v>2.8840404751315222E-2</v>
      </c>
      <c r="H338" s="127">
        <f>INDEX('Control Panel'!$C$7:$N$25,MATCH('O&amp;M'!$D338,Indicies,0),MATCH('O&amp;M'!H$4,'Control Panel'!$C$6:$N$6,0))</f>
        <v>2.8840404751315222E-2</v>
      </c>
      <c r="I338" s="127">
        <f>INDEX('Control Panel'!$C$7:$N$25,MATCH('O&amp;M'!$D338,Indicies,0),MATCH('O&amp;M'!I$4,'Control Panel'!$C$6:$N$6,0))</f>
        <v>2.8840404751315222E-2</v>
      </c>
      <c r="J338" s="127">
        <f>INDEX('Control Panel'!$C$7:$N$25,MATCH('O&amp;M'!$D338,Indicies,0),MATCH('O&amp;M'!J$4,'Control Panel'!$C$6:$N$6,0))</f>
        <v>2.8840404751315222E-2</v>
      </c>
      <c r="K338" s="127">
        <f>INDEX('Control Panel'!$C$7:$N$25,MATCH('O&amp;M'!$D338,Indicies,0),MATCH('O&amp;M'!K$4,'Control Panel'!$C$6:$N$6,0))</f>
        <v>2.8840404751315222E-2</v>
      </c>
      <c r="L338" s="127">
        <f>INDEX('Control Panel'!$C$7:$N$25,MATCH('O&amp;M'!$D338,Indicies,0),MATCH('O&amp;M'!L$4,'Control Panel'!$C$6:$N$6,0))</f>
        <v>2.8840404751315222E-2</v>
      </c>
      <c r="M338" s="127">
        <f>INDEX('Control Panel'!$C$7:$N$25,MATCH('O&amp;M'!$D338,Indicies,0),MATCH('O&amp;M'!M$4,'Control Panel'!$C$6:$N$6,0))</f>
        <v>2.8840404751315222E-2</v>
      </c>
      <c r="N338" s="127">
        <f>INDEX('Control Panel'!$C$7:$N$25,MATCH('O&amp;M'!$D338,Indicies,0),MATCH('O&amp;M'!N$4,'Control Panel'!$C$6:$N$6,0))</f>
        <v>2.8840404751315222E-2</v>
      </c>
      <c r="O338" s="127">
        <f>INDEX('Control Panel'!$C$7:$N$25,MATCH('O&amp;M'!$D338,Indicies,0),MATCH('O&amp;M'!O$4,'Control Panel'!$C$6:$N$6,0))</f>
        <v>2.8840404751315222E-2</v>
      </c>
      <c r="P338" s="762">
        <v>0</v>
      </c>
      <c r="Q338" s="762">
        <v>0</v>
      </c>
      <c r="R338" s="762">
        <v>2000</v>
      </c>
      <c r="S338" s="762">
        <v>5000</v>
      </c>
      <c r="T338" s="128">
        <f t="shared" si="309"/>
        <v>5144.2020237565766</v>
      </c>
      <c r="U338" s="128">
        <f t="shared" si="308"/>
        <v>5292.562892244252</v>
      </c>
      <c r="V338" s="128">
        <f t="shared" si="308"/>
        <v>5445.202548228368</v>
      </c>
      <c r="W338" s="128">
        <f t="shared" si="308"/>
        <v>5602.2443936721675</v>
      </c>
      <c r="X338" s="128">
        <f t="shared" si="308"/>
        <v>5763.8153895014602</v>
      </c>
      <c r="Y338" s="128">
        <f t="shared" si="308"/>
        <v>5930.0461582465423</v>
      </c>
      <c r="Z338" s="128">
        <f t="shared" si="308"/>
        <v>6101.0710896443552</v>
      </c>
      <c r="AA338" s="128">
        <f t="shared" si="308"/>
        <v>6277.0284492862465</v>
      </c>
      <c r="AB338" s="128">
        <f t="shared" si="308"/>
        <v>6458.0604903991834</v>
      </c>
    </row>
    <row r="339" spans="1:28" s="134" customFormat="1" x14ac:dyDescent="0.3">
      <c r="B339" s="193" t="s">
        <v>2013</v>
      </c>
      <c r="C339" s="140" t="s">
        <v>250</v>
      </c>
      <c r="D339" s="126" t="s">
        <v>8</v>
      </c>
      <c r="E339" s="203">
        <v>1</v>
      </c>
      <c r="F339" s="127">
        <f>INDEX('Control Panel'!$C$7:$N$25,MATCH('O&amp;M'!$D339,Indicies,0),MATCH('O&amp;M'!F$4,'Control Panel'!$C$6:$N$6,0))</f>
        <v>2.8840404751315222E-2</v>
      </c>
      <c r="G339" s="127">
        <f>INDEX('Control Panel'!$C$7:$N$25,MATCH('O&amp;M'!$D339,Indicies,0),MATCH('O&amp;M'!G$4,'Control Panel'!$C$6:$N$6,0))</f>
        <v>2.8840404751315222E-2</v>
      </c>
      <c r="H339" s="127">
        <f>INDEX('Control Panel'!$C$7:$N$25,MATCH('O&amp;M'!$D339,Indicies,0),MATCH('O&amp;M'!H$4,'Control Panel'!$C$6:$N$6,0))</f>
        <v>2.8840404751315222E-2</v>
      </c>
      <c r="I339" s="127">
        <f>INDEX('Control Panel'!$C$7:$N$25,MATCH('O&amp;M'!$D339,Indicies,0),MATCH('O&amp;M'!I$4,'Control Panel'!$C$6:$N$6,0))</f>
        <v>2.8840404751315222E-2</v>
      </c>
      <c r="J339" s="127">
        <f>INDEX('Control Panel'!$C$7:$N$25,MATCH('O&amp;M'!$D339,Indicies,0),MATCH('O&amp;M'!J$4,'Control Panel'!$C$6:$N$6,0))</f>
        <v>2.8840404751315222E-2</v>
      </c>
      <c r="K339" s="127">
        <f>INDEX('Control Panel'!$C$7:$N$25,MATCH('O&amp;M'!$D339,Indicies,0),MATCH('O&amp;M'!K$4,'Control Panel'!$C$6:$N$6,0))</f>
        <v>2.8840404751315222E-2</v>
      </c>
      <c r="L339" s="127">
        <f>INDEX('Control Panel'!$C$7:$N$25,MATCH('O&amp;M'!$D339,Indicies,0),MATCH('O&amp;M'!L$4,'Control Panel'!$C$6:$N$6,0))</f>
        <v>2.8840404751315222E-2</v>
      </c>
      <c r="M339" s="127">
        <f>INDEX('Control Panel'!$C$7:$N$25,MATCH('O&amp;M'!$D339,Indicies,0),MATCH('O&amp;M'!M$4,'Control Panel'!$C$6:$N$6,0))</f>
        <v>2.8840404751315222E-2</v>
      </c>
      <c r="N339" s="127">
        <f>INDEX('Control Panel'!$C$7:$N$25,MATCH('O&amp;M'!$D339,Indicies,0),MATCH('O&amp;M'!N$4,'Control Panel'!$C$6:$N$6,0))</f>
        <v>2.8840404751315222E-2</v>
      </c>
      <c r="O339" s="127">
        <f>INDEX('Control Panel'!$C$7:$N$25,MATCH('O&amp;M'!$D339,Indicies,0),MATCH('O&amp;M'!O$4,'Control Panel'!$C$6:$N$6,0))</f>
        <v>2.8840404751315222E-2</v>
      </c>
      <c r="P339" s="762">
        <v>0</v>
      </c>
      <c r="Q339" s="762">
        <v>0</v>
      </c>
      <c r="R339" s="762">
        <v>0</v>
      </c>
      <c r="S339" s="863">
        <v>2000</v>
      </c>
      <c r="T339" s="128">
        <f t="shared" ref="T339" si="328">S339*(1+G339)</f>
        <v>2057.6808095026308</v>
      </c>
      <c r="U339" s="128">
        <f t="shared" ref="U339" si="329">T339*(1+H339)</f>
        <v>2117.025156897701</v>
      </c>
      <c r="V339" s="128">
        <f t="shared" ref="V339" si="330">U339*(1+I339)</f>
        <v>2178.0810192913477</v>
      </c>
      <c r="W339" s="128">
        <f t="shared" ref="W339" si="331">V339*(1+J339)</f>
        <v>2240.8977574688674</v>
      </c>
      <c r="X339" s="128">
        <f t="shared" ref="X339" si="332">W339*(1+K339)</f>
        <v>2305.5261558005845</v>
      </c>
      <c r="Y339" s="128">
        <f t="shared" ref="Y339" si="333">X339*(1+L339)</f>
        <v>2372.0184632986175</v>
      </c>
      <c r="Z339" s="128">
        <f t="shared" ref="Z339" si="334">Y339*(1+M339)</f>
        <v>2440.4284358577424</v>
      </c>
      <c r="AA339" s="128">
        <f t="shared" ref="AA339" si="335">Z339*(1+N339)</f>
        <v>2510.8113797144993</v>
      </c>
      <c r="AB339" s="128">
        <f t="shared" ref="AB339" si="336">AA339*(1+O339)</f>
        <v>2583.2241961596737</v>
      </c>
    </row>
    <row r="340" spans="1:28" s="134" customFormat="1" x14ac:dyDescent="0.3">
      <c r="B340" s="193" t="s">
        <v>306</v>
      </c>
      <c r="C340" s="140" t="s">
        <v>252</v>
      </c>
      <c r="D340" s="126" t="s">
        <v>8</v>
      </c>
      <c r="E340" s="203">
        <v>1</v>
      </c>
      <c r="F340" s="127">
        <f>INDEX('Control Panel'!$C$7:$N$25,MATCH('O&amp;M'!$D340,Indicies,0),MATCH('O&amp;M'!F$4,'Control Panel'!$C$6:$N$6,0))</f>
        <v>2.8840404751315222E-2</v>
      </c>
      <c r="G340" s="127">
        <f>INDEX('Control Panel'!$C$7:$N$25,MATCH('O&amp;M'!$D340,Indicies,0),MATCH('O&amp;M'!G$4,'Control Panel'!$C$6:$N$6,0))</f>
        <v>2.8840404751315222E-2</v>
      </c>
      <c r="H340" s="127">
        <f>INDEX('Control Panel'!$C$7:$N$25,MATCH('O&amp;M'!$D340,Indicies,0),MATCH('O&amp;M'!H$4,'Control Panel'!$C$6:$N$6,0))</f>
        <v>2.8840404751315222E-2</v>
      </c>
      <c r="I340" s="127">
        <f>INDEX('Control Panel'!$C$7:$N$25,MATCH('O&amp;M'!$D340,Indicies,0),MATCH('O&amp;M'!I$4,'Control Panel'!$C$6:$N$6,0))</f>
        <v>2.8840404751315222E-2</v>
      </c>
      <c r="J340" s="127">
        <f>INDEX('Control Panel'!$C$7:$N$25,MATCH('O&amp;M'!$D340,Indicies,0),MATCH('O&amp;M'!J$4,'Control Panel'!$C$6:$N$6,0))</f>
        <v>2.8840404751315222E-2</v>
      </c>
      <c r="K340" s="127">
        <f>INDEX('Control Panel'!$C$7:$N$25,MATCH('O&amp;M'!$D340,Indicies,0),MATCH('O&amp;M'!K$4,'Control Panel'!$C$6:$N$6,0))</f>
        <v>2.8840404751315222E-2</v>
      </c>
      <c r="L340" s="127">
        <f>INDEX('Control Panel'!$C$7:$N$25,MATCH('O&amp;M'!$D340,Indicies,0),MATCH('O&amp;M'!L$4,'Control Panel'!$C$6:$N$6,0))</f>
        <v>2.8840404751315222E-2</v>
      </c>
      <c r="M340" s="127">
        <f>INDEX('Control Panel'!$C$7:$N$25,MATCH('O&amp;M'!$D340,Indicies,0),MATCH('O&amp;M'!M$4,'Control Panel'!$C$6:$N$6,0))</f>
        <v>2.8840404751315222E-2</v>
      </c>
      <c r="N340" s="127">
        <f>INDEX('Control Panel'!$C$7:$N$25,MATCH('O&amp;M'!$D340,Indicies,0),MATCH('O&amp;M'!N$4,'Control Panel'!$C$6:$N$6,0))</f>
        <v>2.8840404751315222E-2</v>
      </c>
      <c r="O340" s="127">
        <f>INDEX('Control Panel'!$C$7:$N$25,MATCH('O&amp;M'!$D340,Indicies,0),MATCH('O&amp;M'!O$4,'Control Panel'!$C$6:$N$6,0))</f>
        <v>2.8840404751315222E-2</v>
      </c>
      <c r="P340" s="762">
        <v>4895.17</v>
      </c>
      <c r="Q340" s="762">
        <v>4692.55</v>
      </c>
      <c r="R340" s="762">
        <v>15000</v>
      </c>
      <c r="S340" s="762">
        <v>15000</v>
      </c>
      <c r="T340" s="128">
        <f t="shared" si="309"/>
        <v>15432.606071269731</v>
      </c>
      <c r="U340" s="128">
        <f t="shared" ref="U340:U343" si="337">T340*(1+H340)</f>
        <v>15877.688676732756</v>
      </c>
      <c r="V340" s="128">
        <f t="shared" ref="V340:V343" si="338">U340*(1+I340)</f>
        <v>16335.607644685106</v>
      </c>
      <c r="W340" s="128">
        <f t="shared" ref="W340:W343" si="339">V340*(1+J340)</f>
        <v>16806.733181016505</v>
      </c>
      <c r="X340" s="128">
        <f t="shared" ref="X340:X343" si="340">W340*(1+K340)</f>
        <v>17291.446168504383</v>
      </c>
      <c r="Y340" s="128">
        <f t="shared" ref="Y340:Y343" si="341">X340*(1+L340)</f>
        <v>17790.13847473963</v>
      </c>
      <c r="Z340" s="128">
        <f t="shared" ref="Z340:Z343" si="342">Y340*(1+M340)</f>
        <v>18303.213268933068</v>
      </c>
      <c r="AA340" s="128">
        <f t="shared" ref="AA340:AA343" si="343">Z340*(1+N340)</f>
        <v>18831.085347858745</v>
      </c>
      <c r="AB340" s="128">
        <f t="shared" ref="AB340:AB343" si="344">AA340*(1+O340)</f>
        <v>19374.181471197557</v>
      </c>
    </row>
    <row r="341" spans="1:28" s="134" customFormat="1" x14ac:dyDescent="0.3">
      <c r="B341" s="193" t="s">
        <v>307</v>
      </c>
      <c r="C341" s="140" t="s">
        <v>308</v>
      </c>
      <c r="D341" s="126" t="s">
        <v>8</v>
      </c>
      <c r="E341" s="203">
        <v>1</v>
      </c>
      <c r="F341" s="127">
        <f>INDEX('Control Panel'!$C$7:$N$25,MATCH('O&amp;M'!$D341,Indicies,0),MATCH('O&amp;M'!F$4,'Control Panel'!$C$6:$N$6,0))</f>
        <v>2.8840404751315222E-2</v>
      </c>
      <c r="G341" s="127">
        <f>INDEX('Control Panel'!$C$7:$N$25,MATCH('O&amp;M'!$D341,Indicies,0),MATCH('O&amp;M'!G$4,'Control Panel'!$C$6:$N$6,0))</f>
        <v>2.8840404751315222E-2</v>
      </c>
      <c r="H341" s="127">
        <f>INDEX('Control Panel'!$C$7:$N$25,MATCH('O&amp;M'!$D341,Indicies,0),MATCH('O&amp;M'!H$4,'Control Panel'!$C$6:$N$6,0))</f>
        <v>2.8840404751315222E-2</v>
      </c>
      <c r="I341" s="127">
        <f>INDEX('Control Panel'!$C$7:$N$25,MATCH('O&amp;M'!$D341,Indicies,0),MATCH('O&amp;M'!I$4,'Control Panel'!$C$6:$N$6,0))</f>
        <v>2.8840404751315222E-2</v>
      </c>
      <c r="J341" s="127">
        <f>INDEX('Control Panel'!$C$7:$N$25,MATCH('O&amp;M'!$D341,Indicies,0),MATCH('O&amp;M'!J$4,'Control Panel'!$C$6:$N$6,0))</f>
        <v>2.8840404751315222E-2</v>
      </c>
      <c r="K341" s="127">
        <f>INDEX('Control Panel'!$C$7:$N$25,MATCH('O&amp;M'!$D341,Indicies,0),MATCH('O&amp;M'!K$4,'Control Panel'!$C$6:$N$6,0))</f>
        <v>2.8840404751315222E-2</v>
      </c>
      <c r="L341" s="127">
        <f>INDEX('Control Panel'!$C$7:$N$25,MATCH('O&amp;M'!$D341,Indicies,0),MATCH('O&amp;M'!L$4,'Control Panel'!$C$6:$N$6,0))</f>
        <v>2.8840404751315222E-2</v>
      </c>
      <c r="M341" s="127">
        <f>INDEX('Control Panel'!$C$7:$N$25,MATCH('O&amp;M'!$D341,Indicies,0),MATCH('O&amp;M'!M$4,'Control Panel'!$C$6:$N$6,0))</f>
        <v>2.8840404751315222E-2</v>
      </c>
      <c r="N341" s="127">
        <f>INDEX('Control Panel'!$C$7:$N$25,MATCH('O&amp;M'!$D341,Indicies,0),MATCH('O&amp;M'!N$4,'Control Panel'!$C$6:$N$6,0))</f>
        <v>2.8840404751315222E-2</v>
      </c>
      <c r="O341" s="127">
        <f>INDEX('Control Panel'!$C$7:$N$25,MATCH('O&amp;M'!$D341,Indicies,0),MATCH('O&amp;M'!O$4,'Control Panel'!$C$6:$N$6,0))</f>
        <v>2.8840404751315222E-2</v>
      </c>
      <c r="P341" s="762">
        <v>14679.18</v>
      </c>
      <c r="Q341" s="762">
        <v>10287.41</v>
      </c>
      <c r="R341" s="762">
        <v>17500</v>
      </c>
      <c r="S341" s="762">
        <v>17500</v>
      </c>
      <c r="T341" s="128">
        <f t="shared" si="309"/>
        <v>18004.70708314802</v>
      </c>
      <c r="U341" s="128">
        <f t="shared" si="337"/>
        <v>18523.970122854884</v>
      </c>
      <c r="V341" s="128">
        <f t="shared" si="338"/>
        <v>19058.20891879929</v>
      </c>
      <c r="W341" s="128">
        <f t="shared" si="339"/>
        <v>19607.855377852589</v>
      </c>
      <c r="X341" s="128">
        <f t="shared" si="340"/>
        <v>20173.353863255114</v>
      </c>
      <c r="Y341" s="128">
        <f t="shared" si="341"/>
        <v>20755.161553862901</v>
      </c>
      <c r="Z341" s="128">
        <f t="shared" si="342"/>
        <v>21353.748813755246</v>
      </c>
      <c r="AA341" s="128">
        <f t="shared" si="343"/>
        <v>21969.599572501866</v>
      </c>
      <c r="AB341" s="128">
        <f t="shared" si="344"/>
        <v>22603.211716397145</v>
      </c>
    </row>
    <row r="342" spans="1:28" s="134" customFormat="1" x14ac:dyDescent="0.3">
      <c r="B342" s="193" t="s">
        <v>309</v>
      </c>
      <c r="C342" s="140" t="s">
        <v>254</v>
      </c>
      <c r="D342" s="126" t="s">
        <v>8</v>
      </c>
      <c r="E342" s="203">
        <v>1</v>
      </c>
      <c r="F342" s="127">
        <f>INDEX('Control Panel'!$C$7:$N$25,MATCH('O&amp;M'!$D342,Indicies,0),MATCH('O&amp;M'!F$4,'Control Panel'!$C$6:$N$6,0))</f>
        <v>2.8840404751315222E-2</v>
      </c>
      <c r="G342" s="127">
        <f>INDEX('Control Panel'!$C$7:$N$25,MATCH('O&amp;M'!$D342,Indicies,0),MATCH('O&amp;M'!G$4,'Control Panel'!$C$6:$N$6,0))</f>
        <v>2.8840404751315222E-2</v>
      </c>
      <c r="H342" s="127">
        <f>INDEX('Control Panel'!$C$7:$N$25,MATCH('O&amp;M'!$D342,Indicies,0),MATCH('O&amp;M'!H$4,'Control Panel'!$C$6:$N$6,0))</f>
        <v>2.8840404751315222E-2</v>
      </c>
      <c r="I342" s="127">
        <f>INDEX('Control Panel'!$C$7:$N$25,MATCH('O&amp;M'!$D342,Indicies,0),MATCH('O&amp;M'!I$4,'Control Panel'!$C$6:$N$6,0))</f>
        <v>2.8840404751315222E-2</v>
      </c>
      <c r="J342" s="127">
        <f>INDEX('Control Panel'!$C$7:$N$25,MATCH('O&amp;M'!$D342,Indicies,0),MATCH('O&amp;M'!J$4,'Control Panel'!$C$6:$N$6,0))</f>
        <v>2.8840404751315222E-2</v>
      </c>
      <c r="K342" s="127">
        <f>INDEX('Control Panel'!$C$7:$N$25,MATCH('O&amp;M'!$D342,Indicies,0),MATCH('O&amp;M'!K$4,'Control Panel'!$C$6:$N$6,0))</f>
        <v>2.8840404751315222E-2</v>
      </c>
      <c r="L342" s="127">
        <f>INDEX('Control Panel'!$C$7:$N$25,MATCH('O&amp;M'!$D342,Indicies,0),MATCH('O&amp;M'!L$4,'Control Panel'!$C$6:$N$6,0))</f>
        <v>2.8840404751315222E-2</v>
      </c>
      <c r="M342" s="127">
        <f>INDEX('Control Panel'!$C$7:$N$25,MATCH('O&amp;M'!$D342,Indicies,0),MATCH('O&amp;M'!M$4,'Control Panel'!$C$6:$N$6,0))</f>
        <v>2.8840404751315222E-2</v>
      </c>
      <c r="N342" s="127">
        <f>INDEX('Control Panel'!$C$7:$N$25,MATCH('O&amp;M'!$D342,Indicies,0),MATCH('O&amp;M'!N$4,'Control Panel'!$C$6:$N$6,0))</f>
        <v>2.8840404751315222E-2</v>
      </c>
      <c r="O342" s="127">
        <f>INDEX('Control Panel'!$C$7:$N$25,MATCH('O&amp;M'!$D342,Indicies,0),MATCH('O&amp;M'!O$4,'Control Panel'!$C$6:$N$6,0))</f>
        <v>2.8840404751315222E-2</v>
      </c>
      <c r="P342" s="762">
        <v>0</v>
      </c>
      <c r="Q342" s="762">
        <v>852.5</v>
      </c>
      <c r="R342" s="762">
        <v>15000</v>
      </c>
      <c r="S342" s="762">
        <v>15000</v>
      </c>
      <c r="T342" s="128">
        <f t="shared" si="309"/>
        <v>15432.606071269731</v>
      </c>
      <c r="U342" s="128">
        <f t="shared" si="337"/>
        <v>15877.688676732756</v>
      </c>
      <c r="V342" s="128">
        <f t="shared" si="338"/>
        <v>16335.607644685106</v>
      </c>
      <c r="W342" s="128">
        <f t="shared" si="339"/>
        <v>16806.733181016505</v>
      </c>
      <c r="X342" s="128">
        <f t="shared" si="340"/>
        <v>17291.446168504383</v>
      </c>
      <c r="Y342" s="128">
        <f t="shared" si="341"/>
        <v>17790.13847473963</v>
      </c>
      <c r="Z342" s="128">
        <f t="shared" si="342"/>
        <v>18303.213268933068</v>
      </c>
      <c r="AA342" s="128">
        <f t="shared" si="343"/>
        <v>18831.085347858745</v>
      </c>
      <c r="AB342" s="128">
        <f t="shared" si="344"/>
        <v>19374.181471197557</v>
      </c>
    </row>
    <row r="343" spans="1:28" s="134" customFormat="1" x14ac:dyDescent="0.3">
      <c r="B343" s="193" t="s">
        <v>310</v>
      </c>
      <c r="C343" s="140" t="s">
        <v>311</v>
      </c>
      <c r="D343" s="126" t="s">
        <v>7</v>
      </c>
      <c r="E343" s="203">
        <v>1</v>
      </c>
      <c r="F343" s="127">
        <f>INDEX('Control Panel'!$C$7:$N$25,MATCH('O&amp;M'!$D343,Indicies,0),MATCH('O&amp;M'!F$4,'Control Panel'!$C$6:$N$6,0))</f>
        <v>0.03</v>
      </c>
      <c r="G343" s="127">
        <f>INDEX('Control Panel'!$C$7:$N$25,MATCH('O&amp;M'!$D343,Indicies,0),MATCH('O&amp;M'!G$4,'Control Panel'!$C$6:$N$6,0))</f>
        <v>0.03</v>
      </c>
      <c r="H343" s="127">
        <f>INDEX('Control Panel'!$C$7:$N$25,MATCH('O&amp;M'!$D343,Indicies,0),MATCH('O&amp;M'!H$4,'Control Panel'!$C$6:$N$6,0))</f>
        <v>0.03</v>
      </c>
      <c r="I343" s="127">
        <f>INDEX('Control Panel'!$C$7:$N$25,MATCH('O&amp;M'!$D343,Indicies,0),MATCH('O&amp;M'!I$4,'Control Panel'!$C$6:$N$6,0))</f>
        <v>0.03</v>
      </c>
      <c r="J343" s="127">
        <f>INDEX('Control Panel'!$C$7:$N$25,MATCH('O&amp;M'!$D343,Indicies,0),MATCH('O&amp;M'!J$4,'Control Panel'!$C$6:$N$6,0))</f>
        <v>0.03</v>
      </c>
      <c r="K343" s="127">
        <f>INDEX('Control Panel'!$C$7:$N$25,MATCH('O&amp;M'!$D343,Indicies,0),MATCH('O&amp;M'!K$4,'Control Panel'!$C$6:$N$6,0))</f>
        <v>0.03</v>
      </c>
      <c r="L343" s="127">
        <f>INDEX('Control Panel'!$C$7:$N$25,MATCH('O&amp;M'!$D343,Indicies,0),MATCH('O&amp;M'!L$4,'Control Panel'!$C$6:$N$6,0))</f>
        <v>0.03</v>
      </c>
      <c r="M343" s="127">
        <f>INDEX('Control Panel'!$C$7:$N$25,MATCH('O&amp;M'!$D343,Indicies,0),MATCH('O&amp;M'!M$4,'Control Panel'!$C$6:$N$6,0))</f>
        <v>0.03</v>
      </c>
      <c r="N343" s="127">
        <f>INDEX('Control Panel'!$C$7:$N$25,MATCH('O&amp;M'!$D343,Indicies,0),MATCH('O&amp;M'!N$4,'Control Panel'!$C$6:$N$6,0))</f>
        <v>0.03</v>
      </c>
      <c r="O343" s="127">
        <f>INDEX('Control Panel'!$C$7:$N$25,MATCH('O&amp;M'!$D343,Indicies,0),MATCH('O&amp;M'!O$4,'Control Panel'!$C$6:$N$6,0))</f>
        <v>0.03</v>
      </c>
      <c r="P343" s="762">
        <v>8999.75</v>
      </c>
      <c r="Q343" s="762">
        <v>3999.55</v>
      </c>
      <c r="R343" s="762">
        <v>4000</v>
      </c>
      <c r="S343" s="762">
        <v>4000</v>
      </c>
      <c r="T343" s="128">
        <f t="shared" si="309"/>
        <v>4120</v>
      </c>
      <c r="U343" s="128">
        <f t="shared" si="337"/>
        <v>4243.6000000000004</v>
      </c>
      <c r="V343" s="128">
        <f t="shared" si="338"/>
        <v>4370.9080000000004</v>
      </c>
      <c r="W343" s="128">
        <f t="shared" si="339"/>
        <v>4502.0352400000002</v>
      </c>
      <c r="X343" s="128">
        <f t="shared" si="340"/>
        <v>4637.0962972000007</v>
      </c>
      <c r="Y343" s="128">
        <f t="shared" si="341"/>
        <v>4776.2091861160006</v>
      </c>
      <c r="Z343" s="128">
        <f t="shared" si="342"/>
        <v>4919.495461699481</v>
      </c>
      <c r="AA343" s="128">
        <f t="shared" si="343"/>
        <v>5067.0803255504652</v>
      </c>
      <c r="AB343" s="128">
        <f t="shared" si="344"/>
        <v>5219.0927353169791</v>
      </c>
    </row>
    <row r="344" spans="1:28" s="134" customFormat="1" x14ac:dyDescent="0.3">
      <c r="B344" s="193" t="s">
        <v>312</v>
      </c>
      <c r="C344" s="140" t="s">
        <v>145</v>
      </c>
      <c r="D344" s="126" t="s">
        <v>8</v>
      </c>
      <c r="E344" s="203">
        <v>1</v>
      </c>
      <c r="F344" s="127">
        <f>INDEX('Control Panel'!$C$7:$N$25,MATCH('O&amp;M'!$D344,Indicies,0),MATCH('O&amp;M'!F$4,'Control Panel'!$C$6:$N$6,0))</f>
        <v>2.8840404751315222E-2</v>
      </c>
      <c r="G344" s="127">
        <f>INDEX('Control Panel'!$C$7:$N$25,MATCH('O&amp;M'!$D344,Indicies,0),MATCH('O&amp;M'!G$4,'Control Panel'!$C$6:$N$6,0))</f>
        <v>2.8840404751315222E-2</v>
      </c>
      <c r="H344" s="127">
        <f>INDEX('Control Panel'!$C$7:$N$25,MATCH('O&amp;M'!$D344,Indicies,0),MATCH('O&amp;M'!H$4,'Control Panel'!$C$6:$N$6,0))</f>
        <v>2.8840404751315222E-2</v>
      </c>
      <c r="I344" s="127">
        <f>INDEX('Control Panel'!$C$7:$N$25,MATCH('O&amp;M'!$D344,Indicies,0),MATCH('O&amp;M'!I$4,'Control Panel'!$C$6:$N$6,0))</f>
        <v>2.8840404751315222E-2</v>
      </c>
      <c r="J344" s="127">
        <f>INDEX('Control Panel'!$C$7:$N$25,MATCH('O&amp;M'!$D344,Indicies,0),MATCH('O&amp;M'!J$4,'Control Panel'!$C$6:$N$6,0))</f>
        <v>2.8840404751315222E-2</v>
      </c>
      <c r="K344" s="127">
        <f>INDEX('Control Panel'!$C$7:$N$25,MATCH('O&amp;M'!$D344,Indicies,0),MATCH('O&amp;M'!K$4,'Control Panel'!$C$6:$N$6,0))</f>
        <v>2.8840404751315222E-2</v>
      </c>
      <c r="L344" s="127">
        <f>INDEX('Control Panel'!$C$7:$N$25,MATCH('O&amp;M'!$D344,Indicies,0),MATCH('O&amp;M'!L$4,'Control Panel'!$C$6:$N$6,0))</f>
        <v>2.8840404751315222E-2</v>
      </c>
      <c r="M344" s="127">
        <f>INDEX('Control Panel'!$C$7:$N$25,MATCH('O&amp;M'!$D344,Indicies,0),MATCH('O&amp;M'!M$4,'Control Panel'!$C$6:$N$6,0))</f>
        <v>2.8840404751315222E-2</v>
      </c>
      <c r="N344" s="127">
        <f>INDEX('Control Panel'!$C$7:$N$25,MATCH('O&amp;M'!$D344,Indicies,0),MATCH('O&amp;M'!N$4,'Control Panel'!$C$6:$N$6,0))</f>
        <v>2.8840404751315222E-2</v>
      </c>
      <c r="O344" s="127">
        <f>INDEX('Control Panel'!$C$7:$N$25,MATCH('O&amp;M'!$D344,Indicies,0),MATCH('O&amp;M'!O$4,'Control Panel'!$C$6:$N$6,0))</f>
        <v>2.8840404751315222E-2</v>
      </c>
      <c r="P344" s="762">
        <v>521.55999999999995</v>
      </c>
      <c r="Q344" s="762">
        <v>42780</v>
      </c>
      <c r="R344" s="762">
        <v>0</v>
      </c>
      <c r="S344" s="762">
        <v>0</v>
      </c>
      <c r="T344" s="128">
        <f t="shared" ref="T344" si="345">S344*(1+G344)</f>
        <v>0</v>
      </c>
      <c r="U344" s="128">
        <f t="shared" ref="U344" si="346">T344*(1+H344)</f>
        <v>0</v>
      </c>
      <c r="V344" s="128">
        <f t="shared" ref="V344" si="347">U344*(1+I344)</f>
        <v>0</v>
      </c>
      <c r="W344" s="128">
        <f t="shared" ref="W344" si="348">V344*(1+J344)</f>
        <v>0</v>
      </c>
      <c r="X344" s="128">
        <f t="shared" ref="X344" si="349">W344*(1+K344)</f>
        <v>0</v>
      </c>
      <c r="Y344" s="128">
        <f t="shared" ref="Y344" si="350">X344*(1+L344)</f>
        <v>0</v>
      </c>
      <c r="Z344" s="128">
        <f t="shared" ref="Z344" si="351">Y344*(1+M344)</f>
        <v>0</v>
      </c>
      <c r="AA344" s="128">
        <f t="shared" ref="AA344" si="352">Z344*(1+N344)</f>
        <v>0</v>
      </c>
      <c r="AB344" s="128">
        <f t="shared" ref="AB344" si="353">AA344*(1+O344)</f>
        <v>0</v>
      </c>
    </row>
    <row r="345" spans="1:28" s="134" customFormat="1" ht="15.75" customHeight="1" x14ac:dyDescent="0.3">
      <c r="C345" s="141" t="s">
        <v>313</v>
      </c>
      <c r="E345" s="174"/>
      <c r="P345" s="137">
        <f t="shared" ref="P345:AB345" si="354">SUM(P321:P344)</f>
        <v>371756.14999999997</v>
      </c>
      <c r="Q345" s="137">
        <f t="shared" si="354"/>
        <v>571263.21</v>
      </c>
      <c r="R345" s="137">
        <f t="shared" si="354"/>
        <v>701400</v>
      </c>
      <c r="S345" s="137">
        <f t="shared" si="354"/>
        <v>374090</v>
      </c>
      <c r="T345" s="137">
        <f t="shared" si="354"/>
        <v>384957.82942316489</v>
      </c>
      <c r="U345" s="137">
        <f>SUM(U321:U344)</f>
        <v>396143.27763266285</v>
      </c>
      <c r="V345" s="137">
        <f t="shared" si="354"/>
        <v>407655.66948074388</v>
      </c>
      <c r="W345" s="137">
        <f t="shared" si="354"/>
        <v>419504.6045270313</v>
      </c>
      <c r="X345" s="137">
        <f t="shared" si="354"/>
        <v>431699.96515239478</v>
      </c>
      <c r="Y345" s="137">
        <f t="shared" si="354"/>
        <v>444251.92491295049</v>
      </c>
      <c r="Z345" s="137">
        <f t="shared" si="354"/>
        <v>457170.95714130724</v>
      </c>
      <c r="AA345" s="137">
        <f t="shared" si="354"/>
        <v>470467.84380238777</v>
      </c>
      <c r="AB345" s="137">
        <f t="shared" si="354"/>
        <v>484153.68461136991</v>
      </c>
    </row>
    <row r="346" spans="1:28" s="134" customFormat="1" ht="15.75" customHeight="1" x14ac:dyDescent="0.3">
      <c r="E346" s="174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</row>
    <row r="347" spans="1:28" ht="15.75" customHeight="1" x14ac:dyDescent="0.3">
      <c r="B347" s="132"/>
      <c r="C347" s="142" t="s">
        <v>1487</v>
      </c>
      <c r="D347" s="142"/>
      <c r="E347" s="186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3">
        <f t="shared" ref="P347:AB347" si="355">P345+P318+P274</f>
        <v>1814518.7887750315</v>
      </c>
      <c r="Q347" s="143">
        <f t="shared" si="355"/>
        <v>1591796.8975</v>
      </c>
      <c r="R347" s="143">
        <f t="shared" si="355"/>
        <v>1858667.6</v>
      </c>
      <c r="S347" s="143">
        <f t="shared" si="355"/>
        <v>1444815.619465</v>
      </c>
      <c r="T347" s="143">
        <f t="shared" si="355"/>
        <v>1497035.7966835687</v>
      </c>
      <c r="U347" s="143">
        <f t="shared" si="355"/>
        <v>1551380.0827007389</v>
      </c>
      <c r="V347" s="143">
        <f t="shared" si="355"/>
        <v>1607952.4180057009</v>
      </c>
      <c r="W347" s="143">
        <f t="shared" si="355"/>
        <v>1666863.1197873186</v>
      </c>
      <c r="X347" s="143">
        <f t="shared" si="355"/>
        <v>1728229.3596213614</v>
      </c>
      <c r="Y347" s="143">
        <f t="shared" si="355"/>
        <v>1792175.6819903587</v>
      </c>
      <c r="Z347" s="143">
        <f t="shared" si="355"/>
        <v>1858834.5673913478</v>
      </c>
      <c r="AA347" s="143">
        <f t="shared" si="355"/>
        <v>1928347.0441456069</v>
      </c>
      <c r="AB347" s="143">
        <f t="shared" si="355"/>
        <v>2000863.3534181919</v>
      </c>
    </row>
    <row r="348" spans="1:28" x14ac:dyDescent="0.3">
      <c r="B348" s="132"/>
      <c r="C348" s="132"/>
      <c r="D348" s="132"/>
      <c r="F348" s="132"/>
      <c r="G348" s="132"/>
      <c r="H348" s="132"/>
      <c r="I348" s="132"/>
      <c r="J348" s="132"/>
      <c r="K348" s="132"/>
      <c r="L348" s="132"/>
      <c r="M348" s="132"/>
      <c r="N348" s="132"/>
      <c r="O348" s="132"/>
      <c r="P348" s="97"/>
      <c r="Q348" s="144">
        <f>(Q347-P347)/P347</f>
        <v>-0.1227443290490199</v>
      </c>
      <c r="R348" s="144">
        <f>(R347-Q347)/Q347</f>
        <v>0.16765373956886992</v>
      </c>
      <c r="S348" s="144">
        <f>(S347-R347)/R347</f>
        <v>-0.22266056638368265</v>
      </c>
      <c r="T348" s="144">
        <f t="shared" ref="T348:AB348" si="356">(T347-S347)/S347</f>
        <v>3.6143142775481155E-2</v>
      </c>
      <c r="U348" s="144">
        <f t="shared" si="356"/>
        <v>3.6301260222074055E-2</v>
      </c>
      <c r="V348" s="144">
        <f t="shared" si="356"/>
        <v>3.6465812559922366E-2</v>
      </c>
      <c r="W348" s="144">
        <f t="shared" si="356"/>
        <v>3.6637092691264479E-2</v>
      </c>
      <c r="X348" s="144">
        <f t="shared" si="356"/>
        <v>3.6815404399776201E-2</v>
      </c>
      <c r="Y348" s="144">
        <f t="shared" si="356"/>
        <v>3.70010623954493E-2</v>
      </c>
      <c r="Z348" s="144">
        <f t="shared" si="356"/>
        <v>3.7194392308101683E-2</v>
      </c>
      <c r="AA348" s="144">
        <f t="shared" si="356"/>
        <v>3.7395730622661882E-2</v>
      </c>
      <c r="AB348" s="144">
        <f t="shared" si="356"/>
        <v>3.760542454883415E-2</v>
      </c>
    </row>
    <row r="349" spans="1:28" x14ac:dyDescent="0.3">
      <c r="B349" s="195"/>
      <c r="C349" s="132"/>
      <c r="D349" s="132"/>
      <c r="F349" s="132"/>
      <c r="G349" s="132"/>
      <c r="H349" s="132"/>
      <c r="I349" s="132"/>
      <c r="J349" s="132"/>
      <c r="K349" s="132"/>
      <c r="L349" s="132"/>
      <c r="M349" s="132"/>
      <c r="N349" s="132"/>
      <c r="O349" s="132"/>
      <c r="P349" s="97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</row>
    <row r="350" spans="1:28" x14ac:dyDescent="0.3">
      <c r="A350" s="125"/>
      <c r="B350" s="196" t="s">
        <v>70</v>
      </c>
      <c r="C350" s="91" t="s">
        <v>71</v>
      </c>
      <c r="D350" s="126" t="s">
        <v>5</v>
      </c>
      <c r="E350" s="410">
        <f t="shared" ref="E350:E387" si="357">E5+E128+E236</f>
        <v>1</v>
      </c>
      <c r="F350" s="127">
        <f>INDEX('Control Panel'!$C$7:$N$25,MATCH('O&amp;M'!$D350,Indicies,0),MATCH('O&amp;M'!F$4,'Control Panel'!$C$6:$N$6,0))</f>
        <v>3.5000000000000003E-2</v>
      </c>
      <c r="G350" s="127">
        <f>INDEX('Control Panel'!$C$7:$N$25,MATCH('O&amp;M'!$D350,Indicies,0),MATCH('O&amp;M'!G$4,'Control Panel'!$C$6:$N$6,0))</f>
        <v>3.5000000000000003E-2</v>
      </c>
      <c r="H350" s="127">
        <f>INDEX('Control Panel'!$C$7:$N$25,MATCH('O&amp;M'!$D350,Indicies,0),MATCH('O&amp;M'!H$4,'Control Panel'!$C$6:$N$6,0))</f>
        <v>3.5000000000000003E-2</v>
      </c>
      <c r="I350" s="127">
        <f>INDEX('Control Panel'!$C$7:$N$25,MATCH('O&amp;M'!$D350,Indicies,0),MATCH('O&amp;M'!I$4,'Control Panel'!$C$6:$N$6,0))</f>
        <v>3.5000000000000003E-2</v>
      </c>
      <c r="J350" s="127">
        <f>INDEX('Control Panel'!$C$7:$N$25,MATCH('O&amp;M'!$D350,Indicies,0),MATCH('O&amp;M'!J$4,'Control Panel'!$C$6:$N$6,0))</f>
        <v>3.5000000000000003E-2</v>
      </c>
      <c r="K350" s="127">
        <f>INDEX('Control Panel'!$C$7:$N$25,MATCH('O&amp;M'!$D350,Indicies,0),MATCH('O&amp;M'!K$4,'Control Panel'!$C$6:$N$6,0))</f>
        <v>3.5000000000000003E-2</v>
      </c>
      <c r="L350" s="127">
        <f>INDEX('Control Panel'!$C$7:$N$25,MATCH('O&amp;M'!$D350,Indicies,0),MATCH('O&amp;M'!L$4,'Control Panel'!$C$6:$N$6,0))</f>
        <v>3.5000000000000003E-2</v>
      </c>
      <c r="M350" s="127">
        <f>INDEX('Control Panel'!$C$7:$N$25,MATCH('O&amp;M'!$D350,Indicies,0),MATCH('O&amp;M'!M$4,'Control Panel'!$C$6:$N$6,0))</f>
        <v>3.5000000000000003E-2</v>
      </c>
      <c r="N350" s="127">
        <f>INDEX('Control Panel'!$C$7:$N$25,MATCH('O&amp;M'!$D350,Indicies,0),MATCH('O&amp;M'!N$4,'Control Panel'!$C$6:$N$6,0))</f>
        <v>3.5000000000000003E-2</v>
      </c>
      <c r="O350" s="127">
        <f>INDEX('Control Panel'!$C$7:$N$25,MATCH('O&amp;M'!$D350,Indicies,0),MATCH('O&amp;M'!O$4,'Control Panel'!$C$6:$N$6,0))</f>
        <v>3.5000000000000003E-2</v>
      </c>
      <c r="P350" s="762">
        <v>37061.61</v>
      </c>
      <c r="Q350" s="762">
        <v>4584.0600000000004</v>
      </c>
      <c r="R350" s="762">
        <v>0</v>
      </c>
      <c r="S350" s="762">
        <v>0</v>
      </c>
      <c r="T350" s="128">
        <f t="shared" ref="T350:T387" si="358">S350*(1+G350)</f>
        <v>0</v>
      </c>
      <c r="U350" s="128">
        <f t="shared" ref="U350:U387" si="359">T350*(1+H350)</f>
        <v>0</v>
      </c>
      <c r="V350" s="128">
        <f t="shared" ref="V350:V387" si="360">U350*(1+I350)</f>
        <v>0</v>
      </c>
      <c r="W350" s="128">
        <f t="shared" ref="W350:W387" si="361">V350*(1+J350)</f>
        <v>0</v>
      </c>
      <c r="X350" s="128">
        <f t="shared" ref="X350:X387" si="362">W350*(1+K350)</f>
        <v>0</v>
      </c>
      <c r="Y350" s="128">
        <f t="shared" ref="Y350:Y387" si="363">X350*(1+L350)</f>
        <v>0</v>
      </c>
      <c r="Z350" s="128">
        <f t="shared" ref="Z350:Z387" si="364">Y350*(1+M350)</f>
        <v>0</v>
      </c>
      <c r="AA350" s="128">
        <f t="shared" ref="AA350:AA387" si="365">Z350*(1+N350)</f>
        <v>0</v>
      </c>
      <c r="AB350" s="128">
        <f t="shared" ref="AB350:AB387" si="366">AA350*(1+O350)</f>
        <v>0</v>
      </c>
    </row>
    <row r="351" spans="1:28" x14ac:dyDescent="0.3">
      <c r="B351" s="196" t="s">
        <v>72</v>
      </c>
      <c r="C351" s="91" t="s">
        <v>73</v>
      </c>
      <c r="D351" s="126" t="s">
        <v>5</v>
      </c>
      <c r="E351" s="410">
        <f t="shared" si="357"/>
        <v>1</v>
      </c>
      <c r="F351" s="127">
        <f>INDEX('Control Panel'!$C$7:$N$25,MATCH('O&amp;M'!$D351,Indicies,0),MATCH('O&amp;M'!F$4,'Control Panel'!$C$6:$N$6,0))</f>
        <v>3.5000000000000003E-2</v>
      </c>
      <c r="G351" s="127">
        <f>INDEX('Control Panel'!$C$7:$N$25,MATCH('O&amp;M'!$D351,Indicies,0),MATCH('O&amp;M'!G$4,'Control Panel'!$C$6:$N$6,0))</f>
        <v>3.5000000000000003E-2</v>
      </c>
      <c r="H351" s="127">
        <f>INDEX('Control Panel'!$C$7:$N$25,MATCH('O&amp;M'!$D351,Indicies,0),MATCH('O&amp;M'!H$4,'Control Panel'!$C$6:$N$6,0))</f>
        <v>3.5000000000000003E-2</v>
      </c>
      <c r="I351" s="127">
        <f>INDEX('Control Panel'!$C$7:$N$25,MATCH('O&amp;M'!$D351,Indicies,0),MATCH('O&amp;M'!I$4,'Control Panel'!$C$6:$N$6,0))</f>
        <v>3.5000000000000003E-2</v>
      </c>
      <c r="J351" s="127">
        <f>INDEX('Control Panel'!$C$7:$N$25,MATCH('O&amp;M'!$D351,Indicies,0),MATCH('O&amp;M'!J$4,'Control Panel'!$C$6:$N$6,0))</f>
        <v>3.5000000000000003E-2</v>
      </c>
      <c r="K351" s="127">
        <f>INDEX('Control Panel'!$C$7:$N$25,MATCH('O&amp;M'!$D351,Indicies,0),MATCH('O&amp;M'!K$4,'Control Panel'!$C$6:$N$6,0))</f>
        <v>3.5000000000000003E-2</v>
      </c>
      <c r="L351" s="127">
        <f>INDEX('Control Panel'!$C$7:$N$25,MATCH('O&amp;M'!$D351,Indicies,0),MATCH('O&amp;M'!L$4,'Control Panel'!$C$6:$N$6,0))</f>
        <v>3.5000000000000003E-2</v>
      </c>
      <c r="M351" s="127">
        <f>INDEX('Control Panel'!$C$7:$N$25,MATCH('O&amp;M'!$D351,Indicies,0),MATCH('O&amp;M'!M$4,'Control Panel'!$C$6:$N$6,0))</f>
        <v>3.5000000000000003E-2</v>
      </c>
      <c r="N351" s="127">
        <f>INDEX('Control Panel'!$C$7:$N$25,MATCH('O&amp;M'!$D351,Indicies,0),MATCH('O&amp;M'!N$4,'Control Panel'!$C$6:$N$6,0))</f>
        <v>3.5000000000000003E-2</v>
      </c>
      <c r="O351" s="127">
        <f>INDEX('Control Panel'!$C$7:$N$25,MATCH('O&amp;M'!$D351,Indicies,0),MATCH('O&amp;M'!O$4,'Control Panel'!$C$6:$N$6,0))</f>
        <v>3.5000000000000003E-2</v>
      </c>
      <c r="P351" s="762">
        <v>121107</v>
      </c>
      <c r="Q351" s="762">
        <v>116959.85</v>
      </c>
      <c r="R351" s="762">
        <v>109336</v>
      </c>
      <c r="S351" s="762">
        <v>175528</v>
      </c>
      <c r="T351" s="128">
        <f t="shared" si="358"/>
        <v>181671.47999999998</v>
      </c>
      <c r="U351" s="128">
        <f t="shared" si="359"/>
        <v>188029.98179999998</v>
      </c>
      <c r="V351" s="128">
        <f t="shared" si="360"/>
        <v>194611.03116299998</v>
      </c>
      <c r="W351" s="128">
        <f t="shared" si="361"/>
        <v>201422.41725370497</v>
      </c>
      <c r="X351" s="128">
        <f t="shared" si="362"/>
        <v>208472.20185758465</v>
      </c>
      <c r="Y351" s="128">
        <f t="shared" si="363"/>
        <v>215768.7289226001</v>
      </c>
      <c r="Z351" s="128">
        <f t="shared" si="364"/>
        <v>223320.63443489108</v>
      </c>
      <c r="AA351" s="128">
        <f t="shared" si="365"/>
        <v>231136.85664011224</v>
      </c>
      <c r="AB351" s="128">
        <f t="shared" si="366"/>
        <v>239226.64662251616</v>
      </c>
    </row>
    <row r="352" spans="1:28" x14ac:dyDescent="0.3">
      <c r="B352" s="196" t="s">
        <v>74</v>
      </c>
      <c r="C352" s="91" t="s">
        <v>75</v>
      </c>
      <c r="D352" s="126" t="s">
        <v>5</v>
      </c>
      <c r="E352" s="410">
        <f t="shared" si="357"/>
        <v>1</v>
      </c>
      <c r="F352" s="127">
        <f>INDEX('Control Panel'!$C$7:$N$25,MATCH('O&amp;M'!$D352,Indicies,0),MATCH('O&amp;M'!F$4,'Control Panel'!$C$6:$N$6,0))</f>
        <v>3.5000000000000003E-2</v>
      </c>
      <c r="G352" s="127">
        <f>INDEX('Control Panel'!$C$7:$N$25,MATCH('O&amp;M'!$D352,Indicies,0),MATCH('O&amp;M'!G$4,'Control Panel'!$C$6:$N$6,0))</f>
        <v>3.5000000000000003E-2</v>
      </c>
      <c r="H352" s="127">
        <f>INDEX('Control Panel'!$C$7:$N$25,MATCH('O&amp;M'!$D352,Indicies,0),MATCH('O&amp;M'!H$4,'Control Panel'!$C$6:$N$6,0))</f>
        <v>3.5000000000000003E-2</v>
      </c>
      <c r="I352" s="127">
        <f>INDEX('Control Panel'!$C$7:$N$25,MATCH('O&amp;M'!$D352,Indicies,0),MATCH('O&amp;M'!I$4,'Control Panel'!$C$6:$N$6,0))</f>
        <v>3.5000000000000003E-2</v>
      </c>
      <c r="J352" s="127">
        <f>INDEX('Control Panel'!$C$7:$N$25,MATCH('O&amp;M'!$D352,Indicies,0),MATCH('O&amp;M'!J$4,'Control Panel'!$C$6:$N$6,0))</f>
        <v>3.5000000000000003E-2</v>
      </c>
      <c r="K352" s="127">
        <f>INDEX('Control Panel'!$C$7:$N$25,MATCH('O&amp;M'!$D352,Indicies,0),MATCH('O&amp;M'!K$4,'Control Panel'!$C$6:$N$6,0))</f>
        <v>3.5000000000000003E-2</v>
      </c>
      <c r="L352" s="127">
        <f>INDEX('Control Panel'!$C$7:$N$25,MATCH('O&amp;M'!$D352,Indicies,0),MATCH('O&amp;M'!L$4,'Control Panel'!$C$6:$N$6,0))</f>
        <v>3.5000000000000003E-2</v>
      </c>
      <c r="M352" s="127">
        <f>INDEX('Control Panel'!$C$7:$N$25,MATCH('O&amp;M'!$D352,Indicies,0),MATCH('O&amp;M'!M$4,'Control Panel'!$C$6:$N$6,0))</f>
        <v>3.5000000000000003E-2</v>
      </c>
      <c r="N352" s="127">
        <f>INDEX('Control Panel'!$C$7:$N$25,MATCH('O&amp;M'!$D352,Indicies,0),MATCH('O&amp;M'!N$4,'Control Panel'!$C$6:$N$6,0))</f>
        <v>3.5000000000000003E-2</v>
      </c>
      <c r="O352" s="127">
        <f>INDEX('Control Panel'!$C$7:$N$25,MATCH('O&amp;M'!$D352,Indicies,0),MATCH('O&amp;M'!O$4,'Control Panel'!$C$6:$N$6,0))</f>
        <v>3.5000000000000003E-2</v>
      </c>
      <c r="P352" s="762">
        <v>91735.76</v>
      </c>
      <c r="Q352" s="762">
        <v>100073.5</v>
      </c>
      <c r="R352" s="762">
        <v>97305</v>
      </c>
      <c r="S352" s="762">
        <v>0</v>
      </c>
      <c r="T352" s="128">
        <f t="shared" si="358"/>
        <v>0</v>
      </c>
      <c r="U352" s="128">
        <f t="shared" si="359"/>
        <v>0</v>
      </c>
      <c r="V352" s="128">
        <f t="shared" si="360"/>
        <v>0</v>
      </c>
      <c r="W352" s="128">
        <f t="shared" si="361"/>
        <v>0</v>
      </c>
      <c r="X352" s="128">
        <f t="shared" si="362"/>
        <v>0</v>
      </c>
      <c r="Y352" s="128">
        <f t="shared" si="363"/>
        <v>0</v>
      </c>
      <c r="Z352" s="128">
        <f t="shared" si="364"/>
        <v>0</v>
      </c>
      <c r="AA352" s="128">
        <f t="shared" si="365"/>
        <v>0</v>
      </c>
      <c r="AB352" s="128">
        <f t="shared" si="366"/>
        <v>0</v>
      </c>
    </row>
    <row r="353" spans="2:28" x14ac:dyDescent="0.3">
      <c r="B353" s="196" t="s">
        <v>76</v>
      </c>
      <c r="C353" s="91" t="s">
        <v>77</v>
      </c>
      <c r="D353" s="126" t="s">
        <v>5</v>
      </c>
      <c r="E353" s="410">
        <f t="shared" si="357"/>
        <v>1</v>
      </c>
      <c r="F353" s="127">
        <f>INDEX('Control Panel'!$C$7:$N$25,MATCH('O&amp;M'!$D353,Indicies,0),MATCH('O&amp;M'!F$4,'Control Panel'!$C$6:$N$6,0))</f>
        <v>3.5000000000000003E-2</v>
      </c>
      <c r="G353" s="127">
        <f>INDEX('Control Panel'!$C$7:$N$25,MATCH('O&amp;M'!$D353,Indicies,0),MATCH('O&amp;M'!G$4,'Control Panel'!$C$6:$N$6,0))</f>
        <v>3.5000000000000003E-2</v>
      </c>
      <c r="H353" s="127">
        <f>INDEX('Control Panel'!$C$7:$N$25,MATCH('O&amp;M'!$D353,Indicies,0),MATCH('O&amp;M'!H$4,'Control Panel'!$C$6:$N$6,0))</f>
        <v>3.5000000000000003E-2</v>
      </c>
      <c r="I353" s="127">
        <f>INDEX('Control Panel'!$C$7:$N$25,MATCH('O&amp;M'!$D353,Indicies,0),MATCH('O&amp;M'!I$4,'Control Panel'!$C$6:$N$6,0))</f>
        <v>3.5000000000000003E-2</v>
      </c>
      <c r="J353" s="127">
        <f>INDEX('Control Panel'!$C$7:$N$25,MATCH('O&amp;M'!$D353,Indicies,0),MATCH('O&amp;M'!J$4,'Control Panel'!$C$6:$N$6,0))</f>
        <v>3.5000000000000003E-2</v>
      </c>
      <c r="K353" s="127">
        <f>INDEX('Control Panel'!$C$7:$N$25,MATCH('O&amp;M'!$D353,Indicies,0),MATCH('O&amp;M'!K$4,'Control Panel'!$C$6:$N$6,0))</f>
        <v>3.5000000000000003E-2</v>
      </c>
      <c r="L353" s="127">
        <f>INDEX('Control Panel'!$C$7:$N$25,MATCH('O&amp;M'!$D353,Indicies,0),MATCH('O&amp;M'!L$4,'Control Panel'!$C$6:$N$6,0))</f>
        <v>3.5000000000000003E-2</v>
      </c>
      <c r="M353" s="127">
        <f>INDEX('Control Panel'!$C$7:$N$25,MATCH('O&amp;M'!$D353,Indicies,0),MATCH('O&amp;M'!M$4,'Control Panel'!$C$6:$N$6,0))</f>
        <v>3.5000000000000003E-2</v>
      </c>
      <c r="N353" s="127">
        <f>INDEX('Control Panel'!$C$7:$N$25,MATCH('O&amp;M'!$D353,Indicies,0),MATCH('O&amp;M'!N$4,'Control Panel'!$C$6:$N$6,0))</f>
        <v>3.5000000000000003E-2</v>
      </c>
      <c r="O353" s="127">
        <f>INDEX('Control Panel'!$C$7:$N$25,MATCH('O&amp;M'!$D353,Indicies,0),MATCH('O&amp;M'!O$4,'Control Panel'!$C$6:$N$6,0))</f>
        <v>3.5000000000000003E-2</v>
      </c>
      <c r="P353" s="762">
        <v>10.5</v>
      </c>
      <c r="Q353" s="762">
        <v>0</v>
      </c>
      <c r="R353" s="763">
        <v>0</v>
      </c>
      <c r="S353" s="762">
        <v>0</v>
      </c>
      <c r="T353" s="128">
        <f t="shared" si="358"/>
        <v>0</v>
      </c>
      <c r="U353" s="128">
        <f t="shared" si="359"/>
        <v>0</v>
      </c>
      <c r="V353" s="128">
        <f t="shared" si="360"/>
        <v>0</v>
      </c>
      <c r="W353" s="128">
        <f t="shared" si="361"/>
        <v>0</v>
      </c>
      <c r="X353" s="128">
        <f t="shared" si="362"/>
        <v>0</v>
      </c>
      <c r="Y353" s="128">
        <f t="shared" si="363"/>
        <v>0</v>
      </c>
      <c r="Z353" s="128">
        <f t="shared" si="364"/>
        <v>0</v>
      </c>
      <c r="AA353" s="128">
        <f t="shared" si="365"/>
        <v>0</v>
      </c>
      <c r="AB353" s="128">
        <f t="shared" si="366"/>
        <v>0</v>
      </c>
    </row>
    <row r="354" spans="2:28" x14ac:dyDescent="0.3">
      <c r="B354" s="196" t="s">
        <v>78</v>
      </c>
      <c r="C354" s="91" t="s">
        <v>79</v>
      </c>
      <c r="D354" s="126" t="s">
        <v>5</v>
      </c>
      <c r="E354" s="410">
        <f t="shared" si="357"/>
        <v>1</v>
      </c>
      <c r="F354" s="127">
        <f>INDEX('Control Panel'!$C$7:$N$25,MATCH('O&amp;M'!$D354,Indicies,0),MATCH('O&amp;M'!F$4,'Control Panel'!$C$6:$N$6,0))</f>
        <v>3.5000000000000003E-2</v>
      </c>
      <c r="G354" s="127">
        <f>INDEX('Control Panel'!$C$7:$N$25,MATCH('O&amp;M'!$D354,Indicies,0),MATCH('O&amp;M'!G$4,'Control Panel'!$C$6:$N$6,0))</f>
        <v>3.5000000000000003E-2</v>
      </c>
      <c r="H354" s="127">
        <f>INDEX('Control Panel'!$C$7:$N$25,MATCH('O&amp;M'!$D354,Indicies,0),MATCH('O&amp;M'!H$4,'Control Panel'!$C$6:$N$6,0))</f>
        <v>3.5000000000000003E-2</v>
      </c>
      <c r="I354" s="127">
        <f>INDEX('Control Panel'!$C$7:$N$25,MATCH('O&amp;M'!$D354,Indicies,0),MATCH('O&amp;M'!I$4,'Control Panel'!$C$6:$N$6,0))</f>
        <v>3.5000000000000003E-2</v>
      </c>
      <c r="J354" s="127">
        <f>INDEX('Control Panel'!$C$7:$N$25,MATCH('O&amp;M'!$D354,Indicies,0),MATCH('O&amp;M'!J$4,'Control Panel'!$C$6:$N$6,0))</f>
        <v>3.5000000000000003E-2</v>
      </c>
      <c r="K354" s="127">
        <f>INDEX('Control Panel'!$C$7:$N$25,MATCH('O&amp;M'!$D354,Indicies,0),MATCH('O&amp;M'!K$4,'Control Panel'!$C$6:$N$6,0))</f>
        <v>3.5000000000000003E-2</v>
      </c>
      <c r="L354" s="127">
        <f>INDEX('Control Panel'!$C$7:$N$25,MATCH('O&amp;M'!$D354,Indicies,0),MATCH('O&amp;M'!L$4,'Control Panel'!$C$6:$N$6,0))</f>
        <v>3.5000000000000003E-2</v>
      </c>
      <c r="M354" s="127">
        <f>INDEX('Control Panel'!$C$7:$N$25,MATCH('O&amp;M'!$D354,Indicies,0),MATCH('O&amp;M'!M$4,'Control Panel'!$C$6:$N$6,0))</f>
        <v>3.5000000000000003E-2</v>
      </c>
      <c r="N354" s="127">
        <f>INDEX('Control Panel'!$C$7:$N$25,MATCH('O&amp;M'!$D354,Indicies,0),MATCH('O&amp;M'!N$4,'Control Panel'!$C$6:$N$6,0))</f>
        <v>3.5000000000000003E-2</v>
      </c>
      <c r="O354" s="127">
        <f>INDEX('Control Panel'!$C$7:$N$25,MATCH('O&amp;M'!$D354,Indicies,0),MATCH('O&amp;M'!O$4,'Control Panel'!$C$6:$N$6,0))</f>
        <v>3.5000000000000003E-2</v>
      </c>
      <c r="P354" s="762">
        <v>1500</v>
      </c>
      <c r="Q354" s="762">
        <v>0</v>
      </c>
      <c r="R354" s="763">
        <v>0</v>
      </c>
      <c r="S354" s="762">
        <v>0</v>
      </c>
      <c r="T354" s="128">
        <f t="shared" si="358"/>
        <v>0</v>
      </c>
      <c r="U354" s="128">
        <f t="shared" si="359"/>
        <v>0</v>
      </c>
      <c r="V354" s="128">
        <f t="shared" si="360"/>
        <v>0</v>
      </c>
      <c r="W354" s="128">
        <f t="shared" si="361"/>
        <v>0</v>
      </c>
      <c r="X354" s="128">
        <f t="shared" si="362"/>
        <v>0</v>
      </c>
      <c r="Y354" s="128">
        <f t="shared" si="363"/>
        <v>0</v>
      </c>
      <c r="Z354" s="128">
        <f t="shared" si="364"/>
        <v>0</v>
      </c>
      <c r="AA354" s="128">
        <f t="shared" si="365"/>
        <v>0</v>
      </c>
      <c r="AB354" s="128">
        <f t="shared" si="366"/>
        <v>0</v>
      </c>
    </row>
    <row r="355" spans="2:28" x14ac:dyDescent="0.3">
      <c r="B355" s="196" t="s">
        <v>80</v>
      </c>
      <c r="C355" s="91" t="s">
        <v>81</v>
      </c>
      <c r="D355" s="126" t="s">
        <v>5</v>
      </c>
      <c r="E355" s="410">
        <f t="shared" si="357"/>
        <v>1</v>
      </c>
      <c r="F355" s="127">
        <f>INDEX('Control Panel'!$C$7:$N$25,MATCH('O&amp;M'!$D355,Indicies,0),MATCH('O&amp;M'!F$4,'Control Panel'!$C$6:$N$6,0))</f>
        <v>3.5000000000000003E-2</v>
      </c>
      <c r="G355" s="127">
        <f>INDEX('Control Panel'!$C$7:$N$25,MATCH('O&amp;M'!$D355,Indicies,0),MATCH('O&amp;M'!G$4,'Control Panel'!$C$6:$N$6,0))</f>
        <v>3.5000000000000003E-2</v>
      </c>
      <c r="H355" s="127">
        <f>INDEX('Control Panel'!$C$7:$N$25,MATCH('O&amp;M'!$D355,Indicies,0),MATCH('O&amp;M'!H$4,'Control Panel'!$C$6:$N$6,0))</f>
        <v>3.5000000000000003E-2</v>
      </c>
      <c r="I355" s="127">
        <f>INDEX('Control Panel'!$C$7:$N$25,MATCH('O&amp;M'!$D355,Indicies,0),MATCH('O&amp;M'!I$4,'Control Panel'!$C$6:$N$6,0))</f>
        <v>3.5000000000000003E-2</v>
      </c>
      <c r="J355" s="127">
        <f>INDEX('Control Panel'!$C$7:$N$25,MATCH('O&amp;M'!$D355,Indicies,0),MATCH('O&amp;M'!J$4,'Control Panel'!$C$6:$N$6,0))</f>
        <v>3.5000000000000003E-2</v>
      </c>
      <c r="K355" s="127">
        <f>INDEX('Control Panel'!$C$7:$N$25,MATCH('O&amp;M'!$D355,Indicies,0),MATCH('O&amp;M'!K$4,'Control Panel'!$C$6:$N$6,0))</f>
        <v>3.5000000000000003E-2</v>
      </c>
      <c r="L355" s="127">
        <f>INDEX('Control Panel'!$C$7:$N$25,MATCH('O&amp;M'!$D355,Indicies,0),MATCH('O&amp;M'!L$4,'Control Panel'!$C$6:$N$6,0))</f>
        <v>3.5000000000000003E-2</v>
      </c>
      <c r="M355" s="127">
        <f>INDEX('Control Panel'!$C$7:$N$25,MATCH('O&amp;M'!$D355,Indicies,0),MATCH('O&amp;M'!M$4,'Control Panel'!$C$6:$N$6,0))</f>
        <v>3.5000000000000003E-2</v>
      </c>
      <c r="N355" s="127">
        <f>INDEX('Control Panel'!$C$7:$N$25,MATCH('O&amp;M'!$D355,Indicies,0),MATCH('O&amp;M'!N$4,'Control Panel'!$C$6:$N$6,0))</f>
        <v>3.5000000000000003E-2</v>
      </c>
      <c r="O355" s="127">
        <f>INDEX('Control Panel'!$C$7:$N$25,MATCH('O&amp;M'!$D355,Indicies,0),MATCH('O&amp;M'!O$4,'Control Panel'!$C$6:$N$6,0))</f>
        <v>3.5000000000000003E-2</v>
      </c>
      <c r="P355" s="762">
        <v>0</v>
      </c>
      <c r="Q355" s="762">
        <v>656.82</v>
      </c>
      <c r="R355" s="762">
        <v>0</v>
      </c>
      <c r="S355" s="762">
        <v>0</v>
      </c>
      <c r="T355" s="128">
        <f t="shared" si="358"/>
        <v>0</v>
      </c>
      <c r="U355" s="128">
        <f t="shared" si="359"/>
        <v>0</v>
      </c>
      <c r="V355" s="128">
        <f t="shared" si="360"/>
        <v>0</v>
      </c>
      <c r="W355" s="128">
        <f t="shared" si="361"/>
        <v>0</v>
      </c>
      <c r="X355" s="128">
        <f t="shared" si="362"/>
        <v>0</v>
      </c>
      <c r="Y355" s="128">
        <f t="shared" si="363"/>
        <v>0</v>
      </c>
      <c r="Z355" s="128">
        <f t="shared" si="364"/>
        <v>0</v>
      </c>
      <c r="AA355" s="128">
        <f t="shared" si="365"/>
        <v>0</v>
      </c>
      <c r="AB355" s="128">
        <f t="shared" si="366"/>
        <v>0</v>
      </c>
    </row>
    <row r="356" spans="2:28" x14ac:dyDescent="0.3">
      <c r="B356" s="196" t="s">
        <v>82</v>
      </c>
      <c r="C356" s="91" t="s">
        <v>83</v>
      </c>
      <c r="D356" s="126" t="s">
        <v>5</v>
      </c>
      <c r="E356" s="410">
        <f t="shared" si="357"/>
        <v>1</v>
      </c>
      <c r="F356" s="127">
        <f>INDEX('Control Panel'!$C$7:$N$25,MATCH('O&amp;M'!$D356,Indicies,0),MATCH('O&amp;M'!F$4,'Control Panel'!$C$6:$N$6,0))</f>
        <v>3.5000000000000003E-2</v>
      </c>
      <c r="G356" s="127">
        <f>INDEX('Control Panel'!$C$7:$N$25,MATCH('O&amp;M'!$D356,Indicies,0),MATCH('O&amp;M'!G$4,'Control Panel'!$C$6:$N$6,0))</f>
        <v>3.5000000000000003E-2</v>
      </c>
      <c r="H356" s="127">
        <f>INDEX('Control Panel'!$C$7:$N$25,MATCH('O&amp;M'!$D356,Indicies,0),MATCH('O&amp;M'!H$4,'Control Panel'!$C$6:$N$6,0))</f>
        <v>3.5000000000000003E-2</v>
      </c>
      <c r="I356" s="127">
        <f>INDEX('Control Panel'!$C$7:$N$25,MATCH('O&amp;M'!$D356,Indicies,0),MATCH('O&amp;M'!I$4,'Control Panel'!$C$6:$N$6,0))</f>
        <v>3.5000000000000003E-2</v>
      </c>
      <c r="J356" s="127">
        <f>INDEX('Control Panel'!$C$7:$N$25,MATCH('O&amp;M'!$D356,Indicies,0),MATCH('O&amp;M'!J$4,'Control Panel'!$C$6:$N$6,0))</f>
        <v>3.5000000000000003E-2</v>
      </c>
      <c r="K356" s="127">
        <f>INDEX('Control Panel'!$C$7:$N$25,MATCH('O&amp;M'!$D356,Indicies,0),MATCH('O&amp;M'!K$4,'Control Panel'!$C$6:$N$6,0))</f>
        <v>3.5000000000000003E-2</v>
      </c>
      <c r="L356" s="127">
        <f>INDEX('Control Panel'!$C$7:$N$25,MATCH('O&amp;M'!$D356,Indicies,0),MATCH('O&amp;M'!L$4,'Control Panel'!$C$6:$N$6,0))</f>
        <v>3.5000000000000003E-2</v>
      </c>
      <c r="M356" s="127">
        <f>INDEX('Control Panel'!$C$7:$N$25,MATCH('O&amp;M'!$D356,Indicies,0),MATCH('O&amp;M'!M$4,'Control Panel'!$C$6:$N$6,0))</f>
        <v>3.5000000000000003E-2</v>
      </c>
      <c r="N356" s="127">
        <f>INDEX('Control Panel'!$C$7:$N$25,MATCH('O&amp;M'!$D356,Indicies,0),MATCH('O&amp;M'!N$4,'Control Panel'!$C$6:$N$6,0))</f>
        <v>3.5000000000000003E-2</v>
      </c>
      <c r="O356" s="127">
        <f>INDEX('Control Panel'!$C$7:$N$25,MATCH('O&amp;M'!$D356,Indicies,0),MATCH('O&amp;M'!O$4,'Control Panel'!$C$6:$N$6,0))</f>
        <v>3.5000000000000003E-2</v>
      </c>
      <c r="P356" s="762">
        <v>15424.15</v>
      </c>
      <c r="Q356" s="762">
        <v>12793.34</v>
      </c>
      <c r="R356" s="762">
        <v>12811</v>
      </c>
      <c r="S356" s="762">
        <v>10882</v>
      </c>
      <c r="T356" s="128">
        <f t="shared" si="358"/>
        <v>11262.869999999999</v>
      </c>
      <c r="U356" s="128">
        <f t="shared" si="359"/>
        <v>11657.070449999997</v>
      </c>
      <c r="V356" s="128">
        <f t="shared" si="360"/>
        <v>12065.067915749996</v>
      </c>
      <c r="W356" s="128">
        <f t="shared" si="361"/>
        <v>12487.345292801245</v>
      </c>
      <c r="X356" s="128">
        <f t="shared" si="362"/>
        <v>12924.402378049288</v>
      </c>
      <c r="Y356" s="128">
        <f t="shared" si="363"/>
        <v>13376.756461281013</v>
      </c>
      <c r="Z356" s="128">
        <f t="shared" si="364"/>
        <v>13844.942937425847</v>
      </c>
      <c r="AA356" s="128">
        <f t="shared" si="365"/>
        <v>14329.515940235751</v>
      </c>
      <c r="AB356" s="128">
        <f t="shared" si="366"/>
        <v>14831.048998144001</v>
      </c>
    </row>
    <row r="357" spans="2:28" x14ac:dyDescent="0.3">
      <c r="B357" s="196" t="s">
        <v>84</v>
      </c>
      <c r="C357" s="91" t="s">
        <v>85</v>
      </c>
      <c r="D357" s="126" t="s">
        <v>5</v>
      </c>
      <c r="E357" s="410">
        <f t="shared" si="357"/>
        <v>1</v>
      </c>
      <c r="F357" s="127">
        <f>INDEX('Control Panel'!$C$7:$N$25,MATCH('O&amp;M'!$D357,Indicies,0),MATCH('O&amp;M'!F$4,'Control Panel'!$C$6:$N$6,0))</f>
        <v>3.5000000000000003E-2</v>
      </c>
      <c r="G357" s="127">
        <f>INDEX('Control Panel'!$C$7:$N$25,MATCH('O&amp;M'!$D357,Indicies,0),MATCH('O&amp;M'!G$4,'Control Panel'!$C$6:$N$6,0))</f>
        <v>3.5000000000000003E-2</v>
      </c>
      <c r="H357" s="127">
        <f>INDEX('Control Panel'!$C$7:$N$25,MATCH('O&amp;M'!$D357,Indicies,0),MATCH('O&amp;M'!H$4,'Control Panel'!$C$6:$N$6,0))</f>
        <v>3.5000000000000003E-2</v>
      </c>
      <c r="I357" s="127">
        <f>INDEX('Control Panel'!$C$7:$N$25,MATCH('O&amp;M'!$D357,Indicies,0),MATCH('O&amp;M'!I$4,'Control Panel'!$C$6:$N$6,0))</f>
        <v>3.5000000000000003E-2</v>
      </c>
      <c r="J357" s="127">
        <f>INDEX('Control Panel'!$C$7:$N$25,MATCH('O&amp;M'!$D357,Indicies,0),MATCH('O&amp;M'!J$4,'Control Panel'!$C$6:$N$6,0))</f>
        <v>3.5000000000000003E-2</v>
      </c>
      <c r="K357" s="127">
        <f>INDEX('Control Panel'!$C$7:$N$25,MATCH('O&amp;M'!$D357,Indicies,0),MATCH('O&amp;M'!K$4,'Control Panel'!$C$6:$N$6,0))</f>
        <v>3.5000000000000003E-2</v>
      </c>
      <c r="L357" s="127">
        <f>INDEX('Control Panel'!$C$7:$N$25,MATCH('O&amp;M'!$D357,Indicies,0),MATCH('O&amp;M'!L$4,'Control Panel'!$C$6:$N$6,0))</f>
        <v>3.5000000000000003E-2</v>
      </c>
      <c r="M357" s="127">
        <f>INDEX('Control Panel'!$C$7:$N$25,MATCH('O&amp;M'!$D357,Indicies,0),MATCH('O&amp;M'!M$4,'Control Panel'!$C$6:$N$6,0))</f>
        <v>3.5000000000000003E-2</v>
      </c>
      <c r="N357" s="127">
        <f>INDEX('Control Panel'!$C$7:$N$25,MATCH('O&amp;M'!$D357,Indicies,0),MATCH('O&amp;M'!N$4,'Control Panel'!$C$6:$N$6,0))</f>
        <v>3.5000000000000003E-2</v>
      </c>
      <c r="O357" s="127">
        <f>INDEX('Control Panel'!$C$7:$N$25,MATCH('O&amp;M'!$D357,Indicies,0),MATCH('O&amp;M'!O$4,'Control Panel'!$C$6:$N$6,0))</f>
        <v>3.5000000000000003E-2</v>
      </c>
      <c r="P357" s="762">
        <v>23310.17</v>
      </c>
      <c r="Q357" s="762">
        <v>24445.75</v>
      </c>
      <c r="R357" s="762">
        <v>20767</v>
      </c>
      <c r="S357" s="762">
        <v>21625</v>
      </c>
      <c r="T357" s="128">
        <f t="shared" si="358"/>
        <v>22381.875</v>
      </c>
      <c r="U357" s="128">
        <f t="shared" si="359"/>
        <v>23165.240624999999</v>
      </c>
      <c r="V357" s="128">
        <f t="shared" si="360"/>
        <v>23976.024046874998</v>
      </c>
      <c r="W357" s="128">
        <f t="shared" si="361"/>
        <v>24815.184888515621</v>
      </c>
      <c r="X357" s="128">
        <f t="shared" si="362"/>
        <v>25683.716359613667</v>
      </c>
      <c r="Y357" s="128">
        <f t="shared" si="363"/>
        <v>26582.646432200145</v>
      </c>
      <c r="Z357" s="128">
        <f t="shared" si="364"/>
        <v>27513.039057327147</v>
      </c>
      <c r="AA357" s="128">
        <f t="shared" si="365"/>
        <v>28475.995424333596</v>
      </c>
      <c r="AB357" s="128">
        <f t="shared" si="366"/>
        <v>29472.655264185269</v>
      </c>
    </row>
    <row r="358" spans="2:28" x14ac:dyDescent="0.3">
      <c r="B358" s="196" t="s">
        <v>86</v>
      </c>
      <c r="C358" s="91" t="s">
        <v>87</v>
      </c>
      <c r="D358" s="126" t="s">
        <v>6</v>
      </c>
      <c r="E358" s="410">
        <f t="shared" si="357"/>
        <v>1</v>
      </c>
      <c r="F358" s="127">
        <f>INDEX('Control Panel'!$C$7:$N$25,MATCH('O&amp;M'!$D358,Indicies,0),MATCH('O&amp;M'!F$4,'Control Panel'!$C$6:$N$6,0))</f>
        <v>0.06</v>
      </c>
      <c r="G358" s="127">
        <f>INDEX('Control Panel'!$C$7:$N$25,MATCH('O&amp;M'!$D358,Indicies,0),MATCH('O&amp;M'!G$4,'Control Panel'!$C$6:$N$6,0))</f>
        <v>0.06</v>
      </c>
      <c r="H358" s="127">
        <f>INDEX('Control Panel'!$C$7:$N$25,MATCH('O&amp;M'!$D358,Indicies,0),MATCH('O&amp;M'!H$4,'Control Panel'!$C$6:$N$6,0))</f>
        <v>0.06</v>
      </c>
      <c r="I358" s="127">
        <f>INDEX('Control Panel'!$C$7:$N$25,MATCH('O&amp;M'!$D358,Indicies,0),MATCH('O&amp;M'!I$4,'Control Panel'!$C$6:$N$6,0))</f>
        <v>0.06</v>
      </c>
      <c r="J358" s="127">
        <f>INDEX('Control Panel'!$C$7:$N$25,MATCH('O&amp;M'!$D358,Indicies,0),MATCH('O&amp;M'!J$4,'Control Panel'!$C$6:$N$6,0))</f>
        <v>0.06</v>
      </c>
      <c r="K358" s="127">
        <f>INDEX('Control Panel'!$C$7:$N$25,MATCH('O&amp;M'!$D358,Indicies,0),MATCH('O&amp;M'!K$4,'Control Panel'!$C$6:$N$6,0))</f>
        <v>0.06</v>
      </c>
      <c r="L358" s="127">
        <f>INDEX('Control Panel'!$C$7:$N$25,MATCH('O&amp;M'!$D358,Indicies,0),MATCH('O&amp;M'!L$4,'Control Panel'!$C$6:$N$6,0))</f>
        <v>0.06</v>
      </c>
      <c r="M358" s="127">
        <f>INDEX('Control Panel'!$C$7:$N$25,MATCH('O&amp;M'!$D358,Indicies,0),MATCH('O&amp;M'!M$4,'Control Panel'!$C$6:$N$6,0))</f>
        <v>0.06</v>
      </c>
      <c r="N358" s="127">
        <f>INDEX('Control Panel'!$C$7:$N$25,MATCH('O&amp;M'!$D358,Indicies,0),MATCH('O&amp;M'!N$4,'Control Panel'!$C$6:$N$6,0))</f>
        <v>0.06</v>
      </c>
      <c r="O358" s="127">
        <f>INDEX('Control Panel'!$C$7:$N$25,MATCH('O&amp;M'!$D358,Indicies,0),MATCH('O&amp;M'!O$4,'Control Panel'!$C$6:$N$6,0))</f>
        <v>0.06</v>
      </c>
      <c r="P358" s="762">
        <v>29735.47</v>
      </c>
      <c r="Q358" s="762">
        <v>21242.82</v>
      </c>
      <c r="R358" s="762">
        <v>22255</v>
      </c>
      <c r="S358" s="863">
        <v>33308</v>
      </c>
      <c r="T358" s="128">
        <f t="shared" si="358"/>
        <v>35306.480000000003</v>
      </c>
      <c r="U358" s="128">
        <f t="shared" si="359"/>
        <v>37424.868800000004</v>
      </c>
      <c r="V358" s="128">
        <f t="shared" si="360"/>
        <v>39670.360928000009</v>
      </c>
      <c r="W358" s="128">
        <f t="shared" si="361"/>
        <v>42050.582583680014</v>
      </c>
      <c r="X358" s="128">
        <f t="shared" si="362"/>
        <v>44573.617538700819</v>
      </c>
      <c r="Y358" s="128">
        <f t="shared" si="363"/>
        <v>47248.034591022872</v>
      </c>
      <c r="Z358" s="128">
        <f t="shared" si="364"/>
        <v>50082.916666484249</v>
      </c>
      <c r="AA358" s="128">
        <f t="shared" si="365"/>
        <v>53087.891666473304</v>
      </c>
      <c r="AB358" s="128">
        <f t="shared" si="366"/>
        <v>56273.165166461702</v>
      </c>
    </row>
    <row r="359" spans="2:28" x14ac:dyDescent="0.3">
      <c r="B359" s="196" t="s">
        <v>88</v>
      </c>
      <c r="C359" s="91" t="s">
        <v>89</v>
      </c>
      <c r="D359" s="126" t="s">
        <v>6</v>
      </c>
      <c r="E359" s="410">
        <f t="shared" si="357"/>
        <v>1</v>
      </c>
      <c r="F359" s="127">
        <f>INDEX('Control Panel'!$C$7:$N$25,MATCH('O&amp;M'!$D359,Indicies,0),MATCH('O&amp;M'!F$4,'Control Panel'!$C$6:$N$6,0))</f>
        <v>0.06</v>
      </c>
      <c r="G359" s="127">
        <f>INDEX('Control Panel'!$C$7:$N$25,MATCH('O&amp;M'!$D359,Indicies,0),MATCH('O&amp;M'!G$4,'Control Panel'!$C$6:$N$6,0))</f>
        <v>0.06</v>
      </c>
      <c r="H359" s="127">
        <f>INDEX('Control Panel'!$C$7:$N$25,MATCH('O&amp;M'!$D359,Indicies,0),MATCH('O&amp;M'!H$4,'Control Panel'!$C$6:$N$6,0))</f>
        <v>0.06</v>
      </c>
      <c r="I359" s="127">
        <f>INDEX('Control Panel'!$C$7:$N$25,MATCH('O&amp;M'!$D359,Indicies,0),MATCH('O&amp;M'!I$4,'Control Panel'!$C$6:$N$6,0))</f>
        <v>0.06</v>
      </c>
      <c r="J359" s="127">
        <f>INDEX('Control Panel'!$C$7:$N$25,MATCH('O&amp;M'!$D359,Indicies,0),MATCH('O&amp;M'!J$4,'Control Panel'!$C$6:$N$6,0))</f>
        <v>0.06</v>
      </c>
      <c r="K359" s="127">
        <f>INDEX('Control Panel'!$C$7:$N$25,MATCH('O&amp;M'!$D359,Indicies,0),MATCH('O&amp;M'!K$4,'Control Panel'!$C$6:$N$6,0))</f>
        <v>0.06</v>
      </c>
      <c r="L359" s="127">
        <f>INDEX('Control Panel'!$C$7:$N$25,MATCH('O&amp;M'!$D359,Indicies,0),MATCH('O&amp;M'!L$4,'Control Panel'!$C$6:$N$6,0))</f>
        <v>0.06</v>
      </c>
      <c r="M359" s="127">
        <f>INDEX('Control Panel'!$C$7:$N$25,MATCH('O&amp;M'!$D359,Indicies,0),MATCH('O&amp;M'!M$4,'Control Panel'!$C$6:$N$6,0))</f>
        <v>0.06</v>
      </c>
      <c r="N359" s="127">
        <f>INDEX('Control Panel'!$C$7:$N$25,MATCH('O&amp;M'!$D359,Indicies,0),MATCH('O&amp;M'!N$4,'Control Panel'!$C$6:$N$6,0))</f>
        <v>0.06</v>
      </c>
      <c r="O359" s="127">
        <f>INDEX('Control Panel'!$C$7:$N$25,MATCH('O&amp;M'!$D359,Indicies,0),MATCH('O&amp;M'!O$4,'Control Panel'!$C$6:$N$6,0))</f>
        <v>0.06</v>
      </c>
      <c r="P359" s="762">
        <v>3606.92</v>
      </c>
      <c r="Q359" s="762">
        <v>2992.71</v>
      </c>
      <c r="R359" s="762">
        <v>2996</v>
      </c>
      <c r="S359" s="762">
        <v>2546</v>
      </c>
      <c r="T359" s="128">
        <f t="shared" si="358"/>
        <v>2698.76</v>
      </c>
      <c r="U359" s="128">
        <f t="shared" si="359"/>
        <v>2860.6856000000002</v>
      </c>
      <c r="V359" s="128">
        <f t="shared" si="360"/>
        <v>3032.3267360000004</v>
      </c>
      <c r="W359" s="128">
        <f t="shared" si="361"/>
        <v>3214.2663401600007</v>
      </c>
      <c r="X359" s="128">
        <f t="shared" si="362"/>
        <v>3407.122320569601</v>
      </c>
      <c r="Y359" s="128">
        <f t="shared" si="363"/>
        <v>3611.5496598037771</v>
      </c>
      <c r="Z359" s="128">
        <f t="shared" si="364"/>
        <v>3828.2426393920041</v>
      </c>
      <c r="AA359" s="128">
        <f t="shared" si="365"/>
        <v>4057.9371977555247</v>
      </c>
      <c r="AB359" s="128">
        <f t="shared" si="366"/>
        <v>4301.4134296208567</v>
      </c>
    </row>
    <row r="360" spans="2:28" x14ac:dyDescent="0.3">
      <c r="B360" s="196" t="s">
        <v>90</v>
      </c>
      <c r="C360" s="91" t="s">
        <v>91</v>
      </c>
      <c r="D360" s="126" t="s">
        <v>5</v>
      </c>
      <c r="E360" s="410">
        <f t="shared" si="357"/>
        <v>1</v>
      </c>
      <c r="F360" s="127">
        <f>INDEX('Control Panel'!$C$7:$N$25,MATCH('O&amp;M'!$D360,Indicies,0),MATCH('O&amp;M'!F$4,'Control Panel'!$C$6:$N$6,0))</f>
        <v>3.5000000000000003E-2</v>
      </c>
      <c r="G360" s="127">
        <f>INDEX('Control Panel'!$C$7:$N$25,MATCH('O&amp;M'!$D360,Indicies,0),MATCH('O&amp;M'!G$4,'Control Panel'!$C$6:$N$6,0))</f>
        <v>3.5000000000000003E-2</v>
      </c>
      <c r="H360" s="127">
        <f>INDEX('Control Panel'!$C$7:$N$25,MATCH('O&amp;M'!$D360,Indicies,0),MATCH('O&amp;M'!H$4,'Control Panel'!$C$6:$N$6,0))</f>
        <v>3.5000000000000003E-2</v>
      </c>
      <c r="I360" s="127">
        <f>INDEX('Control Panel'!$C$7:$N$25,MATCH('O&amp;M'!$D360,Indicies,0),MATCH('O&amp;M'!I$4,'Control Panel'!$C$6:$N$6,0))</f>
        <v>3.5000000000000003E-2</v>
      </c>
      <c r="J360" s="127">
        <f>INDEX('Control Panel'!$C$7:$N$25,MATCH('O&amp;M'!$D360,Indicies,0),MATCH('O&amp;M'!J$4,'Control Panel'!$C$6:$N$6,0))</f>
        <v>3.5000000000000003E-2</v>
      </c>
      <c r="K360" s="127">
        <f>INDEX('Control Panel'!$C$7:$N$25,MATCH('O&amp;M'!$D360,Indicies,0),MATCH('O&amp;M'!K$4,'Control Panel'!$C$6:$N$6,0))</f>
        <v>3.5000000000000003E-2</v>
      </c>
      <c r="L360" s="127">
        <f>INDEX('Control Panel'!$C$7:$N$25,MATCH('O&amp;M'!$D360,Indicies,0),MATCH('O&amp;M'!L$4,'Control Panel'!$C$6:$N$6,0))</f>
        <v>3.5000000000000003E-2</v>
      </c>
      <c r="M360" s="127">
        <f>INDEX('Control Panel'!$C$7:$N$25,MATCH('O&amp;M'!$D360,Indicies,0),MATCH('O&amp;M'!M$4,'Control Panel'!$C$6:$N$6,0))</f>
        <v>3.5000000000000003E-2</v>
      </c>
      <c r="N360" s="127">
        <f>INDEX('Control Panel'!$C$7:$N$25,MATCH('O&amp;M'!$D360,Indicies,0),MATCH('O&amp;M'!N$4,'Control Panel'!$C$6:$N$6,0))</f>
        <v>3.5000000000000003E-2</v>
      </c>
      <c r="O360" s="127">
        <f>INDEX('Control Panel'!$C$7:$N$25,MATCH('O&amp;M'!$D360,Indicies,0),MATCH('O&amp;M'!O$4,'Control Panel'!$C$6:$N$6,0))</f>
        <v>3.5000000000000003E-2</v>
      </c>
      <c r="P360" s="762">
        <v>230</v>
      </c>
      <c r="Q360" s="762">
        <v>0</v>
      </c>
      <c r="R360" s="763">
        <v>0</v>
      </c>
      <c r="S360" s="762">
        <v>0</v>
      </c>
      <c r="T360" s="128">
        <f t="shared" si="358"/>
        <v>0</v>
      </c>
      <c r="U360" s="128">
        <f t="shared" si="359"/>
        <v>0</v>
      </c>
      <c r="V360" s="128">
        <f t="shared" si="360"/>
        <v>0</v>
      </c>
      <c r="W360" s="128">
        <f t="shared" si="361"/>
        <v>0</v>
      </c>
      <c r="X360" s="128">
        <f t="shared" si="362"/>
        <v>0</v>
      </c>
      <c r="Y360" s="128">
        <f t="shared" si="363"/>
        <v>0</v>
      </c>
      <c r="Z360" s="128">
        <f t="shared" si="364"/>
        <v>0</v>
      </c>
      <c r="AA360" s="128">
        <f t="shared" si="365"/>
        <v>0</v>
      </c>
      <c r="AB360" s="128">
        <f t="shared" si="366"/>
        <v>0</v>
      </c>
    </row>
    <row r="361" spans="2:28" x14ac:dyDescent="0.3">
      <c r="B361" s="196" t="s">
        <v>92</v>
      </c>
      <c r="C361" s="91" t="s">
        <v>93</v>
      </c>
      <c r="D361" s="126" t="s">
        <v>1480</v>
      </c>
      <c r="E361" s="410">
        <f t="shared" si="357"/>
        <v>1</v>
      </c>
      <c r="F361" s="127">
        <f>INDEX('Control Panel'!$C$7:$N$25,MATCH('O&amp;M'!$D361,Indicies,0),MATCH('O&amp;M'!F$4,'Control Panel'!$C$6:$N$6,0))</f>
        <v>2.1452829087813895E-2</v>
      </c>
      <c r="G361" s="127">
        <f>INDEX('Control Panel'!$C$7:$N$25,MATCH('O&amp;M'!$D361,Indicies,0),MATCH('O&amp;M'!G$4,'Control Panel'!$C$6:$N$6,0))</f>
        <v>2.1452829087813895E-2</v>
      </c>
      <c r="H361" s="127">
        <f>INDEX('Control Panel'!$C$7:$N$25,MATCH('O&amp;M'!$D361,Indicies,0),MATCH('O&amp;M'!H$4,'Control Panel'!$C$6:$N$6,0))</f>
        <v>2.1452829087813895E-2</v>
      </c>
      <c r="I361" s="127">
        <f>INDEX('Control Panel'!$C$7:$N$25,MATCH('O&amp;M'!$D361,Indicies,0),MATCH('O&amp;M'!I$4,'Control Panel'!$C$6:$N$6,0))</f>
        <v>2.1452829087813895E-2</v>
      </c>
      <c r="J361" s="127">
        <f>INDEX('Control Panel'!$C$7:$N$25,MATCH('O&amp;M'!$D361,Indicies,0),MATCH('O&amp;M'!J$4,'Control Panel'!$C$6:$N$6,0))</f>
        <v>2.1452829087813895E-2</v>
      </c>
      <c r="K361" s="127">
        <f>INDEX('Control Panel'!$C$7:$N$25,MATCH('O&amp;M'!$D361,Indicies,0),MATCH('O&amp;M'!K$4,'Control Panel'!$C$6:$N$6,0))</f>
        <v>2.1452829087813895E-2</v>
      </c>
      <c r="L361" s="127">
        <f>INDEX('Control Panel'!$C$7:$N$25,MATCH('O&amp;M'!$D361,Indicies,0),MATCH('O&amp;M'!L$4,'Control Panel'!$C$6:$N$6,0))</f>
        <v>2.1452829087813895E-2</v>
      </c>
      <c r="M361" s="127">
        <f>INDEX('Control Panel'!$C$7:$N$25,MATCH('O&amp;M'!$D361,Indicies,0),MATCH('O&amp;M'!M$4,'Control Panel'!$C$6:$N$6,0))</f>
        <v>2.1452829087813895E-2</v>
      </c>
      <c r="N361" s="127">
        <f>INDEX('Control Panel'!$C$7:$N$25,MATCH('O&amp;M'!$D361,Indicies,0),MATCH('O&amp;M'!N$4,'Control Panel'!$C$6:$N$6,0))</f>
        <v>2.1452829087813895E-2</v>
      </c>
      <c r="O361" s="127">
        <f>INDEX('Control Panel'!$C$7:$N$25,MATCH('O&amp;M'!$D361,Indicies,0),MATCH('O&amp;M'!O$4,'Control Panel'!$C$6:$N$6,0))</f>
        <v>2.1452829087813895E-2</v>
      </c>
      <c r="P361" s="762">
        <v>561</v>
      </c>
      <c r="Q361" s="762">
        <v>0</v>
      </c>
      <c r="R361" s="763">
        <v>0</v>
      </c>
      <c r="S361" s="762">
        <v>0</v>
      </c>
      <c r="T361" s="128">
        <f t="shared" si="358"/>
        <v>0</v>
      </c>
      <c r="U361" s="128">
        <f t="shared" si="359"/>
        <v>0</v>
      </c>
      <c r="V361" s="128">
        <f t="shared" si="360"/>
        <v>0</v>
      </c>
      <c r="W361" s="128">
        <f t="shared" si="361"/>
        <v>0</v>
      </c>
      <c r="X361" s="128">
        <f t="shared" si="362"/>
        <v>0</v>
      </c>
      <c r="Y361" s="128">
        <f t="shared" si="363"/>
        <v>0</v>
      </c>
      <c r="Z361" s="128">
        <f t="shared" si="364"/>
        <v>0</v>
      </c>
      <c r="AA361" s="128">
        <f t="shared" si="365"/>
        <v>0</v>
      </c>
      <c r="AB361" s="128">
        <f t="shared" si="366"/>
        <v>0</v>
      </c>
    </row>
    <row r="362" spans="2:28" x14ac:dyDescent="0.3">
      <c r="B362" s="196" t="s">
        <v>94</v>
      </c>
      <c r="C362" s="91" t="s">
        <v>95</v>
      </c>
      <c r="D362" s="126" t="s">
        <v>7</v>
      </c>
      <c r="E362" s="410">
        <f t="shared" si="357"/>
        <v>1</v>
      </c>
      <c r="F362" s="127">
        <f>INDEX('Control Panel'!$C$7:$N$25,MATCH('O&amp;M'!$D362,Indicies,0),MATCH('O&amp;M'!F$4,'Control Panel'!$C$6:$N$6,0))</f>
        <v>0.03</v>
      </c>
      <c r="G362" s="127">
        <f>INDEX('Control Panel'!$C$7:$N$25,MATCH('O&amp;M'!$D362,Indicies,0),MATCH('O&amp;M'!G$4,'Control Panel'!$C$6:$N$6,0))</f>
        <v>0.03</v>
      </c>
      <c r="H362" s="127">
        <f>INDEX('Control Panel'!$C$7:$N$25,MATCH('O&amp;M'!$D362,Indicies,0),MATCH('O&amp;M'!H$4,'Control Panel'!$C$6:$N$6,0))</f>
        <v>0.03</v>
      </c>
      <c r="I362" s="127">
        <f>INDEX('Control Panel'!$C$7:$N$25,MATCH('O&amp;M'!$D362,Indicies,0),MATCH('O&amp;M'!I$4,'Control Panel'!$C$6:$N$6,0))</f>
        <v>0.03</v>
      </c>
      <c r="J362" s="127">
        <f>INDEX('Control Panel'!$C$7:$N$25,MATCH('O&amp;M'!$D362,Indicies,0),MATCH('O&amp;M'!J$4,'Control Panel'!$C$6:$N$6,0))</f>
        <v>0.03</v>
      </c>
      <c r="K362" s="127">
        <f>INDEX('Control Panel'!$C$7:$N$25,MATCH('O&amp;M'!$D362,Indicies,0),MATCH('O&amp;M'!K$4,'Control Panel'!$C$6:$N$6,0))</f>
        <v>0.03</v>
      </c>
      <c r="L362" s="127">
        <f>INDEX('Control Panel'!$C$7:$N$25,MATCH('O&amp;M'!$D362,Indicies,0),MATCH('O&amp;M'!L$4,'Control Panel'!$C$6:$N$6,0))</f>
        <v>0.03</v>
      </c>
      <c r="M362" s="127">
        <f>INDEX('Control Panel'!$C$7:$N$25,MATCH('O&amp;M'!$D362,Indicies,0),MATCH('O&amp;M'!M$4,'Control Panel'!$C$6:$N$6,0))</f>
        <v>0.03</v>
      </c>
      <c r="N362" s="127">
        <f>INDEX('Control Panel'!$C$7:$N$25,MATCH('O&amp;M'!$D362,Indicies,0),MATCH('O&amp;M'!N$4,'Control Panel'!$C$6:$N$6,0))</f>
        <v>0.03</v>
      </c>
      <c r="O362" s="127">
        <f>INDEX('Control Panel'!$C$7:$N$25,MATCH('O&amp;M'!$D362,Indicies,0),MATCH('O&amp;M'!O$4,'Control Panel'!$C$6:$N$6,0))</f>
        <v>0.03</v>
      </c>
      <c r="P362" s="762">
        <v>38.75</v>
      </c>
      <c r="Q362" s="762">
        <v>0</v>
      </c>
      <c r="R362" s="762">
        <v>50</v>
      </c>
      <c r="S362" s="762">
        <v>0</v>
      </c>
      <c r="T362" s="128">
        <f t="shared" si="358"/>
        <v>0</v>
      </c>
      <c r="U362" s="128">
        <f t="shared" si="359"/>
        <v>0</v>
      </c>
      <c r="V362" s="128">
        <f t="shared" si="360"/>
        <v>0</v>
      </c>
      <c r="W362" s="128">
        <f t="shared" si="361"/>
        <v>0</v>
      </c>
      <c r="X362" s="128">
        <f t="shared" si="362"/>
        <v>0</v>
      </c>
      <c r="Y362" s="128">
        <f t="shared" si="363"/>
        <v>0</v>
      </c>
      <c r="Z362" s="128">
        <f t="shared" si="364"/>
        <v>0</v>
      </c>
      <c r="AA362" s="128">
        <f t="shared" si="365"/>
        <v>0</v>
      </c>
      <c r="AB362" s="128">
        <f t="shared" si="366"/>
        <v>0</v>
      </c>
    </row>
    <row r="363" spans="2:28" x14ac:dyDescent="0.3">
      <c r="B363" s="196" t="s">
        <v>96</v>
      </c>
      <c r="C363" s="91" t="s">
        <v>97</v>
      </c>
      <c r="D363" s="126" t="s">
        <v>7</v>
      </c>
      <c r="E363" s="410">
        <f t="shared" si="357"/>
        <v>1</v>
      </c>
      <c r="F363" s="127">
        <f>INDEX('Control Panel'!$C$7:$N$25,MATCH('O&amp;M'!$D363,Indicies,0),MATCH('O&amp;M'!F$4,'Control Panel'!$C$6:$N$6,0))</f>
        <v>0.03</v>
      </c>
      <c r="G363" s="127">
        <f>INDEX('Control Panel'!$C$7:$N$25,MATCH('O&amp;M'!$D363,Indicies,0),MATCH('O&amp;M'!G$4,'Control Panel'!$C$6:$N$6,0))</f>
        <v>0.03</v>
      </c>
      <c r="H363" s="127">
        <f>INDEX('Control Panel'!$C$7:$N$25,MATCH('O&amp;M'!$D363,Indicies,0),MATCH('O&amp;M'!H$4,'Control Panel'!$C$6:$N$6,0))</f>
        <v>0.03</v>
      </c>
      <c r="I363" s="127">
        <f>INDEX('Control Panel'!$C$7:$N$25,MATCH('O&amp;M'!$D363,Indicies,0),MATCH('O&amp;M'!I$4,'Control Panel'!$C$6:$N$6,0))</f>
        <v>0.03</v>
      </c>
      <c r="J363" s="127">
        <f>INDEX('Control Panel'!$C$7:$N$25,MATCH('O&amp;M'!$D363,Indicies,0),MATCH('O&amp;M'!J$4,'Control Panel'!$C$6:$N$6,0))</f>
        <v>0.03</v>
      </c>
      <c r="K363" s="127">
        <f>INDEX('Control Panel'!$C$7:$N$25,MATCH('O&amp;M'!$D363,Indicies,0),MATCH('O&amp;M'!K$4,'Control Panel'!$C$6:$N$6,0))</f>
        <v>0.03</v>
      </c>
      <c r="L363" s="127">
        <f>INDEX('Control Panel'!$C$7:$N$25,MATCH('O&amp;M'!$D363,Indicies,0),MATCH('O&amp;M'!L$4,'Control Panel'!$C$6:$N$6,0))</f>
        <v>0.03</v>
      </c>
      <c r="M363" s="127">
        <f>INDEX('Control Panel'!$C$7:$N$25,MATCH('O&amp;M'!$D363,Indicies,0),MATCH('O&amp;M'!M$4,'Control Panel'!$C$6:$N$6,0))</f>
        <v>0.03</v>
      </c>
      <c r="N363" s="127">
        <f>INDEX('Control Panel'!$C$7:$N$25,MATCH('O&amp;M'!$D363,Indicies,0),MATCH('O&amp;M'!N$4,'Control Panel'!$C$6:$N$6,0))</f>
        <v>0.03</v>
      </c>
      <c r="O363" s="127">
        <f>INDEX('Control Panel'!$C$7:$N$25,MATCH('O&amp;M'!$D363,Indicies,0),MATCH('O&amp;M'!O$4,'Control Panel'!$C$6:$N$6,0))</f>
        <v>0.03</v>
      </c>
      <c r="P363" s="762">
        <v>15799.46</v>
      </c>
      <c r="Q363" s="762">
        <v>21564.63</v>
      </c>
      <c r="R363" s="762">
        <v>16500</v>
      </c>
      <c r="S363" s="762">
        <v>22170</v>
      </c>
      <c r="T363" s="128">
        <f t="shared" si="358"/>
        <v>22835.100000000002</v>
      </c>
      <c r="U363" s="128">
        <f t="shared" si="359"/>
        <v>23520.153000000002</v>
      </c>
      <c r="V363" s="128">
        <f t="shared" si="360"/>
        <v>24225.757590000001</v>
      </c>
      <c r="W363" s="128">
        <f t="shared" si="361"/>
        <v>24952.530317700002</v>
      </c>
      <c r="X363" s="128">
        <f t="shared" si="362"/>
        <v>25701.106227231005</v>
      </c>
      <c r="Y363" s="128">
        <f t="shared" si="363"/>
        <v>26472.139414047935</v>
      </c>
      <c r="Z363" s="128">
        <f t="shared" si="364"/>
        <v>27266.303596469374</v>
      </c>
      <c r="AA363" s="128">
        <f t="shared" si="365"/>
        <v>28084.292704363455</v>
      </c>
      <c r="AB363" s="128">
        <f t="shared" si="366"/>
        <v>28926.821485494358</v>
      </c>
    </row>
    <row r="364" spans="2:28" x14ac:dyDescent="0.3">
      <c r="B364" s="196" t="s">
        <v>98</v>
      </c>
      <c r="C364" s="91" t="s">
        <v>99</v>
      </c>
      <c r="D364" s="126" t="s">
        <v>7</v>
      </c>
      <c r="E364" s="410">
        <f t="shared" si="357"/>
        <v>1</v>
      </c>
      <c r="F364" s="127">
        <f>INDEX('Control Panel'!$C$7:$N$25,MATCH('O&amp;M'!$D364,Indicies,0),MATCH('O&amp;M'!F$4,'Control Panel'!$C$6:$N$6,0))</f>
        <v>0.03</v>
      </c>
      <c r="G364" s="127">
        <f>INDEX('Control Panel'!$C$7:$N$25,MATCH('O&amp;M'!$D364,Indicies,0),MATCH('O&amp;M'!G$4,'Control Panel'!$C$6:$N$6,0))</f>
        <v>0.03</v>
      </c>
      <c r="H364" s="127">
        <f>INDEX('Control Panel'!$C$7:$N$25,MATCH('O&amp;M'!$D364,Indicies,0),MATCH('O&amp;M'!H$4,'Control Panel'!$C$6:$N$6,0))</f>
        <v>0.03</v>
      </c>
      <c r="I364" s="127">
        <f>INDEX('Control Panel'!$C$7:$N$25,MATCH('O&amp;M'!$D364,Indicies,0),MATCH('O&amp;M'!I$4,'Control Panel'!$C$6:$N$6,0))</f>
        <v>0.03</v>
      </c>
      <c r="J364" s="127">
        <f>INDEX('Control Panel'!$C$7:$N$25,MATCH('O&amp;M'!$D364,Indicies,0),MATCH('O&amp;M'!J$4,'Control Panel'!$C$6:$N$6,0))</f>
        <v>0.03</v>
      </c>
      <c r="K364" s="127">
        <f>INDEX('Control Panel'!$C$7:$N$25,MATCH('O&amp;M'!$D364,Indicies,0),MATCH('O&amp;M'!K$4,'Control Panel'!$C$6:$N$6,0))</f>
        <v>0.03</v>
      </c>
      <c r="L364" s="127">
        <f>INDEX('Control Panel'!$C$7:$N$25,MATCH('O&amp;M'!$D364,Indicies,0),MATCH('O&amp;M'!L$4,'Control Panel'!$C$6:$N$6,0))</f>
        <v>0.03</v>
      </c>
      <c r="M364" s="127">
        <f>INDEX('Control Panel'!$C$7:$N$25,MATCH('O&amp;M'!$D364,Indicies,0),MATCH('O&amp;M'!M$4,'Control Panel'!$C$6:$N$6,0))</f>
        <v>0.03</v>
      </c>
      <c r="N364" s="127">
        <f>INDEX('Control Panel'!$C$7:$N$25,MATCH('O&amp;M'!$D364,Indicies,0),MATCH('O&amp;M'!N$4,'Control Panel'!$C$6:$N$6,0))</f>
        <v>0.03</v>
      </c>
      <c r="O364" s="127">
        <f>INDEX('Control Panel'!$C$7:$N$25,MATCH('O&amp;M'!$D364,Indicies,0),MATCH('O&amp;M'!O$4,'Control Panel'!$C$6:$N$6,0))</f>
        <v>0.03</v>
      </c>
      <c r="P364" s="762">
        <v>57075.31</v>
      </c>
      <c r="Q364" s="762">
        <v>79209.789999999994</v>
      </c>
      <c r="R364" s="762">
        <v>74309</v>
      </c>
      <c r="S364" s="762">
        <v>74309</v>
      </c>
      <c r="T364" s="128">
        <f t="shared" si="358"/>
        <v>76538.27</v>
      </c>
      <c r="U364" s="128">
        <f t="shared" si="359"/>
        <v>78834.41810000001</v>
      </c>
      <c r="V364" s="128">
        <f t="shared" si="360"/>
        <v>81199.450643000018</v>
      </c>
      <c r="W364" s="128">
        <f t="shared" si="361"/>
        <v>83635.434162290025</v>
      </c>
      <c r="X364" s="128">
        <f t="shared" si="362"/>
        <v>86144.497187158733</v>
      </c>
      <c r="Y364" s="128">
        <f t="shared" si="363"/>
        <v>88728.832102773493</v>
      </c>
      <c r="Z364" s="128">
        <f t="shared" si="364"/>
        <v>91390.697065856701</v>
      </c>
      <c r="AA364" s="128">
        <f t="shared" si="365"/>
        <v>94132.417977832403</v>
      </c>
      <c r="AB364" s="128">
        <f t="shared" si="366"/>
        <v>96956.390517167383</v>
      </c>
    </row>
    <row r="365" spans="2:28" ht="15.75" customHeight="1" x14ac:dyDescent="0.3">
      <c r="B365" s="196" t="s">
        <v>100</v>
      </c>
      <c r="C365" s="91" t="s">
        <v>101</v>
      </c>
      <c r="D365" s="126" t="s">
        <v>7</v>
      </c>
      <c r="E365" s="410">
        <f t="shared" si="357"/>
        <v>1</v>
      </c>
      <c r="F365" s="127">
        <f>INDEX('Control Panel'!$C$7:$N$25,MATCH('O&amp;M'!$D365,Indicies,0),MATCH('O&amp;M'!F$4,'Control Panel'!$C$6:$N$6,0))</f>
        <v>0.03</v>
      </c>
      <c r="G365" s="127">
        <f>INDEX('Control Panel'!$C$7:$N$25,MATCH('O&amp;M'!$D365,Indicies,0),MATCH('O&amp;M'!G$4,'Control Panel'!$C$6:$N$6,0))</f>
        <v>0.03</v>
      </c>
      <c r="H365" s="127">
        <f>INDEX('Control Panel'!$C$7:$N$25,MATCH('O&amp;M'!$D365,Indicies,0),MATCH('O&amp;M'!H$4,'Control Panel'!$C$6:$N$6,0))</f>
        <v>0.03</v>
      </c>
      <c r="I365" s="127">
        <f>INDEX('Control Panel'!$C$7:$N$25,MATCH('O&amp;M'!$D365,Indicies,0),MATCH('O&amp;M'!I$4,'Control Panel'!$C$6:$N$6,0))</f>
        <v>0.03</v>
      </c>
      <c r="J365" s="127">
        <f>INDEX('Control Panel'!$C$7:$N$25,MATCH('O&amp;M'!$D365,Indicies,0),MATCH('O&amp;M'!J$4,'Control Panel'!$C$6:$N$6,0))</f>
        <v>0.03</v>
      </c>
      <c r="K365" s="127">
        <f>INDEX('Control Panel'!$C$7:$N$25,MATCH('O&amp;M'!$D365,Indicies,0),MATCH('O&amp;M'!K$4,'Control Panel'!$C$6:$N$6,0))</f>
        <v>0.03</v>
      </c>
      <c r="L365" s="127">
        <f>INDEX('Control Panel'!$C$7:$N$25,MATCH('O&amp;M'!$D365,Indicies,0),MATCH('O&amp;M'!L$4,'Control Panel'!$C$6:$N$6,0))</f>
        <v>0.03</v>
      </c>
      <c r="M365" s="127">
        <f>INDEX('Control Panel'!$C$7:$N$25,MATCH('O&amp;M'!$D365,Indicies,0),MATCH('O&amp;M'!M$4,'Control Panel'!$C$6:$N$6,0))</f>
        <v>0.03</v>
      </c>
      <c r="N365" s="127">
        <f>INDEX('Control Panel'!$C$7:$N$25,MATCH('O&amp;M'!$D365,Indicies,0),MATCH('O&amp;M'!N$4,'Control Panel'!$C$6:$N$6,0))</f>
        <v>0.03</v>
      </c>
      <c r="O365" s="127">
        <f>INDEX('Control Panel'!$C$7:$N$25,MATCH('O&amp;M'!$D365,Indicies,0),MATCH('O&amp;M'!O$4,'Control Panel'!$C$6:$N$6,0))</f>
        <v>0.03</v>
      </c>
      <c r="P365" s="762">
        <v>4478.75</v>
      </c>
      <c r="Q365" s="762">
        <v>297.43</v>
      </c>
      <c r="R365" s="762">
        <v>1344</v>
      </c>
      <c r="S365" s="762">
        <v>300</v>
      </c>
      <c r="T365" s="128">
        <f t="shared" si="358"/>
        <v>309</v>
      </c>
      <c r="U365" s="128">
        <f t="shared" si="359"/>
        <v>318.27</v>
      </c>
      <c r="V365" s="128">
        <f t="shared" si="360"/>
        <v>327.81810000000002</v>
      </c>
      <c r="W365" s="128">
        <f t="shared" si="361"/>
        <v>337.65264300000001</v>
      </c>
      <c r="X365" s="128">
        <f t="shared" si="362"/>
        <v>347.78222228999999</v>
      </c>
      <c r="Y365" s="128">
        <f t="shared" si="363"/>
        <v>358.21568895870001</v>
      </c>
      <c r="Z365" s="128">
        <f t="shared" si="364"/>
        <v>368.96215962746101</v>
      </c>
      <c r="AA365" s="128">
        <f t="shared" si="365"/>
        <v>380.03102441628482</v>
      </c>
      <c r="AB365" s="128">
        <f t="shared" si="366"/>
        <v>391.4319551487734</v>
      </c>
    </row>
    <row r="366" spans="2:28" x14ac:dyDescent="0.3">
      <c r="B366" s="196" t="s">
        <v>102</v>
      </c>
      <c r="C366" s="91" t="s">
        <v>103</v>
      </c>
      <c r="D366" s="126" t="s">
        <v>7</v>
      </c>
      <c r="E366" s="410">
        <f t="shared" si="357"/>
        <v>1</v>
      </c>
      <c r="F366" s="127">
        <f>INDEX('Control Panel'!$C$7:$N$25,MATCH('O&amp;M'!$D366,Indicies,0),MATCH('O&amp;M'!F$4,'Control Panel'!$C$6:$N$6,0))</f>
        <v>0.03</v>
      </c>
      <c r="G366" s="127">
        <f>INDEX('Control Panel'!$C$7:$N$25,MATCH('O&amp;M'!$D366,Indicies,0),MATCH('O&amp;M'!G$4,'Control Panel'!$C$6:$N$6,0))</f>
        <v>0.03</v>
      </c>
      <c r="H366" s="127">
        <f>INDEX('Control Panel'!$C$7:$N$25,MATCH('O&amp;M'!$D366,Indicies,0),MATCH('O&amp;M'!H$4,'Control Panel'!$C$6:$N$6,0))</f>
        <v>0.03</v>
      </c>
      <c r="I366" s="127">
        <f>INDEX('Control Panel'!$C$7:$N$25,MATCH('O&amp;M'!$D366,Indicies,0),MATCH('O&amp;M'!I$4,'Control Panel'!$C$6:$N$6,0))</f>
        <v>0.03</v>
      </c>
      <c r="J366" s="127">
        <f>INDEX('Control Panel'!$C$7:$N$25,MATCH('O&amp;M'!$D366,Indicies,0),MATCH('O&amp;M'!J$4,'Control Panel'!$C$6:$N$6,0))</f>
        <v>0.03</v>
      </c>
      <c r="K366" s="127">
        <f>INDEX('Control Panel'!$C$7:$N$25,MATCH('O&amp;M'!$D366,Indicies,0),MATCH('O&amp;M'!K$4,'Control Panel'!$C$6:$N$6,0))</f>
        <v>0.03</v>
      </c>
      <c r="L366" s="127">
        <f>INDEX('Control Panel'!$C$7:$N$25,MATCH('O&amp;M'!$D366,Indicies,0),MATCH('O&amp;M'!L$4,'Control Panel'!$C$6:$N$6,0))</f>
        <v>0.03</v>
      </c>
      <c r="M366" s="127">
        <f>INDEX('Control Panel'!$C$7:$N$25,MATCH('O&amp;M'!$D366,Indicies,0),MATCH('O&amp;M'!M$4,'Control Panel'!$C$6:$N$6,0))</f>
        <v>0.03</v>
      </c>
      <c r="N366" s="127">
        <f>INDEX('Control Panel'!$C$7:$N$25,MATCH('O&amp;M'!$D366,Indicies,0),MATCH('O&amp;M'!N$4,'Control Panel'!$C$6:$N$6,0))</f>
        <v>0.03</v>
      </c>
      <c r="O366" s="127">
        <f>INDEX('Control Panel'!$C$7:$N$25,MATCH('O&amp;M'!$D366,Indicies,0),MATCH('O&amp;M'!O$4,'Control Panel'!$C$6:$N$6,0))</f>
        <v>0.03</v>
      </c>
      <c r="P366" s="762">
        <v>5785.48</v>
      </c>
      <c r="Q366" s="762">
        <v>4173</v>
      </c>
      <c r="R366" s="762">
        <v>5129</v>
      </c>
      <c r="S366" s="762">
        <v>5257</v>
      </c>
      <c r="T366" s="128">
        <f t="shared" si="358"/>
        <v>5414.71</v>
      </c>
      <c r="U366" s="128">
        <f t="shared" si="359"/>
        <v>5577.1513000000004</v>
      </c>
      <c r="V366" s="128">
        <f t="shared" si="360"/>
        <v>5744.4658390000004</v>
      </c>
      <c r="W366" s="128">
        <f t="shared" si="361"/>
        <v>5916.7998141700009</v>
      </c>
      <c r="X366" s="128">
        <f t="shared" si="362"/>
        <v>6094.3038085951011</v>
      </c>
      <c r="Y366" s="128">
        <f t="shared" si="363"/>
        <v>6277.1329228529539</v>
      </c>
      <c r="Z366" s="128">
        <f t="shared" si="364"/>
        <v>6465.4469105385424</v>
      </c>
      <c r="AA366" s="128">
        <f t="shared" si="365"/>
        <v>6659.4103178546984</v>
      </c>
      <c r="AB366" s="128">
        <f t="shared" si="366"/>
        <v>6859.1926273903391</v>
      </c>
    </row>
    <row r="367" spans="2:28" x14ac:dyDescent="0.3">
      <c r="B367" s="196" t="s">
        <v>104</v>
      </c>
      <c r="C367" s="91" t="s">
        <v>105</v>
      </c>
      <c r="D367" s="126" t="s">
        <v>7</v>
      </c>
      <c r="E367" s="410">
        <f t="shared" si="357"/>
        <v>1</v>
      </c>
      <c r="F367" s="127">
        <f>INDEX('Control Panel'!$C$7:$N$25,MATCH('O&amp;M'!$D367,Indicies,0),MATCH('O&amp;M'!F$4,'Control Panel'!$C$6:$N$6,0))</f>
        <v>0.03</v>
      </c>
      <c r="G367" s="127">
        <f>INDEX('Control Panel'!$C$7:$N$25,MATCH('O&amp;M'!$D367,Indicies,0),MATCH('O&amp;M'!G$4,'Control Panel'!$C$6:$N$6,0))</f>
        <v>0.03</v>
      </c>
      <c r="H367" s="127">
        <f>INDEX('Control Panel'!$C$7:$N$25,MATCH('O&amp;M'!$D367,Indicies,0),MATCH('O&amp;M'!H$4,'Control Panel'!$C$6:$N$6,0))</f>
        <v>0.03</v>
      </c>
      <c r="I367" s="127">
        <f>INDEX('Control Panel'!$C$7:$N$25,MATCH('O&amp;M'!$D367,Indicies,0),MATCH('O&amp;M'!I$4,'Control Panel'!$C$6:$N$6,0))</f>
        <v>0.03</v>
      </c>
      <c r="J367" s="127">
        <f>INDEX('Control Panel'!$C$7:$N$25,MATCH('O&amp;M'!$D367,Indicies,0),MATCH('O&amp;M'!J$4,'Control Panel'!$C$6:$N$6,0))</f>
        <v>0.03</v>
      </c>
      <c r="K367" s="127">
        <f>INDEX('Control Panel'!$C$7:$N$25,MATCH('O&amp;M'!$D367,Indicies,0),MATCH('O&amp;M'!K$4,'Control Panel'!$C$6:$N$6,0))</f>
        <v>0.03</v>
      </c>
      <c r="L367" s="127">
        <f>INDEX('Control Panel'!$C$7:$N$25,MATCH('O&amp;M'!$D367,Indicies,0),MATCH('O&amp;M'!L$4,'Control Panel'!$C$6:$N$6,0))</f>
        <v>0.03</v>
      </c>
      <c r="M367" s="127">
        <f>INDEX('Control Panel'!$C$7:$N$25,MATCH('O&amp;M'!$D367,Indicies,0),MATCH('O&amp;M'!M$4,'Control Panel'!$C$6:$N$6,0))</f>
        <v>0.03</v>
      </c>
      <c r="N367" s="127">
        <f>INDEX('Control Panel'!$C$7:$N$25,MATCH('O&amp;M'!$D367,Indicies,0),MATCH('O&amp;M'!N$4,'Control Panel'!$C$6:$N$6,0))</f>
        <v>0.03</v>
      </c>
      <c r="O367" s="127">
        <f>INDEX('Control Panel'!$C$7:$N$25,MATCH('O&amp;M'!$D367,Indicies,0),MATCH('O&amp;M'!O$4,'Control Panel'!$C$6:$N$6,0))</f>
        <v>0.03</v>
      </c>
      <c r="P367" s="762">
        <v>0</v>
      </c>
      <c r="Q367" s="762">
        <v>41.06</v>
      </c>
      <c r="R367" s="762">
        <v>50000</v>
      </c>
      <c r="S367" s="762">
        <v>0</v>
      </c>
      <c r="T367" s="128">
        <f t="shared" si="358"/>
        <v>0</v>
      </c>
      <c r="U367" s="128">
        <f t="shared" si="359"/>
        <v>0</v>
      </c>
      <c r="V367" s="128">
        <f t="shared" si="360"/>
        <v>0</v>
      </c>
      <c r="W367" s="128">
        <f t="shared" si="361"/>
        <v>0</v>
      </c>
      <c r="X367" s="128">
        <f t="shared" si="362"/>
        <v>0</v>
      </c>
      <c r="Y367" s="128">
        <f t="shared" si="363"/>
        <v>0</v>
      </c>
      <c r="Z367" s="128">
        <f t="shared" si="364"/>
        <v>0</v>
      </c>
      <c r="AA367" s="128">
        <f t="shared" si="365"/>
        <v>0</v>
      </c>
      <c r="AB367" s="128">
        <f t="shared" si="366"/>
        <v>0</v>
      </c>
    </row>
    <row r="368" spans="2:28" x14ac:dyDescent="0.3">
      <c r="B368" s="196" t="s">
        <v>106</v>
      </c>
      <c r="C368" s="91" t="s">
        <v>107</v>
      </c>
      <c r="D368" s="126" t="s">
        <v>8</v>
      </c>
      <c r="E368" s="410">
        <f t="shared" si="357"/>
        <v>1</v>
      </c>
      <c r="F368" s="127">
        <f>INDEX('Control Panel'!$C$7:$N$25,MATCH('O&amp;M'!$D368,Indicies,0),MATCH('O&amp;M'!F$4,'Control Panel'!$C$6:$N$6,0))</f>
        <v>2.8840404751315222E-2</v>
      </c>
      <c r="G368" s="127">
        <f>INDEX('Control Panel'!$C$7:$N$25,MATCH('O&amp;M'!$D368,Indicies,0),MATCH('O&amp;M'!G$4,'Control Panel'!$C$6:$N$6,0))</f>
        <v>2.8840404751315222E-2</v>
      </c>
      <c r="H368" s="127">
        <f>INDEX('Control Panel'!$C$7:$N$25,MATCH('O&amp;M'!$D368,Indicies,0),MATCH('O&amp;M'!H$4,'Control Panel'!$C$6:$N$6,0))</f>
        <v>2.8840404751315222E-2</v>
      </c>
      <c r="I368" s="127">
        <f>INDEX('Control Panel'!$C$7:$N$25,MATCH('O&amp;M'!$D368,Indicies,0),MATCH('O&amp;M'!I$4,'Control Panel'!$C$6:$N$6,0))</f>
        <v>2.8840404751315222E-2</v>
      </c>
      <c r="J368" s="127">
        <f>INDEX('Control Panel'!$C$7:$N$25,MATCH('O&amp;M'!$D368,Indicies,0),MATCH('O&amp;M'!J$4,'Control Panel'!$C$6:$N$6,0))</f>
        <v>2.8840404751315222E-2</v>
      </c>
      <c r="K368" s="127">
        <f>INDEX('Control Panel'!$C$7:$N$25,MATCH('O&amp;M'!$D368,Indicies,0),MATCH('O&amp;M'!K$4,'Control Panel'!$C$6:$N$6,0))</f>
        <v>2.8840404751315222E-2</v>
      </c>
      <c r="L368" s="127">
        <f>INDEX('Control Panel'!$C$7:$N$25,MATCH('O&amp;M'!$D368,Indicies,0),MATCH('O&amp;M'!L$4,'Control Panel'!$C$6:$N$6,0))</f>
        <v>2.8840404751315222E-2</v>
      </c>
      <c r="M368" s="127">
        <f>INDEX('Control Panel'!$C$7:$N$25,MATCH('O&amp;M'!$D368,Indicies,0),MATCH('O&amp;M'!M$4,'Control Panel'!$C$6:$N$6,0))</f>
        <v>2.8840404751315222E-2</v>
      </c>
      <c r="N368" s="127">
        <f>INDEX('Control Panel'!$C$7:$N$25,MATCH('O&amp;M'!$D368,Indicies,0),MATCH('O&amp;M'!N$4,'Control Panel'!$C$6:$N$6,0))</f>
        <v>2.8840404751315222E-2</v>
      </c>
      <c r="O368" s="127">
        <f>INDEX('Control Panel'!$C$7:$N$25,MATCH('O&amp;M'!$D368,Indicies,0),MATCH('O&amp;M'!O$4,'Control Panel'!$C$6:$N$6,0))</f>
        <v>2.8840404751315222E-2</v>
      </c>
      <c r="P368" s="762">
        <v>131.96</v>
      </c>
      <c r="Q368" s="762">
        <v>426.84</v>
      </c>
      <c r="R368" s="762">
        <v>448</v>
      </c>
      <c r="S368" s="762">
        <v>430</v>
      </c>
      <c r="T368" s="128">
        <f t="shared" si="358"/>
        <v>442.40137404306557</v>
      </c>
      <c r="U368" s="128">
        <f t="shared" si="359"/>
        <v>455.16040873300562</v>
      </c>
      <c r="V368" s="128">
        <f t="shared" si="360"/>
        <v>468.28741914763964</v>
      </c>
      <c r="W368" s="128">
        <f t="shared" si="361"/>
        <v>481.7930178558064</v>
      </c>
      <c r="X368" s="128">
        <f t="shared" si="362"/>
        <v>495.68812349712556</v>
      </c>
      <c r="Y368" s="128">
        <f t="shared" si="363"/>
        <v>509.98396960920263</v>
      </c>
      <c r="Z368" s="128">
        <f t="shared" si="364"/>
        <v>524.69211370941457</v>
      </c>
      <c r="AA368" s="128">
        <f t="shared" si="365"/>
        <v>539.82444663861725</v>
      </c>
      <c r="AB368" s="128">
        <f t="shared" si="366"/>
        <v>555.39320217432976</v>
      </c>
    </row>
    <row r="369" spans="2:28" x14ac:dyDescent="0.3">
      <c r="B369" s="196" t="s">
        <v>108</v>
      </c>
      <c r="C369" s="91" t="s">
        <v>16</v>
      </c>
      <c r="D369" s="639"/>
      <c r="E369" s="410">
        <f t="shared" si="357"/>
        <v>1</v>
      </c>
      <c r="F369" s="640">
        <f>'Customers and Consumption'!H59</f>
        <v>-5.0662048404074656E-4</v>
      </c>
      <c r="G369" s="640">
        <f>'Customers and Consumption'!I59</f>
        <v>-2.6624765396550041E-4</v>
      </c>
      <c r="H369" s="640">
        <f>'Customers and Consumption'!J59</f>
        <v>-4.1833188531687702E-4</v>
      </c>
      <c r="I369" s="640">
        <f>'Customers and Consumption'!K59</f>
        <v>-4.3933235319568257E-4</v>
      </c>
      <c r="J369" s="640">
        <f>'Customers and Consumption'!L59</f>
        <v>-4.6014118457288677E-4</v>
      </c>
      <c r="K369" s="640">
        <f>'Customers and Consumption'!M59</f>
        <v>-4.999999999999929E-3</v>
      </c>
      <c r="L369" s="640">
        <f>'Customers and Consumption'!N59</f>
        <v>-5.0000000000001892E-3</v>
      </c>
      <c r="M369" s="640">
        <f>'Customers and Consumption'!O59</f>
        <v>-4.9999999999999637E-3</v>
      </c>
      <c r="N369" s="640">
        <f>'Customers and Consumption'!P59</f>
        <v>-4.9999999999999671E-3</v>
      </c>
      <c r="O369" s="640">
        <f>'Customers and Consumption'!Q59</f>
        <v>-5.0000000000000652E-3</v>
      </c>
      <c r="P369" s="762">
        <v>7784096.7599999998</v>
      </c>
      <c r="Q369" s="762">
        <v>7843744.0999999996</v>
      </c>
      <c r="R369" s="762">
        <v>8477455</v>
      </c>
      <c r="S369" s="762">
        <v>8445616</v>
      </c>
      <c r="T369" s="128">
        <f>(S369*(1+'Control Panel'!F15))*(1+G369)</f>
        <v>8696668.395790318</v>
      </c>
      <c r="U369" s="128">
        <f>(T369*(1+'Control Panel'!G15))*(1+H369)</f>
        <v>8953821.2111674622</v>
      </c>
      <c r="V369" s="128">
        <f>(U369*(1+'Control Panel'!H15))*(1+I369)</f>
        <v>9218384.1330594067</v>
      </c>
      <c r="W369" s="128">
        <f>(V369*(1+'Control Panel'!I15))*(1+J369)</f>
        <v>9490566.6461105086</v>
      </c>
      <c r="X369" s="128">
        <f>(W369*(1+'Control Panel'!J15))*(1+K369)</f>
        <v>9726407.2272663563</v>
      </c>
      <c r="Y369" s="128">
        <f>(X369*(1+'Control Panel'!K15))*(1+L369)</f>
        <v>9968108.4468639232</v>
      </c>
      <c r="Z369" s="128">
        <f>(Y369*(1+'Control Panel'!L15))*(1+M369)</f>
        <v>10215815.941768492</v>
      </c>
      <c r="AA369" s="128">
        <f>(Z369*(1+'Control Panel'!M15))*(1+N369)</f>
        <v>10469678.96792144</v>
      </c>
      <c r="AB369" s="128">
        <f>(AA369*(1+'Control Panel'!N15))*(1+O369)</f>
        <v>10729850.490274286</v>
      </c>
    </row>
    <row r="370" spans="2:28" x14ac:dyDescent="0.3">
      <c r="B370" s="196" t="s">
        <v>111</v>
      </c>
      <c r="C370" s="91" t="s">
        <v>112</v>
      </c>
      <c r="D370" s="126" t="s">
        <v>8</v>
      </c>
      <c r="E370" s="410">
        <f t="shared" si="357"/>
        <v>1</v>
      </c>
      <c r="F370" s="127">
        <f>INDEX('Control Panel'!$C$7:$N$25,MATCH('O&amp;M'!$D370,Indicies,0),MATCH('O&amp;M'!F$4,'Control Panel'!$C$6:$N$6,0))</f>
        <v>2.8840404751315222E-2</v>
      </c>
      <c r="G370" s="127">
        <f>INDEX('Control Panel'!$C$7:$N$25,MATCH('O&amp;M'!$D370,Indicies,0),MATCH('O&amp;M'!G$4,'Control Panel'!$C$6:$N$6,0))</f>
        <v>2.8840404751315222E-2</v>
      </c>
      <c r="H370" s="127">
        <f>INDEX('Control Panel'!$C$7:$N$25,MATCH('O&amp;M'!$D370,Indicies,0),MATCH('O&amp;M'!H$4,'Control Panel'!$C$6:$N$6,0))</f>
        <v>2.8840404751315222E-2</v>
      </c>
      <c r="I370" s="127">
        <f>INDEX('Control Panel'!$C$7:$N$25,MATCH('O&amp;M'!$D370,Indicies,0),MATCH('O&amp;M'!I$4,'Control Panel'!$C$6:$N$6,0))</f>
        <v>2.8840404751315222E-2</v>
      </c>
      <c r="J370" s="127">
        <f>INDEX('Control Panel'!$C$7:$N$25,MATCH('O&amp;M'!$D370,Indicies,0),MATCH('O&amp;M'!J$4,'Control Panel'!$C$6:$N$6,0))</f>
        <v>2.8840404751315222E-2</v>
      </c>
      <c r="K370" s="127">
        <f>INDEX('Control Panel'!$C$7:$N$25,MATCH('O&amp;M'!$D370,Indicies,0),MATCH('O&amp;M'!K$4,'Control Panel'!$C$6:$N$6,0))</f>
        <v>2.8840404751315222E-2</v>
      </c>
      <c r="L370" s="127">
        <f>INDEX('Control Panel'!$C$7:$N$25,MATCH('O&amp;M'!$D370,Indicies,0),MATCH('O&amp;M'!L$4,'Control Panel'!$C$6:$N$6,0))</f>
        <v>2.8840404751315222E-2</v>
      </c>
      <c r="M370" s="127">
        <f>INDEX('Control Panel'!$C$7:$N$25,MATCH('O&amp;M'!$D370,Indicies,0),MATCH('O&amp;M'!M$4,'Control Panel'!$C$6:$N$6,0))</f>
        <v>2.8840404751315222E-2</v>
      </c>
      <c r="N370" s="127">
        <f>INDEX('Control Panel'!$C$7:$N$25,MATCH('O&amp;M'!$D370,Indicies,0),MATCH('O&amp;M'!N$4,'Control Panel'!$C$6:$N$6,0))</f>
        <v>2.8840404751315222E-2</v>
      </c>
      <c r="O370" s="127">
        <f>INDEX('Control Panel'!$C$7:$N$25,MATCH('O&amp;M'!$D370,Indicies,0),MATCH('O&amp;M'!O$4,'Control Panel'!$C$6:$N$6,0))</f>
        <v>2.8840404751315222E-2</v>
      </c>
      <c r="P370" s="762">
        <v>53010.05</v>
      </c>
      <c r="Q370" s="762">
        <v>68851.5</v>
      </c>
      <c r="R370" s="762">
        <v>61900</v>
      </c>
      <c r="S370" s="762">
        <v>72290</v>
      </c>
      <c r="T370" s="861">
        <f t="shared" si="358"/>
        <v>74374.872859472584</v>
      </c>
      <c r="U370" s="128">
        <f t="shared" si="359"/>
        <v>76519.874296067384</v>
      </c>
      <c r="V370" s="128">
        <f t="shared" si="360"/>
        <v>78726.738442285743</v>
      </c>
      <c r="W370" s="128">
        <f t="shared" si="361"/>
        <v>80997.249443712193</v>
      </c>
      <c r="X370" s="128">
        <f t="shared" si="362"/>
        <v>83333.242901412101</v>
      </c>
      <c r="Y370" s="128">
        <f t="shared" si="363"/>
        <v>85736.6073559285</v>
      </c>
      <c r="Z370" s="128">
        <f t="shared" si="364"/>
        <v>88209.285814078074</v>
      </c>
      <c r="AA370" s="128">
        <f t="shared" si="365"/>
        <v>90753.277319780536</v>
      </c>
      <c r="AB370" s="128">
        <f t="shared" si="366"/>
        <v>93370.638570191368</v>
      </c>
    </row>
    <row r="371" spans="2:28" x14ac:dyDescent="0.3">
      <c r="B371" s="196" t="s">
        <v>115</v>
      </c>
      <c r="C371" s="91" t="s">
        <v>116</v>
      </c>
      <c r="D371" s="126" t="s">
        <v>7</v>
      </c>
      <c r="E371" s="410">
        <f t="shared" si="357"/>
        <v>1</v>
      </c>
      <c r="F371" s="127">
        <f>INDEX('Control Panel'!$C$7:$N$25,MATCH('O&amp;M'!$D371,Indicies,0),MATCH('O&amp;M'!F$4,'Control Panel'!$C$6:$N$6,0))</f>
        <v>0.03</v>
      </c>
      <c r="G371" s="127">
        <f>INDEX('Control Panel'!$C$7:$N$25,MATCH('O&amp;M'!$D371,Indicies,0),MATCH('O&amp;M'!G$4,'Control Panel'!$C$6:$N$6,0))</f>
        <v>0.03</v>
      </c>
      <c r="H371" s="127">
        <f>INDEX('Control Panel'!$C$7:$N$25,MATCH('O&amp;M'!$D371,Indicies,0),MATCH('O&amp;M'!H$4,'Control Panel'!$C$6:$N$6,0))</f>
        <v>0.03</v>
      </c>
      <c r="I371" s="127">
        <f>INDEX('Control Panel'!$C$7:$N$25,MATCH('O&amp;M'!$D371,Indicies,0),MATCH('O&amp;M'!I$4,'Control Panel'!$C$6:$N$6,0))</f>
        <v>0.03</v>
      </c>
      <c r="J371" s="127">
        <f>INDEX('Control Panel'!$C$7:$N$25,MATCH('O&amp;M'!$D371,Indicies,0),MATCH('O&amp;M'!J$4,'Control Panel'!$C$6:$N$6,0))</f>
        <v>0.03</v>
      </c>
      <c r="K371" s="127">
        <f>INDEX('Control Panel'!$C$7:$N$25,MATCH('O&amp;M'!$D371,Indicies,0),MATCH('O&amp;M'!K$4,'Control Panel'!$C$6:$N$6,0))</f>
        <v>0.03</v>
      </c>
      <c r="L371" s="127">
        <f>INDEX('Control Panel'!$C$7:$N$25,MATCH('O&amp;M'!$D371,Indicies,0),MATCH('O&amp;M'!L$4,'Control Panel'!$C$6:$N$6,0))</f>
        <v>0.03</v>
      </c>
      <c r="M371" s="127">
        <f>INDEX('Control Panel'!$C$7:$N$25,MATCH('O&amp;M'!$D371,Indicies,0),MATCH('O&amp;M'!M$4,'Control Panel'!$C$6:$N$6,0))</f>
        <v>0.03</v>
      </c>
      <c r="N371" s="127">
        <f>INDEX('Control Panel'!$C$7:$N$25,MATCH('O&amp;M'!$D371,Indicies,0),MATCH('O&amp;M'!N$4,'Control Panel'!$C$6:$N$6,0))</f>
        <v>0.03</v>
      </c>
      <c r="O371" s="127">
        <f>INDEX('Control Panel'!$C$7:$N$25,MATCH('O&amp;M'!$D371,Indicies,0),MATCH('O&amp;M'!O$4,'Control Panel'!$C$6:$N$6,0))</f>
        <v>0.03</v>
      </c>
      <c r="P371" s="763">
        <v>0</v>
      </c>
      <c r="Q371" s="763">
        <v>0</v>
      </c>
      <c r="R371" s="762">
        <v>0</v>
      </c>
      <c r="S371" s="762">
        <v>0</v>
      </c>
      <c r="T371" s="128">
        <f t="shared" si="358"/>
        <v>0</v>
      </c>
      <c r="U371" s="128">
        <f t="shared" si="359"/>
        <v>0</v>
      </c>
      <c r="V371" s="128">
        <f t="shared" si="360"/>
        <v>0</v>
      </c>
      <c r="W371" s="128">
        <f t="shared" si="361"/>
        <v>0</v>
      </c>
      <c r="X371" s="128">
        <f t="shared" si="362"/>
        <v>0</v>
      </c>
      <c r="Y371" s="128">
        <f t="shared" si="363"/>
        <v>0</v>
      </c>
      <c r="Z371" s="128">
        <f t="shared" si="364"/>
        <v>0</v>
      </c>
      <c r="AA371" s="128">
        <f t="shared" si="365"/>
        <v>0</v>
      </c>
      <c r="AB371" s="128">
        <f t="shared" si="366"/>
        <v>0</v>
      </c>
    </row>
    <row r="372" spans="2:28" x14ac:dyDescent="0.3">
      <c r="B372" s="196" t="s">
        <v>117</v>
      </c>
      <c r="C372" s="91" t="s">
        <v>118</v>
      </c>
      <c r="D372" s="126" t="s">
        <v>5</v>
      </c>
      <c r="E372" s="410">
        <f t="shared" si="357"/>
        <v>1</v>
      </c>
      <c r="F372" s="127">
        <f>INDEX('Control Panel'!$C$7:$N$25,MATCH('O&amp;M'!$D372,Indicies,0),MATCH('O&amp;M'!F$4,'Control Panel'!$C$6:$N$6,0))</f>
        <v>3.5000000000000003E-2</v>
      </c>
      <c r="G372" s="127">
        <f>INDEX('Control Panel'!$C$7:$N$25,MATCH('O&amp;M'!$D372,Indicies,0),MATCH('O&amp;M'!G$4,'Control Panel'!$C$6:$N$6,0))</f>
        <v>3.5000000000000003E-2</v>
      </c>
      <c r="H372" s="127">
        <f>INDEX('Control Panel'!$C$7:$N$25,MATCH('O&amp;M'!$D372,Indicies,0),MATCH('O&amp;M'!H$4,'Control Panel'!$C$6:$N$6,0))</f>
        <v>3.5000000000000003E-2</v>
      </c>
      <c r="I372" s="127">
        <f>INDEX('Control Panel'!$C$7:$N$25,MATCH('O&amp;M'!$D372,Indicies,0),MATCH('O&amp;M'!I$4,'Control Panel'!$C$6:$N$6,0))</f>
        <v>3.5000000000000003E-2</v>
      </c>
      <c r="J372" s="127">
        <f>INDEX('Control Panel'!$C$7:$N$25,MATCH('O&amp;M'!$D372,Indicies,0),MATCH('O&amp;M'!J$4,'Control Panel'!$C$6:$N$6,0))</f>
        <v>3.5000000000000003E-2</v>
      </c>
      <c r="K372" s="127">
        <f>INDEX('Control Panel'!$C$7:$N$25,MATCH('O&amp;M'!$D372,Indicies,0),MATCH('O&amp;M'!K$4,'Control Panel'!$C$6:$N$6,0))</f>
        <v>3.5000000000000003E-2</v>
      </c>
      <c r="L372" s="127">
        <f>INDEX('Control Panel'!$C$7:$N$25,MATCH('O&amp;M'!$D372,Indicies,0),MATCH('O&amp;M'!L$4,'Control Panel'!$C$6:$N$6,0))</f>
        <v>3.5000000000000003E-2</v>
      </c>
      <c r="M372" s="127">
        <f>INDEX('Control Panel'!$C$7:$N$25,MATCH('O&amp;M'!$D372,Indicies,0),MATCH('O&amp;M'!M$4,'Control Panel'!$C$6:$N$6,0))</f>
        <v>3.5000000000000003E-2</v>
      </c>
      <c r="N372" s="127">
        <f>INDEX('Control Panel'!$C$7:$N$25,MATCH('O&amp;M'!$D372,Indicies,0),MATCH('O&amp;M'!N$4,'Control Panel'!$C$6:$N$6,0))</f>
        <v>3.5000000000000003E-2</v>
      </c>
      <c r="O372" s="127">
        <f>INDEX('Control Panel'!$C$7:$N$25,MATCH('O&amp;M'!$D372,Indicies,0),MATCH('O&amp;M'!O$4,'Control Panel'!$C$6:$N$6,0))</f>
        <v>3.5000000000000003E-2</v>
      </c>
      <c r="P372" s="762">
        <v>18791.97</v>
      </c>
      <c r="Q372" s="762">
        <v>15674.85</v>
      </c>
      <c r="R372" s="762">
        <v>18000</v>
      </c>
      <c r="S372" s="762">
        <v>18000</v>
      </c>
      <c r="T372" s="128">
        <f t="shared" si="358"/>
        <v>18630</v>
      </c>
      <c r="U372" s="128">
        <f t="shared" si="359"/>
        <v>19282.05</v>
      </c>
      <c r="V372" s="128">
        <f t="shared" si="360"/>
        <v>19956.921749999998</v>
      </c>
      <c r="W372" s="128">
        <f t="shared" si="361"/>
        <v>20655.414011249995</v>
      </c>
      <c r="X372" s="128">
        <f t="shared" si="362"/>
        <v>21378.353501643742</v>
      </c>
      <c r="Y372" s="128">
        <f t="shared" si="363"/>
        <v>22126.59587420127</v>
      </c>
      <c r="Z372" s="128">
        <f t="shared" si="364"/>
        <v>22901.026729798312</v>
      </c>
      <c r="AA372" s="128">
        <f t="shared" si="365"/>
        <v>23702.562665341251</v>
      </c>
      <c r="AB372" s="128">
        <f t="shared" si="366"/>
        <v>24532.152358628195</v>
      </c>
    </row>
    <row r="373" spans="2:28" x14ac:dyDescent="0.3">
      <c r="B373" s="196" t="s">
        <v>119</v>
      </c>
      <c r="C373" s="91" t="s">
        <v>120</v>
      </c>
      <c r="D373" s="126" t="s">
        <v>1480</v>
      </c>
      <c r="E373" s="410">
        <f t="shared" si="357"/>
        <v>1</v>
      </c>
      <c r="F373" s="127">
        <f>INDEX('Control Panel'!$C$7:$N$25,MATCH('O&amp;M'!$D373,Indicies,0),MATCH('O&amp;M'!F$4,'Control Panel'!$C$6:$N$6,0))</f>
        <v>2.1452829087813895E-2</v>
      </c>
      <c r="G373" s="127">
        <f>INDEX('Control Panel'!$C$7:$N$25,MATCH('O&amp;M'!$D373,Indicies,0),MATCH('O&amp;M'!G$4,'Control Panel'!$C$6:$N$6,0))</f>
        <v>2.1452829087813895E-2</v>
      </c>
      <c r="H373" s="127">
        <f>INDEX('Control Panel'!$C$7:$N$25,MATCH('O&amp;M'!$D373,Indicies,0),MATCH('O&amp;M'!H$4,'Control Panel'!$C$6:$N$6,0))</f>
        <v>2.1452829087813895E-2</v>
      </c>
      <c r="I373" s="127">
        <f>INDEX('Control Panel'!$C$7:$N$25,MATCH('O&amp;M'!$D373,Indicies,0),MATCH('O&amp;M'!I$4,'Control Panel'!$C$6:$N$6,0))</f>
        <v>2.1452829087813895E-2</v>
      </c>
      <c r="J373" s="127">
        <f>INDEX('Control Panel'!$C$7:$N$25,MATCH('O&amp;M'!$D373,Indicies,0),MATCH('O&amp;M'!J$4,'Control Panel'!$C$6:$N$6,0))</f>
        <v>2.1452829087813895E-2</v>
      </c>
      <c r="K373" s="127">
        <f>INDEX('Control Panel'!$C$7:$N$25,MATCH('O&amp;M'!$D373,Indicies,0),MATCH('O&amp;M'!K$4,'Control Panel'!$C$6:$N$6,0))</f>
        <v>2.1452829087813895E-2</v>
      </c>
      <c r="L373" s="127">
        <f>INDEX('Control Panel'!$C$7:$N$25,MATCH('O&amp;M'!$D373,Indicies,0),MATCH('O&amp;M'!L$4,'Control Panel'!$C$6:$N$6,0))</f>
        <v>2.1452829087813895E-2</v>
      </c>
      <c r="M373" s="127">
        <f>INDEX('Control Panel'!$C$7:$N$25,MATCH('O&amp;M'!$D373,Indicies,0),MATCH('O&amp;M'!M$4,'Control Panel'!$C$6:$N$6,0))</f>
        <v>2.1452829087813895E-2</v>
      </c>
      <c r="N373" s="127">
        <f>INDEX('Control Panel'!$C$7:$N$25,MATCH('O&amp;M'!$D373,Indicies,0),MATCH('O&amp;M'!N$4,'Control Panel'!$C$6:$N$6,0))</f>
        <v>2.1452829087813895E-2</v>
      </c>
      <c r="O373" s="127">
        <f>INDEX('Control Panel'!$C$7:$N$25,MATCH('O&amp;M'!$D373,Indicies,0),MATCH('O&amp;M'!O$4,'Control Panel'!$C$6:$N$6,0))</f>
        <v>2.1452829087813895E-2</v>
      </c>
      <c r="P373" s="762">
        <v>856.1</v>
      </c>
      <c r="Q373" s="762">
        <v>867.28</v>
      </c>
      <c r="R373" s="762">
        <v>829</v>
      </c>
      <c r="S373" s="762">
        <v>858</v>
      </c>
      <c r="T373" s="128">
        <f t="shared" si="358"/>
        <v>876.40652735734443</v>
      </c>
      <c r="U373" s="128">
        <f t="shared" si="359"/>
        <v>895.2079268001861</v>
      </c>
      <c r="V373" s="128">
        <f t="shared" si="360"/>
        <v>914.41266945188681</v>
      </c>
      <c r="W373" s="128">
        <f t="shared" si="361"/>
        <v>934.02940816536989</v>
      </c>
      <c r="X373" s="128">
        <f t="shared" si="362"/>
        <v>954.06698142173366</v>
      </c>
      <c r="Y373" s="128">
        <f t="shared" si="363"/>
        <v>974.53441731250075</v>
      </c>
      <c r="Z373" s="128">
        <f t="shared" si="364"/>
        <v>995.44093760729822</v>
      </c>
      <c r="AA373" s="128">
        <f t="shared" si="365"/>
        <v>1016.7959619088009</v>
      </c>
      <c r="AB373" s="128">
        <f t="shared" si="366"/>
        <v>1038.6091118968097</v>
      </c>
    </row>
    <row r="374" spans="2:28" x14ac:dyDescent="0.3">
      <c r="B374" s="196" t="s">
        <v>121</v>
      </c>
      <c r="C374" s="91" t="s">
        <v>122</v>
      </c>
      <c r="D374" s="126" t="s">
        <v>1480</v>
      </c>
      <c r="E374" s="410">
        <f t="shared" si="357"/>
        <v>1</v>
      </c>
      <c r="F374" s="127">
        <f>INDEX('Control Panel'!$C$7:$N$25,MATCH('O&amp;M'!$D374,Indicies,0),MATCH('O&amp;M'!F$4,'Control Panel'!$C$6:$N$6,0))</f>
        <v>2.1452829087813895E-2</v>
      </c>
      <c r="G374" s="127">
        <f>INDEX('Control Panel'!$C$7:$N$25,MATCH('O&amp;M'!$D374,Indicies,0),MATCH('O&amp;M'!G$4,'Control Panel'!$C$6:$N$6,0))</f>
        <v>2.1452829087813895E-2</v>
      </c>
      <c r="H374" s="127">
        <f>INDEX('Control Panel'!$C$7:$N$25,MATCH('O&amp;M'!$D374,Indicies,0),MATCH('O&amp;M'!H$4,'Control Panel'!$C$6:$N$6,0))</f>
        <v>2.1452829087813895E-2</v>
      </c>
      <c r="I374" s="127">
        <f>INDEX('Control Panel'!$C$7:$N$25,MATCH('O&amp;M'!$D374,Indicies,0),MATCH('O&amp;M'!I$4,'Control Panel'!$C$6:$N$6,0))</f>
        <v>2.1452829087813895E-2</v>
      </c>
      <c r="J374" s="127">
        <f>INDEX('Control Panel'!$C$7:$N$25,MATCH('O&amp;M'!$D374,Indicies,0),MATCH('O&amp;M'!J$4,'Control Panel'!$C$6:$N$6,0))</f>
        <v>2.1452829087813895E-2</v>
      </c>
      <c r="K374" s="127">
        <f>INDEX('Control Panel'!$C$7:$N$25,MATCH('O&amp;M'!$D374,Indicies,0),MATCH('O&amp;M'!K$4,'Control Panel'!$C$6:$N$6,0))</f>
        <v>2.1452829087813895E-2</v>
      </c>
      <c r="L374" s="127">
        <f>INDEX('Control Panel'!$C$7:$N$25,MATCH('O&amp;M'!$D374,Indicies,0),MATCH('O&amp;M'!L$4,'Control Panel'!$C$6:$N$6,0))</f>
        <v>2.1452829087813895E-2</v>
      </c>
      <c r="M374" s="127">
        <f>INDEX('Control Panel'!$C$7:$N$25,MATCH('O&amp;M'!$D374,Indicies,0),MATCH('O&amp;M'!M$4,'Control Panel'!$C$6:$N$6,0))</f>
        <v>2.1452829087813895E-2</v>
      </c>
      <c r="N374" s="127">
        <f>INDEX('Control Panel'!$C$7:$N$25,MATCH('O&amp;M'!$D374,Indicies,0),MATCH('O&amp;M'!N$4,'Control Panel'!$C$6:$N$6,0))</f>
        <v>2.1452829087813895E-2</v>
      </c>
      <c r="O374" s="127">
        <f>INDEX('Control Panel'!$C$7:$N$25,MATCH('O&amp;M'!$D374,Indicies,0),MATCH('O&amp;M'!O$4,'Control Panel'!$C$6:$N$6,0))</f>
        <v>2.1452829087813895E-2</v>
      </c>
      <c r="P374" s="762">
        <v>2879.58</v>
      </c>
      <c r="Q374" s="762">
        <v>2849.34</v>
      </c>
      <c r="R374" s="762">
        <v>190</v>
      </c>
      <c r="S374" s="762">
        <v>286</v>
      </c>
      <c r="T374" s="128">
        <f t="shared" si="358"/>
        <v>292.13550911911477</v>
      </c>
      <c r="U374" s="128">
        <f t="shared" si="359"/>
        <v>298.40264226672866</v>
      </c>
      <c r="V374" s="128">
        <f t="shared" si="360"/>
        <v>304.8042231506289</v>
      </c>
      <c r="W374" s="128">
        <f t="shared" si="361"/>
        <v>311.34313605512324</v>
      </c>
      <c r="X374" s="128">
        <f t="shared" si="362"/>
        <v>318.02232714057783</v>
      </c>
      <c r="Y374" s="128">
        <f t="shared" si="363"/>
        <v>324.84480577083349</v>
      </c>
      <c r="Z374" s="128">
        <f t="shared" si="364"/>
        <v>331.81364586909933</v>
      </c>
      <c r="AA374" s="128">
        <f t="shared" si="365"/>
        <v>338.93198730293358</v>
      </c>
      <c r="AB374" s="128">
        <f t="shared" si="366"/>
        <v>346.20303729893658</v>
      </c>
    </row>
    <row r="375" spans="2:28" x14ac:dyDescent="0.3">
      <c r="B375" s="196" t="s">
        <v>123</v>
      </c>
      <c r="C375" s="91" t="s">
        <v>124</v>
      </c>
      <c r="D375" s="126" t="s">
        <v>5</v>
      </c>
      <c r="E375" s="410">
        <f t="shared" si="357"/>
        <v>1</v>
      </c>
      <c r="F375" s="127">
        <f>INDEX('Control Panel'!$C$7:$N$25,MATCH('O&amp;M'!$D375,Indicies,0),MATCH('O&amp;M'!F$4,'Control Panel'!$C$6:$N$6,0))</f>
        <v>3.5000000000000003E-2</v>
      </c>
      <c r="G375" s="127">
        <f>INDEX('Control Panel'!$C$7:$N$25,MATCH('O&amp;M'!$D375,Indicies,0),MATCH('O&amp;M'!G$4,'Control Panel'!$C$6:$N$6,0))</f>
        <v>3.5000000000000003E-2</v>
      </c>
      <c r="H375" s="127">
        <f>INDEX('Control Panel'!$C$7:$N$25,MATCH('O&amp;M'!$D375,Indicies,0),MATCH('O&amp;M'!H$4,'Control Panel'!$C$6:$N$6,0))</f>
        <v>3.5000000000000003E-2</v>
      </c>
      <c r="I375" s="127">
        <f>INDEX('Control Panel'!$C$7:$N$25,MATCH('O&amp;M'!$D375,Indicies,0),MATCH('O&amp;M'!I$4,'Control Panel'!$C$6:$N$6,0))</f>
        <v>3.5000000000000003E-2</v>
      </c>
      <c r="J375" s="127">
        <f>INDEX('Control Panel'!$C$7:$N$25,MATCH('O&amp;M'!$D375,Indicies,0),MATCH('O&amp;M'!J$4,'Control Panel'!$C$6:$N$6,0))</f>
        <v>3.5000000000000003E-2</v>
      </c>
      <c r="K375" s="127">
        <f>INDEX('Control Panel'!$C$7:$N$25,MATCH('O&amp;M'!$D375,Indicies,0),MATCH('O&amp;M'!K$4,'Control Panel'!$C$6:$N$6,0))</f>
        <v>3.5000000000000003E-2</v>
      </c>
      <c r="L375" s="127">
        <f>INDEX('Control Panel'!$C$7:$N$25,MATCH('O&amp;M'!$D375,Indicies,0),MATCH('O&amp;M'!L$4,'Control Panel'!$C$6:$N$6,0))</f>
        <v>3.5000000000000003E-2</v>
      </c>
      <c r="M375" s="127">
        <f>INDEX('Control Panel'!$C$7:$N$25,MATCH('O&amp;M'!$D375,Indicies,0),MATCH('O&amp;M'!M$4,'Control Panel'!$C$6:$N$6,0))</f>
        <v>3.5000000000000003E-2</v>
      </c>
      <c r="N375" s="127">
        <f>INDEX('Control Panel'!$C$7:$N$25,MATCH('O&amp;M'!$D375,Indicies,0),MATCH('O&amp;M'!N$4,'Control Panel'!$C$6:$N$6,0))</f>
        <v>3.5000000000000003E-2</v>
      </c>
      <c r="O375" s="127">
        <f>INDEX('Control Panel'!$C$7:$N$25,MATCH('O&amp;M'!$D375,Indicies,0),MATCH('O&amp;M'!O$4,'Control Panel'!$C$6:$N$6,0))</f>
        <v>3.5000000000000003E-2</v>
      </c>
      <c r="P375" s="762">
        <v>7506</v>
      </c>
      <c r="Q375" s="762">
        <v>135869.04</v>
      </c>
      <c r="R375" s="762">
        <v>917</v>
      </c>
      <c r="S375" s="762">
        <v>4615</v>
      </c>
      <c r="T375" s="128">
        <f t="shared" si="358"/>
        <v>4776.5249999999996</v>
      </c>
      <c r="U375" s="128">
        <f t="shared" si="359"/>
        <v>4943.7033749999991</v>
      </c>
      <c r="V375" s="128">
        <f t="shared" si="360"/>
        <v>5116.7329931249988</v>
      </c>
      <c r="W375" s="128">
        <f t="shared" si="361"/>
        <v>5295.8186478843736</v>
      </c>
      <c r="X375" s="128">
        <f t="shared" si="362"/>
        <v>5481.1723005603262</v>
      </c>
      <c r="Y375" s="128">
        <f t="shared" si="363"/>
        <v>5673.0133310799374</v>
      </c>
      <c r="Z375" s="128">
        <f t="shared" si="364"/>
        <v>5871.5687976677345</v>
      </c>
      <c r="AA375" s="128">
        <f t="shared" si="365"/>
        <v>6077.0737055861046</v>
      </c>
      <c r="AB375" s="128">
        <f t="shared" si="366"/>
        <v>6289.7712852816176</v>
      </c>
    </row>
    <row r="376" spans="2:28" x14ac:dyDescent="0.3">
      <c r="B376" s="196" t="s">
        <v>125</v>
      </c>
      <c r="C376" s="91" t="s">
        <v>126</v>
      </c>
      <c r="D376" s="126" t="s">
        <v>7</v>
      </c>
      <c r="E376" s="410">
        <f t="shared" si="357"/>
        <v>1</v>
      </c>
      <c r="F376" s="127">
        <f>INDEX('Control Panel'!$C$7:$N$25,MATCH('O&amp;M'!$D376,Indicies,0),MATCH('O&amp;M'!F$4,'Control Panel'!$C$6:$N$6,0))</f>
        <v>0.03</v>
      </c>
      <c r="G376" s="127">
        <f>INDEX('Control Panel'!$C$7:$N$25,MATCH('O&amp;M'!$D376,Indicies,0),MATCH('O&amp;M'!G$4,'Control Panel'!$C$6:$N$6,0))</f>
        <v>0.03</v>
      </c>
      <c r="H376" s="127">
        <f>INDEX('Control Panel'!$C$7:$N$25,MATCH('O&amp;M'!$D376,Indicies,0),MATCH('O&amp;M'!H$4,'Control Panel'!$C$6:$N$6,0))</f>
        <v>0.03</v>
      </c>
      <c r="I376" s="127">
        <f>INDEX('Control Panel'!$C$7:$N$25,MATCH('O&amp;M'!$D376,Indicies,0),MATCH('O&amp;M'!I$4,'Control Panel'!$C$6:$N$6,0))</f>
        <v>0.03</v>
      </c>
      <c r="J376" s="127">
        <f>INDEX('Control Panel'!$C$7:$N$25,MATCH('O&amp;M'!$D376,Indicies,0),MATCH('O&amp;M'!J$4,'Control Panel'!$C$6:$N$6,0))</f>
        <v>0.03</v>
      </c>
      <c r="K376" s="127">
        <f>INDEX('Control Panel'!$C$7:$N$25,MATCH('O&amp;M'!$D376,Indicies,0),MATCH('O&amp;M'!K$4,'Control Panel'!$C$6:$N$6,0))</f>
        <v>0.03</v>
      </c>
      <c r="L376" s="127">
        <f>INDEX('Control Panel'!$C$7:$N$25,MATCH('O&amp;M'!$D376,Indicies,0),MATCH('O&amp;M'!L$4,'Control Panel'!$C$6:$N$6,0))</f>
        <v>0.03</v>
      </c>
      <c r="M376" s="127">
        <f>INDEX('Control Panel'!$C$7:$N$25,MATCH('O&amp;M'!$D376,Indicies,0),MATCH('O&amp;M'!M$4,'Control Panel'!$C$6:$N$6,0))</f>
        <v>0.03</v>
      </c>
      <c r="N376" s="127">
        <f>INDEX('Control Panel'!$C$7:$N$25,MATCH('O&amp;M'!$D376,Indicies,0),MATCH('O&amp;M'!N$4,'Control Panel'!$C$6:$N$6,0))</f>
        <v>0.03</v>
      </c>
      <c r="O376" s="127">
        <f>INDEX('Control Panel'!$C$7:$N$25,MATCH('O&amp;M'!$D376,Indicies,0),MATCH('O&amp;M'!O$4,'Control Panel'!$C$6:$N$6,0))</f>
        <v>0.03</v>
      </c>
      <c r="P376" s="762">
        <v>5009.04</v>
      </c>
      <c r="Q376" s="762">
        <v>347.04</v>
      </c>
      <c r="R376" s="762">
        <v>240</v>
      </c>
      <c r="S376" s="863">
        <v>238</v>
      </c>
      <c r="T376" s="128">
        <f t="shared" si="358"/>
        <v>245.14000000000001</v>
      </c>
      <c r="U376" s="128">
        <f t="shared" si="359"/>
        <v>252.49420000000003</v>
      </c>
      <c r="V376" s="128">
        <f t="shared" si="360"/>
        <v>260.06902600000006</v>
      </c>
      <c r="W376" s="128">
        <f t="shared" si="361"/>
        <v>267.87109678000007</v>
      </c>
      <c r="X376" s="128">
        <f t="shared" si="362"/>
        <v>275.90722968340009</v>
      </c>
      <c r="Y376" s="128">
        <f t="shared" si="363"/>
        <v>284.18444657390211</v>
      </c>
      <c r="Z376" s="128">
        <f t="shared" si="364"/>
        <v>292.7099799711192</v>
      </c>
      <c r="AA376" s="128">
        <f t="shared" si="365"/>
        <v>301.49127937025276</v>
      </c>
      <c r="AB376" s="128">
        <f t="shared" si="366"/>
        <v>310.53601775136036</v>
      </c>
    </row>
    <row r="377" spans="2:28" x14ac:dyDescent="0.3">
      <c r="B377" s="196" t="s">
        <v>127</v>
      </c>
      <c r="C377" s="91" t="s">
        <v>128</v>
      </c>
      <c r="D377" s="126" t="s">
        <v>1480</v>
      </c>
      <c r="E377" s="410">
        <f t="shared" si="357"/>
        <v>1</v>
      </c>
      <c r="F377" s="127">
        <f>INDEX('Control Panel'!$C$7:$N$25,MATCH('O&amp;M'!$D377,Indicies,0),MATCH('O&amp;M'!F$4,'Control Panel'!$C$6:$N$6,0))</f>
        <v>2.1452829087813895E-2</v>
      </c>
      <c r="G377" s="127">
        <f>INDEX('Control Panel'!$C$7:$N$25,MATCH('O&amp;M'!$D377,Indicies,0),MATCH('O&amp;M'!G$4,'Control Panel'!$C$6:$N$6,0))</f>
        <v>2.1452829087813895E-2</v>
      </c>
      <c r="H377" s="127">
        <f>INDEX('Control Panel'!$C$7:$N$25,MATCH('O&amp;M'!$D377,Indicies,0),MATCH('O&amp;M'!H$4,'Control Panel'!$C$6:$N$6,0))</f>
        <v>2.1452829087813895E-2</v>
      </c>
      <c r="I377" s="127">
        <f>INDEX('Control Panel'!$C$7:$N$25,MATCH('O&amp;M'!$D377,Indicies,0),MATCH('O&amp;M'!I$4,'Control Panel'!$C$6:$N$6,0))</f>
        <v>2.1452829087813895E-2</v>
      </c>
      <c r="J377" s="127">
        <f>INDEX('Control Panel'!$C$7:$N$25,MATCH('O&amp;M'!$D377,Indicies,0),MATCH('O&amp;M'!J$4,'Control Panel'!$C$6:$N$6,0))</f>
        <v>2.1452829087813895E-2</v>
      </c>
      <c r="K377" s="127">
        <f>INDEX('Control Panel'!$C$7:$N$25,MATCH('O&amp;M'!$D377,Indicies,0),MATCH('O&amp;M'!K$4,'Control Panel'!$C$6:$N$6,0))</f>
        <v>2.1452829087813895E-2</v>
      </c>
      <c r="L377" s="127">
        <f>INDEX('Control Panel'!$C$7:$N$25,MATCH('O&amp;M'!$D377,Indicies,0),MATCH('O&amp;M'!L$4,'Control Panel'!$C$6:$N$6,0))</f>
        <v>2.1452829087813895E-2</v>
      </c>
      <c r="M377" s="127">
        <f>INDEX('Control Panel'!$C$7:$N$25,MATCH('O&amp;M'!$D377,Indicies,0),MATCH('O&amp;M'!M$4,'Control Panel'!$C$6:$N$6,0))</f>
        <v>2.1452829087813895E-2</v>
      </c>
      <c r="N377" s="127">
        <f>INDEX('Control Panel'!$C$7:$N$25,MATCH('O&amp;M'!$D377,Indicies,0),MATCH('O&amp;M'!N$4,'Control Panel'!$C$6:$N$6,0))</f>
        <v>2.1452829087813895E-2</v>
      </c>
      <c r="O377" s="127">
        <f>INDEX('Control Panel'!$C$7:$N$25,MATCH('O&amp;M'!$D377,Indicies,0),MATCH('O&amp;M'!O$4,'Control Panel'!$C$6:$N$6,0))</f>
        <v>2.1452829087813895E-2</v>
      </c>
      <c r="P377" s="762">
        <v>2821.89</v>
      </c>
      <c r="Q377" s="762">
        <v>1167.03</v>
      </c>
      <c r="R377" s="762">
        <v>2650</v>
      </c>
      <c r="S377" s="762">
        <v>1600</v>
      </c>
      <c r="T377" s="128">
        <f t="shared" si="358"/>
        <v>1634.3245265405023</v>
      </c>
      <c r="U377" s="128">
        <f t="shared" si="359"/>
        <v>1669.3854112823983</v>
      </c>
      <c r="V377" s="128">
        <f t="shared" si="360"/>
        <v>1705.1984511923297</v>
      </c>
      <c r="W377" s="128">
        <f t="shared" si="361"/>
        <v>1741.7797821265638</v>
      </c>
      <c r="X377" s="128">
        <f t="shared" si="362"/>
        <v>1779.1458861011349</v>
      </c>
      <c r="Y377" s="128">
        <f t="shared" si="363"/>
        <v>1817.3135987179498</v>
      </c>
      <c r="Z377" s="128">
        <f t="shared" si="364"/>
        <v>1856.3001167502061</v>
      </c>
      <c r="AA377" s="128">
        <f t="shared" si="365"/>
        <v>1896.1230058905376</v>
      </c>
      <c r="AB377" s="128">
        <f t="shared" si="366"/>
        <v>1936.8002086653794</v>
      </c>
    </row>
    <row r="378" spans="2:28" x14ac:dyDescent="0.3">
      <c r="B378" s="196" t="s">
        <v>129</v>
      </c>
      <c r="C378" s="91" t="s">
        <v>130</v>
      </c>
      <c r="D378" s="126" t="s">
        <v>1480</v>
      </c>
      <c r="E378" s="410">
        <f t="shared" si="357"/>
        <v>1</v>
      </c>
      <c r="F378" s="127">
        <f>INDEX('Control Panel'!$C$7:$N$25,MATCH('O&amp;M'!$D378,Indicies,0),MATCH('O&amp;M'!F$4,'Control Panel'!$C$6:$N$6,0))</f>
        <v>2.1452829087813895E-2</v>
      </c>
      <c r="G378" s="127">
        <f>INDEX('Control Panel'!$C$7:$N$25,MATCH('O&amp;M'!$D378,Indicies,0),MATCH('O&amp;M'!G$4,'Control Panel'!$C$6:$N$6,0))</f>
        <v>2.1452829087813895E-2</v>
      </c>
      <c r="H378" s="127">
        <f>INDEX('Control Panel'!$C$7:$N$25,MATCH('O&amp;M'!$D378,Indicies,0),MATCH('O&amp;M'!H$4,'Control Panel'!$C$6:$N$6,0))</f>
        <v>2.1452829087813895E-2</v>
      </c>
      <c r="I378" s="127">
        <f>INDEX('Control Panel'!$C$7:$N$25,MATCH('O&amp;M'!$D378,Indicies,0),MATCH('O&amp;M'!I$4,'Control Panel'!$C$6:$N$6,0))</f>
        <v>2.1452829087813895E-2</v>
      </c>
      <c r="J378" s="127">
        <f>INDEX('Control Panel'!$C$7:$N$25,MATCH('O&amp;M'!$D378,Indicies,0),MATCH('O&amp;M'!J$4,'Control Panel'!$C$6:$N$6,0))</f>
        <v>2.1452829087813895E-2</v>
      </c>
      <c r="K378" s="127">
        <f>INDEX('Control Panel'!$C$7:$N$25,MATCH('O&amp;M'!$D378,Indicies,0),MATCH('O&amp;M'!K$4,'Control Panel'!$C$6:$N$6,0))</f>
        <v>2.1452829087813895E-2</v>
      </c>
      <c r="L378" s="127">
        <f>INDEX('Control Panel'!$C$7:$N$25,MATCH('O&amp;M'!$D378,Indicies,0),MATCH('O&amp;M'!L$4,'Control Panel'!$C$6:$N$6,0))</f>
        <v>2.1452829087813895E-2</v>
      </c>
      <c r="M378" s="127">
        <f>INDEX('Control Panel'!$C$7:$N$25,MATCH('O&amp;M'!$D378,Indicies,0),MATCH('O&amp;M'!M$4,'Control Panel'!$C$6:$N$6,0))</f>
        <v>2.1452829087813895E-2</v>
      </c>
      <c r="N378" s="127">
        <f>INDEX('Control Panel'!$C$7:$N$25,MATCH('O&amp;M'!$D378,Indicies,0),MATCH('O&amp;M'!N$4,'Control Panel'!$C$6:$N$6,0))</f>
        <v>2.1452829087813895E-2</v>
      </c>
      <c r="O378" s="127">
        <f>INDEX('Control Panel'!$C$7:$N$25,MATCH('O&amp;M'!$D378,Indicies,0),MATCH('O&amp;M'!O$4,'Control Panel'!$C$6:$N$6,0))</f>
        <v>2.1452829087813895E-2</v>
      </c>
      <c r="P378" s="762">
        <v>0</v>
      </c>
      <c r="Q378" s="762">
        <v>2320</v>
      </c>
      <c r="R378" s="762">
        <v>0</v>
      </c>
      <c r="S378" s="762">
        <v>0</v>
      </c>
      <c r="T378" s="128">
        <f t="shared" si="358"/>
        <v>0</v>
      </c>
      <c r="U378" s="128">
        <f t="shared" si="359"/>
        <v>0</v>
      </c>
      <c r="V378" s="128">
        <f t="shared" si="360"/>
        <v>0</v>
      </c>
      <c r="W378" s="128">
        <f t="shared" si="361"/>
        <v>0</v>
      </c>
      <c r="X378" s="128">
        <f t="shared" si="362"/>
        <v>0</v>
      </c>
      <c r="Y378" s="128">
        <f t="shared" si="363"/>
        <v>0</v>
      </c>
      <c r="Z378" s="128">
        <f t="shared" si="364"/>
        <v>0</v>
      </c>
      <c r="AA378" s="128">
        <f t="shared" si="365"/>
        <v>0</v>
      </c>
      <c r="AB378" s="128">
        <f t="shared" si="366"/>
        <v>0</v>
      </c>
    </row>
    <row r="379" spans="2:28" x14ac:dyDescent="0.3">
      <c r="B379" s="196" t="s">
        <v>131</v>
      </c>
      <c r="C379" s="91" t="s">
        <v>132</v>
      </c>
      <c r="D379" s="126" t="s">
        <v>1480</v>
      </c>
      <c r="E379" s="410">
        <f t="shared" si="357"/>
        <v>1</v>
      </c>
      <c r="F379" s="127">
        <f>INDEX('Control Panel'!$C$7:$N$25,MATCH('O&amp;M'!$D379,Indicies,0),MATCH('O&amp;M'!F$4,'Control Panel'!$C$6:$N$6,0))</f>
        <v>2.1452829087813895E-2</v>
      </c>
      <c r="G379" s="127">
        <f>INDEX('Control Panel'!$C$7:$N$25,MATCH('O&amp;M'!$D379,Indicies,0),MATCH('O&amp;M'!G$4,'Control Panel'!$C$6:$N$6,0))</f>
        <v>2.1452829087813895E-2</v>
      </c>
      <c r="H379" s="127">
        <f>INDEX('Control Panel'!$C$7:$N$25,MATCH('O&amp;M'!$D379,Indicies,0),MATCH('O&amp;M'!H$4,'Control Panel'!$C$6:$N$6,0))</f>
        <v>2.1452829087813895E-2</v>
      </c>
      <c r="I379" s="127">
        <f>INDEX('Control Panel'!$C$7:$N$25,MATCH('O&amp;M'!$D379,Indicies,0),MATCH('O&amp;M'!I$4,'Control Panel'!$C$6:$N$6,0))</f>
        <v>2.1452829087813895E-2</v>
      </c>
      <c r="J379" s="127">
        <f>INDEX('Control Panel'!$C$7:$N$25,MATCH('O&amp;M'!$D379,Indicies,0),MATCH('O&amp;M'!J$4,'Control Panel'!$C$6:$N$6,0))</f>
        <v>2.1452829087813895E-2</v>
      </c>
      <c r="K379" s="127">
        <f>INDEX('Control Panel'!$C$7:$N$25,MATCH('O&amp;M'!$D379,Indicies,0),MATCH('O&amp;M'!K$4,'Control Panel'!$C$6:$N$6,0))</f>
        <v>2.1452829087813895E-2</v>
      </c>
      <c r="L379" s="127">
        <f>INDEX('Control Panel'!$C$7:$N$25,MATCH('O&amp;M'!$D379,Indicies,0),MATCH('O&amp;M'!L$4,'Control Panel'!$C$6:$N$6,0))</f>
        <v>2.1452829087813895E-2</v>
      </c>
      <c r="M379" s="127">
        <f>INDEX('Control Panel'!$C$7:$N$25,MATCH('O&amp;M'!$D379,Indicies,0),MATCH('O&amp;M'!M$4,'Control Panel'!$C$6:$N$6,0))</f>
        <v>2.1452829087813895E-2</v>
      </c>
      <c r="N379" s="127">
        <f>INDEX('Control Panel'!$C$7:$N$25,MATCH('O&amp;M'!$D379,Indicies,0),MATCH('O&amp;M'!N$4,'Control Panel'!$C$6:$N$6,0))</f>
        <v>2.1452829087813895E-2</v>
      </c>
      <c r="O379" s="127">
        <f>INDEX('Control Panel'!$C$7:$N$25,MATCH('O&amp;M'!$D379,Indicies,0),MATCH('O&amp;M'!O$4,'Control Panel'!$C$6:$N$6,0))</f>
        <v>2.1452829087813895E-2</v>
      </c>
      <c r="P379" s="762">
        <v>0</v>
      </c>
      <c r="Q379" s="763">
        <v>0</v>
      </c>
      <c r="R379" s="762">
        <v>11300</v>
      </c>
      <c r="S379" s="762">
        <v>0</v>
      </c>
      <c r="T379" s="128">
        <f t="shared" si="358"/>
        <v>0</v>
      </c>
      <c r="U379" s="128">
        <f t="shared" si="359"/>
        <v>0</v>
      </c>
      <c r="V379" s="128">
        <f t="shared" si="360"/>
        <v>0</v>
      </c>
      <c r="W379" s="128">
        <f t="shared" si="361"/>
        <v>0</v>
      </c>
      <c r="X379" s="128">
        <f t="shared" si="362"/>
        <v>0</v>
      </c>
      <c r="Y379" s="128">
        <f t="shared" si="363"/>
        <v>0</v>
      </c>
      <c r="Z379" s="128">
        <f t="shared" si="364"/>
        <v>0</v>
      </c>
      <c r="AA379" s="128">
        <f t="shared" si="365"/>
        <v>0</v>
      </c>
      <c r="AB379" s="128">
        <f t="shared" si="366"/>
        <v>0</v>
      </c>
    </row>
    <row r="380" spans="2:28" x14ac:dyDescent="0.3">
      <c r="B380" s="196" t="s">
        <v>133</v>
      </c>
      <c r="C380" s="91" t="s">
        <v>134</v>
      </c>
      <c r="D380" s="126" t="s">
        <v>1480</v>
      </c>
      <c r="E380" s="410">
        <f t="shared" si="357"/>
        <v>1</v>
      </c>
      <c r="F380" s="127">
        <f>INDEX('Control Panel'!$C$7:$N$25,MATCH('O&amp;M'!$D380,Indicies,0),MATCH('O&amp;M'!F$4,'Control Panel'!$C$6:$N$6,0))</f>
        <v>2.1452829087813895E-2</v>
      </c>
      <c r="G380" s="127">
        <f>INDEX('Control Panel'!$C$7:$N$25,MATCH('O&amp;M'!$D380,Indicies,0),MATCH('O&amp;M'!G$4,'Control Panel'!$C$6:$N$6,0))</f>
        <v>2.1452829087813895E-2</v>
      </c>
      <c r="H380" s="127">
        <f>INDEX('Control Panel'!$C$7:$N$25,MATCH('O&amp;M'!$D380,Indicies,0),MATCH('O&amp;M'!H$4,'Control Panel'!$C$6:$N$6,0))</f>
        <v>2.1452829087813895E-2</v>
      </c>
      <c r="I380" s="127">
        <f>INDEX('Control Panel'!$C$7:$N$25,MATCH('O&amp;M'!$D380,Indicies,0),MATCH('O&amp;M'!I$4,'Control Panel'!$C$6:$N$6,0))</f>
        <v>2.1452829087813895E-2</v>
      </c>
      <c r="J380" s="127">
        <f>INDEX('Control Panel'!$C$7:$N$25,MATCH('O&amp;M'!$D380,Indicies,0),MATCH('O&amp;M'!J$4,'Control Panel'!$C$6:$N$6,0))</f>
        <v>2.1452829087813895E-2</v>
      </c>
      <c r="K380" s="127">
        <f>INDEX('Control Panel'!$C$7:$N$25,MATCH('O&amp;M'!$D380,Indicies,0),MATCH('O&amp;M'!K$4,'Control Panel'!$C$6:$N$6,0))</f>
        <v>2.1452829087813895E-2</v>
      </c>
      <c r="L380" s="127">
        <f>INDEX('Control Panel'!$C$7:$N$25,MATCH('O&amp;M'!$D380,Indicies,0),MATCH('O&amp;M'!L$4,'Control Panel'!$C$6:$N$6,0))</f>
        <v>2.1452829087813895E-2</v>
      </c>
      <c r="M380" s="127">
        <f>INDEX('Control Panel'!$C$7:$N$25,MATCH('O&amp;M'!$D380,Indicies,0),MATCH('O&amp;M'!M$4,'Control Panel'!$C$6:$N$6,0))</f>
        <v>2.1452829087813895E-2</v>
      </c>
      <c r="N380" s="127">
        <f>INDEX('Control Panel'!$C$7:$N$25,MATCH('O&amp;M'!$D380,Indicies,0),MATCH('O&amp;M'!N$4,'Control Panel'!$C$6:$N$6,0))</f>
        <v>2.1452829087813895E-2</v>
      </c>
      <c r="O380" s="127">
        <f>INDEX('Control Panel'!$C$7:$N$25,MATCH('O&amp;M'!$D380,Indicies,0),MATCH('O&amp;M'!O$4,'Control Panel'!$C$6:$N$6,0))</f>
        <v>2.1452829087813895E-2</v>
      </c>
      <c r="P380" s="762">
        <v>1718.19</v>
      </c>
      <c r="Q380" s="762">
        <v>1424.22</v>
      </c>
      <c r="R380" s="762">
        <v>2500</v>
      </c>
      <c r="S380" s="762">
        <v>2200</v>
      </c>
      <c r="T380" s="128">
        <f t="shared" si="358"/>
        <v>2247.1962239931909</v>
      </c>
      <c r="U380" s="128">
        <f t="shared" si="359"/>
        <v>2295.4049405132978</v>
      </c>
      <c r="V380" s="128">
        <f t="shared" si="360"/>
        <v>2344.6478703894536</v>
      </c>
      <c r="W380" s="128">
        <f t="shared" si="361"/>
        <v>2394.9472004240256</v>
      </c>
      <c r="X380" s="128">
        <f t="shared" si="362"/>
        <v>2446.3255933890609</v>
      </c>
      <c r="Y380" s="128">
        <f t="shared" si="363"/>
        <v>2498.8061982371814</v>
      </c>
      <c r="Z380" s="128">
        <f t="shared" si="364"/>
        <v>2552.4126605315341</v>
      </c>
      <c r="AA380" s="128">
        <f t="shared" si="365"/>
        <v>2607.1691330994895</v>
      </c>
      <c r="AB380" s="128">
        <f t="shared" si="366"/>
        <v>2663.100286914897</v>
      </c>
    </row>
    <row r="381" spans="2:28" x14ac:dyDescent="0.3">
      <c r="B381" s="196" t="s">
        <v>135</v>
      </c>
      <c r="C381" s="91" t="s">
        <v>136</v>
      </c>
      <c r="D381" s="126" t="s">
        <v>1480</v>
      </c>
      <c r="E381" s="410">
        <f t="shared" si="357"/>
        <v>1</v>
      </c>
      <c r="F381" s="127">
        <f>INDEX('Control Panel'!$C$7:$N$25,MATCH('O&amp;M'!$D381,Indicies,0),MATCH('O&amp;M'!F$4,'Control Panel'!$C$6:$N$6,0))</f>
        <v>2.1452829087813895E-2</v>
      </c>
      <c r="G381" s="127">
        <f>INDEX('Control Panel'!$C$7:$N$25,MATCH('O&amp;M'!$D381,Indicies,0),MATCH('O&amp;M'!G$4,'Control Panel'!$C$6:$N$6,0))</f>
        <v>2.1452829087813895E-2</v>
      </c>
      <c r="H381" s="127">
        <f>INDEX('Control Panel'!$C$7:$N$25,MATCH('O&amp;M'!$D381,Indicies,0),MATCH('O&amp;M'!H$4,'Control Panel'!$C$6:$N$6,0))</f>
        <v>2.1452829087813895E-2</v>
      </c>
      <c r="I381" s="127">
        <f>INDEX('Control Panel'!$C$7:$N$25,MATCH('O&amp;M'!$D381,Indicies,0),MATCH('O&amp;M'!I$4,'Control Panel'!$C$6:$N$6,0))</f>
        <v>2.1452829087813895E-2</v>
      </c>
      <c r="J381" s="127">
        <f>INDEX('Control Panel'!$C$7:$N$25,MATCH('O&amp;M'!$D381,Indicies,0),MATCH('O&amp;M'!J$4,'Control Panel'!$C$6:$N$6,0))</f>
        <v>2.1452829087813895E-2</v>
      </c>
      <c r="K381" s="127">
        <f>INDEX('Control Panel'!$C$7:$N$25,MATCH('O&amp;M'!$D381,Indicies,0),MATCH('O&amp;M'!K$4,'Control Panel'!$C$6:$N$6,0))</f>
        <v>2.1452829087813895E-2</v>
      </c>
      <c r="L381" s="127">
        <f>INDEX('Control Panel'!$C$7:$N$25,MATCH('O&amp;M'!$D381,Indicies,0),MATCH('O&amp;M'!L$4,'Control Panel'!$C$6:$N$6,0))</f>
        <v>2.1452829087813895E-2</v>
      </c>
      <c r="M381" s="127">
        <f>INDEX('Control Panel'!$C$7:$N$25,MATCH('O&amp;M'!$D381,Indicies,0),MATCH('O&amp;M'!M$4,'Control Panel'!$C$6:$N$6,0))</f>
        <v>2.1452829087813895E-2</v>
      </c>
      <c r="N381" s="127">
        <f>INDEX('Control Panel'!$C$7:$N$25,MATCH('O&amp;M'!$D381,Indicies,0),MATCH('O&amp;M'!N$4,'Control Panel'!$C$6:$N$6,0))</f>
        <v>2.1452829087813895E-2</v>
      </c>
      <c r="O381" s="127">
        <f>INDEX('Control Panel'!$C$7:$N$25,MATCH('O&amp;M'!$D381,Indicies,0),MATCH('O&amp;M'!O$4,'Control Panel'!$C$6:$N$6,0))</f>
        <v>2.1452829087813895E-2</v>
      </c>
      <c r="P381" s="762">
        <v>56</v>
      </c>
      <c r="Q381" s="762">
        <v>0</v>
      </c>
      <c r="R381" s="762">
        <v>200</v>
      </c>
      <c r="S381" s="762">
        <v>200</v>
      </c>
      <c r="T381" s="128">
        <f t="shared" si="358"/>
        <v>204.29056581756279</v>
      </c>
      <c r="U381" s="128">
        <f t="shared" si="359"/>
        <v>208.67317641029979</v>
      </c>
      <c r="V381" s="128">
        <f t="shared" si="360"/>
        <v>213.14980639904121</v>
      </c>
      <c r="W381" s="128">
        <f t="shared" si="361"/>
        <v>217.72247276582047</v>
      </c>
      <c r="X381" s="128">
        <f t="shared" si="362"/>
        <v>222.39323576264186</v>
      </c>
      <c r="Y381" s="128">
        <f t="shared" si="363"/>
        <v>227.16419983974373</v>
      </c>
      <c r="Z381" s="128">
        <f t="shared" si="364"/>
        <v>232.03751459377577</v>
      </c>
      <c r="AA381" s="128">
        <f t="shared" si="365"/>
        <v>237.0153757363172</v>
      </c>
      <c r="AB381" s="128">
        <f t="shared" si="366"/>
        <v>242.10002608317242</v>
      </c>
    </row>
    <row r="382" spans="2:28" x14ac:dyDescent="0.3">
      <c r="B382" s="196" t="s">
        <v>137</v>
      </c>
      <c r="C382" s="91" t="s">
        <v>20</v>
      </c>
      <c r="D382" s="126" t="s">
        <v>1480</v>
      </c>
      <c r="E382" s="410">
        <f t="shared" si="357"/>
        <v>1</v>
      </c>
      <c r="F382" s="127">
        <f>INDEX('Control Panel'!$C$7:$N$25,MATCH('O&amp;M'!$D382,Indicies,0),MATCH('O&amp;M'!F$4,'Control Panel'!$C$6:$N$6,0))</f>
        <v>2.1452829087813895E-2</v>
      </c>
      <c r="G382" s="127">
        <f>INDEX('Control Panel'!$C$7:$N$25,MATCH('O&amp;M'!$D382,Indicies,0),MATCH('O&amp;M'!G$4,'Control Panel'!$C$6:$N$6,0))</f>
        <v>2.1452829087813895E-2</v>
      </c>
      <c r="H382" s="127">
        <f>INDEX('Control Panel'!$C$7:$N$25,MATCH('O&amp;M'!$D382,Indicies,0),MATCH('O&amp;M'!H$4,'Control Panel'!$C$6:$N$6,0))</f>
        <v>2.1452829087813895E-2</v>
      </c>
      <c r="I382" s="127">
        <f>INDEX('Control Panel'!$C$7:$N$25,MATCH('O&amp;M'!$D382,Indicies,0),MATCH('O&amp;M'!I$4,'Control Panel'!$C$6:$N$6,0))</f>
        <v>2.1452829087813895E-2</v>
      </c>
      <c r="J382" s="127">
        <f>INDEX('Control Panel'!$C$7:$N$25,MATCH('O&amp;M'!$D382,Indicies,0),MATCH('O&amp;M'!J$4,'Control Panel'!$C$6:$N$6,0))</f>
        <v>2.1452829087813895E-2</v>
      </c>
      <c r="K382" s="127">
        <f>INDEX('Control Panel'!$C$7:$N$25,MATCH('O&amp;M'!$D382,Indicies,0),MATCH('O&amp;M'!K$4,'Control Panel'!$C$6:$N$6,0))</f>
        <v>2.1452829087813895E-2</v>
      </c>
      <c r="L382" s="127">
        <f>INDEX('Control Panel'!$C$7:$N$25,MATCH('O&amp;M'!$D382,Indicies,0),MATCH('O&amp;M'!L$4,'Control Panel'!$C$6:$N$6,0))</f>
        <v>2.1452829087813895E-2</v>
      </c>
      <c r="M382" s="127">
        <f>INDEX('Control Panel'!$C$7:$N$25,MATCH('O&amp;M'!$D382,Indicies,0),MATCH('O&amp;M'!M$4,'Control Panel'!$C$6:$N$6,0))</f>
        <v>2.1452829087813895E-2</v>
      </c>
      <c r="N382" s="127">
        <f>INDEX('Control Panel'!$C$7:$N$25,MATCH('O&amp;M'!$D382,Indicies,0),MATCH('O&amp;M'!N$4,'Control Panel'!$C$6:$N$6,0))</f>
        <v>2.1452829087813895E-2</v>
      </c>
      <c r="O382" s="127">
        <f>INDEX('Control Panel'!$C$7:$N$25,MATCH('O&amp;M'!$D382,Indicies,0),MATCH('O&amp;M'!O$4,'Control Panel'!$C$6:$N$6,0))</f>
        <v>2.1452829087813895E-2</v>
      </c>
      <c r="P382" s="762">
        <v>22.49</v>
      </c>
      <c r="Q382" s="762">
        <v>0</v>
      </c>
      <c r="R382" s="762">
        <v>500</v>
      </c>
      <c r="S382" s="762">
        <v>200</v>
      </c>
      <c r="T382" s="128">
        <f t="shared" si="358"/>
        <v>204.29056581756279</v>
      </c>
      <c r="U382" s="128">
        <f t="shared" si="359"/>
        <v>208.67317641029979</v>
      </c>
      <c r="V382" s="128">
        <f t="shared" si="360"/>
        <v>213.14980639904121</v>
      </c>
      <c r="W382" s="128">
        <f t="shared" si="361"/>
        <v>217.72247276582047</v>
      </c>
      <c r="X382" s="128">
        <f t="shared" si="362"/>
        <v>222.39323576264186</v>
      </c>
      <c r="Y382" s="128">
        <f t="shared" si="363"/>
        <v>227.16419983974373</v>
      </c>
      <c r="Z382" s="128">
        <f t="shared" si="364"/>
        <v>232.03751459377577</v>
      </c>
      <c r="AA382" s="128">
        <f t="shared" si="365"/>
        <v>237.0153757363172</v>
      </c>
      <c r="AB382" s="128">
        <f t="shared" si="366"/>
        <v>242.10002608317242</v>
      </c>
    </row>
    <row r="383" spans="2:28" x14ac:dyDescent="0.3">
      <c r="B383" s="196" t="s">
        <v>138</v>
      </c>
      <c r="C383" s="91" t="s">
        <v>130</v>
      </c>
      <c r="D383" s="126" t="s">
        <v>1480</v>
      </c>
      <c r="E383" s="410">
        <f t="shared" si="357"/>
        <v>1</v>
      </c>
      <c r="F383" s="127">
        <f>INDEX('Control Panel'!$C$7:$N$25,MATCH('O&amp;M'!$D383,Indicies,0),MATCH('O&amp;M'!F$4,'Control Panel'!$C$6:$N$6,0))</f>
        <v>2.1452829087813895E-2</v>
      </c>
      <c r="G383" s="127">
        <f>INDEX('Control Panel'!$C$7:$N$25,MATCH('O&amp;M'!$D383,Indicies,0),MATCH('O&amp;M'!G$4,'Control Panel'!$C$6:$N$6,0))</f>
        <v>2.1452829087813895E-2</v>
      </c>
      <c r="H383" s="127">
        <f>INDEX('Control Panel'!$C$7:$N$25,MATCH('O&amp;M'!$D383,Indicies,0),MATCH('O&amp;M'!H$4,'Control Panel'!$C$6:$N$6,0))</f>
        <v>2.1452829087813895E-2</v>
      </c>
      <c r="I383" s="127">
        <f>INDEX('Control Panel'!$C$7:$N$25,MATCH('O&amp;M'!$D383,Indicies,0),MATCH('O&amp;M'!I$4,'Control Panel'!$C$6:$N$6,0))</f>
        <v>2.1452829087813895E-2</v>
      </c>
      <c r="J383" s="127">
        <f>INDEX('Control Panel'!$C$7:$N$25,MATCH('O&amp;M'!$D383,Indicies,0),MATCH('O&amp;M'!J$4,'Control Panel'!$C$6:$N$6,0))</f>
        <v>2.1452829087813895E-2</v>
      </c>
      <c r="K383" s="127">
        <f>INDEX('Control Panel'!$C$7:$N$25,MATCH('O&amp;M'!$D383,Indicies,0),MATCH('O&amp;M'!K$4,'Control Panel'!$C$6:$N$6,0))</f>
        <v>2.1452829087813895E-2</v>
      </c>
      <c r="L383" s="127">
        <f>INDEX('Control Panel'!$C$7:$N$25,MATCH('O&amp;M'!$D383,Indicies,0),MATCH('O&amp;M'!L$4,'Control Panel'!$C$6:$N$6,0))</f>
        <v>2.1452829087813895E-2</v>
      </c>
      <c r="M383" s="127">
        <f>INDEX('Control Panel'!$C$7:$N$25,MATCH('O&amp;M'!$D383,Indicies,0),MATCH('O&amp;M'!M$4,'Control Panel'!$C$6:$N$6,0))</f>
        <v>2.1452829087813895E-2</v>
      </c>
      <c r="N383" s="127">
        <f>INDEX('Control Panel'!$C$7:$N$25,MATCH('O&amp;M'!$D383,Indicies,0),MATCH('O&amp;M'!N$4,'Control Panel'!$C$6:$N$6,0))</f>
        <v>2.1452829087813895E-2</v>
      </c>
      <c r="O383" s="127">
        <f>INDEX('Control Panel'!$C$7:$N$25,MATCH('O&amp;M'!$D383,Indicies,0),MATCH('O&amp;M'!O$4,'Control Panel'!$C$6:$N$6,0))</f>
        <v>2.1452829087813895E-2</v>
      </c>
      <c r="P383" s="763">
        <v>0</v>
      </c>
      <c r="Q383" s="763">
        <v>0</v>
      </c>
      <c r="R383" s="762">
        <v>0</v>
      </c>
      <c r="S383" s="762">
        <v>0</v>
      </c>
      <c r="T383" s="128">
        <f t="shared" si="358"/>
        <v>0</v>
      </c>
      <c r="U383" s="128">
        <f t="shared" si="359"/>
        <v>0</v>
      </c>
      <c r="V383" s="128">
        <f t="shared" si="360"/>
        <v>0</v>
      </c>
      <c r="W383" s="128">
        <f t="shared" si="361"/>
        <v>0</v>
      </c>
      <c r="X383" s="128">
        <f t="shared" si="362"/>
        <v>0</v>
      </c>
      <c r="Y383" s="128">
        <f t="shared" si="363"/>
        <v>0</v>
      </c>
      <c r="Z383" s="128">
        <f t="shared" si="364"/>
        <v>0</v>
      </c>
      <c r="AA383" s="128">
        <f t="shared" si="365"/>
        <v>0</v>
      </c>
      <c r="AB383" s="128">
        <f t="shared" si="366"/>
        <v>0</v>
      </c>
    </row>
    <row r="384" spans="2:28" x14ac:dyDescent="0.3">
      <c r="B384" s="196" t="s">
        <v>139</v>
      </c>
      <c r="C384" s="91" t="s">
        <v>132</v>
      </c>
      <c r="D384" s="126" t="s">
        <v>1480</v>
      </c>
      <c r="E384" s="410">
        <f t="shared" si="357"/>
        <v>1</v>
      </c>
      <c r="F384" s="127">
        <f>INDEX('Control Panel'!$C$7:$N$25,MATCH('O&amp;M'!$D384,Indicies,0),MATCH('O&amp;M'!F$4,'Control Panel'!$C$6:$N$6,0))</f>
        <v>2.1452829087813895E-2</v>
      </c>
      <c r="G384" s="127">
        <f>INDEX('Control Panel'!$C$7:$N$25,MATCH('O&amp;M'!$D384,Indicies,0),MATCH('O&amp;M'!G$4,'Control Panel'!$C$6:$N$6,0))</f>
        <v>2.1452829087813895E-2</v>
      </c>
      <c r="H384" s="127">
        <f>INDEX('Control Panel'!$C$7:$N$25,MATCH('O&amp;M'!$D384,Indicies,0),MATCH('O&amp;M'!H$4,'Control Panel'!$C$6:$N$6,0))</f>
        <v>2.1452829087813895E-2</v>
      </c>
      <c r="I384" s="127">
        <f>INDEX('Control Panel'!$C$7:$N$25,MATCH('O&amp;M'!$D384,Indicies,0),MATCH('O&amp;M'!I$4,'Control Panel'!$C$6:$N$6,0))</f>
        <v>2.1452829087813895E-2</v>
      </c>
      <c r="J384" s="127">
        <f>INDEX('Control Panel'!$C$7:$N$25,MATCH('O&amp;M'!$D384,Indicies,0),MATCH('O&amp;M'!J$4,'Control Panel'!$C$6:$N$6,0))</f>
        <v>2.1452829087813895E-2</v>
      </c>
      <c r="K384" s="127">
        <f>INDEX('Control Panel'!$C$7:$N$25,MATCH('O&amp;M'!$D384,Indicies,0),MATCH('O&amp;M'!K$4,'Control Panel'!$C$6:$N$6,0))</f>
        <v>2.1452829087813895E-2</v>
      </c>
      <c r="L384" s="127">
        <f>INDEX('Control Panel'!$C$7:$N$25,MATCH('O&amp;M'!$D384,Indicies,0),MATCH('O&amp;M'!L$4,'Control Panel'!$C$6:$N$6,0))</f>
        <v>2.1452829087813895E-2</v>
      </c>
      <c r="M384" s="127">
        <f>INDEX('Control Panel'!$C$7:$N$25,MATCH('O&amp;M'!$D384,Indicies,0),MATCH('O&amp;M'!M$4,'Control Panel'!$C$6:$N$6,0))</f>
        <v>2.1452829087813895E-2</v>
      </c>
      <c r="N384" s="127">
        <f>INDEX('Control Panel'!$C$7:$N$25,MATCH('O&amp;M'!$D384,Indicies,0),MATCH('O&amp;M'!N$4,'Control Panel'!$C$6:$N$6,0))</f>
        <v>2.1452829087813895E-2</v>
      </c>
      <c r="O384" s="127">
        <f>INDEX('Control Panel'!$C$7:$N$25,MATCH('O&amp;M'!$D384,Indicies,0),MATCH('O&amp;M'!O$4,'Control Panel'!$C$6:$N$6,0))</f>
        <v>2.1452829087813895E-2</v>
      </c>
      <c r="P384" s="762">
        <v>0</v>
      </c>
      <c r="Q384" s="762">
        <v>0</v>
      </c>
      <c r="R384" s="762">
        <v>0</v>
      </c>
      <c r="S384" s="762">
        <v>0</v>
      </c>
      <c r="T384" s="128">
        <f t="shared" si="358"/>
        <v>0</v>
      </c>
      <c r="U384" s="128">
        <f t="shared" si="359"/>
        <v>0</v>
      </c>
      <c r="V384" s="128">
        <f t="shared" si="360"/>
        <v>0</v>
      </c>
      <c r="W384" s="128">
        <f t="shared" si="361"/>
        <v>0</v>
      </c>
      <c r="X384" s="128">
        <f t="shared" si="362"/>
        <v>0</v>
      </c>
      <c r="Y384" s="128">
        <f t="shared" si="363"/>
        <v>0</v>
      </c>
      <c r="Z384" s="128">
        <f t="shared" si="364"/>
        <v>0</v>
      </c>
      <c r="AA384" s="128">
        <f t="shared" si="365"/>
        <v>0</v>
      </c>
      <c r="AB384" s="128">
        <f t="shared" si="366"/>
        <v>0</v>
      </c>
    </row>
    <row r="385" spans="2:28" x14ac:dyDescent="0.3">
      <c r="B385" s="196" t="s">
        <v>140</v>
      </c>
      <c r="C385" s="91" t="s">
        <v>141</v>
      </c>
      <c r="D385" s="126" t="s">
        <v>5</v>
      </c>
      <c r="E385" s="788">
        <f t="shared" si="357"/>
        <v>1</v>
      </c>
      <c r="F385" s="127">
        <f>INDEX('Control Panel'!$C$7:$N$25,MATCH('O&amp;M'!$D385,Indicies,0),MATCH('O&amp;M'!F$4,'Control Panel'!$C$6:$N$6,0))</f>
        <v>3.5000000000000003E-2</v>
      </c>
      <c r="G385" s="127">
        <f>INDEX('Control Panel'!$C$7:$N$25,MATCH('O&amp;M'!$D385,Indicies,0),MATCH('O&amp;M'!G$4,'Control Panel'!$C$6:$N$6,0))</f>
        <v>3.5000000000000003E-2</v>
      </c>
      <c r="H385" s="127">
        <f>INDEX('Control Panel'!$C$7:$N$25,MATCH('O&amp;M'!$D385,Indicies,0),MATCH('O&amp;M'!H$4,'Control Panel'!$C$6:$N$6,0))</f>
        <v>3.5000000000000003E-2</v>
      </c>
      <c r="I385" s="127">
        <f>INDEX('Control Panel'!$C$7:$N$25,MATCH('O&amp;M'!$D385,Indicies,0),MATCH('O&amp;M'!I$4,'Control Panel'!$C$6:$N$6,0))</f>
        <v>3.5000000000000003E-2</v>
      </c>
      <c r="J385" s="127">
        <f>INDEX('Control Panel'!$C$7:$N$25,MATCH('O&amp;M'!$D385,Indicies,0),MATCH('O&amp;M'!J$4,'Control Panel'!$C$6:$N$6,0))</f>
        <v>3.5000000000000003E-2</v>
      </c>
      <c r="K385" s="127">
        <f>INDEX('Control Panel'!$C$7:$N$25,MATCH('O&amp;M'!$D385,Indicies,0),MATCH('O&amp;M'!K$4,'Control Panel'!$C$6:$N$6,0))</f>
        <v>3.5000000000000003E-2</v>
      </c>
      <c r="L385" s="127">
        <f>INDEX('Control Panel'!$C$7:$N$25,MATCH('O&amp;M'!$D385,Indicies,0),MATCH('O&amp;M'!L$4,'Control Panel'!$C$6:$N$6,0))</f>
        <v>3.5000000000000003E-2</v>
      </c>
      <c r="M385" s="127">
        <f>INDEX('Control Panel'!$C$7:$N$25,MATCH('O&amp;M'!$D385,Indicies,0),MATCH('O&amp;M'!M$4,'Control Panel'!$C$6:$N$6,0))</f>
        <v>3.5000000000000003E-2</v>
      </c>
      <c r="N385" s="127">
        <f>INDEX('Control Panel'!$C$7:$N$25,MATCH('O&amp;M'!$D385,Indicies,0),MATCH('O&amp;M'!N$4,'Control Panel'!$C$6:$N$6,0))</f>
        <v>3.5000000000000003E-2</v>
      </c>
      <c r="O385" s="127">
        <f>INDEX('Control Panel'!$C$7:$N$25,MATCH('O&amp;M'!$D385,Indicies,0),MATCH('O&amp;M'!O$4,'Control Panel'!$C$6:$N$6,0))</f>
        <v>3.5000000000000003E-2</v>
      </c>
      <c r="P385" s="762">
        <f>'Indirect Allocation'!T34</f>
        <v>1517338.3762390614</v>
      </c>
      <c r="Q385" s="762">
        <f>'Indirect Allocation'!U34</f>
        <v>1607935.65</v>
      </c>
      <c r="R385" s="762">
        <v>1640095</v>
      </c>
      <c r="S385" s="863">
        <f>'Indirect Allocation'!W34</f>
        <v>1375247.4631000003</v>
      </c>
      <c r="T385" s="762">
        <f>'Indirect Allocation'!X34</f>
        <v>1437644.8252330667</v>
      </c>
      <c r="U385" s="762">
        <f>'Indirect Allocation'!Y34</f>
        <v>1503677.5192406212</v>
      </c>
      <c r="V385" s="762">
        <f>'Indirect Allocation'!Z34</f>
        <v>1573618.6736866734</v>
      </c>
      <c r="W385" s="762">
        <f>'Indirect Allocation'!AA34</f>
        <v>1647765.588255249</v>
      </c>
      <c r="X385" s="762">
        <f>'Indirect Allocation'!AB34</f>
        <v>1726442.0415726427</v>
      </c>
      <c r="Y385" s="762">
        <f>'Indirect Allocation'!AC34</f>
        <v>1810000.8260068281</v>
      </c>
      <c r="Z385" s="762">
        <f>'Indirect Allocation'!AD34</f>
        <v>1898826.5320091764</v>
      </c>
      <c r="AA385" s="762">
        <f>'Indirect Allocation'!AE34</f>
        <v>1993338.6068155107</v>
      </c>
      <c r="AB385" s="762">
        <f>'Indirect Allocation'!AF34</f>
        <v>2093994.7148004461</v>
      </c>
    </row>
    <row r="386" spans="2:28" x14ac:dyDescent="0.3">
      <c r="B386" s="196" t="s">
        <v>142</v>
      </c>
      <c r="C386" s="91" t="s">
        <v>143</v>
      </c>
      <c r="D386" s="126" t="s">
        <v>5</v>
      </c>
      <c r="E386" s="410">
        <f t="shared" si="357"/>
        <v>1</v>
      </c>
      <c r="F386" s="127">
        <f>INDEX('Control Panel'!$C$7:$N$25,MATCH('O&amp;M'!$D386,Indicies,0),MATCH('O&amp;M'!F$4,'Control Panel'!$C$6:$N$6,0))</f>
        <v>3.5000000000000003E-2</v>
      </c>
      <c r="G386" s="127">
        <f>INDEX('Control Panel'!$C$7:$N$25,MATCH('O&amp;M'!$D386,Indicies,0),MATCH('O&amp;M'!G$4,'Control Panel'!$C$6:$N$6,0))</f>
        <v>3.5000000000000003E-2</v>
      </c>
      <c r="H386" s="127">
        <f>INDEX('Control Panel'!$C$7:$N$25,MATCH('O&amp;M'!$D386,Indicies,0),MATCH('O&amp;M'!H$4,'Control Panel'!$C$6:$N$6,0))</f>
        <v>3.5000000000000003E-2</v>
      </c>
      <c r="I386" s="127">
        <f>INDEX('Control Panel'!$C$7:$N$25,MATCH('O&amp;M'!$D386,Indicies,0),MATCH('O&amp;M'!I$4,'Control Panel'!$C$6:$N$6,0))</f>
        <v>3.5000000000000003E-2</v>
      </c>
      <c r="J386" s="127">
        <f>INDEX('Control Panel'!$C$7:$N$25,MATCH('O&amp;M'!$D386,Indicies,0),MATCH('O&amp;M'!J$4,'Control Panel'!$C$6:$N$6,0))</f>
        <v>3.5000000000000003E-2</v>
      </c>
      <c r="K386" s="127">
        <f>INDEX('Control Panel'!$C$7:$N$25,MATCH('O&amp;M'!$D386,Indicies,0),MATCH('O&amp;M'!K$4,'Control Panel'!$C$6:$N$6,0))</f>
        <v>3.5000000000000003E-2</v>
      </c>
      <c r="L386" s="127">
        <f>INDEX('Control Panel'!$C$7:$N$25,MATCH('O&amp;M'!$D386,Indicies,0),MATCH('O&amp;M'!L$4,'Control Panel'!$C$6:$N$6,0))</f>
        <v>3.5000000000000003E-2</v>
      </c>
      <c r="M386" s="127">
        <f>INDEX('Control Panel'!$C$7:$N$25,MATCH('O&amp;M'!$D386,Indicies,0),MATCH('O&amp;M'!M$4,'Control Panel'!$C$6:$N$6,0))</f>
        <v>3.5000000000000003E-2</v>
      </c>
      <c r="N386" s="127">
        <f>INDEX('Control Panel'!$C$7:$N$25,MATCH('O&amp;M'!$D386,Indicies,0),MATCH('O&amp;M'!N$4,'Control Panel'!$C$6:$N$6,0))</f>
        <v>3.5000000000000003E-2</v>
      </c>
      <c r="O386" s="127">
        <f>INDEX('Control Panel'!$C$7:$N$25,MATCH('O&amp;M'!$D386,Indicies,0),MATCH('O&amp;M'!O$4,'Control Panel'!$C$6:$N$6,0))</f>
        <v>3.5000000000000003E-2</v>
      </c>
      <c r="P386" s="762">
        <v>225</v>
      </c>
      <c r="Q386" s="762">
        <v>450</v>
      </c>
      <c r="R386" s="762">
        <v>0</v>
      </c>
      <c r="S386" s="762">
        <v>0</v>
      </c>
      <c r="T386" s="128">
        <f t="shared" si="358"/>
        <v>0</v>
      </c>
      <c r="U386" s="128">
        <f t="shared" si="359"/>
        <v>0</v>
      </c>
      <c r="V386" s="128">
        <f t="shared" si="360"/>
        <v>0</v>
      </c>
      <c r="W386" s="128">
        <f t="shared" si="361"/>
        <v>0</v>
      </c>
      <c r="X386" s="128">
        <f t="shared" si="362"/>
        <v>0</v>
      </c>
      <c r="Y386" s="128">
        <f t="shared" si="363"/>
        <v>0</v>
      </c>
      <c r="Z386" s="128">
        <f t="shared" si="364"/>
        <v>0</v>
      </c>
      <c r="AA386" s="128">
        <f t="shared" si="365"/>
        <v>0</v>
      </c>
      <c r="AB386" s="128">
        <f t="shared" si="366"/>
        <v>0</v>
      </c>
    </row>
    <row r="387" spans="2:28" x14ac:dyDescent="0.3">
      <c r="B387" s="196" t="s">
        <v>144</v>
      </c>
      <c r="C387" s="91" t="s">
        <v>145</v>
      </c>
      <c r="D387" s="126" t="s">
        <v>5</v>
      </c>
      <c r="E387" s="410">
        <f t="shared" si="357"/>
        <v>1</v>
      </c>
      <c r="F387" s="127">
        <f>INDEX('Control Panel'!$C$7:$N$25,MATCH('O&amp;M'!$D387,Indicies,0),MATCH('O&amp;M'!F$4,'Control Panel'!$C$6:$N$6,0))</f>
        <v>3.5000000000000003E-2</v>
      </c>
      <c r="G387" s="127">
        <f>INDEX('Control Panel'!$C$7:$N$25,MATCH('O&amp;M'!$D387,Indicies,0),MATCH('O&amp;M'!G$4,'Control Panel'!$C$6:$N$6,0))</f>
        <v>3.5000000000000003E-2</v>
      </c>
      <c r="H387" s="127">
        <f>INDEX('Control Panel'!$C$7:$N$25,MATCH('O&amp;M'!$D387,Indicies,0),MATCH('O&amp;M'!H$4,'Control Panel'!$C$6:$N$6,0))</f>
        <v>3.5000000000000003E-2</v>
      </c>
      <c r="I387" s="127">
        <f>INDEX('Control Panel'!$C$7:$N$25,MATCH('O&amp;M'!$D387,Indicies,0),MATCH('O&amp;M'!I$4,'Control Panel'!$C$6:$N$6,0))</f>
        <v>3.5000000000000003E-2</v>
      </c>
      <c r="J387" s="127">
        <f>INDEX('Control Panel'!$C$7:$N$25,MATCH('O&amp;M'!$D387,Indicies,0),MATCH('O&amp;M'!J$4,'Control Panel'!$C$6:$N$6,0))</f>
        <v>3.5000000000000003E-2</v>
      </c>
      <c r="K387" s="127">
        <f>INDEX('Control Panel'!$C$7:$N$25,MATCH('O&amp;M'!$D387,Indicies,0),MATCH('O&amp;M'!K$4,'Control Panel'!$C$6:$N$6,0))</f>
        <v>3.5000000000000003E-2</v>
      </c>
      <c r="L387" s="127">
        <f>INDEX('Control Panel'!$C$7:$N$25,MATCH('O&amp;M'!$D387,Indicies,0),MATCH('O&amp;M'!L$4,'Control Panel'!$C$6:$N$6,0))</f>
        <v>3.5000000000000003E-2</v>
      </c>
      <c r="M387" s="127">
        <f>INDEX('Control Panel'!$C$7:$N$25,MATCH('O&amp;M'!$D387,Indicies,0),MATCH('O&amp;M'!M$4,'Control Panel'!$C$6:$N$6,0))</f>
        <v>3.5000000000000003E-2</v>
      </c>
      <c r="N387" s="127">
        <f>INDEX('Control Panel'!$C$7:$N$25,MATCH('O&amp;M'!$D387,Indicies,0),MATCH('O&amp;M'!N$4,'Control Panel'!$C$6:$N$6,0))</f>
        <v>3.5000000000000003E-2</v>
      </c>
      <c r="O387" s="127">
        <f>INDEX('Control Panel'!$C$7:$N$25,MATCH('O&amp;M'!$D387,Indicies,0),MATCH('O&amp;M'!O$4,'Control Panel'!$C$6:$N$6,0))</f>
        <v>3.5000000000000003E-2</v>
      </c>
      <c r="P387" s="763">
        <v>0</v>
      </c>
      <c r="Q387" s="763">
        <v>0</v>
      </c>
      <c r="R387" s="762">
        <v>12433</v>
      </c>
      <c r="S387" s="762">
        <v>15558</v>
      </c>
      <c r="T387" s="128">
        <f t="shared" si="358"/>
        <v>16102.529999999999</v>
      </c>
      <c r="U387" s="128">
        <f t="shared" si="359"/>
        <v>16666.118549999999</v>
      </c>
      <c r="V387" s="128">
        <f t="shared" si="360"/>
        <v>17249.432699249999</v>
      </c>
      <c r="W387" s="128">
        <f t="shared" si="361"/>
        <v>17853.162843723749</v>
      </c>
      <c r="X387" s="128">
        <f t="shared" si="362"/>
        <v>18478.023543254079</v>
      </c>
      <c r="Y387" s="128">
        <f t="shared" si="363"/>
        <v>19124.754367267971</v>
      </c>
      <c r="Z387" s="128">
        <f t="shared" si="364"/>
        <v>19794.12077012235</v>
      </c>
      <c r="AA387" s="128">
        <f t="shared" si="365"/>
        <v>20486.91499707663</v>
      </c>
      <c r="AB387" s="128">
        <f t="shared" si="366"/>
        <v>21203.957021974311</v>
      </c>
    </row>
    <row r="388" spans="2:28" x14ac:dyDescent="0.3">
      <c r="B388" s="197"/>
      <c r="C388" s="130" t="s">
        <v>284</v>
      </c>
      <c r="D388" s="131"/>
      <c r="E388" s="410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204">
        <f>SUM(P350:P387)</f>
        <v>9801923.7362390608</v>
      </c>
      <c r="Q388" s="204">
        <f t="shared" ref="Q388:AB388" si="367">SUM(Q350:Q387)</f>
        <v>10070961.649999999</v>
      </c>
      <c r="R388" s="204">
        <f t="shared" si="367"/>
        <v>10642459</v>
      </c>
      <c r="S388" s="204">
        <f t="shared" si="367"/>
        <v>10283263.463100001</v>
      </c>
      <c r="T388" s="204">
        <f t="shared" si="367"/>
        <v>10612761.879175544</v>
      </c>
      <c r="U388" s="204">
        <f>SUM(U350:U387)</f>
        <v>10952581.71818657</v>
      </c>
      <c r="V388" s="204">
        <f t="shared" si="367"/>
        <v>11304328.654864497</v>
      </c>
      <c r="W388" s="204">
        <f t="shared" si="367"/>
        <v>11668533.301195286</v>
      </c>
      <c r="X388" s="204">
        <f t="shared" si="367"/>
        <v>12001582.753598424</v>
      </c>
      <c r="Y388" s="204">
        <f t="shared" si="367"/>
        <v>12346058.275830673</v>
      </c>
      <c r="Z388" s="204">
        <f t="shared" si="367"/>
        <v>12702517.105840974</v>
      </c>
      <c r="AA388" s="204">
        <f t="shared" si="367"/>
        <v>13071556.118883796</v>
      </c>
      <c r="AB388" s="204">
        <f t="shared" si="367"/>
        <v>13453815.332293803</v>
      </c>
    </row>
    <row r="389" spans="2:28" x14ac:dyDescent="0.3">
      <c r="B389" s="197"/>
      <c r="C389" s="129"/>
      <c r="D389" s="132"/>
      <c r="E389" s="410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3"/>
      <c r="Q389" s="144">
        <f>(Q388-P388)/P388</f>
        <v>2.7447460417006467E-2</v>
      </c>
      <c r="R389" s="144">
        <f>(R388-Q388)/Q388</f>
        <v>5.6747048580013365E-2</v>
      </c>
      <c r="S389" s="144">
        <f>(S388-R388)/R388</f>
        <v>-3.3751178830005245E-2</v>
      </c>
      <c r="T389" s="144">
        <f t="shared" ref="T389" si="368">(T388-S388)/S388</f>
        <v>3.2042203066944636E-2</v>
      </c>
      <c r="U389" s="144">
        <f t="shared" ref="U389" si="369">(U388-T388)/T388</f>
        <v>3.2019924962023702E-2</v>
      </c>
      <c r="V389" s="144">
        <f t="shared" ref="V389" si="370">(V388-U388)/U388</f>
        <v>3.2115435951859415E-2</v>
      </c>
      <c r="W389" s="144">
        <f t="shared" ref="W389" si="371">(W388-V388)/V388</f>
        <v>3.2218157968546289E-2</v>
      </c>
      <c r="X389" s="144">
        <f t="shared" ref="X389" si="372">(X388-W388)/W388</f>
        <v>2.8542529194223662E-2</v>
      </c>
      <c r="Y389" s="144">
        <f t="shared" ref="Y389" si="373">(Y388-X388)/X388</f>
        <v>2.8702507769566111E-2</v>
      </c>
      <c r="Z389" s="144">
        <f t="shared" ref="Z389" si="374">(Z388-Y388)/Y388</f>
        <v>2.8872278264563518E-2</v>
      </c>
      <c r="AA389" s="144">
        <f t="shared" ref="AA389" si="375">(AA388-Z388)/Z388</f>
        <v>2.90524318895133E-2</v>
      </c>
      <c r="AB389" s="144">
        <f t="shared" ref="AB389" si="376">(AB388-AA388)/AA388</f>
        <v>2.9243588898935826E-2</v>
      </c>
    </row>
    <row r="390" spans="2:28" x14ac:dyDescent="0.3">
      <c r="B390" s="198" t="s">
        <v>285</v>
      </c>
      <c r="C390" s="129"/>
      <c r="D390" s="132"/>
      <c r="E390" s="410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</row>
    <row r="391" spans="2:28" s="134" customFormat="1" x14ac:dyDescent="0.3">
      <c r="B391" s="196" t="s">
        <v>146</v>
      </c>
      <c r="C391" s="91" t="s">
        <v>71</v>
      </c>
      <c r="D391" s="126" t="s">
        <v>5</v>
      </c>
      <c r="E391" s="410">
        <f t="shared" ref="E391:E412" si="377">E46+E169+E277</f>
        <v>1</v>
      </c>
      <c r="F391" s="127">
        <f>INDEX('Control Panel'!$C$7:$N$25,MATCH('O&amp;M'!$D391,Indicies,0),MATCH('O&amp;M'!F$4,'Control Panel'!$C$6:$N$6,0))</f>
        <v>3.5000000000000003E-2</v>
      </c>
      <c r="G391" s="127">
        <f>INDEX('Control Panel'!$C$7:$N$25,MATCH('O&amp;M'!$D391,Indicies,0),MATCH('O&amp;M'!G$4,'Control Panel'!$C$6:$N$6,0))</f>
        <v>3.5000000000000003E-2</v>
      </c>
      <c r="H391" s="127">
        <f>INDEX('Control Panel'!$C$7:$N$25,MATCH('O&amp;M'!$D391,Indicies,0),MATCH('O&amp;M'!H$4,'Control Panel'!$C$6:$N$6,0))</f>
        <v>3.5000000000000003E-2</v>
      </c>
      <c r="I391" s="127">
        <f>INDEX('Control Panel'!$C$7:$N$25,MATCH('O&amp;M'!$D391,Indicies,0),MATCH('O&amp;M'!I$4,'Control Panel'!$C$6:$N$6,0))</f>
        <v>3.5000000000000003E-2</v>
      </c>
      <c r="J391" s="127">
        <f>INDEX('Control Panel'!$C$7:$N$25,MATCH('O&amp;M'!$D391,Indicies,0),MATCH('O&amp;M'!J$4,'Control Panel'!$C$6:$N$6,0))</f>
        <v>3.5000000000000003E-2</v>
      </c>
      <c r="K391" s="127">
        <f>INDEX('Control Panel'!$C$7:$N$25,MATCH('O&amp;M'!$D391,Indicies,0),MATCH('O&amp;M'!K$4,'Control Panel'!$C$6:$N$6,0))</f>
        <v>3.5000000000000003E-2</v>
      </c>
      <c r="L391" s="127">
        <f>INDEX('Control Panel'!$C$7:$N$25,MATCH('O&amp;M'!$D391,Indicies,0),MATCH('O&amp;M'!L$4,'Control Panel'!$C$6:$N$6,0))</f>
        <v>3.5000000000000003E-2</v>
      </c>
      <c r="M391" s="127">
        <f>INDEX('Control Panel'!$C$7:$N$25,MATCH('O&amp;M'!$D391,Indicies,0),MATCH('O&amp;M'!M$4,'Control Panel'!$C$6:$N$6,0))</f>
        <v>3.5000000000000003E-2</v>
      </c>
      <c r="N391" s="127">
        <f>INDEX('Control Panel'!$C$7:$N$25,MATCH('O&amp;M'!$D391,Indicies,0),MATCH('O&amp;M'!N$4,'Control Panel'!$C$6:$N$6,0))</f>
        <v>3.5000000000000003E-2</v>
      </c>
      <c r="O391" s="127">
        <f>INDEX('Control Panel'!$C$7:$N$25,MATCH('O&amp;M'!$D391,Indicies,0),MATCH('O&amp;M'!O$4,'Control Panel'!$C$6:$N$6,0))</f>
        <v>3.5000000000000003E-2</v>
      </c>
      <c r="P391" s="763">
        <v>157118.54</v>
      </c>
      <c r="Q391" s="763">
        <v>122341.08</v>
      </c>
      <c r="R391" s="763">
        <v>312526</v>
      </c>
      <c r="S391" s="864">
        <v>326181</v>
      </c>
      <c r="T391" s="128">
        <f t="shared" ref="T391:T431" si="378">S391*(1+G391)</f>
        <v>337597.33499999996</v>
      </c>
      <c r="U391" s="128">
        <f t="shared" ref="U391:U431" si="379">T391*(1+H391)</f>
        <v>349413.24172499991</v>
      </c>
      <c r="V391" s="128">
        <f t="shared" ref="V391:V431" si="380">U391*(1+I391)</f>
        <v>361642.70518537489</v>
      </c>
      <c r="W391" s="128">
        <f t="shared" ref="W391:W431" si="381">V391*(1+J391)</f>
        <v>374300.19986686297</v>
      </c>
      <c r="X391" s="128">
        <f t="shared" ref="X391:X431" si="382">W391*(1+K391)</f>
        <v>387400.70686220314</v>
      </c>
      <c r="Y391" s="128">
        <f t="shared" ref="Y391:Y431" si="383">X391*(1+L391)</f>
        <v>400959.73160238023</v>
      </c>
      <c r="Z391" s="128">
        <f t="shared" ref="Z391:Z431" si="384">Y391*(1+M391)</f>
        <v>414993.32220846351</v>
      </c>
      <c r="AA391" s="128">
        <f t="shared" ref="AA391:AA431" si="385">Z391*(1+N391)</f>
        <v>429518.08848575968</v>
      </c>
      <c r="AB391" s="128">
        <f t="shared" ref="AB391:AB431" si="386">AA391*(1+O391)</f>
        <v>444551.22158276121</v>
      </c>
    </row>
    <row r="392" spans="2:28" s="134" customFormat="1" x14ac:dyDescent="0.3">
      <c r="B392" s="196" t="s">
        <v>147</v>
      </c>
      <c r="C392" s="91" t="s">
        <v>73</v>
      </c>
      <c r="D392" s="126" t="s">
        <v>5</v>
      </c>
      <c r="E392" s="410">
        <f t="shared" si="377"/>
        <v>1</v>
      </c>
      <c r="F392" s="127">
        <f>INDEX('Control Panel'!$C$7:$N$25,MATCH('O&amp;M'!$D392,Indicies,0),MATCH('O&amp;M'!F$4,'Control Panel'!$C$6:$N$6,0))</f>
        <v>3.5000000000000003E-2</v>
      </c>
      <c r="G392" s="127">
        <f>INDEX('Control Panel'!$C$7:$N$25,MATCH('O&amp;M'!$D392,Indicies,0),MATCH('O&amp;M'!G$4,'Control Panel'!$C$6:$N$6,0))</f>
        <v>3.5000000000000003E-2</v>
      </c>
      <c r="H392" s="127">
        <f>INDEX('Control Panel'!$C$7:$N$25,MATCH('O&amp;M'!$D392,Indicies,0),MATCH('O&amp;M'!H$4,'Control Panel'!$C$6:$N$6,0))</f>
        <v>3.5000000000000003E-2</v>
      </c>
      <c r="I392" s="127">
        <f>INDEX('Control Panel'!$C$7:$N$25,MATCH('O&amp;M'!$D392,Indicies,0),MATCH('O&amp;M'!I$4,'Control Panel'!$C$6:$N$6,0))</f>
        <v>3.5000000000000003E-2</v>
      </c>
      <c r="J392" s="127">
        <f>INDEX('Control Panel'!$C$7:$N$25,MATCH('O&amp;M'!$D392,Indicies,0),MATCH('O&amp;M'!J$4,'Control Panel'!$C$6:$N$6,0))</f>
        <v>3.5000000000000003E-2</v>
      </c>
      <c r="K392" s="127">
        <f>INDEX('Control Panel'!$C$7:$N$25,MATCH('O&amp;M'!$D392,Indicies,0),MATCH('O&amp;M'!K$4,'Control Panel'!$C$6:$N$6,0))</f>
        <v>3.5000000000000003E-2</v>
      </c>
      <c r="L392" s="127">
        <f>INDEX('Control Panel'!$C$7:$N$25,MATCH('O&amp;M'!$D392,Indicies,0),MATCH('O&amp;M'!L$4,'Control Panel'!$C$6:$N$6,0))</f>
        <v>3.5000000000000003E-2</v>
      </c>
      <c r="M392" s="127">
        <f>INDEX('Control Panel'!$C$7:$N$25,MATCH('O&amp;M'!$D392,Indicies,0),MATCH('O&amp;M'!M$4,'Control Panel'!$C$6:$N$6,0))</f>
        <v>3.5000000000000003E-2</v>
      </c>
      <c r="N392" s="127">
        <f>INDEX('Control Panel'!$C$7:$N$25,MATCH('O&amp;M'!$D392,Indicies,0),MATCH('O&amp;M'!N$4,'Control Panel'!$C$6:$N$6,0))</f>
        <v>3.5000000000000003E-2</v>
      </c>
      <c r="O392" s="127">
        <f>INDEX('Control Panel'!$C$7:$N$25,MATCH('O&amp;M'!$D392,Indicies,0),MATCH('O&amp;M'!O$4,'Control Panel'!$C$6:$N$6,0))</f>
        <v>3.5000000000000003E-2</v>
      </c>
      <c r="P392" s="763">
        <v>1097713.3799999999</v>
      </c>
      <c r="Q392" s="763">
        <v>1064507.2</v>
      </c>
      <c r="R392" s="763">
        <v>1191406</v>
      </c>
      <c r="S392" s="763">
        <v>1188161</v>
      </c>
      <c r="T392" s="128">
        <f t="shared" si="378"/>
        <v>1229746.635</v>
      </c>
      <c r="U392" s="128">
        <f t="shared" si="379"/>
        <v>1272787.7672249998</v>
      </c>
      <c r="V392" s="128">
        <f t="shared" si="380"/>
        <v>1317335.3390778748</v>
      </c>
      <c r="W392" s="128">
        <f t="shared" si="381"/>
        <v>1363442.0759456004</v>
      </c>
      <c r="X392" s="128">
        <f t="shared" si="382"/>
        <v>1411162.5486036963</v>
      </c>
      <c r="Y392" s="128">
        <f t="shared" si="383"/>
        <v>1460553.2378048257</v>
      </c>
      <c r="Z392" s="128">
        <f t="shared" si="384"/>
        <v>1511672.6011279945</v>
      </c>
      <c r="AA392" s="128">
        <f t="shared" si="385"/>
        <v>1564581.1421674741</v>
      </c>
      <c r="AB392" s="128">
        <f t="shared" si="386"/>
        <v>1619341.4821433355</v>
      </c>
    </row>
    <row r="393" spans="2:28" s="134" customFormat="1" x14ac:dyDescent="0.3">
      <c r="B393" s="196" t="s">
        <v>148</v>
      </c>
      <c r="C393" s="91" t="s">
        <v>75</v>
      </c>
      <c r="D393" s="126" t="s">
        <v>5</v>
      </c>
      <c r="E393" s="410">
        <f t="shared" si="377"/>
        <v>1</v>
      </c>
      <c r="F393" s="127">
        <f>INDEX('Control Panel'!$C$7:$N$25,MATCH('O&amp;M'!$D393,Indicies,0),MATCH('O&amp;M'!F$4,'Control Panel'!$C$6:$N$6,0))</f>
        <v>3.5000000000000003E-2</v>
      </c>
      <c r="G393" s="127">
        <f>INDEX('Control Panel'!$C$7:$N$25,MATCH('O&amp;M'!$D393,Indicies,0),MATCH('O&amp;M'!G$4,'Control Panel'!$C$6:$N$6,0))</f>
        <v>3.5000000000000003E-2</v>
      </c>
      <c r="H393" s="127">
        <f>INDEX('Control Panel'!$C$7:$N$25,MATCH('O&amp;M'!$D393,Indicies,0),MATCH('O&amp;M'!H$4,'Control Panel'!$C$6:$N$6,0))</f>
        <v>3.5000000000000003E-2</v>
      </c>
      <c r="I393" s="127">
        <f>INDEX('Control Panel'!$C$7:$N$25,MATCH('O&amp;M'!$D393,Indicies,0),MATCH('O&amp;M'!I$4,'Control Panel'!$C$6:$N$6,0))</f>
        <v>3.5000000000000003E-2</v>
      </c>
      <c r="J393" s="127">
        <f>INDEX('Control Panel'!$C$7:$N$25,MATCH('O&amp;M'!$D393,Indicies,0),MATCH('O&amp;M'!J$4,'Control Panel'!$C$6:$N$6,0))</f>
        <v>3.5000000000000003E-2</v>
      </c>
      <c r="K393" s="127">
        <f>INDEX('Control Panel'!$C$7:$N$25,MATCH('O&amp;M'!$D393,Indicies,0),MATCH('O&amp;M'!K$4,'Control Panel'!$C$6:$N$6,0))</f>
        <v>3.5000000000000003E-2</v>
      </c>
      <c r="L393" s="127">
        <f>INDEX('Control Panel'!$C$7:$N$25,MATCH('O&amp;M'!$D393,Indicies,0),MATCH('O&amp;M'!L$4,'Control Panel'!$C$6:$N$6,0))</f>
        <v>3.5000000000000003E-2</v>
      </c>
      <c r="M393" s="127">
        <f>INDEX('Control Panel'!$C$7:$N$25,MATCH('O&amp;M'!$D393,Indicies,0),MATCH('O&amp;M'!M$4,'Control Panel'!$C$6:$N$6,0))</f>
        <v>3.5000000000000003E-2</v>
      </c>
      <c r="N393" s="127">
        <f>INDEX('Control Panel'!$C$7:$N$25,MATCH('O&amp;M'!$D393,Indicies,0),MATCH('O&amp;M'!N$4,'Control Panel'!$C$6:$N$6,0))</f>
        <v>3.5000000000000003E-2</v>
      </c>
      <c r="O393" s="127">
        <f>INDEX('Control Panel'!$C$7:$N$25,MATCH('O&amp;M'!$D393,Indicies,0),MATCH('O&amp;M'!O$4,'Control Panel'!$C$6:$N$6,0))</f>
        <v>3.5000000000000003E-2</v>
      </c>
      <c r="P393" s="763">
        <v>128617.17</v>
      </c>
      <c r="Q393" s="763">
        <v>110629.44</v>
      </c>
      <c r="R393" s="763">
        <v>114103</v>
      </c>
      <c r="S393" s="763">
        <v>114436</v>
      </c>
      <c r="T393" s="128">
        <f t="shared" si="378"/>
        <v>118441.26</v>
      </c>
      <c r="U393" s="128">
        <f t="shared" si="379"/>
        <v>122586.70409999999</v>
      </c>
      <c r="V393" s="128">
        <f>U393*(1+I393)</f>
        <v>126877.23874349998</v>
      </c>
      <c r="W393" s="128">
        <f t="shared" si="381"/>
        <v>131317.94209952248</v>
      </c>
      <c r="X393" s="128">
        <f t="shared" si="382"/>
        <v>135914.07007300574</v>
      </c>
      <c r="Y393" s="128">
        <f t="shared" si="383"/>
        <v>140671.06252556093</v>
      </c>
      <c r="Z393" s="128">
        <f t="shared" si="384"/>
        <v>145594.54971395555</v>
      </c>
      <c r="AA393" s="128">
        <f t="shared" si="385"/>
        <v>150690.35895394397</v>
      </c>
      <c r="AB393" s="128">
        <f t="shared" si="386"/>
        <v>155964.521517332</v>
      </c>
    </row>
    <row r="394" spans="2:28" s="134" customFormat="1" x14ac:dyDescent="0.3">
      <c r="B394" s="196" t="s">
        <v>149</v>
      </c>
      <c r="C394" s="91" t="s">
        <v>77</v>
      </c>
      <c r="D394" s="126" t="s">
        <v>5</v>
      </c>
      <c r="E394" s="410">
        <f t="shared" si="377"/>
        <v>1</v>
      </c>
      <c r="F394" s="127">
        <f>INDEX('Control Panel'!$C$7:$N$25,MATCH('O&amp;M'!$D394,Indicies,0),MATCH('O&amp;M'!F$4,'Control Panel'!$C$6:$N$6,0))</f>
        <v>3.5000000000000003E-2</v>
      </c>
      <c r="G394" s="127">
        <f>INDEX('Control Panel'!$C$7:$N$25,MATCH('O&amp;M'!$D394,Indicies,0),MATCH('O&amp;M'!G$4,'Control Panel'!$C$6:$N$6,0))</f>
        <v>3.5000000000000003E-2</v>
      </c>
      <c r="H394" s="127">
        <f>INDEX('Control Panel'!$C$7:$N$25,MATCH('O&amp;M'!$D394,Indicies,0),MATCH('O&amp;M'!H$4,'Control Panel'!$C$6:$N$6,0))</f>
        <v>3.5000000000000003E-2</v>
      </c>
      <c r="I394" s="127">
        <f>INDEX('Control Panel'!$C$7:$N$25,MATCH('O&amp;M'!$D394,Indicies,0),MATCH('O&amp;M'!I$4,'Control Panel'!$C$6:$N$6,0))</f>
        <v>3.5000000000000003E-2</v>
      </c>
      <c r="J394" s="127">
        <f>INDEX('Control Panel'!$C$7:$N$25,MATCH('O&amp;M'!$D394,Indicies,0),MATCH('O&amp;M'!J$4,'Control Panel'!$C$6:$N$6,0))</f>
        <v>3.5000000000000003E-2</v>
      </c>
      <c r="K394" s="127">
        <f>INDEX('Control Panel'!$C$7:$N$25,MATCH('O&amp;M'!$D394,Indicies,0),MATCH('O&amp;M'!K$4,'Control Panel'!$C$6:$N$6,0))</f>
        <v>3.5000000000000003E-2</v>
      </c>
      <c r="L394" s="127">
        <f>INDEX('Control Panel'!$C$7:$N$25,MATCH('O&amp;M'!$D394,Indicies,0),MATCH('O&amp;M'!L$4,'Control Panel'!$C$6:$N$6,0))</f>
        <v>3.5000000000000003E-2</v>
      </c>
      <c r="M394" s="127">
        <f>INDEX('Control Panel'!$C$7:$N$25,MATCH('O&amp;M'!$D394,Indicies,0),MATCH('O&amp;M'!M$4,'Control Panel'!$C$6:$N$6,0))</f>
        <v>3.5000000000000003E-2</v>
      </c>
      <c r="N394" s="127">
        <f>INDEX('Control Panel'!$C$7:$N$25,MATCH('O&amp;M'!$D394,Indicies,0),MATCH('O&amp;M'!N$4,'Control Panel'!$C$6:$N$6,0))</f>
        <v>3.5000000000000003E-2</v>
      </c>
      <c r="O394" s="127">
        <f>INDEX('Control Panel'!$C$7:$N$25,MATCH('O&amp;M'!$D394,Indicies,0),MATCH('O&amp;M'!O$4,'Control Panel'!$C$6:$N$6,0))</f>
        <v>3.5000000000000003E-2</v>
      </c>
      <c r="P394" s="763">
        <v>82118.039999999994</v>
      </c>
      <c r="Q394" s="763">
        <v>119428.77</v>
      </c>
      <c r="R394" s="763">
        <v>70000</v>
      </c>
      <c r="S394" s="763">
        <v>70000</v>
      </c>
      <c r="T394" s="128">
        <f t="shared" si="378"/>
        <v>72450</v>
      </c>
      <c r="U394" s="128">
        <f t="shared" si="379"/>
        <v>74985.75</v>
      </c>
      <c r="V394" s="128">
        <f t="shared" si="380"/>
        <v>77610.251250000001</v>
      </c>
      <c r="W394" s="128">
        <f t="shared" si="381"/>
        <v>80326.610043749999</v>
      </c>
      <c r="X394" s="128">
        <f t="shared" si="382"/>
        <v>83138.041395281238</v>
      </c>
      <c r="Y394" s="128">
        <f t="shared" si="383"/>
        <v>86047.872844116078</v>
      </c>
      <c r="Z394" s="128">
        <f t="shared" si="384"/>
        <v>89059.548393660138</v>
      </c>
      <c r="AA394" s="128">
        <f t="shared" si="385"/>
        <v>92176.632587438231</v>
      </c>
      <c r="AB394" s="128">
        <f t="shared" si="386"/>
        <v>95402.814727998557</v>
      </c>
    </row>
    <row r="395" spans="2:28" s="134" customFormat="1" x14ac:dyDescent="0.3">
      <c r="B395" s="196" t="s">
        <v>150</v>
      </c>
      <c r="C395" s="91" t="s">
        <v>79</v>
      </c>
      <c r="D395" s="126" t="s">
        <v>5</v>
      </c>
      <c r="E395" s="410">
        <f t="shared" si="377"/>
        <v>1</v>
      </c>
      <c r="F395" s="127">
        <f>INDEX('Control Panel'!$C$7:$N$25,MATCH('O&amp;M'!$D395,Indicies,0),MATCH('O&amp;M'!F$4,'Control Panel'!$C$6:$N$6,0))</f>
        <v>3.5000000000000003E-2</v>
      </c>
      <c r="G395" s="127">
        <f>INDEX('Control Panel'!$C$7:$N$25,MATCH('O&amp;M'!$D395,Indicies,0),MATCH('O&amp;M'!G$4,'Control Panel'!$C$6:$N$6,0))</f>
        <v>3.5000000000000003E-2</v>
      </c>
      <c r="H395" s="127">
        <f>INDEX('Control Panel'!$C$7:$N$25,MATCH('O&amp;M'!$D395,Indicies,0),MATCH('O&amp;M'!H$4,'Control Panel'!$C$6:$N$6,0))</f>
        <v>3.5000000000000003E-2</v>
      </c>
      <c r="I395" s="127">
        <f>INDEX('Control Panel'!$C$7:$N$25,MATCH('O&amp;M'!$D395,Indicies,0),MATCH('O&amp;M'!I$4,'Control Panel'!$C$6:$N$6,0))</f>
        <v>3.5000000000000003E-2</v>
      </c>
      <c r="J395" s="127">
        <f>INDEX('Control Panel'!$C$7:$N$25,MATCH('O&amp;M'!$D395,Indicies,0),MATCH('O&amp;M'!J$4,'Control Panel'!$C$6:$N$6,0))</f>
        <v>3.5000000000000003E-2</v>
      </c>
      <c r="K395" s="127">
        <f>INDEX('Control Panel'!$C$7:$N$25,MATCH('O&amp;M'!$D395,Indicies,0),MATCH('O&amp;M'!K$4,'Control Panel'!$C$6:$N$6,0))</f>
        <v>3.5000000000000003E-2</v>
      </c>
      <c r="L395" s="127">
        <f>INDEX('Control Panel'!$C$7:$N$25,MATCH('O&amp;M'!$D395,Indicies,0),MATCH('O&amp;M'!L$4,'Control Panel'!$C$6:$N$6,0))</f>
        <v>3.5000000000000003E-2</v>
      </c>
      <c r="M395" s="127">
        <f>INDEX('Control Panel'!$C$7:$N$25,MATCH('O&amp;M'!$D395,Indicies,0),MATCH('O&amp;M'!M$4,'Control Panel'!$C$6:$N$6,0))</f>
        <v>3.5000000000000003E-2</v>
      </c>
      <c r="N395" s="127">
        <f>INDEX('Control Panel'!$C$7:$N$25,MATCH('O&amp;M'!$D395,Indicies,0),MATCH('O&amp;M'!N$4,'Control Panel'!$C$6:$N$6,0))</f>
        <v>3.5000000000000003E-2</v>
      </c>
      <c r="O395" s="127">
        <f>INDEX('Control Panel'!$C$7:$N$25,MATCH('O&amp;M'!$D395,Indicies,0),MATCH('O&amp;M'!O$4,'Control Panel'!$C$6:$N$6,0))</f>
        <v>3.5000000000000003E-2</v>
      </c>
      <c r="P395" s="763">
        <v>17300</v>
      </c>
      <c r="Q395" s="763">
        <v>17400</v>
      </c>
      <c r="R395" s="763">
        <v>18900</v>
      </c>
      <c r="S395" s="763">
        <v>18400</v>
      </c>
      <c r="T395" s="128">
        <f t="shared" si="378"/>
        <v>19044</v>
      </c>
      <c r="U395" s="128">
        <f t="shared" si="379"/>
        <v>19710.539999999997</v>
      </c>
      <c r="V395" s="128">
        <f t="shared" si="380"/>
        <v>20400.408899999995</v>
      </c>
      <c r="W395" s="128">
        <f t="shared" si="381"/>
        <v>21114.423211499994</v>
      </c>
      <c r="X395" s="128">
        <f t="shared" si="382"/>
        <v>21853.428023902492</v>
      </c>
      <c r="Y395" s="128">
        <f t="shared" si="383"/>
        <v>22618.298004739077</v>
      </c>
      <c r="Z395" s="128">
        <f t="shared" si="384"/>
        <v>23409.938434904943</v>
      </c>
      <c r="AA395" s="128">
        <f t="shared" si="385"/>
        <v>24229.286280126613</v>
      </c>
      <c r="AB395" s="128">
        <f t="shared" si="386"/>
        <v>25077.311299931043</v>
      </c>
    </row>
    <row r="396" spans="2:28" s="134" customFormat="1" x14ac:dyDescent="0.3">
      <c r="B396" s="196" t="s">
        <v>151</v>
      </c>
      <c r="C396" s="91" t="s">
        <v>83</v>
      </c>
      <c r="D396" s="126" t="s">
        <v>5</v>
      </c>
      <c r="E396" s="410">
        <f t="shared" si="377"/>
        <v>1</v>
      </c>
      <c r="F396" s="127">
        <f>INDEX('Control Panel'!$C$7:$N$25,MATCH('O&amp;M'!$D396,Indicies,0),MATCH('O&amp;M'!F$4,'Control Panel'!$C$6:$N$6,0))</f>
        <v>3.5000000000000003E-2</v>
      </c>
      <c r="G396" s="127">
        <f>INDEX('Control Panel'!$C$7:$N$25,MATCH('O&amp;M'!$D396,Indicies,0),MATCH('O&amp;M'!G$4,'Control Panel'!$C$6:$N$6,0))</f>
        <v>3.5000000000000003E-2</v>
      </c>
      <c r="H396" s="127">
        <f>INDEX('Control Panel'!$C$7:$N$25,MATCH('O&amp;M'!$D396,Indicies,0),MATCH('O&amp;M'!H$4,'Control Panel'!$C$6:$N$6,0))</f>
        <v>3.5000000000000003E-2</v>
      </c>
      <c r="I396" s="127">
        <f>INDEX('Control Panel'!$C$7:$N$25,MATCH('O&amp;M'!$D396,Indicies,0),MATCH('O&amp;M'!I$4,'Control Panel'!$C$6:$N$6,0))</f>
        <v>3.5000000000000003E-2</v>
      </c>
      <c r="J396" s="127">
        <f>INDEX('Control Panel'!$C$7:$N$25,MATCH('O&amp;M'!$D396,Indicies,0),MATCH('O&amp;M'!J$4,'Control Panel'!$C$6:$N$6,0))</f>
        <v>3.5000000000000003E-2</v>
      </c>
      <c r="K396" s="127">
        <f>INDEX('Control Panel'!$C$7:$N$25,MATCH('O&amp;M'!$D396,Indicies,0),MATCH('O&amp;M'!K$4,'Control Panel'!$C$6:$N$6,0))</f>
        <v>3.5000000000000003E-2</v>
      </c>
      <c r="L396" s="127">
        <f>INDEX('Control Panel'!$C$7:$N$25,MATCH('O&amp;M'!$D396,Indicies,0),MATCH('O&amp;M'!L$4,'Control Panel'!$C$6:$N$6,0))</f>
        <v>3.5000000000000003E-2</v>
      </c>
      <c r="M396" s="127">
        <f>INDEX('Control Panel'!$C$7:$N$25,MATCH('O&amp;M'!$D396,Indicies,0),MATCH('O&amp;M'!M$4,'Control Panel'!$C$6:$N$6,0))</f>
        <v>3.5000000000000003E-2</v>
      </c>
      <c r="N396" s="127">
        <f>INDEX('Control Panel'!$C$7:$N$25,MATCH('O&amp;M'!$D396,Indicies,0),MATCH('O&amp;M'!N$4,'Control Panel'!$C$6:$N$6,0))</f>
        <v>3.5000000000000003E-2</v>
      </c>
      <c r="O396" s="127">
        <f>INDEX('Control Panel'!$C$7:$N$25,MATCH('O&amp;M'!$D396,Indicies,0),MATCH('O&amp;M'!O$4,'Control Panel'!$C$6:$N$6,0))</f>
        <v>3.5000000000000003E-2</v>
      </c>
      <c r="P396" s="763">
        <v>89430.24</v>
      </c>
      <c r="Q396" s="763">
        <v>86554.58</v>
      </c>
      <c r="R396" s="763">
        <v>103356</v>
      </c>
      <c r="S396" s="864">
        <v>104347</v>
      </c>
      <c r="T396" s="128">
        <f t="shared" si="378"/>
        <v>107999.14499999999</v>
      </c>
      <c r="U396" s="128">
        <f t="shared" si="379"/>
        <v>111779.11507499998</v>
      </c>
      <c r="V396" s="128">
        <f t="shared" si="380"/>
        <v>115691.38410262497</v>
      </c>
      <c r="W396" s="128">
        <f t="shared" si="381"/>
        <v>119740.58254621684</v>
      </c>
      <c r="X396" s="128">
        <f t="shared" si="382"/>
        <v>123931.50293533443</v>
      </c>
      <c r="Y396" s="128">
        <f t="shared" si="383"/>
        <v>128269.10553807112</v>
      </c>
      <c r="Z396" s="128">
        <f t="shared" si="384"/>
        <v>132758.5242319036</v>
      </c>
      <c r="AA396" s="128">
        <f t="shared" si="385"/>
        <v>137405.07258002021</v>
      </c>
      <c r="AB396" s="128">
        <f t="shared" si="386"/>
        <v>142214.25012032091</v>
      </c>
    </row>
    <row r="397" spans="2:28" s="134" customFormat="1" x14ac:dyDescent="0.3">
      <c r="B397" s="196" t="s">
        <v>152</v>
      </c>
      <c r="C397" s="91" t="s">
        <v>85</v>
      </c>
      <c r="D397" s="126" t="s">
        <v>5</v>
      </c>
      <c r="E397" s="410">
        <f t="shared" si="377"/>
        <v>1</v>
      </c>
      <c r="F397" s="127">
        <f>INDEX('Control Panel'!$C$7:$N$25,MATCH('O&amp;M'!$D397,Indicies,0),MATCH('O&amp;M'!F$4,'Control Panel'!$C$6:$N$6,0))</f>
        <v>3.5000000000000003E-2</v>
      </c>
      <c r="G397" s="127">
        <f>INDEX('Control Panel'!$C$7:$N$25,MATCH('O&amp;M'!$D397,Indicies,0),MATCH('O&amp;M'!G$4,'Control Panel'!$C$6:$N$6,0))</f>
        <v>3.5000000000000003E-2</v>
      </c>
      <c r="H397" s="127">
        <f>INDEX('Control Panel'!$C$7:$N$25,MATCH('O&amp;M'!$D397,Indicies,0),MATCH('O&amp;M'!H$4,'Control Panel'!$C$6:$N$6,0))</f>
        <v>3.5000000000000003E-2</v>
      </c>
      <c r="I397" s="127">
        <f>INDEX('Control Panel'!$C$7:$N$25,MATCH('O&amp;M'!$D397,Indicies,0),MATCH('O&amp;M'!I$4,'Control Panel'!$C$6:$N$6,0))</f>
        <v>3.5000000000000003E-2</v>
      </c>
      <c r="J397" s="127">
        <f>INDEX('Control Panel'!$C$7:$N$25,MATCH('O&amp;M'!$D397,Indicies,0),MATCH('O&amp;M'!J$4,'Control Panel'!$C$6:$N$6,0))</f>
        <v>3.5000000000000003E-2</v>
      </c>
      <c r="K397" s="127">
        <f>INDEX('Control Panel'!$C$7:$N$25,MATCH('O&amp;M'!$D397,Indicies,0),MATCH('O&amp;M'!K$4,'Control Panel'!$C$6:$N$6,0))</f>
        <v>3.5000000000000003E-2</v>
      </c>
      <c r="L397" s="127">
        <f>INDEX('Control Panel'!$C$7:$N$25,MATCH('O&amp;M'!$D397,Indicies,0),MATCH('O&amp;M'!L$4,'Control Panel'!$C$6:$N$6,0))</f>
        <v>3.5000000000000003E-2</v>
      </c>
      <c r="M397" s="127">
        <f>INDEX('Control Panel'!$C$7:$N$25,MATCH('O&amp;M'!$D397,Indicies,0),MATCH('O&amp;M'!M$4,'Control Panel'!$C$6:$N$6,0))</f>
        <v>3.5000000000000003E-2</v>
      </c>
      <c r="N397" s="127">
        <f>INDEX('Control Panel'!$C$7:$N$25,MATCH('O&amp;M'!$D397,Indicies,0),MATCH('O&amp;M'!N$4,'Control Panel'!$C$6:$N$6,0))</f>
        <v>3.5000000000000003E-2</v>
      </c>
      <c r="O397" s="127">
        <f>INDEX('Control Panel'!$C$7:$N$25,MATCH('O&amp;M'!$D397,Indicies,0),MATCH('O&amp;M'!O$4,'Control Panel'!$C$6:$N$6,0))</f>
        <v>3.5000000000000003E-2</v>
      </c>
      <c r="P397" s="763">
        <v>185646.81</v>
      </c>
      <c r="Q397" s="763">
        <v>189429.91</v>
      </c>
      <c r="R397" s="763">
        <v>199996</v>
      </c>
      <c r="S397" s="864">
        <v>196927</v>
      </c>
      <c r="T397" s="128">
        <f t="shared" si="378"/>
        <v>203819.44499999998</v>
      </c>
      <c r="U397" s="128">
        <f t="shared" si="379"/>
        <v>210953.12557499995</v>
      </c>
      <c r="V397" s="128">
        <f t="shared" si="380"/>
        <v>218336.48497012493</v>
      </c>
      <c r="W397" s="128">
        <f t="shared" si="381"/>
        <v>225978.26194407928</v>
      </c>
      <c r="X397" s="128">
        <f t="shared" si="382"/>
        <v>233887.50111212203</v>
      </c>
      <c r="Y397" s="128">
        <f t="shared" si="383"/>
        <v>242073.56365104628</v>
      </c>
      <c r="Z397" s="128">
        <f t="shared" si="384"/>
        <v>250546.13837883287</v>
      </c>
      <c r="AA397" s="128">
        <f t="shared" si="385"/>
        <v>259315.253222092</v>
      </c>
      <c r="AB397" s="128">
        <f t="shared" si="386"/>
        <v>268391.28708486521</v>
      </c>
    </row>
    <row r="398" spans="2:28" s="134" customFormat="1" x14ac:dyDescent="0.3">
      <c r="B398" s="196" t="s">
        <v>153</v>
      </c>
      <c r="C398" s="91" t="s">
        <v>87</v>
      </c>
      <c r="D398" s="126" t="s">
        <v>6</v>
      </c>
      <c r="E398" s="410">
        <f t="shared" si="377"/>
        <v>1</v>
      </c>
      <c r="F398" s="127">
        <f>INDEX('Control Panel'!$C$7:$N$25,MATCH('O&amp;M'!$D398,Indicies,0),MATCH('O&amp;M'!F$4,'Control Panel'!$C$6:$N$6,0))</f>
        <v>0.06</v>
      </c>
      <c r="G398" s="127">
        <f>INDEX('Control Panel'!$C$7:$N$25,MATCH('O&amp;M'!$D398,Indicies,0),MATCH('O&amp;M'!G$4,'Control Panel'!$C$6:$N$6,0))</f>
        <v>0.06</v>
      </c>
      <c r="H398" s="127">
        <f>INDEX('Control Panel'!$C$7:$N$25,MATCH('O&amp;M'!$D398,Indicies,0),MATCH('O&amp;M'!H$4,'Control Panel'!$C$6:$N$6,0))</f>
        <v>0.06</v>
      </c>
      <c r="I398" s="127">
        <f>INDEX('Control Panel'!$C$7:$N$25,MATCH('O&amp;M'!$D398,Indicies,0),MATCH('O&amp;M'!I$4,'Control Panel'!$C$6:$N$6,0))</f>
        <v>0.06</v>
      </c>
      <c r="J398" s="127">
        <f>INDEX('Control Panel'!$C$7:$N$25,MATCH('O&amp;M'!$D398,Indicies,0),MATCH('O&amp;M'!J$4,'Control Panel'!$C$6:$N$6,0))</f>
        <v>0.06</v>
      </c>
      <c r="K398" s="127">
        <f>INDEX('Control Panel'!$C$7:$N$25,MATCH('O&amp;M'!$D398,Indicies,0),MATCH('O&amp;M'!K$4,'Control Panel'!$C$6:$N$6,0))</f>
        <v>0.06</v>
      </c>
      <c r="L398" s="127">
        <f>INDEX('Control Panel'!$C$7:$N$25,MATCH('O&amp;M'!$D398,Indicies,0),MATCH('O&amp;M'!L$4,'Control Panel'!$C$6:$N$6,0))</f>
        <v>0.06</v>
      </c>
      <c r="M398" s="127">
        <f>INDEX('Control Panel'!$C$7:$N$25,MATCH('O&amp;M'!$D398,Indicies,0),MATCH('O&amp;M'!M$4,'Control Panel'!$C$6:$N$6,0))</f>
        <v>0.06</v>
      </c>
      <c r="N398" s="127">
        <f>INDEX('Control Panel'!$C$7:$N$25,MATCH('O&amp;M'!$D398,Indicies,0),MATCH('O&amp;M'!N$4,'Control Panel'!$C$6:$N$6,0))</f>
        <v>0.06</v>
      </c>
      <c r="O398" s="127">
        <f>INDEX('Control Panel'!$C$7:$N$25,MATCH('O&amp;M'!$D398,Indicies,0),MATCH('O&amp;M'!O$4,'Control Panel'!$C$6:$N$6,0))</f>
        <v>0.06</v>
      </c>
      <c r="P398" s="763">
        <v>407539.09</v>
      </c>
      <c r="Q398" s="763">
        <v>402183.67</v>
      </c>
      <c r="R398" s="763">
        <v>429786</v>
      </c>
      <c r="S398" s="864">
        <v>416832</v>
      </c>
      <c r="T398" s="128">
        <f t="shared" si="378"/>
        <v>441841.92000000004</v>
      </c>
      <c r="U398" s="128">
        <f t="shared" si="379"/>
        <v>468352.43520000007</v>
      </c>
      <c r="V398" s="128">
        <f t="shared" si="380"/>
        <v>496453.58131200011</v>
      </c>
      <c r="W398" s="128">
        <f t="shared" si="381"/>
        <v>526240.79619072017</v>
      </c>
      <c r="X398" s="128">
        <f t="shared" si="382"/>
        <v>557815.24396216345</v>
      </c>
      <c r="Y398" s="128">
        <f t="shared" si="383"/>
        <v>591284.15859989333</v>
      </c>
      <c r="Z398" s="128">
        <f t="shared" si="384"/>
        <v>626761.20811588701</v>
      </c>
      <c r="AA398" s="128">
        <f t="shared" si="385"/>
        <v>664366.88060284022</v>
      </c>
      <c r="AB398" s="128">
        <f t="shared" si="386"/>
        <v>704228.89343901072</v>
      </c>
    </row>
    <row r="399" spans="2:28" s="134" customFormat="1" x14ac:dyDescent="0.3">
      <c r="B399" s="196" t="s">
        <v>154</v>
      </c>
      <c r="C399" s="91" t="s">
        <v>89</v>
      </c>
      <c r="D399" s="126" t="s">
        <v>6</v>
      </c>
      <c r="E399" s="410">
        <f t="shared" si="377"/>
        <v>1</v>
      </c>
      <c r="F399" s="127">
        <f>INDEX('Control Panel'!$C$7:$N$25,MATCH('O&amp;M'!$D399,Indicies,0),MATCH('O&amp;M'!F$4,'Control Panel'!$C$6:$N$6,0))</f>
        <v>0.06</v>
      </c>
      <c r="G399" s="127">
        <f>INDEX('Control Panel'!$C$7:$N$25,MATCH('O&amp;M'!$D399,Indicies,0),MATCH('O&amp;M'!G$4,'Control Panel'!$C$6:$N$6,0))</f>
        <v>0.06</v>
      </c>
      <c r="H399" s="127">
        <f>INDEX('Control Panel'!$C$7:$N$25,MATCH('O&amp;M'!$D399,Indicies,0),MATCH('O&amp;M'!H$4,'Control Panel'!$C$6:$N$6,0))</f>
        <v>0.06</v>
      </c>
      <c r="I399" s="127">
        <f>INDEX('Control Panel'!$C$7:$N$25,MATCH('O&amp;M'!$D399,Indicies,0),MATCH('O&amp;M'!I$4,'Control Panel'!$C$6:$N$6,0))</f>
        <v>0.06</v>
      </c>
      <c r="J399" s="127">
        <f>INDEX('Control Panel'!$C$7:$N$25,MATCH('O&amp;M'!$D399,Indicies,0),MATCH('O&amp;M'!J$4,'Control Panel'!$C$6:$N$6,0))</f>
        <v>0.06</v>
      </c>
      <c r="K399" s="127">
        <f>INDEX('Control Panel'!$C$7:$N$25,MATCH('O&amp;M'!$D399,Indicies,0),MATCH('O&amp;M'!K$4,'Control Panel'!$C$6:$N$6,0))</f>
        <v>0.06</v>
      </c>
      <c r="L399" s="127">
        <f>INDEX('Control Panel'!$C$7:$N$25,MATCH('O&amp;M'!$D399,Indicies,0),MATCH('O&amp;M'!L$4,'Control Panel'!$C$6:$N$6,0))</f>
        <v>0.06</v>
      </c>
      <c r="M399" s="127">
        <f>INDEX('Control Panel'!$C$7:$N$25,MATCH('O&amp;M'!$D399,Indicies,0),MATCH('O&amp;M'!M$4,'Control Panel'!$C$6:$N$6,0))</f>
        <v>0.06</v>
      </c>
      <c r="N399" s="127">
        <f>INDEX('Control Panel'!$C$7:$N$25,MATCH('O&amp;M'!$D399,Indicies,0),MATCH('O&amp;M'!N$4,'Control Panel'!$C$6:$N$6,0))</f>
        <v>0.06</v>
      </c>
      <c r="O399" s="127">
        <f>INDEX('Control Panel'!$C$7:$N$25,MATCH('O&amp;M'!$D399,Indicies,0),MATCH('O&amp;M'!O$4,'Control Panel'!$C$6:$N$6,0))</f>
        <v>0.06</v>
      </c>
      <c r="P399" s="862">
        <v>444357.53039867099</v>
      </c>
      <c r="Q399" s="763">
        <v>20243.189999999999</v>
      </c>
      <c r="R399" s="763">
        <v>24168</v>
      </c>
      <c r="S399" s="864">
        <v>24401</v>
      </c>
      <c r="T399" s="128">
        <f t="shared" si="378"/>
        <v>25865.06</v>
      </c>
      <c r="U399" s="128">
        <f t="shared" si="379"/>
        <v>27416.963600000003</v>
      </c>
      <c r="V399" s="128">
        <f t="shared" si="380"/>
        <v>29061.981416000006</v>
      </c>
      <c r="W399" s="128">
        <f t="shared" si="381"/>
        <v>30805.700300960008</v>
      </c>
      <c r="X399" s="128">
        <f t="shared" si="382"/>
        <v>32654.042319017612</v>
      </c>
      <c r="Y399" s="128">
        <f t="shared" si="383"/>
        <v>34613.284858158673</v>
      </c>
      <c r="Z399" s="128">
        <f t="shared" si="384"/>
        <v>36690.081949648193</v>
      </c>
      <c r="AA399" s="128">
        <f t="shared" si="385"/>
        <v>38891.486866627085</v>
      </c>
      <c r="AB399" s="128">
        <f t="shared" si="386"/>
        <v>41224.976078624713</v>
      </c>
    </row>
    <row r="400" spans="2:28" s="134" customFormat="1" x14ac:dyDescent="0.3">
      <c r="B400" s="196" t="s">
        <v>155</v>
      </c>
      <c r="C400" s="91" t="s">
        <v>91</v>
      </c>
      <c r="D400" s="126" t="s">
        <v>5</v>
      </c>
      <c r="E400" s="410">
        <f t="shared" si="377"/>
        <v>1</v>
      </c>
      <c r="F400" s="127">
        <f>INDEX('Control Panel'!$C$7:$N$25,MATCH('O&amp;M'!$D400,Indicies,0),MATCH('O&amp;M'!F$4,'Control Panel'!$C$6:$N$6,0))</f>
        <v>3.5000000000000003E-2</v>
      </c>
      <c r="G400" s="127">
        <f>INDEX('Control Panel'!$C$7:$N$25,MATCH('O&amp;M'!$D400,Indicies,0),MATCH('O&amp;M'!G$4,'Control Panel'!$C$6:$N$6,0))</f>
        <v>3.5000000000000003E-2</v>
      </c>
      <c r="H400" s="127">
        <f>INDEX('Control Panel'!$C$7:$N$25,MATCH('O&amp;M'!$D400,Indicies,0),MATCH('O&amp;M'!H$4,'Control Panel'!$C$6:$N$6,0))</f>
        <v>3.5000000000000003E-2</v>
      </c>
      <c r="I400" s="127">
        <f>INDEX('Control Panel'!$C$7:$N$25,MATCH('O&amp;M'!$D400,Indicies,0),MATCH('O&amp;M'!I$4,'Control Panel'!$C$6:$N$6,0))</f>
        <v>3.5000000000000003E-2</v>
      </c>
      <c r="J400" s="127">
        <f>INDEX('Control Panel'!$C$7:$N$25,MATCH('O&amp;M'!$D400,Indicies,0),MATCH('O&amp;M'!J$4,'Control Panel'!$C$6:$N$6,0))</f>
        <v>3.5000000000000003E-2</v>
      </c>
      <c r="K400" s="127">
        <f>INDEX('Control Panel'!$C$7:$N$25,MATCH('O&amp;M'!$D400,Indicies,0),MATCH('O&amp;M'!K$4,'Control Panel'!$C$6:$N$6,0))</f>
        <v>3.5000000000000003E-2</v>
      </c>
      <c r="L400" s="127">
        <f>INDEX('Control Panel'!$C$7:$N$25,MATCH('O&amp;M'!$D400,Indicies,0),MATCH('O&amp;M'!L$4,'Control Panel'!$C$6:$N$6,0))</f>
        <v>3.5000000000000003E-2</v>
      </c>
      <c r="M400" s="127">
        <f>INDEX('Control Panel'!$C$7:$N$25,MATCH('O&amp;M'!$D400,Indicies,0),MATCH('O&amp;M'!M$4,'Control Panel'!$C$6:$N$6,0))</f>
        <v>3.5000000000000003E-2</v>
      </c>
      <c r="N400" s="127">
        <f>INDEX('Control Panel'!$C$7:$N$25,MATCH('O&amp;M'!$D400,Indicies,0),MATCH('O&amp;M'!N$4,'Control Panel'!$C$6:$N$6,0))</f>
        <v>3.5000000000000003E-2</v>
      </c>
      <c r="O400" s="127">
        <f>INDEX('Control Panel'!$C$7:$N$25,MATCH('O&amp;M'!$D400,Indicies,0),MATCH('O&amp;M'!O$4,'Control Panel'!$C$6:$N$6,0))</f>
        <v>3.5000000000000003E-2</v>
      </c>
      <c r="P400" s="862">
        <v>447957.44502567197</v>
      </c>
      <c r="Q400" s="763">
        <v>2601.6</v>
      </c>
      <c r="R400" s="763">
        <v>15500</v>
      </c>
      <c r="S400" s="763">
        <v>15300</v>
      </c>
      <c r="T400" s="128">
        <f t="shared" si="378"/>
        <v>15835.499999999998</v>
      </c>
      <c r="U400" s="128">
        <f t="shared" si="379"/>
        <v>16389.742499999997</v>
      </c>
      <c r="V400" s="128">
        <f t="shared" si="380"/>
        <v>16963.383487499996</v>
      </c>
      <c r="W400" s="128">
        <f t="shared" si="381"/>
        <v>17557.101909562494</v>
      </c>
      <c r="X400" s="128">
        <f t="shared" si="382"/>
        <v>18171.60047639718</v>
      </c>
      <c r="Y400" s="128">
        <f t="shared" si="383"/>
        <v>18807.606493071078</v>
      </c>
      <c r="Z400" s="128">
        <f t="shared" si="384"/>
        <v>19465.872720328563</v>
      </c>
      <c r="AA400" s="128">
        <f t="shared" si="385"/>
        <v>20147.17826554006</v>
      </c>
      <c r="AB400" s="128">
        <f t="shared" si="386"/>
        <v>20852.329504833961</v>
      </c>
    </row>
    <row r="401" spans="2:28" s="134" customFormat="1" x14ac:dyDescent="0.3">
      <c r="B401" s="196" t="s">
        <v>156</v>
      </c>
      <c r="C401" s="91" t="s">
        <v>157</v>
      </c>
      <c r="D401" s="126" t="s">
        <v>5</v>
      </c>
      <c r="E401" s="410">
        <f t="shared" si="377"/>
        <v>1</v>
      </c>
      <c r="F401" s="127">
        <f>INDEX('Control Panel'!$C$7:$N$25,MATCH('O&amp;M'!$D401,Indicies,0),MATCH('O&amp;M'!F$4,'Control Panel'!$C$6:$N$6,0))</f>
        <v>3.5000000000000003E-2</v>
      </c>
      <c r="G401" s="127">
        <f>INDEX('Control Panel'!$C$7:$N$25,MATCH('O&amp;M'!$D401,Indicies,0),MATCH('O&amp;M'!G$4,'Control Panel'!$C$6:$N$6,0))</f>
        <v>3.5000000000000003E-2</v>
      </c>
      <c r="H401" s="127">
        <f>INDEX('Control Panel'!$C$7:$N$25,MATCH('O&amp;M'!$D401,Indicies,0),MATCH('O&amp;M'!H$4,'Control Panel'!$C$6:$N$6,0))</f>
        <v>3.5000000000000003E-2</v>
      </c>
      <c r="I401" s="127">
        <f>INDEX('Control Panel'!$C$7:$N$25,MATCH('O&amp;M'!$D401,Indicies,0),MATCH('O&amp;M'!I$4,'Control Panel'!$C$6:$N$6,0))</f>
        <v>3.5000000000000003E-2</v>
      </c>
      <c r="J401" s="127">
        <f>INDEX('Control Panel'!$C$7:$N$25,MATCH('O&amp;M'!$D401,Indicies,0),MATCH('O&amp;M'!J$4,'Control Panel'!$C$6:$N$6,0))</f>
        <v>3.5000000000000003E-2</v>
      </c>
      <c r="K401" s="127">
        <f>INDEX('Control Panel'!$C$7:$N$25,MATCH('O&amp;M'!$D401,Indicies,0),MATCH('O&amp;M'!K$4,'Control Panel'!$C$6:$N$6,0))</f>
        <v>3.5000000000000003E-2</v>
      </c>
      <c r="L401" s="127">
        <f>INDEX('Control Panel'!$C$7:$N$25,MATCH('O&amp;M'!$D401,Indicies,0),MATCH('O&amp;M'!L$4,'Control Panel'!$C$6:$N$6,0))</f>
        <v>3.5000000000000003E-2</v>
      </c>
      <c r="M401" s="127">
        <f>INDEX('Control Panel'!$C$7:$N$25,MATCH('O&amp;M'!$D401,Indicies,0),MATCH('O&amp;M'!M$4,'Control Panel'!$C$6:$N$6,0))</f>
        <v>3.5000000000000003E-2</v>
      </c>
      <c r="N401" s="127">
        <f>INDEX('Control Panel'!$C$7:$N$25,MATCH('O&amp;M'!$D401,Indicies,0),MATCH('O&amp;M'!N$4,'Control Panel'!$C$6:$N$6,0))</f>
        <v>3.5000000000000003E-2</v>
      </c>
      <c r="O401" s="127">
        <f>INDEX('Control Panel'!$C$7:$N$25,MATCH('O&amp;M'!$D401,Indicies,0),MATCH('O&amp;M'!O$4,'Control Panel'!$C$6:$N$6,0))</f>
        <v>3.5000000000000003E-2</v>
      </c>
      <c r="P401" s="862">
        <v>451557.35965267301</v>
      </c>
      <c r="Q401" s="763">
        <v>0</v>
      </c>
      <c r="R401" s="763">
        <v>500</v>
      </c>
      <c r="S401" s="763">
        <v>500</v>
      </c>
      <c r="T401" s="128">
        <f t="shared" si="378"/>
        <v>517.5</v>
      </c>
      <c r="U401" s="128">
        <f t="shared" si="379"/>
        <v>535.61249999999995</v>
      </c>
      <c r="V401" s="128">
        <f t="shared" si="380"/>
        <v>554.35893749999991</v>
      </c>
      <c r="W401" s="128">
        <f t="shared" si="381"/>
        <v>573.76150031249983</v>
      </c>
      <c r="X401" s="128">
        <f t="shared" si="382"/>
        <v>593.84315282343732</v>
      </c>
      <c r="Y401" s="128">
        <f t="shared" si="383"/>
        <v>614.6276631722576</v>
      </c>
      <c r="Z401" s="128">
        <f t="shared" si="384"/>
        <v>636.13963138328654</v>
      </c>
      <c r="AA401" s="128">
        <f t="shared" si="385"/>
        <v>658.40451848170153</v>
      </c>
      <c r="AB401" s="128">
        <f t="shared" si="386"/>
        <v>681.44867662856097</v>
      </c>
    </row>
    <row r="402" spans="2:28" s="134" customFormat="1" x14ac:dyDescent="0.3">
      <c r="B402" s="196" t="s">
        <v>158</v>
      </c>
      <c r="C402" s="91" t="s">
        <v>159</v>
      </c>
      <c r="D402" s="126" t="s">
        <v>1480</v>
      </c>
      <c r="E402" s="410">
        <f t="shared" si="377"/>
        <v>1</v>
      </c>
      <c r="F402" s="127">
        <f>INDEX('Control Panel'!$C$7:$N$25,MATCH('O&amp;M'!$D402,Indicies,0),MATCH('O&amp;M'!F$4,'Control Panel'!$C$6:$N$6,0))</f>
        <v>2.1452829087813895E-2</v>
      </c>
      <c r="G402" s="127">
        <f>INDEX('Control Panel'!$C$7:$N$25,MATCH('O&amp;M'!$D402,Indicies,0),MATCH('O&amp;M'!G$4,'Control Panel'!$C$6:$N$6,0))</f>
        <v>2.1452829087813895E-2</v>
      </c>
      <c r="H402" s="127">
        <f>INDEX('Control Panel'!$C$7:$N$25,MATCH('O&amp;M'!$D402,Indicies,0),MATCH('O&amp;M'!H$4,'Control Panel'!$C$6:$N$6,0))</f>
        <v>2.1452829087813895E-2</v>
      </c>
      <c r="I402" s="127">
        <f>INDEX('Control Panel'!$C$7:$N$25,MATCH('O&amp;M'!$D402,Indicies,0),MATCH('O&amp;M'!I$4,'Control Panel'!$C$6:$N$6,0))</f>
        <v>2.1452829087813895E-2</v>
      </c>
      <c r="J402" s="127">
        <f>INDEX('Control Panel'!$C$7:$N$25,MATCH('O&amp;M'!$D402,Indicies,0),MATCH('O&amp;M'!J$4,'Control Panel'!$C$6:$N$6,0))</f>
        <v>2.1452829087813895E-2</v>
      </c>
      <c r="K402" s="127">
        <f>INDEX('Control Panel'!$C$7:$N$25,MATCH('O&amp;M'!$D402,Indicies,0),MATCH('O&amp;M'!K$4,'Control Panel'!$C$6:$N$6,0))</f>
        <v>2.1452829087813895E-2</v>
      </c>
      <c r="L402" s="127">
        <f>INDEX('Control Panel'!$C$7:$N$25,MATCH('O&amp;M'!$D402,Indicies,0),MATCH('O&amp;M'!L$4,'Control Panel'!$C$6:$N$6,0))</f>
        <v>2.1452829087813895E-2</v>
      </c>
      <c r="M402" s="127">
        <f>INDEX('Control Panel'!$C$7:$N$25,MATCH('O&amp;M'!$D402,Indicies,0),MATCH('O&amp;M'!M$4,'Control Panel'!$C$6:$N$6,0))</f>
        <v>2.1452829087813895E-2</v>
      </c>
      <c r="N402" s="127">
        <f>INDEX('Control Panel'!$C$7:$N$25,MATCH('O&amp;M'!$D402,Indicies,0),MATCH('O&amp;M'!N$4,'Control Panel'!$C$6:$N$6,0))</f>
        <v>2.1452829087813895E-2</v>
      </c>
      <c r="O402" s="127">
        <f>INDEX('Control Panel'!$C$7:$N$25,MATCH('O&amp;M'!$D402,Indicies,0),MATCH('O&amp;M'!O$4,'Control Panel'!$C$6:$N$6,0))</f>
        <v>2.1452829087813895E-2</v>
      </c>
      <c r="P402" s="862">
        <v>455157.27427967399</v>
      </c>
      <c r="Q402" s="763">
        <v>4041</v>
      </c>
      <c r="R402" s="763">
        <v>5225</v>
      </c>
      <c r="S402" s="763">
        <v>5285</v>
      </c>
      <c r="T402" s="128">
        <f t="shared" si="378"/>
        <v>5398.3782017290969</v>
      </c>
      <c r="U402" s="128">
        <f t="shared" si="379"/>
        <v>5514.1886866421719</v>
      </c>
      <c r="V402" s="128">
        <f t="shared" si="380"/>
        <v>5632.483634094664</v>
      </c>
      <c r="W402" s="128">
        <f t="shared" si="381"/>
        <v>5753.3163428368061</v>
      </c>
      <c r="X402" s="128">
        <f t="shared" si="382"/>
        <v>5876.7412550278113</v>
      </c>
      <c r="Y402" s="128">
        <f t="shared" si="383"/>
        <v>6002.8139807652287</v>
      </c>
      <c r="Z402" s="128">
        <f t="shared" si="384"/>
        <v>6131.5913231405257</v>
      </c>
      <c r="AA402" s="128">
        <f t="shared" si="385"/>
        <v>6263.1313038321823</v>
      </c>
      <c r="AB402" s="128">
        <f t="shared" si="386"/>
        <v>6397.4931892478317</v>
      </c>
    </row>
    <row r="403" spans="2:28" s="134" customFormat="1" x14ac:dyDescent="0.3">
      <c r="B403" s="196" t="s">
        <v>160</v>
      </c>
      <c r="C403" s="91" t="s">
        <v>93</v>
      </c>
      <c r="D403" s="126" t="s">
        <v>1480</v>
      </c>
      <c r="E403" s="410">
        <f t="shared" si="377"/>
        <v>1</v>
      </c>
      <c r="F403" s="127">
        <f>INDEX('Control Panel'!$C$7:$N$25,MATCH('O&amp;M'!$D403,Indicies,0),MATCH('O&amp;M'!F$4,'Control Panel'!$C$6:$N$6,0))</f>
        <v>2.1452829087813895E-2</v>
      </c>
      <c r="G403" s="127">
        <f>INDEX('Control Panel'!$C$7:$N$25,MATCH('O&amp;M'!$D403,Indicies,0),MATCH('O&amp;M'!G$4,'Control Panel'!$C$6:$N$6,0))</f>
        <v>2.1452829087813895E-2</v>
      </c>
      <c r="H403" s="127">
        <f>INDEX('Control Panel'!$C$7:$N$25,MATCH('O&amp;M'!$D403,Indicies,0),MATCH('O&amp;M'!H$4,'Control Panel'!$C$6:$N$6,0))</f>
        <v>2.1452829087813895E-2</v>
      </c>
      <c r="I403" s="127">
        <f>INDEX('Control Panel'!$C$7:$N$25,MATCH('O&amp;M'!$D403,Indicies,0),MATCH('O&amp;M'!I$4,'Control Panel'!$C$6:$N$6,0))</f>
        <v>2.1452829087813895E-2</v>
      </c>
      <c r="J403" s="127">
        <f>INDEX('Control Panel'!$C$7:$N$25,MATCH('O&amp;M'!$D403,Indicies,0),MATCH('O&amp;M'!J$4,'Control Panel'!$C$6:$N$6,0))</f>
        <v>2.1452829087813895E-2</v>
      </c>
      <c r="K403" s="127">
        <f>INDEX('Control Panel'!$C$7:$N$25,MATCH('O&amp;M'!$D403,Indicies,0),MATCH('O&amp;M'!K$4,'Control Panel'!$C$6:$N$6,0))</f>
        <v>2.1452829087813895E-2</v>
      </c>
      <c r="L403" s="127">
        <f>INDEX('Control Panel'!$C$7:$N$25,MATCH('O&amp;M'!$D403,Indicies,0),MATCH('O&amp;M'!L$4,'Control Panel'!$C$6:$N$6,0))</f>
        <v>2.1452829087813895E-2</v>
      </c>
      <c r="M403" s="127">
        <f>INDEX('Control Panel'!$C$7:$N$25,MATCH('O&amp;M'!$D403,Indicies,0),MATCH('O&amp;M'!M$4,'Control Panel'!$C$6:$N$6,0))</f>
        <v>2.1452829087813895E-2</v>
      </c>
      <c r="N403" s="127">
        <f>INDEX('Control Panel'!$C$7:$N$25,MATCH('O&amp;M'!$D403,Indicies,0),MATCH('O&amp;M'!N$4,'Control Panel'!$C$6:$N$6,0))</f>
        <v>2.1452829087813895E-2</v>
      </c>
      <c r="O403" s="127">
        <f>INDEX('Control Panel'!$C$7:$N$25,MATCH('O&amp;M'!$D403,Indicies,0),MATCH('O&amp;M'!O$4,'Control Panel'!$C$6:$N$6,0))</f>
        <v>2.1452829087813895E-2</v>
      </c>
      <c r="P403" s="763">
        <v>382</v>
      </c>
      <c r="Q403" s="763">
        <v>779.33</v>
      </c>
      <c r="R403" s="763">
        <v>1600</v>
      </c>
      <c r="S403" s="763">
        <v>1000</v>
      </c>
      <c r="T403" s="128">
        <f t="shared" si="378"/>
        <v>1021.4528290878139</v>
      </c>
      <c r="U403" s="128">
        <f t="shared" si="379"/>
        <v>1043.3658820514988</v>
      </c>
      <c r="V403" s="128">
        <f t="shared" si="380"/>
        <v>1065.749031995206</v>
      </c>
      <c r="W403" s="128">
        <f t="shared" si="381"/>
        <v>1088.6123638291024</v>
      </c>
      <c r="X403" s="128">
        <f t="shared" si="382"/>
        <v>1111.9661788132094</v>
      </c>
      <c r="Y403" s="128">
        <f t="shared" si="383"/>
        <v>1135.8209991987187</v>
      </c>
      <c r="Z403" s="128">
        <f t="shared" si="384"/>
        <v>1160.1875729688788</v>
      </c>
      <c r="AA403" s="128">
        <f t="shared" si="385"/>
        <v>1185.0768786815859</v>
      </c>
      <c r="AB403" s="128">
        <f t="shared" si="386"/>
        <v>1210.500130415862</v>
      </c>
    </row>
    <row r="404" spans="2:28" s="134" customFormat="1" x14ac:dyDescent="0.3">
      <c r="B404" s="196" t="s">
        <v>161</v>
      </c>
      <c r="C404" s="91" t="s">
        <v>162</v>
      </c>
      <c r="D404" s="126" t="s">
        <v>7</v>
      </c>
      <c r="E404" s="410">
        <f t="shared" si="377"/>
        <v>1</v>
      </c>
      <c r="F404" s="127">
        <f>INDEX('Control Panel'!$C$7:$N$25,MATCH('O&amp;M'!$D404,Indicies,0),MATCH('O&amp;M'!F$4,'Control Panel'!$C$6:$N$6,0))</f>
        <v>0.03</v>
      </c>
      <c r="G404" s="127">
        <f>INDEX('Control Panel'!$C$7:$N$25,MATCH('O&amp;M'!$D404,Indicies,0),MATCH('O&amp;M'!G$4,'Control Panel'!$C$6:$N$6,0))</f>
        <v>0.03</v>
      </c>
      <c r="H404" s="127">
        <f>INDEX('Control Panel'!$C$7:$N$25,MATCH('O&amp;M'!$D404,Indicies,0),MATCH('O&amp;M'!H$4,'Control Panel'!$C$6:$N$6,0))</f>
        <v>0.03</v>
      </c>
      <c r="I404" s="127">
        <f>INDEX('Control Panel'!$C$7:$N$25,MATCH('O&amp;M'!$D404,Indicies,0),MATCH('O&amp;M'!I$4,'Control Panel'!$C$6:$N$6,0))</f>
        <v>0.03</v>
      </c>
      <c r="J404" s="127">
        <f>INDEX('Control Panel'!$C$7:$N$25,MATCH('O&amp;M'!$D404,Indicies,0),MATCH('O&amp;M'!J$4,'Control Panel'!$C$6:$N$6,0))</f>
        <v>0.03</v>
      </c>
      <c r="K404" s="127">
        <f>INDEX('Control Panel'!$C$7:$N$25,MATCH('O&amp;M'!$D404,Indicies,0),MATCH('O&amp;M'!K$4,'Control Panel'!$C$6:$N$6,0))</f>
        <v>0.03</v>
      </c>
      <c r="L404" s="127">
        <f>INDEX('Control Panel'!$C$7:$N$25,MATCH('O&amp;M'!$D404,Indicies,0),MATCH('O&amp;M'!L$4,'Control Panel'!$C$6:$N$6,0))</f>
        <v>0.03</v>
      </c>
      <c r="M404" s="127">
        <f>INDEX('Control Panel'!$C$7:$N$25,MATCH('O&amp;M'!$D404,Indicies,0),MATCH('O&amp;M'!M$4,'Control Panel'!$C$6:$N$6,0))</f>
        <v>0.03</v>
      </c>
      <c r="N404" s="127">
        <f>INDEX('Control Panel'!$C$7:$N$25,MATCH('O&amp;M'!$D404,Indicies,0),MATCH('O&amp;M'!N$4,'Control Panel'!$C$6:$N$6,0))</f>
        <v>0.03</v>
      </c>
      <c r="O404" s="127">
        <f>INDEX('Control Panel'!$C$7:$N$25,MATCH('O&amp;M'!$D404,Indicies,0),MATCH('O&amp;M'!O$4,'Control Panel'!$C$6:$N$6,0))</f>
        <v>0.03</v>
      </c>
      <c r="P404" s="763">
        <v>126</v>
      </c>
      <c r="Q404" s="763">
        <v>34.950000000000003</v>
      </c>
      <c r="R404" s="763">
        <v>700</v>
      </c>
      <c r="S404" s="763">
        <v>1300</v>
      </c>
      <c r="T404" s="128">
        <f t="shared" si="378"/>
        <v>1339</v>
      </c>
      <c r="U404" s="128">
        <f t="shared" si="379"/>
        <v>1379.17</v>
      </c>
      <c r="V404" s="128">
        <f t="shared" si="380"/>
        <v>1420.5451</v>
      </c>
      <c r="W404" s="128">
        <f t="shared" si="381"/>
        <v>1463.1614530000002</v>
      </c>
      <c r="X404" s="128">
        <f t="shared" si="382"/>
        <v>1507.0562965900001</v>
      </c>
      <c r="Y404" s="128">
        <f t="shared" si="383"/>
        <v>1552.2679854877001</v>
      </c>
      <c r="Z404" s="128">
        <f t="shared" si="384"/>
        <v>1598.8360250523313</v>
      </c>
      <c r="AA404" s="128">
        <f t="shared" si="385"/>
        <v>1646.8011058039012</v>
      </c>
      <c r="AB404" s="128">
        <f t="shared" si="386"/>
        <v>1696.2051389780183</v>
      </c>
    </row>
    <row r="405" spans="2:28" s="134" customFormat="1" x14ac:dyDescent="0.3">
      <c r="B405" s="196" t="s">
        <v>163</v>
      </c>
      <c r="C405" s="91" t="s">
        <v>95</v>
      </c>
      <c r="D405" s="126" t="s">
        <v>7</v>
      </c>
      <c r="E405" s="410">
        <f t="shared" si="377"/>
        <v>1</v>
      </c>
      <c r="F405" s="127">
        <f>INDEX('Control Panel'!$C$7:$N$25,MATCH('O&amp;M'!$D405,Indicies,0),MATCH('O&amp;M'!F$4,'Control Panel'!$C$6:$N$6,0))</f>
        <v>0.03</v>
      </c>
      <c r="G405" s="127">
        <f>INDEX('Control Panel'!$C$7:$N$25,MATCH('O&amp;M'!$D405,Indicies,0),MATCH('O&amp;M'!G$4,'Control Panel'!$C$6:$N$6,0))</f>
        <v>0.03</v>
      </c>
      <c r="H405" s="127">
        <f>INDEX('Control Panel'!$C$7:$N$25,MATCH('O&amp;M'!$D405,Indicies,0),MATCH('O&amp;M'!H$4,'Control Panel'!$C$6:$N$6,0))</f>
        <v>0.03</v>
      </c>
      <c r="I405" s="127">
        <f>INDEX('Control Panel'!$C$7:$N$25,MATCH('O&amp;M'!$D405,Indicies,0),MATCH('O&amp;M'!I$4,'Control Panel'!$C$6:$N$6,0))</f>
        <v>0.03</v>
      </c>
      <c r="J405" s="127">
        <f>INDEX('Control Panel'!$C$7:$N$25,MATCH('O&amp;M'!$D405,Indicies,0),MATCH('O&amp;M'!J$4,'Control Panel'!$C$6:$N$6,0))</f>
        <v>0.03</v>
      </c>
      <c r="K405" s="127">
        <f>INDEX('Control Panel'!$C$7:$N$25,MATCH('O&amp;M'!$D405,Indicies,0),MATCH('O&amp;M'!K$4,'Control Panel'!$C$6:$N$6,0))</f>
        <v>0.03</v>
      </c>
      <c r="L405" s="127">
        <f>INDEX('Control Panel'!$C$7:$N$25,MATCH('O&amp;M'!$D405,Indicies,0),MATCH('O&amp;M'!L$4,'Control Panel'!$C$6:$N$6,0))</f>
        <v>0.03</v>
      </c>
      <c r="M405" s="127">
        <f>INDEX('Control Panel'!$C$7:$N$25,MATCH('O&amp;M'!$D405,Indicies,0),MATCH('O&amp;M'!M$4,'Control Panel'!$C$6:$N$6,0))</f>
        <v>0.03</v>
      </c>
      <c r="N405" s="127">
        <f>INDEX('Control Panel'!$C$7:$N$25,MATCH('O&amp;M'!$D405,Indicies,0),MATCH('O&amp;M'!N$4,'Control Panel'!$C$6:$N$6,0))</f>
        <v>0.03</v>
      </c>
      <c r="O405" s="127">
        <f>INDEX('Control Panel'!$C$7:$N$25,MATCH('O&amp;M'!$D405,Indicies,0),MATCH('O&amp;M'!O$4,'Control Panel'!$C$6:$N$6,0))</f>
        <v>0.03</v>
      </c>
      <c r="P405" s="763">
        <v>2933</v>
      </c>
      <c r="Q405" s="763">
        <v>2880</v>
      </c>
      <c r="R405" s="763">
        <v>3030</v>
      </c>
      <c r="S405" s="763">
        <v>3030</v>
      </c>
      <c r="T405" s="128">
        <f t="shared" si="378"/>
        <v>3120.9</v>
      </c>
      <c r="U405" s="128">
        <f t="shared" si="379"/>
        <v>3214.527</v>
      </c>
      <c r="V405" s="128">
        <f t="shared" si="380"/>
        <v>3310.96281</v>
      </c>
      <c r="W405" s="128">
        <f t="shared" si="381"/>
        <v>3410.2916943</v>
      </c>
      <c r="X405" s="128">
        <f t="shared" si="382"/>
        <v>3512.600445129</v>
      </c>
      <c r="Y405" s="128">
        <f t="shared" si="383"/>
        <v>3617.9784584828703</v>
      </c>
      <c r="Z405" s="128">
        <f t="shared" si="384"/>
        <v>3726.5178122373563</v>
      </c>
      <c r="AA405" s="128">
        <f t="shared" si="385"/>
        <v>3838.3133466044769</v>
      </c>
      <c r="AB405" s="128">
        <f t="shared" si="386"/>
        <v>3953.4627470026112</v>
      </c>
    </row>
    <row r="406" spans="2:28" s="134" customFormat="1" x14ac:dyDescent="0.3">
      <c r="B406" s="196" t="s">
        <v>164</v>
      </c>
      <c r="C406" s="91" t="s">
        <v>165</v>
      </c>
      <c r="D406" s="126" t="s">
        <v>7</v>
      </c>
      <c r="E406" s="410">
        <f t="shared" si="377"/>
        <v>1</v>
      </c>
      <c r="F406" s="127">
        <f>INDEX('Control Panel'!$C$7:$N$25,MATCH('O&amp;M'!$D406,Indicies,0),MATCH('O&amp;M'!F$4,'Control Panel'!$C$6:$N$6,0))</f>
        <v>0.03</v>
      </c>
      <c r="G406" s="127">
        <f>INDEX('Control Panel'!$C$7:$N$25,MATCH('O&amp;M'!$D406,Indicies,0),MATCH('O&amp;M'!G$4,'Control Panel'!$C$6:$N$6,0))</f>
        <v>0.03</v>
      </c>
      <c r="H406" s="127">
        <f>INDEX('Control Panel'!$C$7:$N$25,MATCH('O&amp;M'!$D406,Indicies,0),MATCH('O&amp;M'!H$4,'Control Panel'!$C$6:$N$6,0))</f>
        <v>0.03</v>
      </c>
      <c r="I406" s="127">
        <f>INDEX('Control Panel'!$C$7:$N$25,MATCH('O&amp;M'!$D406,Indicies,0),MATCH('O&amp;M'!I$4,'Control Panel'!$C$6:$N$6,0))</f>
        <v>0.03</v>
      </c>
      <c r="J406" s="127">
        <f>INDEX('Control Panel'!$C$7:$N$25,MATCH('O&amp;M'!$D406,Indicies,0),MATCH('O&amp;M'!J$4,'Control Panel'!$C$6:$N$6,0))</f>
        <v>0.03</v>
      </c>
      <c r="K406" s="127">
        <f>INDEX('Control Panel'!$C$7:$N$25,MATCH('O&amp;M'!$D406,Indicies,0),MATCH('O&amp;M'!K$4,'Control Panel'!$C$6:$N$6,0))</f>
        <v>0.03</v>
      </c>
      <c r="L406" s="127">
        <f>INDEX('Control Panel'!$C$7:$N$25,MATCH('O&amp;M'!$D406,Indicies,0),MATCH('O&amp;M'!L$4,'Control Panel'!$C$6:$N$6,0))</f>
        <v>0.03</v>
      </c>
      <c r="M406" s="127">
        <f>INDEX('Control Panel'!$C$7:$N$25,MATCH('O&amp;M'!$D406,Indicies,0),MATCH('O&amp;M'!M$4,'Control Panel'!$C$6:$N$6,0))</f>
        <v>0.03</v>
      </c>
      <c r="N406" s="127">
        <f>INDEX('Control Panel'!$C$7:$N$25,MATCH('O&amp;M'!$D406,Indicies,0),MATCH('O&amp;M'!N$4,'Control Panel'!$C$6:$N$6,0))</f>
        <v>0.03</v>
      </c>
      <c r="O406" s="127">
        <f>INDEX('Control Panel'!$C$7:$N$25,MATCH('O&amp;M'!$D406,Indicies,0),MATCH('O&amp;M'!O$4,'Control Panel'!$C$6:$N$6,0))</f>
        <v>0.03</v>
      </c>
      <c r="P406" s="763">
        <v>16172.78</v>
      </c>
      <c r="Q406" s="763">
        <v>19146.07</v>
      </c>
      <c r="R406" s="763">
        <v>22000</v>
      </c>
      <c r="S406" s="763">
        <v>16000</v>
      </c>
      <c r="T406" s="128">
        <f t="shared" si="378"/>
        <v>16480</v>
      </c>
      <c r="U406" s="128">
        <f t="shared" si="379"/>
        <v>16974.400000000001</v>
      </c>
      <c r="V406" s="128">
        <f t="shared" si="380"/>
        <v>17483.632000000001</v>
      </c>
      <c r="W406" s="128">
        <f t="shared" si="381"/>
        <v>18008.140960000001</v>
      </c>
      <c r="X406" s="128">
        <f t="shared" si="382"/>
        <v>18548.385188800003</v>
      </c>
      <c r="Y406" s="128">
        <f t="shared" si="383"/>
        <v>19104.836744464003</v>
      </c>
      <c r="Z406" s="128">
        <f t="shared" si="384"/>
        <v>19677.981846797924</v>
      </c>
      <c r="AA406" s="128">
        <f t="shared" si="385"/>
        <v>20268.321302201861</v>
      </c>
      <c r="AB406" s="128">
        <f t="shared" si="386"/>
        <v>20876.370941267916</v>
      </c>
    </row>
    <row r="407" spans="2:28" s="134" customFormat="1" x14ac:dyDescent="0.3">
      <c r="B407" s="196" t="s">
        <v>166</v>
      </c>
      <c r="C407" s="91" t="s">
        <v>105</v>
      </c>
      <c r="D407" s="126" t="s">
        <v>7</v>
      </c>
      <c r="E407" s="410">
        <f t="shared" si="377"/>
        <v>1</v>
      </c>
      <c r="F407" s="127">
        <f>INDEX('Control Panel'!$C$7:$N$25,MATCH('O&amp;M'!$D407,Indicies,0),MATCH('O&amp;M'!F$4,'Control Panel'!$C$6:$N$6,0))</f>
        <v>0.03</v>
      </c>
      <c r="G407" s="127">
        <f>INDEX('Control Panel'!$C$7:$N$25,MATCH('O&amp;M'!$D407,Indicies,0),MATCH('O&amp;M'!G$4,'Control Panel'!$C$6:$N$6,0))</f>
        <v>0.03</v>
      </c>
      <c r="H407" s="127">
        <f>INDEX('Control Panel'!$C$7:$N$25,MATCH('O&amp;M'!$D407,Indicies,0),MATCH('O&amp;M'!H$4,'Control Panel'!$C$6:$N$6,0))</f>
        <v>0.03</v>
      </c>
      <c r="I407" s="127">
        <f>INDEX('Control Panel'!$C$7:$N$25,MATCH('O&amp;M'!$D407,Indicies,0),MATCH('O&amp;M'!I$4,'Control Panel'!$C$6:$N$6,0))</f>
        <v>0.03</v>
      </c>
      <c r="J407" s="127">
        <f>INDEX('Control Panel'!$C$7:$N$25,MATCH('O&amp;M'!$D407,Indicies,0),MATCH('O&amp;M'!J$4,'Control Panel'!$C$6:$N$6,0))</f>
        <v>0.03</v>
      </c>
      <c r="K407" s="127">
        <f>INDEX('Control Panel'!$C$7:$N$25,MATCH('O&amp;M'!$D407,Indicies,0),MATCH('O&amp;M'!K$4,'Control Panel'!$C$6:$N$6,0))</f>
        <v>0.03</v>
      </c>
      <c r="L407" s="127">
        <f>INDEX('Control Panel'!$C$7:$N$25,MATCH('O&amp;M'!$D407,Indicies,0),MATCH('O&amp;M'!L$4,'Control Panel'!$C$6:$N$6,0))</f>
        <v>0.03</v>
      </c>
      <c r="M407" s="127">
        <f>INDEX('Control Panel'!$C$7:$N$25,MATCH('O&amp;M'!$D407,Indicies,0),MATCH('O&amp;M'!M$4,'Control Panel'!$C$6:$N$6,0))</f>
        <v>0.03</v>
      </c>
      <c r="N407" s="127">
        <f>INDEX('Control Panel'!$C$7:$N$25,MATCH('O&amp;M'!$D407,Indicies,0),MATCH('O&amp;M'!N$4,'Control Panel'!$C$6:$N$6,0))</f>
        <v>0.03</v>
      </c>
      <c r="O407" s="127">
        <f>INDEX('Control Panel'!$C$7:$N$25,MATCH('O&amp;M'!$D407,Indicies,0),MATCH('O&amp;M'!O$4,'Control Panel'!$C$6:$N$6,0))</f>
        <v>0.03</v>
      </c>
      <c r="P407" s="763">
        <v>12504.45</v>
      </c>
      <c r="Q407" s="763">
        <v>9848.25</v>
      </c>
      <c r="R407" s="763">
        <v>10800</v>
      </c>
      <c r="S407" s="763">
        <v>13200</v>
      </c>
      <c r="T407" s="128">
        <f t="shared" si="378"/>
        <v>13596</v>
      </c>
      <c r="U407" s="128">
        <f t="shared" si="379"/>
        <v>14003.880000000001</v>
      </c>
      <c r="V407" s="128">
        <f t="shared" si="380"/>
        <v>14423.996400000002</v>
      </c>
      <c r="W407" s="128">
        <f t="shared" si="381"/>
        <v>14856.716292000003</v>
      </c>
      <c r="X407" s="128">
        <f t="shared" si="382"/>
        <v>15302.417780760003</v>
      </c>
      <c r="Y407" s="128">
        <f t="shared" si="383"/>
        <v>15761.490314182804</v>
      </c>
      <c r="Z407" s="128">
        <f t="shared" si="384"/>
        <v>16234.335023608288</v>
      </c>
      <c r="AA407" s="128">
        <f t="shared" si="385"/>
        <v>16721.365074316538</v>
      </c>
      <c r="AB407" s="128">
        <f t="shared" si="386"/>
        <v>17223.006026546034</v>
      </c>
    </row>
    <row r="408" spans="2:28" s="134" customFormat="1" x14ac:dyDescent="0.3">
      <c r="B408" s="196" t="s">
        <v>167</v>
      </c>
      <c r="C408" s="91" t="s">
        <v>107</v>
      </c>
      <c r="D408" s="126" t="s">
        <v>1480</v>
      </c>
      <c r="E408" s="410">
        <f t="shared" si="377"/>
        <v>1</v>
      </c>
      <c r="F408" s="127">
        <f>INDEX('Control Panel'!$C$7:$N$25,MATCH('O&amp;M'!$D408,Indicies,0),MATCH('O&amp;M'!F$4,'Control Panel'!$C$6:$N$6,0))</f>
        <v>2.1452829087813895E-2</v>
      </c>
      <c r="G408" s="127">
        <f>INDEX('Control Panel'!$C$7:$N$25,MATCH('O&amp;M'!$D408,Indicies,0),MATCH('O&amp;M'!G$4,'Control Panel'!$C$6:$N$6,0))</f>
        <v>2.1452829087813895E-2</v>
      </c>
      <c r="H408" s="127">
        <f>INDEX('Control Panel'!$C$7:$N$25,MATCH('O&amp;M'!$D408,Indicies,0),MATCH('O&amp;M'!H$4,'Control Panel'!$C$6:$N$6,0))</f>
        <v>2.1452829087813895E-2</v>
      </c>
      <c r="I408" s="127">
        <f>INDEX('Control Panel'!$C$7:$N$25,MATCH('O&amp;M'!$D408,Indicies,0),MATCH('O&amp;M'!I$4,'Control Panel'!$C$6:$N$6,0))</f>
        <v>2.1452829087813895E-2</v>
      </c>
      <c r="J408" s="127">
        <f>INDEX('Control Panel'!$C$7:$N$25,MATCH('O&amp;M'!$D408,Indicies,0),MATCH('O&amp;M'!J$4,'Control Panel'!$C$6:$N$6,0))</f>
        <v>2.1452829087813895E-2</v>
      </c>
      <c r="K408" s="127">
        <f>INDEX('Control Panel'!$C$7:$N$25,MATCH('O&amp;M'!$D408,Indicies,0),MATCH('O&amp;M'!K$4,'Control Panel'!$C$6:$N$6,0))</f>
        <v>2.1452829087813895E-2</v>
      </c>
      <c r="L408" s="127">
        <f>INDEX('Control Panel'!$C$7:$N$25,MATCH('O&amp;M'!$D408,Indicies,0),MATCH('O&amp;M'!L$4,'Control Panel'!$C$6:$N$6,0))</f>
        <v>2.1452829087813895E-2</v>
      </c>
      <c r="M408" s="127">
        <f>INDEX('Control Panel'!$C$7:$N$25,MATCH('O&amp;M'!$D408,Indicies,0),MATCH('O&amp;M'!M$4,'Control Panel'!$C$6:$N$6,0))</f>
        <v>2.1452829087813895E-2</v>
      </c>
      <c r="N408" s="127">
        <f>INDEX('Control Panel'!$C$7:$N$25,MATCH('O&amp;M'!$D408,Indicies,0),MATCH('O&amp;M'!N$4,'Control Panel'!$C$6:$N$6,0))</f>
        <v>2.1452829087813895E-2</v>
      </c>
      <c r="O408" s="127">
        <f>INDEX('Control Panel'!$C$7:$N$25,MATCH('O&amp;M'!$D408,Indicies,0),MATCH('O&amp;M'!O$4,'Control Panel'!$C$6:$N$6,0))</f>
        <v>2.1452829087813895E-2</v>
      </c>
      <c r="P408" s="763">
        <v>5347.36</v>
      </c>
      <c r="Q408" s="763">
        <v>6713.01</v>
      </c>
      <c r="R408" s="763">
        <v>12943</v>
      </c>
      <c r="S408" s="763">
        <v>10750</v>
      </c>
      <c r="T408" s="128">
        <f t="shared" si="378"/>
        <v>10980.617912694001</v>
      </c>
      <c r="U408" s="128">
        <f t="shared" si="379"/>
        <v>11216.183232053614</v>
      </c>
      <c r="V408" s="128">
        <f t="shared" si="380"/>
        <v>11456.802093948465</v>
      </c>
      <c r="W408" s="128">
        <f t="shared" si="381"/>
        <v>11702.58291116285</v>
      </c>
      <c r="X408" s="128">
        <f t="shared" si="382"/>
        <v>11953.636422242</v>
      </c>
      <c r="Y408" s="128">
        <f t="shared" si="383"/>
        <v>12210.075741386225</v>
      </c>
      <c r="Z408" s="128">
        <f t="shared" si="384"/>
        <v>12472.016409415448</v>
      </c>
      <c r="AA408" s="128">
        <f t="shared" si="385"/>
        <v>12739.57644582705</v>
      </c>
      <c r="AB408" s="128">
        <f t="shared" si="386"/>
        <v>13012.876401970518</v>
      </c>
    </row>
    <row r="409" spans="2:28" s="134" customFormat="1" x14ac:dyDescent="0.3">
      <c r="B409" s="196" t="s">
        <v>168</v>
      </c>
      <c r="C409" s="91" t="s">
        <v>112</v>
      </c>
      <c r="D409" s="126" t="s">
        <v>1480</v>
      </c>
      <c r="E409" s="410">
        <f t="shared" si="377"/>
        <v>1</v>
      </c>
      <c r="F409" s="127">
        <f>INDEX('Control Panel'!$C$7:$N$25,MATCH('O&amp;M'!$D409,Indicies,0),MATCH('O&amp;M'!F$4,'Control Panel'!$C$6:$N$6,0))</f>
        <v>2.1452829087813895E-2</v>
      </c>
      <c r="G409" s="127">
        <f>INDEX('Control Panel'!$C$7:$N$25,MATCH('O&amp;M'!$D409,Indicies,0),MATCH('O&amp;M'!G$4,'Control Panel'!$C$6:$N$6,0))</f>
        <v>2.1452829087813895E-2</v>
      </c>
      <c r="H409" s="127">
        <f>INDEX('Control Panel'!$C$7:$N$25,MATCH('O&amp;M'!$D409,Indicies,0),MATCH('O&amp;M'!H$4,'Control Panel'!$C$6:$N$6,0))</f>
        <v>2.1452829087813895E-2</v>
      </c>
      <c r="I409" s="127">
        <f>INDEX('Control Panel'!$C$7:$N$25,MATCH('O&amp;M'!$D409,Indicies,0),MATCH('O&amp;M'!I$4,'Control Panel'!$C$6:$N$6,0))</f>
        <v>2.1452829087813895E-2</v>
      </c>
      <c r="J409" s="127">
        <f>INDEX('Control Panel'!$C$7:$N$25,MATCH('O&amp;M'!$D409,Indicies,0),MATCH('O&amp;M'!J$4,'Control Panel'!$C$6:$N$6,0))</f>
        <v>2.1452829087813895E-2</v>
      </c>
      <c r="K409" s="127">
        <f>INDEX('Control Panel'!$C$7:$N$25,MATCH('O&amp;M'!$D409,Indicies,0),MATCH('O&amp;M'!K$4,'Control Panel'!$C$6:$N$6,0))</f>
        <v>2.1452829087813895E-2</v>
      </c>
      <c r="L409" s="127">
        <f>INDEX('Control Panel'!$C$7:$N$25,MATCH('O&amp;M'!$D409,Indicies,0),MATCH('O&amp;M'!L$4,'Control Panel'!$C$6:$N$6,0))</f>
        <v>2.1452829087813895E-2</v>
      </c>
      <c r="M409" s="127">
        <f>INDEX('Control Panel'!$C$7:$N$25,MATCH('O&amp;M'!$D409,Indicies,0),MATCH('O&amp;M'!M$4,'Control Panel'!$C$6:$N$6,0))</f>
        <v>2.1452829087813895E-2</v>
      </c>
      <c r="N409" s="127">
        <f>INDEX('Control Panel'!$C$7:$N$25,MATCH('O&amp;M'!$D409,Indicies,0),MATCH('O&amp;M'!N$4,'Control Panel'!$C$6:$N$6,0))</f>
        <v>2.1452829087813895E-2</v>
      </c>
      <c r="O409" s="127">
        <f>INDEX('Control Panel'!$C$7:$N$25,MATCH('O&amp;M'!$D409,Indicies,0),MATCH('O&amp;M'!O$4,'Control Panel'!$C$6:$N$6,0))</f>
        <v>2.1452829087813895E-2</v>
      </c>
      <c r="P409" s="763">
        <v>332.09</v>
      </c>
      <c r="Q409" s="763">
        <v>57.85</v>
      </c>
      <c r="R409" s="763">
        <v>1410</v>
      </c>
      <c r="S409" s="763">
        <v>1060</v>
      </c>
      <c r="T409" s="128">
        <f t="shared" si="378"/>
        <v>1082.7399988330828</v>
      </c>
      <c r="U409" s="128">
        <f t="shared" si="379"/>
        <v>1105.9678349745889</v>
      </c>
      <c r="V409" s="128">
        <f t="shared" si="380"/>
        <v>1129.6939739149184</v>
      </c>
      <c r="W409" s="128">
        <f t="shared" si="381"/>
        <v>1153.9291056588486</v>
      </c>
      <c r="X409" s="128">
        <f t="shared" si="382"/>
        <v>1178.6841495420019</v>
      </c>
      <c r="Y409" s="128">
        <f t="shared" si="383"/>
        <v>1203.9702591506418</v>
      </c>
      <c r="Z409" s="128">
        <f t="shared" si="384"/>
        <v>1229.7988273470116</v>
      </c>
      <c r="AA409" s="128">
        <f t="shared" si="385"/>
        <v>1256.1814914024812</v>
      </c>
      <c r="AB409" s="128">
        <f t="shared" si="386"/>
        <v>1283.1301382408139</v>
      </c>
    </row>
    <row r="410" spans="2:28" s="134" customFormat="1" x14ac:dyDescent="0.3">
      <c r="B410" s="196" t="s">
        <v>169</v>
      </c>
      <c r="C410" s="91" t="s">
        <v>170</v>
      </c>
      <c r="D410" s="126" t="s">
        <v>1480</v>
      </c>
      <c r="E410" s="410">
        <f t="shared" si="377"/>
        <v>1</v>
      </c>
      <c r="F410" s="127">
        <f>INDEX('Control Panel'!$C$7:$N$25,MATCH('O&amp;M'!$D410,Indicies,0),MATCH('O&amp;M'!F$4,'Control Panel'!$C$6:$N$6,0))</f>
        <v>2.1452829087813895E-2</v>
      </c>
      <c r="G410" s="127">
        <f>INDEX('Control Panel'!$C$7:$N$25,MATCH('O&amp;M'!$D410,Indicies,0),MATCH('O&amp;M'!G$4,'Control Panel'!$C$6:$N$6,0))</f>
        <v>2.1452829087813895E-2</v>
      </c>
      <c r="H410" s="127">
        <f>INDEX('Control Panel'!$C$7:$N$25,MATCH('O&amp;M'!$D410,Indicies,0),MATCH('O&amp;M'!H$4,'Control Panel'!$C$6:$N$6,0))</f>
        <v>2.1452829087813895E-2</v>
      </c>
      <c r="I410" s="127">
        <f>INDEX('Control Panel'!$C$7:$N$25,MATCH('O&amp;M'!$D410,Indicies,0),MATCH('O&amp;M'!I$4,'Control Panel'!$C$6:$N$6,0))</f>
        <v>2.1452829087813895E-2</v>
      </c>
      <c r="J410" s="127">
        <f>INDEX('Control Panel'!$C$7:$N$25,MATCH('O&amp;M'!$D410,Indicies,0),MATCH('O&amp;M'!J$4,'Control Panel'!$C$6:$N$6,0))</f>
        <v>2.1452829087813895E-2</v>
      </c>
      <c r="K410" s="127">
        <f>INDEX('Control Panel'!$C$7:$N$25,MATCH('O&amp;M'!$D410,Indicies,0),MATCH('O&amp;M'!K$4,'Control Panel'!$C$6:$N$6,0))</f>
        <v>2.1452829087813895E-2</v>
      </c>
      <c r="L410" s="127">
        <f>INDEX('Control Panel'!$C$7:$N$25,MATCH('O&amp;M'!$D410,Indicies,0),MATCH('O&amp;M'!L$4,'Control Panel'!$C$6:$N$6,0))</f>
        <v>2.1452829087813895E-2</v>
      </c>
      <c r="M410" s="127">
        <f>INDEX('Control Panel'!$C$7:$N$25,MATCH('O&amp;M'!$D410,Indicies,0),MATCH('O&amp;M'!M$4,'Control Panel'!$C$6:$N$6,0))</f>
        <v>2.1452829087813895E-2</v>
      </c>
      <c r="N410" s="127">
        <f>INDEX('Control Panel'!$C$7:$N$25,MATCH('O&amp;M'!$D410,Indicies,0),MATCH('O&amp;M'!N$4,'Control Panel'!$C$6:$N$6,0))</f>
        <v>2.1452829087813895E-2</v>
      </c>
      <c r="O410" s="127">
        <f>INDEX('Control Panel'!$C$7:$N$25,MATCH('O&amp;M'!$D410,Indicies,0),MATCH('O&amp;M'!O$4,'Control Panel'!$C$6:$N$6,0))</f>
        <v>2.1452829087813895E-2</v>
      </c>
      <c r="P410" s="763">
        <v>1440.39</v>
      </c>
      <c r="Q410" s="763">
        <v>1979.82</v>
      </c>
      <c r="R410" s="763">
        <v>1600</v>
      </c>
      <c r="S410" s="763">
        <v>1600</v>
      </c>
      <c r="T410" s="128">
        <f t="shared" si="378"/>
        <v>1634.3245265405023</v>
      </c>
      <c r="U410" s="128">
        <f t="shared" si="379"/>
        <v>1669.3854112823983</v>
      </c>
      <c r="V410" s="128">
        <f t="shared" si="380"/>
        <v>1705.1984511923297</v>
      </c>
      <c r="W410" s="128">
        <f t="shared" si="381"/>
        <v>1741.7797821265638</v>
      </c>
      <c r="X410" s="128">
        <f t="shared" si="382"/>
        <v>1779.1458861011349</v>
      </c>
      <c r="Y410" s="128">
        <f t="shared" si="383"/>
        <v>1817.3135987179498</v>
      </c>
      <c r="Z410" s="128">
        <f t="shared" si="384"/>
        <v>1856.3001167502061</v>
      </c>
      <c r="AA410" s="128">
        <f t="shared" si="385"/>
        <v>1896.1230058905376</v>
      </c>
      <c r="AB410" s="128">
        <f t="shared" si="386"/>
        <v>1936.8002086653794</v>
      </c>
    </row>
    <row r="411" spans="2:28" s="134" customFormat="1" x14ac:dyDescent="0.3">
      <c r="B411" s="196" t="s">
        <v>171</v>
      </c>
      <c r="C411" s="91" t="s">
        <v>116</v>
      </c>
      <c r="D411" s="126" t="s">
        <v>1480</v>
      </c>
      <c r="E411" s="410">
        <f t="shared" si="377"/>
        <v>1</v>
      </c>
      <c r="F411" s="127">
        <f>INDEX('Control Panel'!$C$7:$N$25,MATCH('O&amp;M'!$D411,Indicies,0),MATCH('O&amp;M'!F$4,'Control Panel'!$C$6:$N$6,0))</f>
        <v>2.1452829087813895E-2</v>
      </c>
      <c r="G411" s="127">
        <f>INDEX('Control Panel'!$C$7:$N$25,MATCH('O&amp;M'!$D411,Indicies,0),MATCH('O&amp;M'!G$4,'Control Panel'!$C$6:$N$6,0))</f>
        <v>2.1452829087813895E-2</v>
      </c>
      <c r="H411" s="127">
        <f>INDEX('Control Panel'!$C$7:$N$25,MATCH('O&amp;M'!$D411,Indicies,0),MATCH('O&amp;M'!H$4,'Control Panel'!$C$6:$N$6,0))</f>
        <v>2.1452829087813895E-2</v>
      </c>
      <c r="I411" s="127">
        <f>INDEX('Control Panel'!$C$7:$N$25,MATCH('O&amp;M'!$D411,Indicies,0),MATCH('O&amp;M'!I$4,'Control Panel'!$C$6:$N$6,0))</f>
        <v>2.1452829087813895E-2</v>
      </c>
      <c r="J411" s="127">
        <f>INDEX('Control Panel'!$C$7:$N$25,MATCH('O&amp;M'!$D411,Indicies,0),MATCH('O&amp;M'!J$4,'Control Panel'!$C$6:$N$6,0))</f>
        <v>2.1452829087813895E-2</v>
      </c>
      <c r="K411" s="127">
        <f>INDEX('Control Panel'!$C$7:$N$25,MATCH('O&amp;M'!$D411,Indicies,0),MATCH('O&amp;M'!K$4,'Control Panel'!$C$6:$N$6,0))</f>
        <v>2.1452829087813895E-2</v>
      </c>
      <c r="L411" s="127">
        <f>INDEX('Control Panel'!$C$7:$N$25,MATCH('O&amp;M'!$D411,Indicies,0),MATCH('O&amp;M'!L$4,'Control Panel'!$C$6:$N$6,0))</f>
        <v>2.1452829087813895E-2</v>
      </c>
      <c r="M411" s="127">
        <f>INDEX('Control Panel'!$C$7:$N$25,MATCH('O&amp;M'!$D411,Indicies,0),MATCH('O&amp;M'!M$4,'Control Panel'!$C$6:$N$6,0))</f>
        <v>2.1452829087813895E-2</v>
      </c>
      <c r="N411" s="127">
        <f>INDEX('Control Panel'!$C$7:$N$25,MATCH('O&amp;M'!$D411,Indicies,0),MATCH('O&amp;M'!N$4,'Control Panel'!$C$6:$N$6,0))</f>
        <v>2.1452829087813895E-2</v>
      </c>
      <c r="O411" s="127">
        <f>INDEX('Control Panel'!$C$7:$N$25,MATCH('O&amp;M'!$D411,Indicies,0),MATCH('O&amp;M'!O$4,'Control Panel'!$C$6:$N$6,0))</f>
        <v>2.1452829087813895E-2</v>
      </c>
      <c r="P411" s="763">
        <v>381.06</v>
      </c>
      <c r="Q411" s="763">
        <v>315.18</v>
      </c>
      <c r="R411" s="763">
        <v>1500</v>
      </c>
      <c r="S411" s="763">
        <v>1000</v>
      </c>
      <c r="T411" s="128">
        <f t="shared" si="378"/>
        <v>1021.4528290878139</v>
      </c>
      <c r="U411" s="128">
        <f t="shared" si="379"/>
        <v>1043.3658820514988</v>
      </c>
      <c r="V411" s="128">
        <f t="shared" si="380"/>
        <v>1065.749031995206</v>
      </c>
      <c r="W411" s="128">
        <f t="shared" si="381"/>
        <v>1088.6123638291024</v>
      </c>
      <c r="X411" s="128">
        <f t="shared" si="382"/>
        <v>1111.9661788132094</v>
      </c>
      <c r="Y411" s="128">
        <f t="shared" si="383"/>
        <v>1135.8209991987187</v>
      </c>
      <c r="Z411" s="128">
        <f t="shared" si="384"/>
        <v>1160.1875729688788</v>
      </c>
      <c r="AA411" s="128">
        <f t="shared" si="385"/>
        <v>1185.0768786815859</v>
      </c>
      <c r="AB411" s="128">
        <f t="shared" si="386"/>
        <v>1210.500130415862</v>
      </c>
    </row>
    <row r="412" spans="2:28" s="134" customFormat="1" x14ac:dyDescent="0.3">
      <c r="B412" s="196" t="s">
        <v>172</v>
      </c>
      <c r="C412" s="91" t="s">
        <v>173</v>
      </c>
      <c r="D412" s="126" t="s">
        <v>7</v>
      </c>
      <c r="E412" s="410">
        <f t="shared" si="377"/>
        <v>1</v>
      </c>
      <c r="F412" s="127">
        <f>INDEX('Control Panel'!$C$7:$N$25,MATCH('O&amp;M'!$D412,Indicies,0),MATCH('O&amp;M'!F$4,'Control Panel'!$C$6:$N$6,0))</f>
        <v>0.03</v>
      </c>
      <c r="G412" s="127">
        <f>INDEX('Control Panel'!$C$7:$N$25,MATCH('O&amp;M'!$D412,Indicies,0),MATCH('O&amp;M'!G$4,'Control Panel'!$C$6:$N$6,0))</f>
        <v>0.03</v>
      </c>
      <c r="H412" s="127">
        <f>INDEX('Control Panel'!$C$7:$N$25,MATCH('O&amp;M'!$D412,Indicies,0),MATCH('O&amp;M'!H$4,'Control Panel'!$C$6:$N$6,0))</f>
        <v>0.03</v>
      </c>
      <c r="I412" s="127">
        <f>INDEX('Control Panel'!$C$7:$N$25,MATCH('O&amp;M'!$D412,Indicies,0),MATCH('O&amp;M'!I$4,'Control Panel'!$C$6:$N$6,0))</f>
        <v>0.03</v>
      </c>
      <c r="J412" s="127">
        <f>INDEX('Control Panel'!$C$7:$N$25,MATCH('O&amp;M'!$D412,Indicies,0),MATCH('O&amp;M'!J$4,'Control Panel'!$C$6:$N$6,0))</f>
        <v>0.03</v>
      </c>
      <c r="K412" s="127">
        <f>INDEX('Control Panel'!$C$7:$N$25,MATCH('O&amp;M'!$D412,Indicies,0),MATCH('O&amp;M'!K$4,'Control Panel'!$C$6:$N$6,0))</f>
        <v>0.03</v>
      </c>
      <c r="L412" s="127">
        <f>INDEX('Control Panel'!$C$7:$N$25,MATCH('O&amp;M'!$D412,Indicies,0),MATCH('O&amp;M'!L$4,'Control Panel'!$C$6:$N$6,0))</f>
        <v>0.03</v>
      </c>
      <c r="M412" s="127">
        <f>INDEX('Control Panel'!$C$7:$N$25,MATCH('O&amp;M'!$D412,Indicies,0),MATCH('O&amp;M'!M$4,'Control Panel'!$C$6:$N$6,0))</f>
        <v>0.03</v>
      </c>
      <c r="N412" s="127">
        <f>INDEX('Control Panel'!$C$7:$N$25,MATCH('O&amp;M'!$D412,Indicies,0),MATCH('O&amp;M'!N$4,'Control Panel'!$C$6:$N$6,0))</f>
        <v>0.03</v>
      </c>
      <c r="O412" s="127">
        <f>INDEX('Control Panel'!$C$7:$N$25,MATCH('O&amp;M'!$D412,Indicies,0),MATCH('O&amp;M'!O$4,'Control Panel'!$C$6:$N$6,0))</f>
        <v>0.03</v>
      </c>
      <c r="P412" s="763">
        <v>126387</v>
      </c>
      <c r="Q412" s="763">
        <v>127748.04</v>
      </c>
      <c r="R412" s="763">
        <v>139665</v>
      </c>
      <c r="S412" s="763">
        <v>145226</v>
      </c>
      <c r="T412" s="128">
        <f t="shared" si="378"/>
        <v>149582.78</v>
      </c>
      <c r="U412" s="128">
        <f t="shared" si="379"/>
        <v>154070.2634</v>
      </c>
      <c r="V412" s="128">
        <f t="shared" si="380"/>
        <v>158692.37130200001</v>
      </c>
      <c r="W412" s="128">
        <f t="shared" si="381"/>
        <v>163453.14244106002</v>
      </c>
      <c r="X412" s="128">
        <f t="shared" si="382"/>
        <v>168356.73671429182</v>
      </c>
      <c r="Y412" s="128">
        <f t="shared" si="383"/>
        <v>173407.43881572058</v>
      </c>
      <c r="Z412" s="128">
        <f t="shared" si="384"/>
        <v>178609.66198019221</v>
      </c>
      <c r="AA412" s="128">
        <f t="shared" si="385"/>
        <v>183967.95183959798</v>
      </c>
      <c r="AB412" s="128">
        <f t="shared" si="386"/>
        <v>189486.99039478591</v>
      </c>
    </row>
    <row r="413" spans="2:28" s="134" customFormat="1" x14ac:dyDescent="0.3">
      <c r="B413" s="196" t="s">
        <v>2014</v>
      </c>
      <c r="C413" s="91" t="s">
        <v>2015</v>
      </c>
      <c r="D413" s="126" t="s">
        <v>1480</v>
      </c>
      <c r="E413" s="410">
        <f>E67+E190+E298</f>
        <v>1</v>
      </c>
      <c r="F413" s="127">
        <f>INDEX('Control Panel'!$C$7:$N$25,MATCH('O&amp;M'!$D413,Indicies,0),MATCH('O&amp;M'!F$4,'Control Panel'!$C$6:$N$6,0))</f>
        <v>2.1452829087813895E-2</v>
      </c>
      <c r="G413" s="127">
        <f>INDEX('Control Panel'!$C$7:$N$25,MATCH('O&amp;M'!$D413,Indicies,0),MATCH('O&amp;M'!G$4,'Control Panel'!$C$6:$N$6,0))</f>
        <v>2.1452829087813895E-2</v>
      </c>
      <c r="H413" s="127">
        <f>INDEX('Control Panel'!$C$7:$N$25,MATCH('O&amp;M'!$D413,Indicies,0),MATCH('O&amp;M'!H$4,'Control Panel'!$C$6:$N$6,0))</f>
        <v>2.1452829087813895E-2</v>
      </c>
      <c r="I413" s="127">
        <f>INDEX('Control Panel'!$C$7:$N$25,MATCH('O&amp;M'!$D413,Indicies,0),MATCH('O&amp;M'!I$4,'Control Panel'!$C$6:$N$6,0))</f>
        <v>2.1452829087813895E-2</v>
      </c>
      <c r="J413" s="127">
        <f>INDEX('Control Panel'!$C$7:$N$25,MATCH('O&amp;M'!$D413,Indicies,0),MATCH('O&amp;M'!J$4,'Control Panel'!$C$6:$N$6,0))</f>
        <v>2.1452829087813895E-2</v>
      </c>
      <c r="K413" s="127">
        <f>INDEX('Control Panel'!$C$7:$N$25,MATCH('O&amp;M'!$D413,Indicies,0),MATCH('O&amp;M'!K$4,'Control Panel'!$C$6:$N$6,0))</f>
        <v>2.1452829087813895E-2</v>
      </c>
      <c r="L413" s="127">
        <f>INDEX('Control Panel'!$C$7:$N$25,MATCH('O&amp;M'!$D413,Indicies,0),MATCH('O&amp;M'!L$4,'Control Panel'!$C$6:$N$6,0))</f>
        <v>2.1452829087813895E-2</v>
      </c>
      <c r="M413" s="127">
        <f>INDEX('Control Panel'!$C$7:$N$25,MATCH('O&amp;M'!$D413,Indicies,0),MATCH('O&amp;M'!M$4,'Control Panel'!$C$6:$N$6,0))</f>
        <v>2.1452829087813895E-2</v>
      </c>
      <c r="N413" s="127">
        <f>INDEX('Control Panel'!$C$7:$N$25,MATCH('O&amp;M'!$D413,Indicies,0),MATCH('O&amp;M'!N$4,'Control Panel'!$C$6:$N$6,0))</f>
        <v>2.1452829087813895E-2</v>
      </c>
      <c r="O413" s="127">
        <f>INDEX('Control Panel'!$C$7:$N$25,MATCH('O&amp;M'!$D413,Indicies,0),MATCH('O&amp;M'!O$4,'Control Panel'!$C$6:$N$6,0))</f>
        <v>2.1452829087813895E-2</v>
      </c>
      <c r="P413" s="763">
        <v>0</v>
      </c>
      <c r="Q413" s="763">
        <v>0</v>
      </c>
      <c r="R413" s="763">
        <v>0</v>
      </c>
      <c r="S413" s="864">
        <v>443</v>
      </c>
      <c r="T413" s="128">
        <f t="shared" ref="T413" si="387">S413*(1+G413)</f>
        <v>452.50360328590159</v>
      </c>
      <c r="U413" s="128">
        <f t="shared" ref="U413" si="388">T413*(1+H413)</f>
        <v>462.21108574881401</v>
      </c>
      <c r="V413" s="128">
        <f t="shared" ref="V413" si="389">U413*(1+I413)</f>
        <v>472.12682117387624</v>
      </c>
      <c r="W413" s="128">
        <f t="shared" ref="W413" si="390">V413*(1+J413)</f>
        <v>482.25527717629234</v>
      </c>
      <c r="X413" s="128">
        <f t="shared" ref="X413" si="391">W413*(1+K413)</f>
        <v>492.60101721425173</v>
      </c>
      <c r="Y413" s="128">
        <f t="shared" ref="Y413" si="392">X413*(1+L413)</f>
        <v>503.1687026450324</v>
      </c>
      <c r="Z413" s="128">
        <f t="shared" ref="Z413" si="393">Y413*(1+M413)</f>
        <v>513.96309482521337</v>
      </c>
      <c r="AA413" s="128">
        <f t="shared" ref="AA413" si="394">Z413*(1+N413)</f>
        <v>524.98905725594261</v>
      </c>
      <c r="AB413" s="128">
        <f t="shared" ref="AB413" si="395">AA413*(1+O413)</f>
        <v>536.25155777422697</v>
      </c>
    </row>
    <row r="414" spans="2:28" s="134" customFormat="1" x14ac:dyDescent="0.3">
      <c r="B414" s="196" t="s">
        <v>174</v>
      </c>
      <c r="C414" s="91" t="s">
        <v>175</v>
      </c>
      <c r="D414" s="126" t="s">
        <v>1480</v>
      </c>
      <c r="E414" s="410">
        <f t="shared" ref="E414:E431" si="396">E69+E192+E300</f>
        <v>1</v>
      </c>
      <c r="F414" s="127">
        <f>INDEX('Control Panel'!$C$7:$N$25,MATCH('O&amp;M'!$D414,Indicies,0),MATCH('O&amp;M'!F$4,'Control Panel'!$C$6:$N$6,0))</f>
        <v>2.1452829087813895E-2</v>
      </c>
      <c r="G414" s="127">
        <f>INDEX('Control Panel'!$C$7:$N$25,MATCH('O&amp;M'!$D414,Indicies,0),MATCH('O&amp;M'!G$4,'Control Panel'!$C$6:$N$6,0))</f>
        <v>2.1452829087813895E-2</v>
      </c>
      <c r="H414" s="127">
        <f>INDEX('Control Panel'!$C$7:$N$25,MATCH('O&amp;M'!$D414,Indicies,0),MATCH('O&amp;M'!H$4,'Control Panel'!$C$6:$N$6,0))</f>
        <v>2.1452829087813895E-2</v>
      </c>
      <c r="I414" s="127">
        <f>INDEX('Control Panel'!$C$7:$N$25,MATCH('O&amp;M'!$D414,Indicies,0),MATCH('O&amp;M'!I$4,'Control Panel'!$C$6:$N$6,0))</f>
        <v>2.1452829087813895E-2</v>
      </c>
      <c r="J414" s="127">
        <f>INDEX('Control Panel'!$C$7:$N$25,MATCH('O&amp;M'!$D414,Indicies,0),MATCH('O&amp;M'!J$4,'Control Panel'!$C$6:$N$6,0))</f>
        <v>2.1452829087813895E-2</v>
      </c>
      <c r="K414" s="127">
        <f>INDEX('Control Panel'!$C$7:$N$25,MATCH('O&amp;M'!$D414,Indicies,0),MATCH('O&amp;M'!K$4,'Control Panel'!$C$6:$N$6,0))</f>
        <v>2.1452829087813895E-2</v>
      </c>
      <c r="L414" s="127">
        <f>INDEX('Control Panel'!$C$7:$N$25,MATCH('O&amp;M'!$D414,Indicies,0),MATCH('O&amp;M'!L$4,'Control Panel'!$C$6:$N$6,0))</f>
        <v>2.1452829087813895E-2</v>
      </c>
      <c r="M414" s="127">
        <f>INDEX('Control Panel'!$C$7:$N$25,MATCH('O&amp;M'!$D414,Indicies,0),MATCH('O&amp;M'!M$4,'Control Panel'!$C$6:$N$6,0))</f>
        <v>2.1452829087813895E-2</v>
      </c>
      <c r="N414" s="127">
        <f>INDEX('Control Panel'!$C$7:$N$25,MATCH('O&amp;M'!$D414,Indicies,0),MATCH('O&amp;M'!N$4,'Control Panel'!$C$6:$N$6,0))</f>
        <v>2.1452829087813895E-2</v>
      </c>
      <c r="O414" s="127">
        <f>INDEX('Control Panel'!$C$7:$N$25,MATCH('O&amp;M'!$D414,Indicies,0),MATCH('O&amp;M'!O$4,'Control Panel'!$C$6:$N$6,0))</f>
        <v>2.1452829087813895E-2</v>
      </c>
      <c r="P414" s="763">
        <v>5273.52</v>
      </c>
      <c r="Q414" s="763">
        <v>4128.58</v>
      </c>
      <c r="R414" s="763">
        <v>5000</v>
      </c>
      <c r="S414" s="763">
        <v>4260</v>
      </c>
      <c r="T414" s="128">
        <f t="shared" si="378"/>
        <v>4351.3890519140878</v>
      </c>
      <c r="U414" s="128">
        <f t="shared" si="379"/>
        <v>4444.7386575393857</v>
      </c>
      <c r="V414" s="128">
        <f t="shared" si="380"/>
        <v>4540.0908762995778</v>
      </c>
      <c r="W414" s="128">
        <f t="shared" si="381"/>
        <v>4637.4886699119761</v>
      </c>
      <c r="X414" s="128">
        <f t="shared" si="382"/>
        <v>4736.9759217442715</v>
      </c>
      <c r="Y414" s="128">
        <f t="shared" si="383"/>
        <v>4838.5974565865417</v>
      </c>
      <c r="Z414" s="128">
        <f t="shared" si="384"/>
        <v>4942.3990608474242</v>
      </c>
      <c r="AA414" s="128">
        <f t="shared" si="385"/>
        <v>5048.4275031835559</v>
      </c>
      <c r="AB414" s="128">
        <f t="shared" si="386"/>
        <v>5156.730555571572</v>
      </c>
    </row>
    <row r="415" spans="2:28" s="134" customFormat="1" x14ac:dyDescent="0.3">
      <c r="B415" s="196" t="s">
        <v>176</v>
      </c>
      <c r="C415" s="91" t="s">
        <v>177</v>
      </c>
      <c r="D415" s="126" t="s">
        <v>8</v>
      </c>
      <c r="E415" s="410">
        <f t="shared" si="396"/>
        <v>1</v>
      </c>
      <c r="F415" s="127">
        <f>INDEX('Control Panel'!$C$7:$N$25,MATCH('O&amp;M'!$D415,Indicies,0),MATCH('O&amp;M'!F$4,'Control Panel'!$C$6:$N$6,0))</f>
        <v>2.8840404751315222E-2</v>
      </c>
      <c r="G415" s="127">
        <f>INDEX('Control Panel'!$C$7:$N$25,MATCH('O&amp;M'!$D415,Indicies,0),MATCH('O&amp;M'!G$4,'Control Panel'!$C$6:$N$6,0))</f>
        <v>2.8840404751315222E-2</v>
      </c>
      <c r="H415" s="127">
        <f>INDEX('Control Panel'!$C$7:$N$25,MATCH('O&amp;M'!$D415,Indicies,0),MATCH('O&amp;M'!H$4,'Control Panel'!$C$6:$N$6,0))</f>
        <v>2.8840404751315222E-2</v>
      </c>
      <c r="I415" s="127">
        <f>INDEX('Control Panel'!$C$7:$N$25,MATCH('O&amp;M'!$D415,Indicies,0),MATCH('O&amp;M'!I$4,'Control Panel'!$C$6:$N$6,0))</f>
        <v>2.8840404751315222E-2</v>
      </c>
      <c r="J415" s="127">
        <f>INDEX('Control Panel'!$C$7:$N$25,MATCH('O&amp;M'!$D415,Indicies,0),MATCH('O&amp;M'!J$4,'Control Panel'!$C$6:$N$6,0))</f>
        <v>2.8840404751315222E-2</v>
      </c>
      <c r="K415" s="127">
        <f>INDEX('Control Panel'!$C$7:$N$25,MATCH('O&amp;M'!$D415,Indicies,0),MATCH('O&amp;M'!K$4,'Control Panel'!$C$6:$N$6,0))</f>
        <v>2.8840404751315222E-2</v>
      </c>
      <c r="L415" s="127">
        <f>INDEX('Control Panel'!$C$7:$N$25,MATCH('O&amp;M'!$D415,Indicies,0),MATCH('O&amp;M'!L$4,'Control Panel'!$C$6:$N$6,0))</f>
        <v>2.8840404751315222E-2</v>
      </c>
      <c r="M415" s="127">
        <f>INDEX('Control Panel'!$C$7:$N$25,MATCH('O&amp;M'!$D415,Indicies,0),MATCH('O&amp;M'!M$4,'Control Panel'!$C$6:$N$6,0))</f>
        <v>2.8840404751315222E-2</v>
      </c>
      <c r="N415" s="127">
        <f>INDEX('Control Panel'!$C$7:$N$25,MATCH('O&amp;M'!$D415,Indicies,0),MATCH('O&amp;M'!N$4,'Control Panel'!$C$6:$N$6,0))</f>
        <v>2.8840404751315222E-2</v>
      </c>
      <c r="O415" s="127">
        <f>INDEX('Control Panel'!$C$7:$N$25,MATCH('O&amp;M'!$D415,Indicies,0),MATCH('O&amp;M'!O$4,'Control Panel'!$C$6:$N$6,0))</f>
        <v>2.8840404751315222E-2</v>
      </c>
      <c r="P415" s="763">
        <v>0</v>
      </c>
      <c r="Q415" s="763">
        <v>308.64999999999998</v>
      </c>
      <c r="R415" s="763">
        <v>0</v>
      </c>
      <c r="S415" s="763">
        <v>3000</v>
      </c>
      <c r="T415" s="861">
        <f t="shared" si="378"/>
        <v>3086.5212142539458</v>
      </c>
      <c r="U415" s="128">
        <f t="shared" si="379"/>
        <v>3175.537735346551</v>
      </c>
      <c r="V415" s="128">
        <f t="shared" si="380"/>
        <v>3267.1215289370207</v>
      </c>
      <c r="W415" s="128">
        <f t="shared" si="381"/>
        <v>3361.3466362033005</v>
      </c>
      <c r="X415" s="128">
        <f t="shared" si="382"/>
        <v>3458.2892337008761</v>
      </c>
      <c r="Y415" s="128">
        <f t="shared" si="383"/>
        <v>3558.0276949479257</v>
      </c>
      <c r="Z415" s="128">
        <f t="shared" si="384"/>
        <v>3660.6426537866132</v>
      </c>
      <c r="AA415" s="128">
        <f t="shared" si="385"/>
        <v>3766.2170695717482</v>
      </c>
      <c r="AB415" s="128">
        <f t="shared" si="386"/>
        <v>3874.8362942395102</v>
      </c>
    </row>
    <row r="416" spans="2:28" s="134" customFormat="1" x14ac:dyDescent="0.3">
      <c r="B416" s="196" t="s">
        <v>178</v>
      </c>
      <c r="C416" s="91" t="s">
        <v>122</v>
      </c>
      <c r="D416" s="126" t="s">
        <v>1480</v>
      </c>
      <c r="E416" s="410">
        <f t="shared" si="396"/>
        <v>1</v>
      </c>
      <c r="F416" s="127">
        <f>INDEX('Control Panel'!$C$7:$N$25,MATCH('O&amp;M'!$D416,Indicies,0),MATCH('O&amp;M'!F$4,'Control Panel'!$C$6:$N$6,0))</f>
        <v>2.1452829087813895E-2</v>
      </c>
      <c r="G416" s="127">
        <f>INDEX('Control Panel'!$C$7:$N$25,MATCH('O&amp;M'!$D416,Indicies,0),MATCH('O&amp;M'!G$4,'Control Panel'!$C$6:$N$6,0))</f>
        <v>2.1452829087813895E-2</v>
      </c>
      <c r="H416" s="127">
        <f>INDEX('Control Panel'!$C$7:$N$25,MATCH('O&amp;M'!$D416,Indicies,0),MATCH('O&amp;M'!H$4,'Control Panel'!$C$6:$N$6,0))</f>
        <v>2.1452829087813895E-2</v>
      </c>
      <c r="I416" s="127">
        <f>INDEX('Control Panel'!$C$7:$N$25,MATCH('O&amp;M'!$D416,Indicies,0),MATCH('O&amp;M'!I$4,'Control Panel'!$C$6:$N$6,0))</f>
        <v>2.1452829087813895E-2</v>
      </c>
      <c r="J416" s="127">
        <f>INDEX('Control Panel'!$C$7:$N$25,MATCH('O&amp;M'!$D416,Indicies,0),MATCH('O&amp;M'!J$4,'Control Panel'!$C$6:$N$6,0))</f>
        <v>2.1452829087813895E-2</v>
      </c>
      <c r="K416" s="127">
        <f>INDEX('Control Panel'!$C$7:$N$25,MATCH('O&amp;M'!$D416,Indicies,0),MATCH('O&amp;M'!K$4,'Control Panel'!$C$6:$N$6,0))</f>
        <v>2.1452829087813895E-2</v>
      </c>
      <c r="L416" s="127">
        <f>INDEX('Control Panel'!$C$7:$N$25,MATCH('O&amp;M'!$D416,Indicies,0),MATCH('O&amp;M'!L$4,'Control Panel'!$C$6:$N$6,0))</f>
        <v>2.1452829087813895E-2</v>
      </c>
      <c r="M416" s="127">
        <f>INDEX('Control Panel'!$C$7:$N$25,MATCH('O&amp;M'!$D416,Indicies,0),MATCH('O&amp;M'!M$4,'Control Panel'!$C$6:$N$6,0))</f>
        <v>2.1452829087813895E-2</v>
      </c>
      <c r="N416" s="127">
        <f>INDEX('Control Panel'!$C$7:$N$25,MATCH('O&amp;M'!$D416,Indicies,0),MATCH('O&amp;M'!N$4,'Control Panel'!$C$6:$N$6,0))</f>
        <v>2.1452829087813895E-2</v>
      </c>
      <c r="O416" s="127">
        <f>INDEX('Control Panel'!$C$7:$N$25,MATCH('O&amp;M'!$D416,Indicies,0),MATCH('O&amp;M'!O$4,'Control Panel'!$C$6:$N$6,0))</f>
        <v>2.1452829087813895E-2</v>
      </c>
      <c r="P416" s="763">
        <v>2971.09</v>
      </c>
      <c r="Q416" s="763">
        <v>4563.97</v>
      </c>
      <c r="R416" s="763">
        <v>12629</v>
      </c>
      <c r="S416" s="763">
        <v>5574</v>
      </c>
      <c r="T416" s="128">
        <f t="shared" si="378"/>
        <v>5693.5780693354754</v>
      </c>
      <c r="U416" s="128">
        <f t="shared" si="379"/>
        <v>5815.7214265550556</v>
      </c>
      <c r="V416" s="128">
        <f t="shared" si="380"/>
        <v>5940.4851043412791</v>
      </c>
      <c r="W416" s="128">
        <f t="shared" si="381"/>
        <v>6067.925315983417</v>
      </c>
      <c r="X416" s="128">
        <f t="shared" si="382"/>
        <v>6198.0994807048291</v>
      </c>
      <c r="Y416" s="128">
        <f t="shared" si="383"/>
        <v>6331.0662495336583</v>
      </c>
      <c r="Z416" s="128">
        <f t="shared" si="384"/>
        <v>6466.8855317285315</v>
      </c>
      <c r="AA416" s="128">
        <f t="shared" si="385"/>
        <v>6605.6185217711609</v>
      </c>
      <c r="AB416" s="128">
        <f t="shared" si="386"/>
        <v>6747.327726938016</v>
      </c>
    </row>
    <row r="417" spans="2:28" s="134" customFormat="1" x14ac:dyDescent="0.3">
      <c r="B417" s="196" t="s">
        <v>179</v>
      </c>
      <c r="C417" s="91" t="s">
        <v>180</v>
      </c>
      <c r="D417" s="126" t="s">
        <v>7</v>
      </c>
      <c r="E417" s="410">
        <f t="shared" si="396"/>
        <v>1</v>
      </c>
      <c r="F417" s="127">
        <f>INDEX('Control Panel'!$C$7:$N$25,MATCH('O&amp;M'!$D417,Indicies,0),MATCH('O&amp;M'!F$4,'Control Panel'!$C$6:$N$6,0))</f>
        <v>0.03</v>
      </c>
      <c r="G417" s="127">
        <f>INDEX('Control Panel'!$C$7:$N$25,MATCH('O&amp;M'!$D417,Indicies,0),MATCH('O&amp;M'!G$4,'Control Panel'!$C$6:$N$6,0))</f>
        <v>0.03</v>
      </c>
      <c r="H417" s="127">
        <f>INDEX('Control Panel'!$C$7:$N$25,MATCH('O&amp;M'!$D417,Indicies,0),MATCH('O&amp;M'!H$4,'Control Panel'!$C$6:$N$6,0))</f>
        <v>0.03</v>
      </c>
      <c r="I417" s="127">
        <f>INDEX('Control Panel'!$C$7:$N$25,MATCH('O&amp;M'!$D417,Indicies,0),MATCH('O&amp;M'!I$4,'Control Panel'!$C$6:$N$6,0))</f>
        <v>0.03</v>
      </c>
      <c r="J417" s="127">
        <f>INDEX('Control Panel'!$C$7:$N$25,MATCH('O&amp;M'!$D417,Indicies,0),MATCH('O&amp;M'!J$4,'Control Panel'!$C$6:$N$6,0))</f>
        <v>0.03</v>
      </c>
      <c r="K417" s="127">
        <f>INDEX('Control Panel'!$C$7:$N$25,MATCH('O&amp;M'!$D417,Indicies,0),MATCH('O&amp;M'!K$4,'Control Panel'!$C$6:$N$6,0))</f>
        <v>0.03</v>
      </c>
      <c r="L417" s="127">
        <f>INDEX('Control Panel'!$C$7:$N$25,MATCH('O&amp;M'!$D417,Indicies,0),MATCH('O&amp;M'!L$4,'Control Panel'!$C$6:$N$6,0))</f>
        <v>0.03</v>
      </c>
      <c r="M417" s="127">
        <f>INDEX('Control Panel'!$C$7:$N$25,MATCH('O&amp;M'!$D417,Indicies,0),MATCH('O&amp;M'!M$4,'Control Panel'!$C$6:$N$6,0))</f>
        <v>0.03</v>
      </c>
      <c r="N417" s="127">
        <f>INDEX('Control Panel'!$C$7:$N$25,MATCH('O&amp;M'!$D417,Indicies,0),MATCH('O&amp;M'!N$4,'Control Panel'!$C$6:$N$6,0))</f>
        <v>0.03</v>
      </c>
      <c r="O417" s="127">
        <f>INDEX('Control Panel'!$C$7:$N$25,MATCH('O&amp;M'!$D417,Indicies,0),MATCH('O&amp;M'!O$4,'Control Panel'!$C$6:$N$6,0))</f>
        <v>0.03</v>
      </c>
      <c r="P417" s="763">
        <v>0</v>
      </c>
      <c r="Q417" s="763">
        <v>2726.02</v>
      </c>
      <c r="R417" s="763">
        <v>3400</v>
      </c>
      <c r="S417" s="763">
        <v>6600</v>
      </c>
      <c r="T417" s="861">
        <f t="shared" si="378"/>
        <v>6798</v>
      </c>
      <c r="U417" s="128">
        <f t="shared" si="379"/>
        <v>7001.9400000000005</v>
      </c>
      <c r="V417" s="128">
        <f t="shared" si="380"/>
        <v>7211.9982000000009</v>
      </c>
      <c r="W417" s="128">
        <f t="shared" si="381"/>
        <v>7428.3581460000014</v>
      </c>
      <c r="X417" s="128">
        <f t="shared" si="382"/>
        <v>7651.2088903800013</v>
      </c>
      <c r="Y417" s="128">
        <f t="shared" si="383"/>
        <v>7880.7451570914018</v>
      </c>
      <c r="Z417" s="128">
        <f t="shared" si="384"/>
        <v>8117.1675118041439</v>
      </c>
      <c r="AA417" s="128">
        <f t="shared" si="385"/>
        <v>8360.682537158269</v>
      </c>
      <c r="AB417" s="128">
        <f t="shared" si="386"/>
        <v>8611.5030132730171</v>
      </c>
    </row>
    <row r="418" spans="2:28" s="134" customFormat="1" x14ac:dyDescent="0.3">
      <c r="B418" s="196" t="s">
        <v>181</v>
      </c>
      <c r="C418" s="91" t="s">
        <v>182</v>
      </c>
      <c r="D418" s="126" t="s">
        <v>7</v>
      </c>
      <c r="E418" s="410">
        <f t="shared" si="396"/>
        <v>1</v>
      </c>
      <c r="F418" s="127">
        <f>INDEX('Control Panel'!$C$7:$N$25,MATCH('O&amp;M'!$D418,Indicies,0),MATCH('O&amp;M'!F$4,'Control Panel'!$C$6:$N$6,0))</f>
        <v>0.03</v>
      </c>
      <c r="G418" s="127">
        <f>INDEX('Control Panel'!$C$7:$N$25,MATCH('O&amp;M'!$D418,Indicies,0),MATCH('O&amp;M'!G$4,'Control Panel'!$C$6:$N$6,0))</f>
        <v>0.03</v>
      </c>
      <c r="H418" s="127">
        <f>INDEX('Control Panel'!$C$7:$N$25,MATCH('O&amp;M'!$D418,Indicies,0),MATCH('O&amp;M'!H$4,'Control Panel'!$C$6:$N$6,0))</f>
        <v>0.03</v>
      </c>
      <c r="I418" s="127">
        <f>INDEX('Control Panel'!$C$7:$N$25,MATCH('O&amp;M'!$D418,Indicies,0),MATCH('O&amp;M'!I$4,'Control Panel'!$C$6:$N$6,0))</f>
        <v>0.03</v>
      </c>
      <c r="J418" s="127">
        <f>INDEX('Control Panel'!$C$7:$N$25,MATCH('O&amp;M'!$D418,Indicies,0),MATCH('O&amp;M'!J$4,'Control Panel'!$C$6:$N$6,0))</f>
        <v>0.03</v>
      </c>
      <c r="K418" s="127">
        <f>INDEX('Control Panel'!$C$7:$N$25,MATCH('O&amp;M'!$D418,Indicies,0),MATCH('O&amp;M'!K$4,'Control Panel'!$C$6:$N$6,0))</f>
        <v>0.03</v>
      </c>
      <c r="L418" s="127">
        <f>INDEX('Control Panel'!$C$7:$N$25,MATCH('O&amp;M'!$D418,Indicies,0),MATCH('O&amp;M'!L$4,'Control Panel'!$C$6:$N$6,0))</f>
        <v>0.03</v>
      </c>
      <c r="M418" s="127">
        <f>INDEX('Control Panel'!$C$7:$N$25,MATCH('O&amp;M'!$D418,Indicies,0),MATCH('O&amp;M'!M$4,'Control Panel'!$C$6:$N$6,0))</f>
        <v>0.03</v>
      </c>
      <c r="N418" s="127">
        <f>INDEX('Control Panel'!$C$7:$N$25,MATCH('O&amp;M'!$D418,Indicies,0),MATCH('O&amp;M'!N$4,'Control Panel'!$C$6:$N$6,0))</f>
        <v>0.03</v>
      </c>
      <c r="O418" s="127">
        <f>INDEX('Control Panel'!$C$7:$N$25,MATCH('O&amp;M'!$D418,Indicies,0),MATCH('O&amp;M'!O$4,'Control Panel'!$C$6:$N$6,0))</f>
        <v>0.03</v>
      </c>
      <c r="P418" s="763">
        <v>4954.3900000000003</v>
      </c>
      <c r="Q418" s="763">
        <v>218.43</v>
      </c>
      <c r="R418" s="763">
        <v>6500</v>
      </c>
      <c r="S418" s="763">
        <v>300</v>
      </c>
      <c r="T418" s="128">
        <f t="shared" si="378"/>
        <v>309</v>
      </c>
      <c r="U418" s="128">
        <f t="shared" si="379"/>
        <v>318.27</v>
      </c>
      <c r="V418" s="128">
        <f t="shared" si="380"/>
        <v>327.81810000000002</v>
      </c>
      <c r="W418" s="128">
        <f>V418*(1+J418)</f>
        <v>337.65264300000001</v>
      </c>
      <c r="X418" s="128">
        <f t="shared" si="382"/>
        <v>347.78222228999999</v>
      </c>
      <c r="Y418" s="128">
        <f t="shared" si="383"/>
        <v>358.21568895870001</v>
      </c>
      <c r="Z418" s="128">
        <f t="shared" si="384"/>
        <v>368.96215962746101</v>
      </c>
      <c r="AA418" s="128">
        <f t="shared" si="385"/>
        <v>380.03102441628482</v>
      </c>
      <c r="AB418" s="128">
        <f t="shared" si="386"/>
        <v>391.4319551487734</v>
      </c>
    </row>
    <row r="419" spans="2:28" s="134" customFormat="1" x14ac:dyDescent="0.3">
      <c r="B419" s="196" t="s">
        <v>183</v>
      </c>
      <c r="C419" s="91" t="s">
        <v>184</v>
      </c>
      <c r="D419" s="126" t="s">
        <v>1480</v>
      </c>
      <c r="E419" s="410">
        <f t="shared" si="396"/>
        <v>1</v>
      </c>
      <c r="F419" s="127">
        <f>INDEX('Control Panel'!$C$7:$N$25,MATCH('O&amp;M'!$D419,Indicies,0),MATCH('O&amp;M'!F$4,'Control Panel'!$C$6:$N$6,0))</f>
        <v>2.1452829087813895E-2</v>
      </c>
      <c r="G419" s="127">
        <f>INDEX('Control Panel'!$C$7:$N$25,MATCH('O&amp;M'!$D419,Indicies,0),MATCH('O&amp;M'!G$4,'Control Panel'!$C$6:$N$6,0))</f>
        <v>2.1452829087813895E-2</v>
      </c>
      <c r="H419" s="127">
        <f>INDEX('Control Panel'!$C$7:$N$25,MATCH('O&amp;M'!$D419,Indicies,0),MATCH('O&amp;M'!H$4,'Control Panel'!$C$6:$N$6,0))</f>
        <v>2.1452829087813895E-2</v>
      </c>
      <c r="I419" s="127">
        <f>INDEX('Control Panel'!$C$7:$N$25,MATCH('O&amp;M'!$D419,Indicies,0),MATCH('O&amp;M'!I$4,'Control Panel'!$C$6:$N$6,0))</f>
        <v>2.1452829087813895E-2</v>
      </c>
      <c r="J419" s="127">
        <f>INDEX('Control Panel'!$C$7:$N$25,MATCH('O&amp;M'!$D419,Indicies,0),MATCH('O&amp;M'!J$4,'Control Panel'!$C$6:$N$6,0))</f>
        <v>2.1452829087813895E-2</v>
      </c>
      <c r="K419" s="127">
        <f>INDEX('Control Panel'!$C$7:$N$25,MATCH('O&amp;M'!$D419,Indicies,0),MATCH('O&amp;M'!K$4,'Control Panel'!$C$6:$N$6,0))</f>
        <v>2.1452829087813895E-2</v>
      </c>
      <c r="L419" s="127">
        <f>INDEX('Control Panel'!$C$7:$N$25,MATCH('O&amp;M'!$D419,Indicies,0),MATCH('O&amp;M'!L$4,'Control Panel'!$C$6:$N$6,0))</f>
        <v>2.1452829087813895E-2</v>
      </c>
      <c r="M419" s="127">
        <f>INDEX('Control Panel'!$C$7:$N$25,MATCH('O&amp;M'!$D419,Indicies,0),MATCH('O&amp;M'!M$4,'Control Panel'!$C$6:$N$6,0))</f>
        <v>2.1452829087813895E-2</v>
      </c>
      <c r="N419" s="127">
        <f>INDEX('Control Panel'!$C$7:$N$25,MATCH('O&amp;M'!$D419,Indicies,0),MATCH('O&amp;M'!N$4,'Control Panel'!$C$6:$N$6,0))</f>
        <v>2.1452829087813895E-2</v>
      </c>
      <c r="O419" s="127">
        <f>INDEX('Control Panel'!$C$7:$N$25,MATCH('O&amp;M'!$D419,Indicies,0),MATCH('O&amp;M'!O$4,'Control Panel'!$C$6:$N$6,0))</f>
        <v>2.1452829087813895E-2</v>
      </c>
      <c r="P419" s="763">
        <v>0</v>
      </c>
      <c r="Q419" s="763">
        <v>0</v>
      </c>
      <c r="R419" s="763">
        <v>0</v>
      </c>
      <c r="S419" s="763">
        <v>1797</v>
      </c>
      <c r="T419" s="128">
        <f t="shared" si="378"/>
        <v>1835.5507338708017</v>
      </c>
      <c r="U419" s="128">
        <f t="shared" si="379"/>
        <v>1874.9284900465434</v>
      </c>
      <c r="V419" s="128">
        <f t="shared" si="380"/>
        <v>1915.151010495385</v>
      </c>
      <c r="W419" s="128">
        <f t="shared" si="381"/>
        <v>1956.2364178008968</v>
      </c>
      <c r="X419" s="128">
        <f t="shared" si="382"/>
        <v>1998.2032233273369</v>
      </c>
      <c r="Y419" s="128">
        <f t="shared" si="383"/>
        <v>2041.0703355600972</v>
      </c>
      <c r="Z419" s="128">
        <f t="shared" si="384"/>
        <v>2084.857068625075</v>
      </c>
      <c r="AA419" s="128">
        <f t="shared" si="385"/>
        <v>2129.5831509908098</v>
      </c>
      <c r="AB419" s="128">
        <f t="shared" si="386"/>
        <v>2175.2687343573039</v>
      </c>
    </row>
    <row r="420" spans="2:28" s="134" customFormat="1" x14ac:dyDescent="0.3">
      <c r="B420" s="196" t="s">
        <v>185</v>
      </c>
      <c r="C420" s="91" t="s">
        <v>186</v>
      </c>
      <c r="D420" s="126" t="s">
        <v>7</v>
      </c>
      <c r="E420" s="410">
        <f t="shared" si="396"/>
        <v>1</v>
      </c>
      <c r="F420" s="127">
        <f>INDEX('Control Panel'!$C$7:$N$25,MATCH('O&amp;M'!$D420,Indicies,0),MATCH('O&amp;M'!F$4,'Control Panel'!$C$6:$N$6,0))</f>
        <v>0.03</v>
      </c>
      <c r="G420" s="127">
        <f>INDEX('Control Panel'!$C$7:$N$25,MATCH('O&amp;M'!$D420,Indicies,0),MATCH('O&amp;M'!G$4,'Control Panel'!$C$6:$N$6,0))</f>
        <v>0.03</v>
      </c>
      <c r="H420" s="127">
        <f>INDEX('Control Panel'!$C$7:$N$25,MATCH('O&amp;M'!$D420,Indicies,0),MATCH('O&amp;M'!H$4,'Control Panel'!$C$6:$N$6,0))</f>
        <v>0.03</v>
      </c>
      <c r="I420" s="127">
        <f>INDEX('Control Panel'!$C$7:$N$25,MATCH('O&amp;M'!$D420,Indicies,0),MATCH('O&amp;M'!I$4,'Control Panel'!$C$6:$N$6,0))</f>
        <v>0.03</v>
      </c>
      <c r="J420" s="127">
        <f>INDEX('Control Panel'!$C$7:$N$25,MATCH('O&amp;M'!$D420,Indicies,0),MATCH('O&amp;M'!J$4,'Control Panel'!$C$6:$N$6,0))</f>
        <v>0.03</v>
      </c>
      <c r="K420" s="127">
        <f>INDEX('Control Panel'!$C$7:$N$25,MATCH('O&amp;M'!$D420,Indicies,0),MATCH('O&amp;M'!K$4,'Control Panel'!$C$6:$N$6,0))</f>
        <v>0.03</v>
      </c>
      <c r="L420" s="127">
        <f>INDEX('Control Panel'!$C$7:$N$25,MATCH('O&amp;M'!$D420,Indicies,0),MATCH('O&amp;M'!L$4,'Control Panel'!$C$6:$N$6,0))</f>
        <v>0.03</v>
      </c>
      <c r="M420" s="127">
        <f>INDEX('Control Panel'!$C$7:$N$25,MATCH('O&amp;M'!$D420,Indicies,0),MATCH('O&amp;M'!M$4,'Control Panel'!$C$6:$N$6,0))</f>
        <v>0.03</v>
      </c>
      <c r="N420" s="127">
        <f>INDEX('Control Panel'!$C$7:$N$25,MATCH('O&amp;M'!$D420,Indicies,0),MATCH('O&amp;M'!N$4,'Control Panel'!$C$6:$N$6,0))</f>
        <v>0.03</v>
      </c>
      <c r="O420" s="127">
        <f>INDEX('Control Panel'!$C$7:$N$25,MATCH('O&amp;M'!$D420,Indicies,0),MATCH('O&amp;M'!O$4,'Control Panel'!$C$6:$N$6,0))</f>
        <v>0.03</v>
      </c>
      <c r="P420" s="763">
        <v>27449.040000000001</v>
      </c>
      <c r="Q420" s="763">
        <v>20705.04</v>
      </c>
      <c r="R420" s="763">
        <v>26164</v>
      </c>
      <c r="S420" s="763">
        <v>25353</v>
      </c>
      <c r="T420" s="128">
        <f t="shared" si="378"/>
        <v>26113.59</v>
      </c>
      <c r="U420" s="128">
        <f t="shared" si="379"/>
        <v>26896.9977</v>
      </c>
      <c r="V420" s="128">
        <f t="shared" si="380"/>
        <v>27703.907631000002</v>
      </c>
      <c r="W420" s="128">
        <f t="shared" si="381"/>
        <v>28535.024859930003</v>
      </c>
      <c r="X420" s="128">
        <f t="shared" si="382"/>
        <v>29391.075605727903</v>
      </c>
      <c r="Y420" s="128">
        <f t="shared" si="383"/>
        <v>30272.807873899743</v>
      </c>
      <c r="Z420" s="128">
        <f t="shared" si="384"/>
        <v>31180.992110116735</v>
      </c>
      <c r="AA420" s="128">
        <f t="shared" si="385"/>
        <v>32116.421873420237</v>
      </c>
      <c r="AB420" s="128">
        <f t="shared" si="386"/>
        <v>33079.914529622845</v>
      </c>
    </row>
    <row r="421" spans="2:28" s="134" customFormat="1" x14ac:dyDescent="0.3">
      <c r="B421" s="196" t="s">
        <v>187</v>
      </c>
      <c r="C421" s="91" t="s">
        <v>188</v>
      </c>
      <c r="D421" s="126" t="s">
        <v>7</v>
      </c>
      <c r="E421" s="410">
        <f t="shared" si="396"/>
        <v>1</v>
      </c>
      <c r="F421" s="127">
        <f>INDEX('Control Panel'!$C$7:$N$25,MATCH('O&amp;M'!$D421,Indicies,0),MATCH('O&amp;M'!F$4,'Control Panel'!$C$6:$N$6,0))</f>
        <v>0.03</v>
      </c>
      <c r="G421" s="127">
        <f>INDEX('Control Panel'!$C$7:$N$25,MATCH('O&amp;M'!$D421,Indicies,0),MATCH('O&amp;M'!G$4,'Control Panel'!$C$6:$N$6,0))</f>
        <v>0.03</v>
      </c>
      <c r="H421" s="127">
        <f>INDEX('Control Panel'!$C$7:$N$25,MATCH('O&amp;M'!$D421,Indicies,0),MATCH('O&amp;M'!H$4,'Control Panel'!$C$6:$N$6,0))</f>
        <v>0.03</v>
      </c>
      <c r="I421" s="127">
        <f>INDEX('Control Panel'!$C$7:$N$25,MATCH('O&amp;M'!$D421,Indicies,0),MATCH('O&amp;M'!I$4,'Control Panel'!$C$6:$N$6,0))</f>
        <v>0.03</v>
      </c>
      <c r="J421" s="127">
        <f>INDEX('Control Panel'!$C$7:$N$25,MATCH('O&amp;M'!$D421,Indicies,0),MATCH('O&amp;M'!J$4,'Control Panel'!$C$6:$N$6,0))</f>
        <v>0.03</v>
      </c>
      <c r="K421" s="127">
        <f>INDEX('Control Panel'!$C$7:$N$25,MATCH('O&amp;M'!$D421,Indicies,0),MATCH('O&amp;M'!K$4,'Control Panel'!$C$6:$N$6,0))</f>
        <v>0.03</v>
      </c>
      <c r="L421" s="127">
        <f>INDEX('Control Panel'!$C$7:$N$25,MATCH('O&amp;M'!$D421,Indicies,0),MATCH('O&amp;M'!L$4,'Control Panel'!$C$6:$N$6,0))</f>
        <v>0.03</v>
      </c>
      <c r="M421" s="127">
        <f>INDEX('Control Panel'!$C$7:$N$25,MATCH('O&amp;M'!$D421,Indicies,0),MATCH('O&amp;M'!M$4,'Control Panel'!$C$6:$N$6,0))</f>
        <v>0.03</v>
      </c>
      <c r="N421" s="127">
        <f>INDEX('Control Panel'!$C$7:$N$25,MATCH('O&amp;M'!$D421,Indicies,0),MATCH('O&amp;M'!N$4,'Control Panel'!$C$6:$N$6,0))</f>
        <v>0.03</v>
      </c>
      <c r="O421" s="127">
        <f>INDEX('Control Panel'!$C$7:$N$25,MATCH('O&amp;M'!$D421,Indicies,0),MATCH('O&amp;M'!O$4,'Control Panel'!$C$6:$N$6,0))</f>
        <v>0.03</v>
      </c>
      <c r="P421" s="763">
        <v>277359.96000000002</v>
      </c>
      <c r="Q421" s="763">
        <v>328089.96000000002</v>
      </c>
      <c r="R421" s="763">
        <v>267874</v>
      </c>
      <c r="S421" s="763">
        <v>273936</v>
      </c>
      <c r="T421" s="128">
        <f t="shared" si="378"/>
        <v>282154.08</v>
      </c>
      <c r="U421" s="128">
        <f t="shared" si="379"/>
        <v>290618.70240000001</v>
      </c>
      <c r="V421" s="128">
        <f t="shared" si="380"/>
        <v>299337.26347200002</v>
      </c>
      <c r="W421" s="128">
        <f t="shared" si="381"/>
        <v>308317.38137616002</v>
      </c>
      <c r="X421" s="128">
        <f t="shared" si="382"/>
        <v>317566.90281744482</v>
      </c>
      <c r="Y421" s="128">
        <f t="shared" si="383"/>
        <v>327093.90990196815</v>
      </c>
      <c r="Z421" s="128">
        <f t="shared" si="384"/>
        <v>336906.7271990272</v>
      </c>
      <c r="AA421" s="128">
        <f t="shared" si="385"/>
        <v>347013.92901499802</v>
      </c>
      <c r="AB421" s="128">
        <f t="shared" si="386"/>
        <v>357424.34688544797</v>
      </c>
    </row>
    <row r="422" spans="2:28" s="134" customFormat="1" x14ac:dyDescent="0.3">
      <c r="B422" s="196" t="s">
        <v>189</v>
      </c>
      <c r="C422" s="91" t="s">
        <v>124</v>
      </c>
      <c r="D422" s="126" t="s">
        <v>5</v>
      </c>
      <c r="E422" s="410">
        <f t="shared" si="396"/>
        <v>1</v>
      </c>
      <c r="F422" s="127">
        <f>INDEX('Control Panel'!$C$7:$N$25,MATCH('O&amp;M'!$D422,Indicies,0),MATCH('O&amp;M'!F$4,'Control Panel'!$C$6:$N$6,0))</f>
        <v>3.5000000000000003E-2</v>
      </c>
      <c r="G422" s="127">
        <f>INDEX('Control Panel'!$C$7:$N$25,MATCH('O&amp;M'!$D422,Indicies,0),MATCH('O&amp;M'!G$4,'Control Panel'!$C$6:$N$6,0))</f>
        <v>3.5000000000000003E-2</v>
      </c>
      <c r="H422" s="127">
        <f>INDEX('Control Panel'!$C$7:$N$25,MATCH('O&amp;M'!$D422,Indicies,0),MATCH('O&amp;M'!H$4,'Control Panel'!$C$6:$N$6,0))</f>
        <v>3.5000000000000003E-2</v>
      </c>
      <c r="I422" s="127">
        <f>INDEX('Control Panel'!$C$7:$N$25,MATCH('O&amp;M'!$D422,Indicies,0),MATCH('O&amp;M'!I$4,'Control Panel'!$C$6:$N$6,0))</f>
        <v>3.5000000000000003E-2</v>
      </c>
      <c r="J422" s="127">
        <f>INDEX('Control Panel'!$C$7:$N$25,MATCH('O&amp;M'!$D422,Indicies,0),MATCH('O&amp;M'!J$4,'Control Panel'!$C$6:$N$6,0))</f>
        <v>3.5000000000000003E-2</v>
      </c>
      <c r="K422" s="127">
        <f>INDEX('Control Panel'!$C$7:$N$25,MATCH('O&amp;M'!$D422,Indicies,0),MATCH('O&amp;M'!K$4,'Control Panel'!$C$6:$N$6,0))</f>
        <v>3.5000000000000003E-2</v>
      </c>
      <c r="L422" s="127">
        <f>INDEX('Control Panel'!$C$7:$N$25,MATCH('O&amp;M'!$D422,Indicies,0),MATCH('O&amp;M'!L$4,'Control Panel'!$C$6:$N$6,0))</f>
        <v>3.5000000000000003E-2</v>
      </c>
      <c r="M422" s="127">
        <f>INDEX('Control Panel'!$C$7:$N$25,MATCH('O&amp;M'!$D422,Indicies,0),MATCH('O&amp;M'!M$4,'Control Panel'!$C$6:$N$6,0))</f>
        <v>3.5000000000000003E-2</v>
      </c>
      <c r="N422" s="127">
        <f>INDEX('Control Panel'!$C$7:$N$25,MATCH('O&amp;M'!$D422,Indicies,0),MATCH('O&amp;M'!N$4,'Control Panel'!$C$6:$N$6,0))</f>
        <v>3.5000000000000003E-2</v>
      </c>
      <c r="O422" s="127">
        <f>INDEX('Control Panel'!$C$7:$N$25,MATCH('O&amp;M'!$D422,Indicies,0),MATCH('O&amp;M'!O$4,'Control Panel'!$C$6:$N$6,0))</f>
        <v>3.5000000000000003E-2</v>
      </c>
      <c r="P422" s="763">
        <v>83889.96</v>
      </c>
      <c r="Q422" s="763">
        <v>69351</v>
      </c>
      <c r="R422" s="763">
        <v>193161</v>
      </c>
      <c r="S422" s="763">
        <v>46151</v>
      </c>
      <c r="T422" s="128">
        <f t="shared" si="378"/>
        <v>47766.284999999996</v>
      </c>
      <c r="U422" s="128">
        <f t="shared" si="379"/>
        <v>49438.104974999995</v>
      </c>
      <c r="V422" s="128">
        <f t="shared" si="380"/>
        <v>51168.43864912499</v>
      </c>
      <c r="W422" s="128">
        <f t="shared" si="381"/>
        <v>52959.334001844363</v>
      </c>
      <c r="X422" s="128">
        <f t="shared" si="382"/>
        <v>54812.91069190891</v>
      </c>
      <c r="Y422" s="128">
        <f t="shared" si="383"/>
        <v>56731.362566125717</v>
      </c>
      <c r="Z422" s="128">
        <f t="shared" si="384"/>
        <v>58716.96025594011</v>
      </c>
      <c r="AA422" s="128">
        <f t="shared" si="385"/>
        <v>60772.053864898007</v>
      </c>
      <c r="AB422" s="128">
        <f t="shared" si="386"/>
        <v>62899.075750169432</v>
      </c>
    </row>
    <row r="423" spans="2:28" s="134" customFormat="1" x14ac:dyDescent="0.3">
      <c r="B423" s="196" t="s">
        <v>190</v>
      </c>
      <c r="C423" s="91" t="s">
        <v>126</v>
      </c>
      <c r="D423" s="126" t="s">
        <v>7</v>
      </c>
      <c r="E423" s="410">
        <f t="shared" si="396"/>
        <v>1</v>
      </c>
      <c r="F423" s="127">
        <f>INDEX('Control Panel'!$C$7:$N$25,MATCH('O&amp;M'!$D423,Indicies,0),MATCH('O&amp;M'!F$4,'Control Panel'!$C$6:$N$6,0))</f>
        <v>0.03</v>
      </c>
      <c r="G423" s="127">
        <f>INDEX('Control Panel'!$C$7:$N$25,MATCH('O&amp;M'!$D423,Indicies,0),MATCH('O&amp;M'!G$4,'Control Panel'!$C$6:$N$6,0))</f>
        <v>0.03</v>
      </c>
      <c r="H423" s="127">
        <f>INDEX('Control Panel'!$C$7:$N$25,MATCH('O&amp;M'!$D423,Indicies,0),MATCH('O&amp;M'!H$4,'Control Panel'!$C$6:$N$6,0))</f>
        <v>0.03</v>
      </c>
      <c r="I423" s="127">
        <f>INDEX('Control Panel'!$C$7:$N$25,MATCH('O&amp;M'!$D423,Indicies,0),MATCH('O&amp;M'!I$4,'Control Panel'!$C$6:$N$6,0))</f>
        <v>0.03</v>
      </c>
      <c r="J423" s="127">
        <f>INDEX('Control Panel'!$C$7:$N$25,MATCH('O&amp;M'!$D423,Indicies,0),MATCH('O&amp;M'!J$4,'Control Panel'!$C$6:$N$6,0))</f>
        <v>0.03</v>
      </c>
      <c r="K423" s="127">
        <f>INDEX('Control Panel'!$C$7:$N$25,MATCH('O&amp;M'!$D423,Indicies,0),MATCH('O&amp;M'!K$4,'Control Panel'!$C$6:$N$6,0))</f>
        <v>0.03</v>
      </c>
      <c r="L423" s="127">
        <f>INDEX('Control Panel'!$C$7:$N$25,MATCH('O&amp;M'!$D423,Indicies,0),MATCH('O&amp;M'!L$4,'Control Panel'!$C$6:$N$6,0))</f>
        <v>0.03</v>
      </c>
      <c r="M423" s="127">
        <f>INDEX('Control Panel'!$C$7:$N$25,MATCH('O&amp;M'!$D423,Indicies,0),MATCH('O&amp;M'!M$4,'Control Panel'!$C$6:$N$6,0))</f>
        <v>0.03</v>
      </c>
      <c r="N423" s="127">
        <f>INDEX('Control Panel'!$C$7:$N$25,MATCH('O&amp;M'!$D423,Indicies,0),MATCH('O&amp;M'!N$4,'Control Panel'!$C$6:$N$6,0))</f>
        <v>0.03</v>
      </c>
      <c r="O423" s="127">
        <f>INDEX('Control Panel'!$C$7:$N$25,MATCH('O&amp;M'!$D423,Indicies,0),MATCH('O&amp;M'!O$4,'Control Panel'!$C$6:$N$6,0))</f>
        <v>0.03</v>
      </c>
      <c r="P423" s="763">
        <v>7722</v>
      </c>
      <c r="Q423" s="763">
        <v>4641.96</v>
      </c>
      <c r="R423" s="763">
        <v>4626</v>
      </c>
      <c r="S423" s="864">
        <v>4464</v>
      </c>
      <c r="T423" s="128">
        <f t="shared" si="378"/>
        <v>4597.92</v>
      </c>
      <c r="U423" s="128">
        <f t="shared" si="379"/>
        <v>4735.8576000000003</v>
      </c>
      <c r="V423" s="128">
        <f t="shared" si="380"/>
        <v>4877.9333280000001</v>
      </c>
      <c r="W423" s="128">
        <f t="shared" si="381"/>
        <v>5024.2713278400006</v>
      </c>
      <c r="X423" s="128">
        <f t="shared" si="382"/>
        <v>5174.9994676752003</v>
      </c>
      <c r="Y423" s="128">
        <f t="shared" si="383"/>
        <v>5330.2494517054565</v>
      </c>
      <c r="Z423" s="128">
        <f t="shared" si="384"/>
        <v>5490.1569352566203</v>
      </c>
      <c r="AA423" s="128">
        <f t="shared" si="385"/>
        <v>5654.8616433143188</v>
      </c>
      <c r="AB423" s="128">
        <f t="shared" si="386"/>
        <v>5824.5074926137486</v>
      </c>
    </row>
    <row r="424" spans="2:28" s="134" customFormat="1" x14ac:dyDescent="0.3">
      <c r="B424" s="196" t="s">
        <v>191</v>
      </c>
      <c r="C424" s="91" t="s">
        <v>128</v>
      </c>
      <c r="D424" s="126" t="s">
        <v>1480</v>
      </c>
      <c r="E424" s="410">
        <f t="shared" si="396"/>
        <v>1</v>
      </c>
      <c r="F424" s="127">
        <f>INDEX('Control Panel'!$C$7:$N$25,MATCH('O&amp;M'!$D424,Indicies,0),MATCH('O&amp;M'!F$4,'Control Panel'!$C$6:$N$6,0))</f>
        <v>2.1452829087813895E-2</v>
      </c>
      <c r="G424" s="127">
        <f>INDEX('Control Panel'!$C$7:$N$25,MATCH('O&amp;M'!$D424,Indicies,0),MATCH('O&amp;M'!G$4,'Control Panel'!$C$6:$N$6,0))</f>
        <v>2.1452829087813895E-2</v>
      </c>
      <c r="H424" s="127">
        <f>INDEX('Control Panel'!$C$7:$N$25,MATCH('O&amp;M'!$D424,Indicies,0),MATCH('O&amp;M'!H$4,'Control Panel'!$C$6:$N$6,0))</f>
        <v>2.1452829087813895E-2</v>
      </c>
      <c r="I424" s="127">
        <f>INDEX('Control Panel'!$C$7:$N$25,MATCH('O&amp;M'!$D424,Indicies,0),MATCH('O&amp;M'!I$4,'Control Panel'!$C$6:$N$6,0))</f>
        <v>2.1452829087813895E-2</v>
      </c>
      <c r="J424" s="127">
        <f>INDEX('Control Panel'!$C$7:$N$25,MATCH('O&amp;M'!$D424,Indicies,0),MATCH('O&amp;M'!J$4,'Control Panel'!$C$6:$N$6,0))</f>
        <v>2.1452829087813895E-2</v>
      </c>
      <c r="K424" s="127">
        <f>INDEX('Control Panel'!$C$7:$N$25,MATCH('O&amp;M'!$D424,Indicies,0),MATCH('O&amp;M'!K$4,'Control Panel'!$C$6:$N$6,0))</f>
        <v>2.1452829087813895E-2</v>
      </c>
      <c r="L424" s="127">
        <f>INDEX('Control Panel'!$C$7:$N$25,MATCH('O&amp;M'!$D424,Indicies,0),MATCH('O&amp;M'!L$4,'Control Panel'!$C$6:$N$6,0))</f>
        <v>2.1452829087813895E-2</v>
      </c>
      <c r="M424" s="127">
        <f>INDEX('Control Panel'!$C$7:$N$25,MATCH('O&amp;M'!$D424,Indicies,0),MATCH('O&amp;M'!M$4,'Control Panel'!$C$6:$N$6,0))</f>
        <v>2.1452829087813895E-2</v>
      </c>
      <c r="N424" s="127">
        <f>INDEX('Control Panel'!$C$7:$N$25,MATCH('O&amp;M'!$D424,Indicies,0),MATCH('O&amp;M'!N$4,'Control Panel'!$C$6:$N$6,0))</f>
        <v>2.1452829087813895E-2</v>
      </c>
      <c r="O424" s="127">
        <f>INDEX('Control Panel'!$C$7:$N$25,MATCH('O&amp;M'!$D424,Indicies,0),MATCH('O&amp;M'!O$4,'Control Panel'!$C$6:$N$6,0))</f>
        <v>2.1452829087813895E-2</v>
      </c>
      <c r="P424" s="763">
        <v>9771.1</v>
      </c>
      <c r="Q424" s="763">
        <v>5859.76</v>
      </c>
      <c r="R424" s="763">
        <v>13250</v>
      </c>
      <c r="S424" s="763">
        <v>13250</v>
      </c>
      <c r="T424" s="128">
        <f t="shared" si="378"/>
        <v>13534.249985413535</v>
      </c>
      <c r="U424" s="128">
        <f t="shared" si="379"/>
        <v>13824.59793718236</v>
      </c>
      <c r="V424" s="128">
        <f t="shared" si="380"/>
        <v>14121.174673936479</v>
      </c>
      <c r="W424" s="128">
        <f t="shared" si="381"/>
        <v>14424.113820735605</v>
      </c>
      <c r="X424" s="128">
        <f t="shared" si="382"/>
        <v>14733.551869275021</v>
      </c>
      <c r="Y424" s="128">
        <f t="shared" si="383"/>
        <v>15049.628239383021</v>
      </c>
      <c r="Z424" s="128">
        <f t="shared" si="384"/>
        <v>15372.485341837644</v>
      </c>
      <c r="AA424" s="128">
        <f t="shared" si="385"/>
        <v>15702.268642531013</v>
      </c>
      <c r="AB424" s="128">
        <f t="shared" si="386"/>
        <v>16039.126728010171</v>
      </c>
    </row>
    <row r="425" spans="2:28" s="134" customFormat="1" x14ac:dyDescent="0.3">
      <c r="B425" s="196" t="s">
        <v>192</v>
      </c>
      <c r="C425" s="91" t="s">
        <v>130</v>
      </c>
      <c r="D425" s="126" t="s">
        <v>1480</v>
      </c>
      <c r="E425" s="410">
        <f t="shared" si="396"/>
        <v>1</v>
      </c>
      <c r="F425" s="127">
        <f>INDEX('Control Panel'!$C$7:$N$25,MATCH('O&amp;M'!$D425,Indicies,0),MATCH('O&amp;M'!F$4,'Control Panel'!$C$6:$N$6,0))</f>
        <v>2.1452829087813895E-2</v>
      </c>
      <c r="G425" s="127">
        <f>INDEX('Control Panel'!$C$7:$N$25,MATCH('O&amp;M'!$D425,Indicies,0),MATCH('O&amp;M'!G$4,'Control Panel'!$C$6:$N$6,0))</f>
        <v>2.1452829087813895E-2</v>
      </c>
      <c r="H425" s="127">
        <f>INDEX('Control Panel'!$C$7:$N$25,MATCH('O&amp;M'!$D425,Indicies,0),MATCH('O&amp;M'!H$4,'Control Panel'!$C$6:$N$6,0))</f>
        <v>2.1452829087813895E-2</v>
      </c>
      <c r="I425" s="127">
        <f>INDEX('Control Panel'!$C$7:$N$25,MATCH('O&amp;M'!$D425,Indicies,0),MATCH('O&amp;M'!I$4,'Control Panel'!$C$6:$N$6,0))</f>
        <v>2.1452829087813895E-2</v>
      </c>
      <c r="J425" s="127">
        <f>INDEX('Control Panel'!$C$7:$N$25,MATCH('O&amp;M'!$D425,Indicies,0),MATCH('O&amp;M'!J$4,'Control Panel'!$C$6:$N$6,0))</f>
        <v>2.1452829087813895E-2</v>
      </c>
      <c r="K425" s="127">
        <f>INDEX('Control Panel'!$C$7:$N$25,MATCH('O&amp;M'!$D425,Indicies,0),MATCH('O&amp;M'!K$4,'Control Panel'!$C$6:$N$6,0))</f>
        <v>2.1452829087813895E-2</v>
      </c>
      <c r="L425" s="127">
        <f>INDEX('Control Panel'!$C$7:$N$25,MATCH('O&amp;M'!$D425,Indicies,0),MATCH('O&amp;M'!L$4,'Control Panel'!$C$6:$N$6,0))</f>
        <v>2.1452829087813895E-2</v>
      </c>
      <c r="M425" s="127">
        <f>INDEX('Control Panel'!$C$7:$N$25,MATCH('O&amp;M'!$D425,Indicies,0),MATCH('O&amp;M'!M$4,'Control Panel'!$C$6:$N$6,0))</f>
        <v>2.1452829087813895E-2</v>
      </c>
      <c r="N425" s="127">
        <f>INDEX('Control Panel'!$C$7:$N$25,MATCH('O&amp;M'!$D425,Indicies,0),MATCH('O&amp;M'!N$4,'Control Panel'!$C$6:$N$6,0))</f>
        <v>2.1452829087813895E-2</v>
      </c>
      <c r="O425" s="127">
        <f>INDEX('Control Panel'!$C$7:$N$25,MATCH('O&amp;M'!$D425,Indicies,0),MATCH('O&amp;M'!O$4,'Control Panel'!$C$6:$N$6,0))</f>
        <v>2.1452829087813895E-2</v>
      </c>
      <c r="P425" s="763">
        <v>3144.58</v>
      </c>
      <c r="Q425" s="763">
        <v>0</v>
      </c>
      <c r="R425" s="763">
        <v>0</v>
      </c>
      <c r="S425" s="763">
        <v>0</v>
      </c>
      <c r="T425" s="128">
        <f t="shared" si="378"/>
        <v>0</v>
      </c>
      <c r="U425" s="128">
        <f t="shared" si="379"/>
        <v>0</v>
      </c>
      <c r="V425" s="128">
        <f t="shared" si="380"/>
        <v>0</v>
      </c>
      <c r="W425" s="128">
        <f t="shared" si="381"/>
        <v>0</v>
      </c>
      <c r="X425" s="128">
        <f t="shared" si="382"/>
        <v>0</v>
      </c>
      <c r="Y425" s="128">
        <f t="shared" si="383"/>
        <v>0</v>
      </c>
      <c r="Z425" s="128">
        <f t="shared" si="384"/>
        <v>0</v>
      </c>
      <c r="AA425" s="128">
        <f t="shared" si="385"/>
        <v>0</v>
      </c>
      <c r="AB425" s="128">
        <f t="shared" si="386"/>
        <v>0</v>
      </c>
    </row>
    <row r="426" spans="2:28" s="134" customFormat="1" x14ac:dyDescent="0.3">
      <c r="B426" s="196" t="s">
        <v>193</v>
      </c>
      <c r="C426" s="91" t="s">
        <v>132</v>
      </c>
      <c r="D426" s="126" t="s">
        <v>1480</v>
      </c>
      <c r="E426" s="410">
        <f t="shared" si="396"/>
        <v>1</v>
      </c>
      <c r="F426" s="127">
        <f>INDEX('Control Panel'!$C$7:$N$25,MATCH('O&amp;M'!$D426,Indicies,0),MATCH('O&amp;M'!F$4,'Control Panel'!$C$6:$N$6,0))</f>
        <v>2.1452829087813895E-2</v>
      </c>
      <c r="G426" s="127">
        <f>INDEX('Control Panel'!$C$7:$N$25,MATCH('O&amp;M'!$D426,Indicies,0),MATCH('O&amp;M'!G$4,'Control Panel'!$C$6:$N$6,0))</f>
        <v>2.1452829087813895E-2</v>
      </c>
      <c r="H426" s="127">
        <f>INDEX('Control Panel'!$C$7:$N$25,MATCH('O&amp;M'!$D426,Indicies,0),MATCH('O&amp;M'!H$4,'Control Panel'!$C$6:$N$6,0))</f>
        <v>2.1452829087813895E-2</v>
      </c>
      <c r="I426" s="127">
        <f>INDEX('Control Panel'!$C$7:$N$25,MATCH('O&amp;M'!$D426,Indicies,0),MATCH('O&amp;M'!I$4,'Control Panel'!$C$6:$N$6,0))</f>
        <v>2.1452829087813895E-2</v>
      </c>
      <c r="J426" s="127">
        <f>INDEX('Control Panel'!$C$7:$N$25,MATCH('O&amp;M'!$D426,Indicies,0),MATCH('O&amp;M'!J$4,'Control Panel'!$C$6:$N$6,0))</f>
        <v>2.1452829087813895E-2</v>
      </c>
      <c r="K426" s="127">
        <f>INDEX('Control Panel'!$C$7:$N$25,MATCH('O&amp;M'!$D426,Indicies,0),MATCH('O&amp;M'!K$4,'Control Panel'!$C$6:$N$6,0))</f>
        <v>2.1452829087813895E-2</v>
      </c>
      <c r="L426" s="127">
        <f>INDEX('Control Panel'!$C$7:$N$25,MATCH('O&amp;M'!$D426,Indicies,0),MATCH('O&amp;M'!L$4,'Control Panel'!$C$6:$N$6,0))</f>
        <v>2.1452829087813895E-2</v>
      </c>
      <c r="M426" s="127">
        <f>INDEX('Control Panel'!$C$7:$N$25,MATCH('O&amp;M'!$D426,Indicies,0),MATCH('O&amp;M'!M$4,'Control Panel'!$C$6:$N$6,0))</f>
        <v>2.1452829087813895E-2</v>
      </c>
      <c r="N426" s="127">
        <f>INDEX('Control Panel'!$C$7:$N$25,MATCH('O&amp;M'!$D426,Indicies,0),MATCH('O&amp;M'!N$4,'Control Panel'!$C$6:$N$6,0))</f>
        <v>2.1452829087813895E-2</v>
      </c>
      <c r="O426" s="127">
        <f>INDEX('Control Panel'!$C$7:$N$25,MATCH('O&amp;M'!$D426,Indicies,0),MATCH('O&amp;M'!O$4,'Control Panel'!$C$6:$N$6,0))</f>
        <v>2.1452829087813895E-2</v>
      </c>
      <c r="P426" s="763">
        <v>4050</v>
      </c>
      <c r="Q426" s="763">
        <v>4110.5</v>
      </c>
      <c r="R426" s="763">
        <v>23250</v>
      </c>
      <c r="S426" s="763">
        <v>17000</v>
      </c>
      <c r="T426" s="128">
        <f t="shared" si="378"/>
        <v>17364.698094492836</v>
      </c>
      <c r="U426" s="128">
        <f t="shared" si="379"/>
        <v>17737.219994875479</v>
      </c>
      <c r="V426" s="128">
        <f t="shared" si="380"/>
        <v>18117.733543918501</v>
      </c>
      <c r="W426" s="128">
        <f t="shared" si="381"/>
        <v>18506.410185094737</v>
      </c>
      <c r="X426" s="128">
        <f t="shared" si="382"/>
        <v>18903.425039824553</v>
      </c>
      <c r="Y426" s="128">
        <f t="shared" si="383"/>
        <v>19308.956986378213</v>
      </c>
      <c r="Z426" s="128">
        <f t="shared" si="384"/>
        <v>19723.188740470938</v>
      </c>
      <c r="AA426" s="128">
        <f t="shared" si="385"/>
        <v>20146.306937586956</v>
      </c>
      <c r="AB426" s="128">
        <f t="shared" si="386"/>
        <v>20578.50221706965</v>
      </c>
    </row>
    <row r="427" spans="2:28" s="134" customFormat="1" x14ac:dyDescent="0.3">
      <c r="B427" s="196" t="s">
        <v>194</v>
      </c>
      <c r="C427" s="91" t="s">
        <v>134</v>
      </c>
      <c r="D427" s="126" t="s">
        <v>1480</v>
      </c>
      <c r="E427" s="410">
        <f t="shared" si="396"/>
        <v>1</v>
      </c>
      <c r="F427" s="127">
        <f>INDEX('Control Panel'!$C$7:$N$25,MATCH('O&amp;M'!$D427,Indicies,0),MATCH('O&amp;M'!F$4,'Control Panel'!$C$6:$N$6,0))</f>
        <v>2.1452829087813895E-2</v>
      </c>
      <c r="G427" s="127">
        <f>INDEX('Control Panel'!$C$7:$N$25,MATCH('O&amp;M'!$D427,Indicies,0),MATCH('O&amp;M'!G$4,'Control Panel'!$C$6:$N$6,0))</f>
        <v>2.1452829087813895E-2</v>
      </c>
      <c r="H427" s="127">
        <f>INDEX('Control Panel'!$C$7:$N$25,MATCH('O&amp;M'!$D427,Indicies,0),MATCH('O&amp;M'!H$4,'Control Panel'!$C$6:$N$6,0))</f>
        <v>2.1452829087813895E-2</v>
      </c>
      <c r="I427" s="127">
        <f>INDEX('Control Panel'!$C$7:$N$25,MATCH('O&amp;M'!$D427,Indicies,0),MATCH('O&amp;M'!I$4,'Control Panel'!$C$6:$N$6,0))</f>
        <v>2.1452829087813895E-2</v>
      </c>
      <c r="J427" s="127">
        <f>INDEX('Control Panel'!$C$7:$N$25,MATCH('O&amp;M'!$D427,Indicies,0),MATCH('O&amp;M'!J$4,'Control Panel'!$C$6:$N$6,0))</f>
        <v>2.1452829087813895E-2</v>
      </c>
      <c r="K427" s="127">
        <f>INDEX('Control Panel'!$C$7:$N$25,MATCH('O&amp;M'!$D427,Indicies,0),MATCH('O&amp;M'!K$4,'Control Panel'!$C$6:$N$6,0))</f>
        <v>2.1452829087813895E-2</v>
      </c>
      <c r="L427" s="127">
        <f>INDEX('Control Panel'!$C$7:$N$25,MATCH('O&amp;M'!$D427,Indicies,0),MATCH('O&amp;M'!L$4,'Control Panel'!$C$6:$N$6,0))</f>
        <v>2.1452829087813895E-2</v>
      </c>
      <c r="M427" s="127">
        <f>INDEX('Control Panel'!$C$7:$N$25,MATCH('O&amp;M'!$D427,Indicies,0),MATCH('O&amp;M'!M$4,'Control Panel'!$C$6:$N$6,0))</f>
        <v>2.1452829087813895E-2</v>
      </c>
      <c r="N427" s="127">
        <f>INDEX('Control Panel'!$C$7:$N$25,MATCH('O&amp;M'!$D427,Indicies,0),MATCH('O&amp;M'!N$4,'Control Panel'!$C$6:$N$6,0))</f>
        <v>2.1452829087813895E-2</v>
      </c>
      <c r="O427" s="127">
        <f>INDEX('Control Panel'!$C$7:$N$25,MATCH('O&amp;M'!$D427,Indicies,0),MATCH('O&amp;M'!O$4,'Control Panel'!$C$6:$N$6,0))</f>
        <v>2.1452829087813895E-2</v>
      </c>
      <c r="P427" s="763">
        <v>3370.97</v>
      </c>
      <c r="Q427" s="763">
        <v>1231.81</v>
      </c>
      <c r="R427" s="763">
        <v>3500</v>
      </c>
      <c r="S427" s="763">
        <v>2500</v>
      </c>
      <c r="T427" s="128">
        <f t="shared" si="378"/>
        <v>2553.6320727195348</v>
      </c>
      <c r="U427" s="128">
        <f t="shared" si="379"/>
        <v>2608.4147051287473</v>
      </c>
      <c r="V427" s="128">
        <f t="shared" si="380"/>
        <v>2664.3725799880149</v>
      </c>
      <c r="W427" s="128">
        <f t="shared" si="381"/>
        <v>2721.5309095727557</v>
      </c>
      <c r="X427" s="128">
        <f t="shared" si="382"/>
        <v>2779.9154470330232</v>
      </c>
      <c r="Y427" s="128">
        <f t="shared" si="383"/>
        <v>2839.5524979967968</v>
      </c>
      <c r="Z427" s="128">
        <f t="shared" si="384"/>
        <v>2900.4689324221972</v>
      </c>
      <c r="AA427" s="128">
        <f t="shared" si="385"/>
        <v>2962.6921967039648</v>
      </c>
      <c r="AB427" s="128">
        <f t="shared" si="386"/>
        <v>3026.2503260396552</v>
      </c>
    </row>
    <row r="428" spans="2:28" s="134" customFormat="1" x14ac:dyDescent="0.3">
      <c r="B428" s="196" t="s">
        <v>195</v>
      </c>
      <c r="C428" s="91" t="s">
        <v>136</v>
      </c>
      <c r="D428" s="126" t="s">
        <v>1480</v>
      </c>
      <c r="E428" s="410">
        <f t="shared" si="396"/>
        <v>1</v>
      </c>
      <c r="F428" s="127">
        <f>INDEX('Control Panel'!$C$7:$N$25,MATCH('O&amp;M'!$D428,Indicies,0),MATCH('O&amp;M'!F$4,'Control Panel'!$C$6:$N$6,0))</f>
        <v>2.1452829087813895E-2</v>
      </c>
      <c r="G428" s="127">
        <f>INDEX('Control Panel'!$C$7:$N$25,MATCH('O&amp;M'!$D428,Indicies,0),MATCH('O&amp;M'!G$4,'Control Panel'!$C$6:$N$6,0))</f>
        <v>2.1452829087813895E-2</v>
      </c>
      <c r="H428" s="127">
        <f>INDEX('Control Panel'!$C$7:$N$25,MATCH('O&amp;M'!$D428,Indicies,0),MATCH('O&amp;M'!H$4,'Control Panel'!$C$6:$N$6,0))</f>
        <v>2.1452829087813895E-2</v>
      </c>
      <c r="I428" s="127">
        <f>INDEX('Control Panel'!$C$7:$N$25,MATCH('O&amp;M'!$D428,Indicies,0),MATCH('O&amp;M'!I$4,'Control Panel'!$C$6:$N$6,0))</f>
        <v>2.1452829087813895E-2</v>
      </c>
      <c r="J428" s="127">
        <f>INDEX('Control Panel'!$C$7:$N$25,MATCH('O&amp;M'!$D428,Indicies,0),MATCH('O&amp;M'!J$4,'Control Panel'!$C$6:$N$6,0))</f>
        <v>2.1452829087813895E-2</v>
      </c>
      <c r="K428" s="127">
        <f>INDEX('Control Panel'!$C$7:$N$25,MATCH('O&amp;M'!$D428,Indicies,0),MATCH('O&amp;M'!K$4,'Control Panel'!$C$6:$N$6,0))</f>
        <v>2.1452829087813895E-2</v>
      </c>
      <c r="L428" s="127">
        <f>INDEX('Control Panel'!$C$7:$N$25,MATCH('O&amp;M'!$D428,Indicies,0),MATCH('O&amp;M'!L$4,'Control Panel'!$C$6:$N$6,0))</f>
        <v>2.1452829087813895E-2</v>
      </c>
      <c r="M428" s="127">
        <f>INDEX('Control Panel'!$C$7:$N$25,MATCH('O&amp;M'!$D428,Indicies,0),MATCH('O&amp;M'!M$4,'Control Panel'!$C$6:$N$6,0))</f>
        <v>2.1452829087813895E-2</v>
      </c>
      <c r="N428" s="127">
        <f>INDEX('Control Panel'!$C$7:$N$25,MATCH('O&amp;M'!$D428,Indicies,0),MATCH('O&amp;M'!N$4,'Control Panel'!$C$6:$N$6,0))</f>
        <v>2.1452829087813895E-2</v>
      </c>
      <c r="O428" s="127">
        <f>INDEX('Control Panel'!$C$7:$N$25,MATCH('O&amp;M'!$D428,Indicies,0),MATCH('O&amp;M'!O$4,'Control Panel'!$C$6:$N$6,0))</f>
        <v>2.1452829087813895E-2</v>
      </c>
      <c r="P428" s="763">
        <v>1020.45</v>
      </c>
      <c r="Q428" s="763">
        <v>669.77</v>
      </c>
      <c r="R428" s="763">
        <v>1100</v>
      </c>
      <c r="S428" s="763">
        <v>1100</v>
      </c>
      <c r="T428" s="128">
        <f t="shared" si="378"/>
        <v>1123.5981119965954</v>
      </c>
      <c r="U428" s="128">
        <f t="shared" si="379"/>
        <v>1147.7024702566489</v>
      </c>
      <c r="V428" s="128">
        <f t="shared" si="380"/>
        <v>1172.3239351947268</v>
      </c>
      <c r="W428" s="128">
        <f t="shared" si="381"/>
        <v>1197.4736002120128</v>
      </c>
      <c r="X428" s="128">
        <f t="shared" si="382"/>
        <v>1223.1627966945305</v>
      </c>
      <c r="Y428" s="128">
        <f t="shared" si="383"/>
        <v>1249.4030991185907</v>
      </c>
      <c r="Z428" s="128">
        <f t="shared" si="384"/>
        <v>1276.2063302657671</v>
      </c>
      <c r="AA428" s="128">
        <f t="shared" si="385"/>
        <v>1303.5845665497447</v>
      </c>
      <c r="AB428" s="128">
        <f t="shared" si="386"/>
        <v>1331.5501434574485</v>
      </c>
    </row>
    <row r="429" spans="2:28" s="134" customFormat="1" x14ac:dyDescent="0.3">
      <c r="B429" s="196" t="s">
        <v>196</v>
      </c>
      <c r="C429" s="91" t="s">
        <v>20</v>
      </c>
      <c r="D429" s="126" t="s">
        <v>1480</v>
      </c>
      <c r="E429" s="410">
        <f t="shared" si="396"/>
        <v>1</v>
      </c>
      <c r="F429" s="127">
        <f>INDEX('Control Panel'!$C$7:$N$25,MATCH('O&amp;M'!$D429,Indicies,0),MATCH('O&amp;M'!F$4,'Control Panel'!$C$6:$N$6,0))</f>
        <v>2.1452829087813895E-2</v>
      </c>
      <c r="G429" s="127">
        <f>INDEX('Control Panel'!$C$7:$N$25,MATCH('O&amp;M'!$D429,Indicies,0),MATCH('O&amp;M'!G$4,'Control Panel'!$C$6:$N$6,0))</f>
        <v>2.1452829087813895E-2</v>
      </c>
      <c r="H429" s="127">
        <f>INDEX('Control Panel'!$C$7:$N$25,MATCH('O&amp;M'!$D429,Indicies,0),MATCH('O&amp;M'!H$4,'Control Panel'!$C$6:$N$6,0))</f>
        <v>2.1452829087813895E-2</v>
      </c>
      <c r="I429" s="127">
        <f>INDEX('Control Panel'!$C$7:$N$25,MATCH('O&amp;M'!$D429,Indicies,0),MATCH('O&amp;M'!I$4,'Control Panel'!$C$6:$N$6,0))</f>
        <v>2.1452829087813895E-2</v>
      </c>
      <c r="J429" s="127">
        <f>INDEX('Control Panel'!$C$7:$N$25,MATCH('O&amp;M'!$D429,Indicies,0),MATCH('O&amp;M'!J$4,'Control Panel'!$C$6:$N$6,0))</f>
        <v>2.1452829087813895E-2</v>
      </c>
      <c r="K429" s="127">
        <f>INDEX('Control Panel'!$C$7:$N$25,MATCH('O&amp;M'!$D429,Indicies,0),MATCH('O&amp;M'!K$4,'Control Panel'!$C$6:$N$6,0))</f>
        <v>2.1452829087813895E-2</v>
      </c>
      <c r="L429" s="127">
        <f>INDEX('Control Panel'!$C$7:$N$25,MATCH('O&amp;M'!$D429,Indicies,0),MATCH('O&amp;M'!L$4,'Control Panel'!$C$6:$N$6,0))</f>
        <v>2.1452829087813895E-2</v>
      </c>
      <c r="M429" s="127">
        <f>INDEX('Control Panel'!$C$7:$N$25,MATCH('O&amp;M'!$D429,Indicies,0),MATCH('O&amp;M'!M$4,'Control Panel'!$C$6:$N$6,0))</f>
        <v>2.1452829087813895E-2</v>
      </c>
      <c r="N429" s="127">
        <f>INDEX('Control Panel'!$C$7:$N$25,MATCH('O&amp;M'!$D429,Indicies,0),MATCH('O&amp;M'!N$4,'Control Panel'!$C$6:$N$6,0))</f>
        <v>2.1452829087813895E-2</v>
      </c>
      <c r="O429" s="127">
        <f>INDEX('Control Panel'!$C$7:$N$25,MATCH('O&amp;M'!$D429,Indicies,0),MATCH('O&amp;M'!O$4,'Control Panel'!$C$6:$N$6,0))</f>
        <v>2.1452829087813895E-2</v>
      </c>
      <c r="P429" s="763">
        <v>5533.85</v>
      </c>
      <c r="Q429" s="763">
        <v>461.21</v>
      </c>
      <c r="R429" s="763">
        <v>1200</v>
      </c>
      <c r="S429" s="763">
        <v>3500</v>
      </c>
      <c r="T429" s="128">
        <f t="shared" si="378"/>
        <v>3575.0849018073491</v>
      </c>
      <c r="U429" s="128">
        <f t="shared" si="379"/>
        <v>3651.7805871802466</v>
      </c>
      <c r="V429" s="128">
        <f t="shared" si="380"/>
        <v>3730.1216119832216</v>
      </c>
      <c r="W429" s="128">
        <f t="shared" si="381"/>
        <v>3810.143273401859</v>
      </c>
      <c r="X429" s="128">
        <f t="shared" si="382"/>
        <v>3891.8816258462334</v>
      </c>
      <c r="Y429" s="128">
        <f t="shared" si="383"/>
        <v>3975.3734971955164</v>
      </c>
      <c r="Z429" s="128">
        <f t="shared" si="384"/>
        <v>4060.6565053910772</v>
      </c>
      <c r="AA429" s="128">
        <f t="shared" si="385"/>
        <v>4147.7690753855522</v>
      </c>
      <c r="AB429" s="128">
        <f t="shared" si="386"/>
        <v>4236.7504564555184</v>
      </c>
    </row>
    <row r="430" spans="2:28" s="134" customFormat="1" x14ac:dyDescent="0.3">
      <c r="B430" s="196" t="s">
        <v>197</v>
      </c>
      <c r="C430" s="91" t="s">
        <v>198</v>
      </c>
      <c r="D430" s="126" t="s">
        <v>1480</v>
      </c>
      <c r="E430" s="410">
        <f t="shared" si="396"/>
        <v>1</v>
      </c>
      <c r="F430" s="127">
        <f>INDEX('Control Panel'!$C$7:$N$25,MATCH('O&amp;M'!$D430,Indicies,0),MATCH('O&amp;M'!F$4,'Control Panel'!$C$6:$N$6,0))</f>
        <v>2.1452829087813895E-2</v>
      </c>
      <c r="G430" s="127">
        <f>INDEX('Control Panel'!$C$7:$N$25,MATCH('O&amp;M'!$D430,Indicies,0),MATCH('O&amp;M'!G$4,'Control Panel'!$C$6:$N$6,0))</f>
        <v>2.1452829087813895E-2</v>
      </c>
      <c r="H430" s="127">
        <f>INDEX('Control Panel'!$C$7:$N$25,MATCH('O&amp;M'!$D430,Indicies,0),MATCH('O&amp;M'!H$4,'Control Panel'!$C$6:$N$6,0))</f>
        <v>2.1452829087813895E-2</v>
      </c>
      <c r="I430" s="127">
        <f>INDEX('Control Panel'!$C$7:$N$25,MATCH('O&amp;M'!$D430,Indicies,0),MATCH('O&amp;M'!I$4,'Control Panel'!$C$6:$N$6,0))</f>
        <v>2.1452829087813895E-2</v>
      </c>
      <c r="J430" s="127">
        <f>INDEX('Control Panel'!$C$7:$N$25,MATCH('O&amp;M'!$D430,Indicies,0),MATCH('O&amp;M'!J$4,'Control Panel'!$C$6:$N$6,0))</f>
        <v>2.1452829087813895E-2</v>
      </c>
      <c r="K430" s="127">
        <f>INDEX('Control Panel'!$C$7:$N$25,MATCH('O&amp;M'!$D430,Indicies,0),MATCH('O&amp;M'!K$4,'Control Panel'!$C$6:$N$6,0))</f>
        <v>2.1452829087813895E-2</v>
      </c>
      <c r="L430" s="127">
        <f>INDEX('Control Panel'!$C$7:$N$25,MATCH('O&amp;M'!$D430,Indicies,0),MATCH('O&amp;M'!L$4,'Control Panel'!$C$6:$N$6,0))</f>
        <v>2.1452829087813895E-2</v>
      </c>
      <c r="M430" s="127">
        <f>INDEX('Control Panel'!$C$7:$N$25,MATCH('O&amp;M'!$D430,Indicies,0),MATCH('O&amp;M'!M$4,'Control Panel'!$C$6:$N$6,0))</f>
        <v>2.1452829087813895E-2</v>
      </c>
      <c r="N430" s="127">
        <f>INDEX('Control Panel'!$C$7:$N$25,MATCH('O&amp;M'!$D430,Indicies,0),MATCH('O&amp;M'!N$4,'Control Panel'!$C$6:$N$6,0))</f>
        <v>2.1452829087813895E-2</v>
      </c>
      <c r="O430" s="127">
        <f>INDEX('Control Panel'!$C$7:$N$25,MATCH('O&amp;M'!$D430,Indicies,0),MATCH('O&amp;M'!O$4,'Control Panel'!$C$6:$N$6,0))</f>
        <v>2.1452829087813895E-2</v>
      </c>
      <c r="P430" s="763">
        <v>9497.23</v>
      </c>
      <c r="Q430" s="763">
        <v>9020.69</v>
      </c>
      <c r="R430" s="763">
        <v>9700</v>
      </c>
      <c r="S430" s="763">
        <v>12150</v>
      </c>
      <c r="T430" s="128">
        <f t="shared" si="378"/>
        <v>12410.65187341694</v>
      </c>
      <c r="U430" s="128">
        <f t="shared" si="379"/>
        <v>12676.895466925713</v>
      </c>
      <c r="V430" s="128">
        <f t="shared" si="380"/>
        <v>12948.850738741754</v>
      </c>
      <c r="W430" s="128">
        <f t="shared" si="381"/>
        <v>13226.640220523595</v>
      </c>
      <c r="X430" s="128">
        <f t="shared" si="382"/>
        <v>13510.389072580494</v>
      </c>
      <c r="Y430" s="128">
        <f t="shared" si="383"/>
        <v>13800.225140264432</v>
      </c>
      <c r="Z430" s="128">
        <f t="shared" si="384"/>
        <v>14096.27901157188</v>
      </c>
      <c r="AA430" s="128">
        <f t="shared" si="385"/>
        <v>14398.684075981271</v>
      </c>
      <c r="AB430" s="128">
        <f t="shared" si="386"/>
        <v>14707.576584552726</v>
      </c>
    </row>
    <row r="431" spans="2:28" s="134" customFormat="1" x14ac:dyDescent="0.3">
      <c r="B431" s="196" t="s">
        <v>201</v>
      </c>
      <c r="C431" s="91" t="s">
        <v>202</v>
      </c>
      <c r="D431" s="126" t="s">
        <v>7</v>
      </c>
      <c r="E431" s="410">
        <f t="shared" si="396"/>
        <v>1</v>
      </c>
      <c r="F431" s="127">
        <f>INDEX('Control Panel'!$C$7:$N$25,MATCH('O&amp;M'!$D431,Indicies,0),MATCH('O&amp;M'!F$4,'Control Panel'!$C$6:$N$6,0))</f>
        <v>0.03</v>
      </c>
      <c r="G431" s="127">
        <f>INDEX('Control Panel'!$C$7:$N$25,MATCH('O&amp;M'!$D431,Indicies,0),MATCH('O&amp;M'!G$4,'Control Panel'!$C$6:$N$6,0))</f>
        <v>0.03</v>
      </c>
      <c r="H431" s="127">
        <f>INDEX('Control Panel'!$C$7:$N$25,MATCH('O&amp;M'!$D431,Indicies,0),MATCH('O&amp;M'!H$4,'Control Panel'!$C$6:$N$6,0))</f>
        <v>0.03</v>
      </c>
      <c r="I431" s="127">
        <f>INDEX('Control Panel'!$C$7:$N$25,MATCH('O&amp;M'!$D431,Indicies,0),MATCH('O&amp;M'!I$4,'Control Panel'!$C$6:$N$6,0))</f>
        <v>0.03</v>
      </c>
      <c r="J431" s="127">
        <f>INDEX('Control Panel'!$C$7:$N$25,MATCH('O&amp;M'!$D431,Indicies,0),MATCH('O&amp;M'!J$4,'Control Panel'!$C$6:$N$6,0))</f>
        <v>0.03</v>
      </c>
      <c r="K431" s="127">
        <f>INDEX('Control Panel'!$C$7:$N$25,MATCH('O&amp;M'!$D431,Indicies,0),MATCH('O&amp;M'!K$4,'Control Panel'!$C$6:$N$6,0))</f>
        <v>0.03</v>
      </c>
      <c r="L431" s="127">
        <f>INDEX('Control Panel'!$C$7:$N$25,MATCH('O&amp;M'!$D431,Indicies,0),MATCH('O&amp;M'!L$4,'Control Panel'!$C$6:$N$6,0))</f>
        <v>0.03</v>
      </c>
      <c r="M431" s="127">
        <f>INDEX('Control Panel'!$C$7:$N$25,MATCH('O&amp;M'!$D431,Indicies,0),MATCH('O&amp;M'!M$4,'Control Panel'!$C$6:$N$6,0))</f>
        <v>0.03</v>
      </c>
      <c r="N431" s="127">
        <f>INDEX('Control Panel'!$C$7:$N$25,MATCH('O&amp;M'!$D431,Indicies,0),MATCH('O&amp;M'!N$4,'Control Panel'!$C$6:$N$6,0))</f>
        <v>0.03</v>
      </c>
      <c r="O431" s="127">
        <f>INDEX('Control Panel'!$C$7:$N$25,MATCH('O&amp;M'!$D431,Indicies,0),MATCH('O&amp;M'!O$4,'Control Panel'!$C$6:$N$6,0))</f>
        <v>0.03</v>
      </c>
      <c r="P431" s="763">
        <v>0</v>
      </c>
      <c r="Q431" s="763">
        <v>0</v>
      </c>
      <c r="R431" s="763">
        <v>100000</v>
      </c>
      <c r="S431" s="763">
        <v>100000</v>
      </c>
      <c r="T431" s="128">
        <f t="shared" si="378"/>
        <v>103000</v>
      </c>
      <c r="U431" s="128">
        <f t="shared" si="379"/>
        <v>106090</v>
      </c>
      <c r="V431" s="128">
        <f t="shared" si="380"/>
        <v>109272.7</v>
      </c>
      <c r="W431" s="128">
        <f t="shared" si="381"/>
        <v>112550.88099999999</v>
      </c>
      <c r="X431" s="128">
        <f t="shared" si="382"/>
        <v>115927.40742999999</v>
      </c>
      <c r="Y431" s="128">
        <f t="shared" si="383"/>
        <v>119405.2296529</v>
      </c>
      <c r="Z431" s="128">
        <f t="shared" si="384"/>
        <v>122987.386542487</v>
      </c>
      <c r="AA431" s="128">
        <f t="shared" si="385"/>
        <v>126677.00813876161</v>
      </c>
      <c r="AB431" s="128">
        <f t="shared" si="386"/>
        <v>130477.31838292447</v>
      </c>
    </row>
    <row r="432" spans="2:28" s="134" customFormat="1" x14ac:dyDescent="0.3">
      <c r="B432" s="199"/>
      <c r="C432" s="136" t="s">
        <v>203</v>
      </c>
      <c r="E432" s="410"/>
      <c r="P432" s="137">
        <f>SUM(P391:P431)</f>
        <v>4576527.1493566902</v>
      </c>
      <c r="Q432" s="137">
        <f t="shared" ref="Q432:AB432" si="397">SUM(Q391:Q431)</f>
        <v>2764950.29</v>
      </c>
      <c r="R432" s="137">
        <f t="shared" si="397"/>
        <v>3352068</v>
      </c>
      <c r="S432" s="137">
        <f t="shared" si="397"/>
        <v>3196314</v>
      </c>
      <c r="T432" s="137">
        <f t="shared" si="397"/>
        <v>3315135.7790104789</v>
      </c>
      <c r="U432" s="137">
        <f>SUM(U391:U431)</f>
        <v>3438665.3160608411</v>
      </c>
      <c r="V432" s="137">
        <f t="shared" si="397"/>
        <v>3567103.9130167756</v>
      </c>
      <c r="W432" s="137">
        <f t="shared" si="397"/>
        <v>3700662.2089502816</v>
      </c>
      <c r="X432" s="137">
        <f t="shared" si="397"/>
        <v>3839560.6472654282</v>
      </c>
      <c r="Y432" s="137">
        <f t="shared" si="397"/>
        <v>3984029.9676740486</v>
      </c>
      <c r="Z432" s="137">
        <f t="shared" si="397"/>
        <v>4134311.7244034712</v>
      </c>
      <c r="AA432" s="137">
        <f t="shared" si="397"/>
        <v>4290658.8320976654</v>
      </c>
      <c r="AB432" s="137">
        <f t="shared" si="397"/>
        <v>4453336.1409568442</v>
      </c>
    </row>
    <row r="433" spans="2:28" s="134" customFormat="1" ht="15.75" customHeight="1" x14ac:dyDescent="0.3">
      <c r="E433" s="410"/>
      <c r="P433" s="135"/>
      <c r="Q433" s="144">
        <f>(Q432-P432)/P432</f>
        <v>-0.3958409510607489</v>
      </c>
      <c r="R433" s="144">
        <f>(R432-Q432)/Q432</f>
        <v>0.2123429531892235</v>
      </c>
      <c r="S433" s="144">
        <f>(S432-R432)/R432</f>
        <v>-4.6465047845091451E-2</v>
      </c>
      <c r="T433" s="144">
        <f t="shared" ref="T433" si="398">(T432-S432)/S432</f>
        <v>3.7174626463632447E-2</v>
      </c>
      <c r="U433" s="144">
        <f t="shared" ref="U433" si="399">(U432-T432)/T432</f>
        <v>3.726228585642849E-2</v>
      </c>
      <c r="V433" s="144">
        <f t="shared" ref="V433" si="400">(V432-U432)/U432</f>
        <v>3.735129335095258E-2</v>
      </c>
      <c r="W433" s="144">
        <f t="shared" ref="W433" si="401">(W432-V432)/V432</f>
        <v>3.7441661131916083E-2</v>
      </c>
      <c r="X433" s="144">
        <f t="shared" ref="X433" si="402">(X432-W432)/W432</f>
        <v>3.7533400908413658E-2</v>
      </c>
      <c r="Y433" s="144">
        <f t="shared" ref="Y433" si="403">(Y432-X432)/X432</f>
        <v>3.7626523886662093E-2</v>
      </c>
      <c r="Z433" s="144">
        <f t="shared" ref="Z433" si="404">(Z432-Y432)/Y432</f>
        <v>3.7721040742361663E-2</v>
      </c>
      <c r="AA433" s="144">
        <f t="shared" ref="AA433" si="405">(AA432-Z432)/Z432</f>
        <v>3.7816961592743246E-2</v>
      </c>
      <c r="AB433" s="144">
        <f t="shared" ref="AB433" si="406">(AB432-AA432)/AA432</f>
        <v>3.7914295968306408E-2</v>
      </c>
    </row>
    <row r="434" spans="2:28" ht="15.75" customHeight="1" x14ac:dyDescent="0.3">
      <c r="B434" s="132"/>
      <c r="C434" s="142" t="s">
        <v>1486</v>
      </c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3">
        <f t="shared" ref="P434:AB434" si="407">P126+P234+P347</f>
        <v>14747193.140917405</v>
      </c>
      <c r="Q434" s="143">
        <f t="shared" si="407"/>
        <v>14544897.969999999</v>
      </c>
      <c r="R434" s="143">
        <f t="shared" si="407"/>
        <v>16278359</v>
      </c>
      <c r="S434" s="143">
        <f t="shared" si="407"/>
        <v>15227772.463099997</v>
      </c>
      <c r="T434" s="143">
        <f t="shared" si="407"/>
        <v>15674445.601415999</v>
      </c>
      <c r="U434" s="143">
        <f>U126+U234+U347</f>
        <v>16187539.43364195</v>
      </c>
      <c r="V434" s="143">
        <f t="shared" si="407"/>
        <v>16718901.367758293</v>
      </c>
      <c r="W434" s="143">
        <f t="shared" si="407"/>
        <v>17269314.271726042</v>
      </c>
      <c r="X434" s="143">
        <f t="shared" si="407"/>
        <v>17795428.522875473</v>
      </c>
      <c r="Y434" s="143">
        <f t="shared" si="407"/>
        <v>18340100.218918242</v>
      </c>
      <c r="Z434" s="143">
        <f t="shared" si="407"/>
        <v>18904173.540222932</v>
      </c>
      <c r="AA434" s="143">
        <f t="shared" si="407"/>
        <v>19488544.997155562</v>
      </c>
      <c r="AB434" s="143">
        <f t="shared" si="407"/>
        <v>20094167.549466513</v>
      </c>
    </row>
    <row r="435" spans="2:28" ht="14.25" customHeight="1" x14ac:dyDescent="0.3">
      <c r="B435" s="132"/>
      <c r="C435" s="132" t="s">
        <v>1770</v>
      </c>
      <c r="D435" s="145"/>
      <c r="E435" s="410">
        <f>S435/S$434</f>
        <v>0.82214396455601846</v>
      </c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97">
        <f t="shared" ref="P435:AB435" si="408">P126</f>
        <v>11390775.053367343</v>
      </c>
      <c r="Q435" s="97">
        <f t="shared" si="408"/>
        <v>11842312.734999999</v>
      </c>
      <c r="R435" s="97">
        <f t="shared" si="408"/>
        <v>13076558.800000001</v>
      </c>
      <c r="S435" s="97">
        <f t="shared" si="408"/>
        <v>12519421.224169997</v>
      </c>
      <c r="T435" s="97">
        <f t="shared" si="408"/>
        <v>12918559.413494878</v>
      </c>
      <c r="U435" s="97">
        <f>U126</f>
        <v>13330076.727931121</v>
      </c>
      <c r="V435" s="97">
        <f t="shared" si="408"/>
        <v>13755618.888539981</v>
      </c>
      <c r="W435" s="97">
        <f t="shared" si="408"/>
        <v>14195754.508831505</v>
      </c>
      <c r="X435" s="97">
        <f t="shared" si="408"/>
        <v>14606906.19436045</v>
      </c>
      <c r="Y435" s="97">
        <f t="shared" si="408"/>
        <v>15031687.722448047</v>
      </c>
      <c r="Z435" s="97">
        <f t="shared" si="408"/>
        <v>15470685.284164215</v>
      </c>
      <c r="AA435" s="97">
        <f t="shared" si="408"/>
        <v>15924520.514148638</v>
      </c>
      <c r="AB435" s="97">
        <f t="shared" si="408"/>
        <v>16393853.286241982</v>
      </c>
    </row>
    <row r="436" spans="2:28" ht="14.25" customHeight="1" x14ac:dyDescent="0.3">
      <c r="B436" s="132"/>
      <c r="C436" s="132" t="s">
        <v>1771</v>
      </c>
      <c r="D436" s="145"/>
      <c r="E436" s="410">
        <f t="shared" ref="E436:E437" si="409">S436/S$434</f>
        <v>8.2975735454860838E-2</v>
      </c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97">
        <f t="shared" ref="P436:AB436" si="410">P234</f>
        <v>1541899.2987750317</v>
      </c>
      <c r="Q436" s="97">
        <f t="shared" si="410"/>
        <v>1110788.3374999999</v>
      </c>
      <c r="R436" s="97">
        <f t="shared" si="410"/>
        <v>1343132.6</v>
      </c>
      <c r="S436" s="97">
        <f t="shared" si="410"/>
        <v>1263535.619465</v>
      </c>
      <c r="T436" s="97">
        <f t="shared" si="410"/>
        <v>1258850.3912375541</v>
      </c>
      <c r="U436" s="97">
        <f t="shared" si="410"/>
        <v>1306082.6230100906</v>
      </c>
      <c r="V436" s="97">
        <f t="shared" si="410"/>
        <v>1355330.0612126112</v>
      </c>
      <c r="W436" s="97">
        <f t="shared" si="410"/>
        <v>1406696.6431072163</v>
      </c>
      <c r="X436" s="97">
        <f t="shared" si="410"/>
        <v>1460292.9688936626</v>
      </c>
      <c r="Y436" s="97">
        <f t="shared" si="410"/>
        <v>1516236.8144798349</v>
      </c>
      <c r="Z436" s="97">
        <f t="shared" si="410"/>
        <v>1574653.6886673693</v>
      </c>
      <c r="AA436" s="97">
        <f t="shared" si="410"/>
        <v>1635677.4388613196</v>
      </c>
      <c r="AB436" s="97">
        <f t="shared" si="410"/>
        <v>1699450.9098063414</v>
      </c>
    </row>
    <row r="437" spans="2:28" ht="14.25" customHeight="1" x14ac:dyDescent="0.3">
      <c r="B437" s="132"/>
      <c r="C437" s="132" t="s">
        <v>1772</v>
      </c>
      <c r="D437" s="145"/>
      <c r="E437" s="410">
        <f t="shared" si="409"/>
        <v>9.4880299989120759E-2</v>
      </c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97">
        <f>P347</f>
        <v>1814518.7887750315</v>
      </c>
      <c r="Q437" s="97">
        <f t="shared" ref="Q437:AB437" si="411">Q347</f>
        <v>1591796.8975</v>
      </c>
      <c r="R437" s="97">
        <f t="shared" si="411"/>
        <v>1858667.6</v>
      </c>
      <c r="S437" s="97">
        <f t="shared" si="411"/>
        <v>1444815.619465</v>
      </c>
      <c r="T437" s="97">
        <f t="shared" si="411"/>
        <v>1497035.7966835687</v>
      </c>
      <c r="U437" s="97">
        <f t="shared" si="411"/>
        <v>1551380.0827007389</v>
      </c>
      <c r="V437" s="97">
        <f t="shared" si="411"/>
        <v>1607952.4180057009</v>
      </c>
      <c r="W437" s="97">
        <f t="shared" si="411"/>
        <v>1666863.1197873186</v>
      </c>
      <c r="X437" s="97">
        <f t="shared" si="411"/>
        <v>1728229.3596213614</v>
      </c>
      <c r="Y437" s="97">
        <f t="shared" si="411"/>
        <v>1792175.6819903587</v>
      </c>
      <c r="Z437" s="97">
        <f t="shared" si="411"/>
        <v>1858834.5673913478</v>
      </c>
      <c r="AA437" s="97">
        <f t="shared" si="411"/>
        <v>1928347.0441456069</v>
      </c>
      <c r="AB437" s="97">
        <f t="shared" si="411"/>
        <v>2000863.3534181919</v>
      </c>
    </row>
    <row r="438" spans="2:28" ht="14.25" customHeight="1" x14ac:dyDescent="0.3">
      <c r="B438" s="132"/>
      <c r="C438" s="132"/>
      <c r="D438" s="145"/>
      <c r="E438" s="410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</row>
    <row r="439" spans="2:28" ht="14.25" customHeight="1" x14ac:dyDescent="0.3">
      <c r="B439" s="132"/>
      <c r="C439" s="132" t="s">
        <v>1773</v>
      </c>
      <c r="D439" s="145"/>
      <c r="E439" s="410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97">
        <f t="shared" ref="P439:AB439" si="412">P43+P166+P274</f>
        <v>9801923.7362390608</v>
      </c>
      <c r="Q439" s="97">
        <f t="shared" si="412"/>
        <v>10070961.649999999</v>
      </c>
      <c r="R439" s="97">
        <f t="shared" si="412"/>
        <v>10642459</v>
      </c>
      <c r="S439" s="97">
        <f t="shared" si="412"/>
        <v>10283263.463099999</v>
      </c>
      <c r="T439" s="97">
        <f t="shared" si="412"/>
        <v>10612761.879175546</v>
      </c>
      <c r="U439" s="97">
        <f>U43+U166+U274</f>
        <v>10952581.71818657</v>
      </c>
      <c r="V439" s="97">
        <f t="shared" si="412"/>
        <v>11304328.654864496</v>
      </c>
      <c r="W439" s="97">
        <f t="shared" si="412"/>
        <v>11668533.301195286</v>
      </c>
      <c r="X439" s="97">
        <f t="shared" si="412"/>
        <v>12001582.753598422</v>
      </c>
      <c r="Y439" s="97">
        <f t="shared" si="412"/>
        <v>12346058.275830671</v>
      </c>
      <c r="Z439" s="97">
        <f t="shared" si="412"/>
        <v>12702517.105840975</v>
      </c>
      <c r="AA439" s="97">
        <f t="shared" si="412"/>
        <v>13071556.118883798</v>
      </c>
      <c r="AB439" s="97">
        <f t="shared" si="412"/>
        <v>13453815.332293803</v>
      </c>
    </row>
    <row r="440" spans="2:28" ht="14.25" customHeight="1" x14ac:dyDescent="0.3">
      <c r="B440" s="132"/>
      <c r="C440" s="132" t="s">
        <v>1774</v>
      </c>
      <c r="D440" s="145"/>
      <c r="E440" s="410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97">
        <f t="shared" ref="P440:AB440" si="413">P87+P210+P318</f>
        <v>3689802.3446783456</v>
      </c>
      <c r="Q440" s="97">
        <f t="shared" si="413"/>
        <v>2764950.2900000005</v>
      </c>
      <c r="R440" s="97">
        <f t="shared" si="413"/>
        <v>3352068</v>
      </c>
      <c r="S440" s="97">
        <f t="shared" si="413"/>
        <v>3196314</v>
      </c>
      <c r="T440" s="97">
        <f t="shared" si="413"/>
        <v>3315135.7790104789</v>
      </c>
      <c r="U440" s="97">
        <f>U87+U210+U318</f>
        <v>3438665.3160608411</v>
      </c>
      <c r="V440" s="97">
        <f t="shared" si="413"/>
        <v>3567103.9130167747</v>
      </c>
      <c r="W440" s="97">
        <f t="shared" si="413"/>
        <v>3700662.2089502811</v>
      </c>
      <c r="X440" s="97">
        <f t="shared" si="413"/>
        <v>3839560.6472654287</v>
      </c>
      <c r="Y440" s="97">
        <f t="shared" si="413"/>
        <v>3984029.9676740486</v>
      </c>
      <c r="Z440" s="97">
        <f t="shared" si="413"/>
        <v>4134311.7244034717</v>
      </c>
      <c r="AA440" s="97">
        <f t="shared" si="413"/>
        <v>4290658.8320976645</v>
      </c>
      <c r="AB440" s="97">
        <f t="shared" si="413"/>
        <v>4453336.1409568451</v>
      </c>
    </row>
    <row r="441" spans="2:28" ht="14.25" customHeight="1" x14ac:dyDescent="0.3">
      <c r="B441" s="132"/>
      <c r="C441" s="132" t="s">
        <v>1770</v>
      </c>
      <c r="D441" s="145"/>
      <c r="E441" s="410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97">
        <f t="shared" ref="P441:AB441" si="414">P124</f>
        <v>784574.25</v>
      </c>
      <c r="Q441" s="97">
        <f t="shared" si="414"/>
        <v>1047468.1700000002</v>
      </c>
      <c r="R441" s="97">
        <f t="shared" si="414"/>
        <v>1396567</v>
      </c>
      <c r="S441" s="97">
        <f t="shared" si="414"/>
        <v>1181295</v>
      </c>
      <c r="T441" s="97">
        <f t="shared" si="414"/>
        <v>1214817.689829661</v>
      </c>
      <c r="U441" s="97">
        <f>U124</f>
        <v>1249303.3038198601</v>
      </c>
      <c r="V441" s="97">
        <f t="shared" si="414"/>
        <v>1284779.8177086227</v>
      </c>
      <c r="W441" s="97">
        <f t="shared" si="414"/>
        <v>1321276.0292065109</v>
      </c>
      <c r="X441" s="97">
        <f t="shared" si="414"/>
        <v>1358821.5824345322</v>
      </c>
      <c r="Y441" s="97">
        <f t="shared" si="414"/>
        <v>1397446.9930981421</v>
      </c>
      <c r="Z441" s="97">
        <f t="shared" si="414"/>
        <v>1437183.6744198485</v>
      </c>
      <c r="AA441" s="97">
        <f t="shared" si="414"/>
        <v>1478063.9638536121</v>
      </c>
      <c r="AB441" s="97">
        <f t="shared" si="414"/>
        <v>1520121.1506049773</v>
      </c>
    </row>
    <row r="442" spans="2:28" ht="14.25" customHeight="1" x14ac:dyDescent="0.3">
      <c r="B442" s="132"/>
      <c r="C442" s="132" t="s">
        <v>1771</v>
      </c>
      <c r="D442" s="145"/>
      <c r="E442" s="410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97">
        <f t="shared" ref="P442:AB442" si="415">P232</f>
        <v>99136.66</v>
      </c>
      <c r="Q442" s="97">
        <f t="shared" si="415"/>
        <v>90254.64999999998</v>
      </c>
      <c r="R442" s="97">
        <f t="shared" si="415"/>
        <v>185865</v>
      </c>
      <c r="S442" s="97">
        <f t="shared" si="415"/>
        <v>192810</v>
      </c>
      <c r="T442" s="97">
        <f t="shared" si="415"/>
        <v>146772.42397715032</v>
      </c>
      <c r="U442" s="97">
        <f t="shared" si="415"/>
        <v>150845.8179420144</v>
      </c>
      <c r="V442" s="97">
        <f t="shared" si="415"/>
        <v>155033.31268765393</v>
      </c>
      <c r="W442" s="97">
        <f t="shared" si="415"/>
        <v>159338.12784692895</v>
      </c>
      <c r="X442" s="97">
        <f t="shared" si="415"/>
        <v>163763.57442469578</v>
      </c>
      <c r="Y442" s="97">
        <f t="shared" si="415"/>
        <v>168313.05740242649</v>
      </c>
      <c r="Z442" s="97">
        <f t="shared" si="415"/>
        <v>172990.07841732868</v>
      </c>
      <c r="AA442" s="97">
        <f t="shared" si="415"/>
        <v>177798.23851810044</v>
      </c>
      <c r="AB442" s="97">
        <f t="shared" si="415"/>
        <v>182741.24099951933</v>
      </c>
    </row>
    <row r="443" spans="2:28" ht="14.25" customHeight="1" x14ac:dyDescent="0.3">
      <c r="B443" s="132"/>
      <c r="C443" s="132" t="s">
        <v>1772</v>
      </c>
      <c r="D443" s="145"/>
      <c r="E443" s="410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97">
        <f t="shared" ref="P443:AB443" si="416">P345</f>
        <v>371756.14999999997</v>
      </c>
      <c r="Q443" s="97">
        <f t="shared" si="416"/>
        <v>571263.21</v>
      </c>
      <c r="R443" s="97">
        <f t="shared" si="416"/>
        <v>701400</v>
      </c>
      <c r="S443" s="97">
        <f t="shared" si="416"/>
        <v>374090</v>
      </c>
      <c r="T443" s="97">
        <f t="shared" si="416"/>
        <v>384957.82942316489</v>
      </c>
      <c r="U443" s="97">
        <f t="shared" si="416"/>
        <v>396143.27763266285</v>
      </c>
      <c r="V443" s="97">
        <f t="shared" si="416"/>
        <v>407655.66948074388</v>
      </c>
      <c r="W443" s="97">
        <f t="shared" si="416"/>
        <v>419504.6045270313</v>
      </c>
      <c r="X443" s="97">
        <f t="shared" si="416"/>
        <v>431699.96515239478</v>
      </c>
      <c r="Y443" s="97">
        <f t="shared" si="416"/>
        <v>444251.92491295049</v>
      </c>
      <c r="Z443" s="97">
        <f t="shared" si="416"/>
        <v>457170.95714130724</v>
      </c>
      <c r="AA443" s="97">
        <f t="shared" si="416"/>
        <v>470467.84380238777</v>
      </c>
      <c r="AB443" s="97">
        <f t="shared" si="416"/>
        <v>484153.68461136991</v>
      </c>
    </row>
    <row r="444" spans="2:28" ht="14.25" customHeight="1" x14ac:dyDescent="0.3">
      <c r="B444" s="132"/>
      <c r="C444" s="637" t="s">
        <v>14</v>
      </c>
      <c r="D444" s="145"/>
      <c r="E444" s="410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638">
        <f t="shared" ref="P444:AB444" si="417">SUM(P439:P443)</f>
        <v>14747193.140917407</v>
      </c>
      <c r="Q444" s="638">
        <f t="shared" si="417"/>
        <v>14544897.969999999</v>
      </c>
      <c r="R444" s="638">
        <f t="shared" si="417"/>
        <v>16278359</v>
      </c>
      <c r="S444" s="638">
        <f t="shared" si="417"/>
        <v>15227772.463099999</v>
      </c>
      <c r="T444" s="638">
        <f t="shared" si="417"/>
        <v>15674445.601415999</v>
      </c>
      <c r="U444" s="638">
        <f>SUM(U439:U443)</f>
        <v>16187539.433641948</v>
      </c>
      <c r="V444" s="638">
        <f t="shared" si="417"/>
        <v>16718901.367758293</v>
      </c>
      <c r="W444" s="638">
        <f t="shared" si="417"/>
        <v>17269314.271726038</v>
      </c>
      <c r="X444" s="638">
        <f t="shared" si="417"/>
        <v>17795428.522875473</v>
      </c>
      <c r="Y444" s="638">
        <f t="shared" si="417"/>
        <v>18340100.218918242</v>
      </c>
      <c r="Z444" s="638">
        <f t="shared" si="417"/>
        <v>18904173.540222932</v>
      </c>
      <c r="AA444" s="638">
        <f t="shared" si="417"/>
        <v>19488544.997155562</v>
      </c>
      <c r="AB444" s="638">
        <f t="shared" si="417"/>
        <v>20094167.549466517</v>
      </c>
    </row>
    <row r="445" spans="2:28" ht="14.25" customHeight="1" x14ac:dyDescent="0.3">
      <c r="B445" s="132"/>
      <c r="C445" s="132"/>
      <c r="D445" s="145"/>
      <c r="E445" s="410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</row>
    <row r="446" spans="2:28" ht="14.25" customHeight="1" x14ac:dyDescent="0.3">
      <c r="B446" s="132"/>
      <c r="C446" s="132" t="s">
        <v>1485</v>
      </c>
      <c r="D446" s="145"/>
      <c r="E446" s="410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97">
        <f t="shared" ref="P446:AB446" si="418">P432+P388+P345+P232+P124</f>
        <v>15633917.945595751</v>
      </c>
      <c r="Q446" s="97">
        <f t="shared" si="418"/>
        <v>14544897.969999999</v>
      </c>
      <c r="R446" s="97">
        <f t="shared" si="418"/>
        <v>16278359</v>
      </c>
      <c r="S446" s="97">
        <f t="shared" si="418"/>
        <v>15227772.463100001</v>
      </c>
      <c r="T446" s="97">
        <f t="shared" si="418"/>
        <v>15674445.601415997</v>
      </c>
      <c r="U446" s="97">
        <f t="shared" si="418"/>
        <v>16187539.433641948</v>
      </c>
      <c r="V446" s="97">
        <f t="shared" si="418"/>
        <v>16718901.367758295</v>
      </c>
      <c r="W446" s="97">
        <f t="shared" si="418"/>
        <v>17269314.271726038</v>
      </c>
      <c r="X446" s="97">
        <f t="shared" si="418"/>
        <v>17795428.522875473</v>
      </c>
      <c r="Y446" s="97">
        <f t="shared" si="418"/>
        <v>18340100.218918242</v>
      </c>
      <c r="Z446" s="97">
        <f t="shared" si="418"/>
        <v>18904173.540222928</v>
      </c>
      <c r="AA446" s="97">
        <f t="shared" si="418"/>
        <v>19488544.997155562</v>
      </c>
      <c r="AB446" s="97">
        <f t="shared" si="418"/>
        <v>20094167.549466513</v>
      </c>
    </row>
    <row r="447" spans="2:28" ht="14.25" customHeight="1" x14ac:dyDescent="0.3">
      <c r="B447" s="132"/>
      <c r="C447" s="132"/>
      <c r="D447" s="145"/>
      <c r="E447" s="410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97"/>
      <c r="Q447" s="97"/>
      <c r="R447" s="97"/>
      <c r="S447" s="97" t="b">
        <f>S446='Revenue Requirements'!F89</f>
        <v>1</v>
      </c>
      <c r="T447" s="97" t="b">
        <f>T446='Revenue Requirements'!G89</f>
        <v>1</v>
      </c>
      <c r="U447" s="97" t="b">
        <f>U446='Revenue Requirements'!H89</f>
        <v>1</v>
      </c>
      <c r="V447" s="97" t="b">
        <f>V446='Revenue Requirements'!I89</f>
        <v>1</v>
      </c>
      <c r="W447" s="97" t="b">
        <f>W446='Revenue Requirements'!J89</f>
        <v>1</v>
      </c>
      <c r="X447" s="97" t="b">
        <f>X446='Revenue Requirements'!K89</f>
        <v>1</v>
      </c>
      <c r="Y447" s="97" t="b">
        <f>Y446='Revenue Requirements'!L89</f>
        <v>1</v>
      </c>
      <c r="Z447" s="97" t="b">
        <f>Z446='Revenue Requirements'!M89</f>
        <v>1</v>
      </c>
      <c r="AA447" s="97" t="b">
        <f>AA446='Revenue Requirements'!N89</f>
        <v>1</v>
      </c>
      <c r="AB447" s="97" t="b">
        <f>AB446='Revenue Requirements'!O89</f>
        <v>1</v>
      </c>
    </row>
    <row r="448" spans="2:28" s="524" customFormat="1" x14ac:dyDescent="0.3">
      <c r="B448" s="524" t="s">
        <v>1768</v>
      </c>
      <c r="E448" s="525"/>
      <c r="P448" s="526"/>
      <c r="Q448" s="526"/>
      <c r="R448" s="526"/>
      <c r="S448" s="526"/>
      <c r="T448" s="526"/>
      <c r="U448" s="526"/>
      <c r="V448" s="526"/>
      <c r="W448" s="526"/>
      <c r="X448" s="526"/>
      <c r="Y448" s="526"/>
      <c r="Z448" s="526"/>
      <c r="AA448" s="526"/>
      <c r="AB448" s="526"/>
    </row>
    <row r="449" spans="2:28" x14ac:dyDescent="0.3">
      <c r="B449" s="629" t="s">
        <v>109</v>
      </c>
      <c r="C449" s="629" t="s">
        <v>110</v>
      </c>
      <c r="D449" s="126" t="s">
        <v>5</v>
      </c>
      <c r="E449" s="410"/>
      <c r="F449" s="127">
        <f>INDEX('Control Panel'!$C$7:$N$25,MATCH('O&amp;M'!$D449,Indicies,0),MATCH('O&amp;M'!F$4,'Control Panel'!$C$6:$N$6,0))</f>
        <v>3.5000000000000003E-2</v>
      </c>
      <c r="G449" s="127">
        <f>INDEX('Control Panel'!$C$7:$N$25,MATCH('O&amp;M'!$D449,Indicies,0),MATCH('O&amp;M'!G$4,'Control Panel'!$C$6:$N$6,0))</f>
        <v>3.5000000000000003E-2</v>
      </c>
      <c r="H449" s="127">
        <f>INDEX('Control Panel'!$C$7:$N$25,MATCH('O&amp;M'!$D449,Indicies,0),MATCH('O&amp;M'!H$4,'Control Panel'!$C$6:$N$6,0))</f>
        <v>3.5000000000000003E-2</v>
      </c>
      <c r="I449" s="127">
        <f>INDEX('Control Panel'!$C$7:$N$25,MATCH('O&amp;M'!$D449,Indicies,0),MATCH('O&amp;M'!I$4,'Control Panel'!$C$6:$N$6,0))</f>
        <v>3.5000000000000003E-2</v>
      </c>
      <c r="J449" s="127">
        <f>INDEX('Control Panel'!$C$7:$N$25,MATCH('O&amp;M'!$D449,Indicies,0),MATCH('O&amp;M'!J$4,'Control Panel'!$C$6:$N$6,0))</f>
        <v>3.5000000000000003E-2</v>
      </c>
      <c r="K449" s="127">
        <f>INDEX('Control Panel'!$C$7:$N$25,MATCH('O&amp;M'!$D449,Indicies,0),MATCH('O&amp;M'!K$4,'Control Panel'!$C$6:$N$6,0))</f>
        <v>3.5000000000000003E-2</v>
      </c>
      <c r="L449" s="127">
        <f>INDEX('Control Panel'!$C$7:$N$25,MATCH('O&amp;M'!$D449,Indicies,0),MATCH('O&amp;M'!L$4,'Control Panel'!$C$6:$N$6,0))</f>
        <v>3.5000000000000003E-2</v>
      </c>
      <c r="M449" s="127">
        <f>INDEX('Control Panel'!$C$7:$N$25,MATCH('O&amp;M'!$D449,Indicies,0),MATCH('O&amp;M'!M$4,'Control Panel'!$C$6:$N$6,0))</f>
        <v>3.5000000000000003E-2</v>
      </c>
      <c r="N449" s="127">
        <f>INDEX('Control Panel'!$C$7:$N$25,MATCH('O&amp;M'!$D449,Indicies,0),MATCH('O&amp;M'!N$4,'Control Panel'!$C$6:$N$6,0))</f>
        <v>3.5000000000000003E-2</v>
      </c>
      <c r="O449" s="127">
        <f>INDEX('Control Panel'!$C$7:$N$25,MATCH('O&amp;M'!$D449,Indicies,0),MATCH('O&amp;M'!O$4,'Control Panel'!$C$6:$N$6,0))</f>
        <v>3.5000000000000003E-2</v>
      </c>
      <c r="P449" s="128">
        <v>71691.839999999997</v>
      </c>
      <c r="Q449" s="128">
        <v>71691.850000000006</v>
      </c>
      <c r="R449" s="128">
        <v>72000</v>
      </c>
      <c r="S449" s="128">
        <v>75276</v>
      </c>
      <c r="T449" s="128">
        <f t="shared" ref="T449:AB450" si="419">S449*(1+G449)</f>
        <v>77910.659999999989</v>
      </c>
      <c r="U449" s="128">
        <f>T449*(1+H449)</f>
        <v>80637.533099999986</v>
      </c>
      <c r="V449" s="128">
        <f t="shared" si="419"/>
        <v>83459.846758499974</v>
      </c>
      <c r="W449" s="128">
        <f t="shared" si="419"/>
        <v>86380.94139504747</v>
      </c>
      <c r="X449" s="128">
        <f t="shared" si="419"/>
        <v>89404.274343874131</v>
      </c>
      <c r="Y449" s="128">
        <f t="shared" si="419"/>
        <v>92533.423945909715</v>
      </c>
      <c r="Z449" s="128">
        <f t="shared" si="419"/>
        <v>95772.093784016542</v>
      </c>
      <c r="AA449" s="128">
        <f t="shared" si="419"/>
        <v>99124.117066457111</v>
      </c>
      <c r="AB449" s="128">
        <f t="shared" si="419"/>
        <v>102593.4611637831</v>
      </c>
    </row>
    <row r="450" spans="2:28" x14ac:dyDescent="0.3">
      <c r="B450" s="629" t="s">
        <v>113</v>
      </c>
      <c r="C450" s="629" t="s">
        <v>114</v>
      </c>
      <c r="D450" s="126" t="s">
        <v>5</v>
      </c>
      <c r="E450" s="410"/>
      <c r="F450" s="127">
        <f>INDEX('Control Panel'!$C$7:$N$25,MATCH('O&amp;M'!$D450,Indicies,0),MATCH('O&amp;M'!F$4,'Control Panel'!$C$6:$N$6,0))</f>
        <v>3.5000000000000003E-2</v>
      </c>
      <c r="G450" s="127">
        <f>INDEX('Control Panel'!$C$7:$N$25,MATCH('O&amp;M'!$D450,Indicies,0),MATCH('O&amp;M'!G$4,'Control Panel'!$C$6:$N$6,0))</f>
        <v>3.5000000000000003E-2</v>
      </c>
      <c r="H450" s="127">
        <f>INDEX('Control Panel'!$C$7:$N$25,MATCH('O&amp;M'!$D450,Indicies,0),MATCH('O&amp;M'!H$4,'Control Panel'!$C$6:$N$6,0))</f>
        <v>3.5000000000000003E-2</v>
      </c>
      <c r="I450" s="127">
        <f>INDEX('Control Panel'!$C$7:$N$25,MATCH('O&amp;M'!$D450,Indicies,0),MATCH('O&amp;M'!I$4,'Control Panel'!$C$6:$N$6,0))</f>
        <v>3.5000000000000003E-2</v>
      </c>
      <c r="J450" s="127">
        <f>INDEX('Control Panel'!$C$7:$N$25,MATCH('O&amp;M'!$D450,Indicies,0),MATCH('O&amp;M'!J$4,'Control Panel'!$C$6:$N$6,0))</f>
        <v>3.5000000000000003E-2</v>
      </c>
      <c r="K450" s="127">
        <f>INDEX('Control Panel'!$C$7:$N$25,MATCH('O&amp;M'!$D450,Indicies,0),MATCH('O&amp;M'!K$4,'Control Panel'!$C$6:$N$6,0))</f>
        <v>3.5000000000000003E-2</v>
      </c>
      <c r="L450" s="127">
        <f>INDEX('Control Panel'!$C$7:$N$25,MATCH('O&amp;M'!$D450,Indicies,0),MATCH('O&amp;M'!L$4,'Control Panel'!$C$6:$N$6,0))</f>
        <v>3.5000000000000003E-2</v>
      </c>
      <c r="M450" s="127">
        <f>INDEX('Control Panel'!$C$7:$N$25,MATCH('O&amp;M'!$D450,Indicies,0),MATCH('O&amp;M'!M$4,'Control Panel'!$C$6:$N$6,0))</f>
        <v>3.5000000000000003E-2</v>
      </c>
      <c r="N450" s="127">
        <f>INDEX('Control Panel'!$C$7:$N$25,MATCH('O&amp;M'!$D450,Indicies,0),MATCH('O&amp;M'!N$4,'Control Panel'!$C$6:$N$6,0))</f>
        <v>3.5000000000000003E-2</v>
      </c>
      <c r="O450" s="127">
        <f>INDEX('Control Panel'!$C$7:$N$25,MATCH('O&amp;M'!$D450,Indicies,0),MATCH('O&amp;M'!O$4,'Control Panel'!$C$6:$N$6,0))</f>
        <v>3.5000000000000003E-2</v>
      </c>
      <c r="P450" s="128">
        <v>5122740.0199999996</v>
      </c>
      <c r="Q450" s="128">
        <v>4966694.1399999997</v>
      </c>
      <c r="R450" s="128">
        <v>5106528</v>
      </c>
      <c r="S450" s="128">
        <v>5294004</v>
      </c>
      <c r="T450" s="128">
        <f t="shared" si="419"/>
        <v>5479294.1399999997</v>
      </c>
      <c r="U450" s="128">
        <f t="shared" si="419"/>
        <v>5671069.4348999988</v>
      </c>
      <c r="V450" s="128">
        <f t="shared" si="419"/>
        <v>5869556.8651214987</v>
      </c>
      <c r="W450" s="128">
        <f t="shared" si="419"/>
        <v>6074991.3554007504</v>
      </c>
      <c r="X450" s="128">
        <f t="shared" si="419"/>
        <v>6287616.0528397765</v>
      </c>
      <c r="Y450" s="128">
        <f t="shared" si="419"/>
        <v>6507682.6146891685</v>
      </c>
      <c r="Z450" s="128">
        <f t="shared" si="419"/>
        <v>6735451.5062032891</v>
      </c>
      <c r="AA450" s="128">
        <f t="shared" si="419"/>
        <v>6971192.3089204039</v>
      </c>
      <c r="AB450" s="128">
        <f t="shared" si="419"/>
        <v>7215184.0397326173</v>
      </c>
    </row>
    <row r="451" spans="2:28" x14ac:dyDescent="0.3">
      <c r="D451" s="145"/>
      <c r="E451" s="410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</row>
    <row r="452" spans="2:28" s="524" customFormat="1" x14ac:dyDescent="0.3">
      <c r="B452" s="524" t="s">
        <v>1654</v>
      </c>
      <c r="E452" s="525"/>
      <c r="P452" s="526"/>
      <c r="Q452" s="526"/>
      <c r="R452" s="526"/>
      <c r="S452" s="526"/>
      <c r="T452" s="526"/>
      <c r="U452" s="526"/>
      <c r="V452" s="526"/>
      <c r="W452" s="526"/>
      <c r="X452" s="526"/>
      <c r="Y452" s="526"/>
      <c r="Z452" s="526"/>
      <c r="AA452" s="526"/>
      <c r="AB452" s="526"/>
    </row>
    <row r="453" spans="2:28" x14ac:dyDescent="0.3">
      <c r="E453" s="410"/>
    </row>
    <row r="454" spans="2:28" x14ac:dyDescent="0.3">
      <c r="B454" s="905" t="s">
        <v>2025</v>
      </c>
      <c r="C454" s="905"/>
      <c r="D454" s="905"/>
      <c r="E454" s="906"/>
      <c r="F454" s="905"/>
      <c r="G454" s="905"/>
      <c r="H454" s="905"/>
      <c r="I454" s="905"/>
      <c r="J454" s="905"/>
      <c r="K454" s="905"/>
      <c r="L454" s="905"/>
      <c r="M454" s="905"/>
      <c r="N454" s="905"/>
      <c r="O454" s="905"/>
      <c r="P454" s="907"/>
      <c r="Q454" s="907"/>
      <c r="R454" s="907"/>
      <c r="S454" s="863">
        <f>'Existing Debt'!I11</f>
        <v>1036609.12</v>
      </c>
      <c r="T454" s="907"/>
    </row>
    <row r="455" spans="2:28" x14ac:dyDescent="0.3">
      <c r="B455" s="905" t="s">
        <v>2026</v>
      </c>
      <c r="C455" s="905"/>
      <c r="D455" s="905"/>
      <c r="E455" s="906"/>
      <c r="F455" s="905"/>
      <c r="G455" s="905"/>
      <c r="H455" s="905"/>
      <c r="I455" s="905"/>
      <c r="J455" s="905"/>
      <c r="K455" s="905"/>
      <c r="L455" s="905"/>
      <c r="M455" s="905"/>
      <c r="N455" s="905"/>
      <c r="O455" s="905"/>
      <c r="P455" s="907"/>
      <c r="Q455" s="907"/>
      <c r="R455" s="907"/>
      <c r="S455" s="863">
        <f>'Capital Improvement Plan'!G107</f>
        <v>3445127</v>
      </c>
      <c r="T455" s="907"/>
    </row>
    <row r="456" spans="2:28" x14ac:dyDescent="0.3">
      <c r="B456" s="905" t="s">
        <v>2027</v>
      </c>
      <c r="C456" s="905"/>
      <c r="D456" s="905"/>
      <c r="E456" s="906"/>
      <c r="F456" s="905"/>
      <c r="G456" s="905"/>
      <c r="H456" s="905"/>
      <c r="I456" s="905"/>
      <c r="J456" s="905"/>
      <c r="K456" s="905"/>
      <c r="L456" s="905"/>
      <c r="M456" s="905"/>
      <c r="N456" s="905"/>
      <c r="O456" s="905"/>
      <c r="P456" s="907"/>
      <c r="Q456" s="907"/>
      <c r="R456" s="907"/>
      <c r="S456" s="863">
        <v>3955000</v>
      </c>
      <c r="T456" s="907"/>
    </row>
    <row r="457" spans="2:28" x14ac:dyDescent="0.3">
      <c r="B457" s="905"/>
      <c r="C457" s="908" t="s">
        <v>1775</v>
      </c>
      <c r="D457" s="908"/>
      <c r="E457" s="909"/>
      <c r="F457" s="908"/>
      <c r="G457" s="908"/>
      <c r="H457" s="908"/>
      <c r="I457" s="908"/>
      <c r="J457" s="908"/>
      <c r="K457" s="908"/>
      <c r="L457" s="908"/>
      <c r="M457" s="908"/>
      <c r="N457" s="908"/>
      <c r="O457" s="908"/>
      <c r="P457" s="910">
        <f>SUM(P449:P453,P434)</f>
        <v>19941625.000917405</v>
      </c>
      <c r="Q457" s="910">
        <f>SUM(Q449:Q453,Q434)</f>
        <v>19583283.959999997</v>
      </c>
      <c r="R457" s="910">
        <f>SUM(R449:R453,R434)</f>
        <v>21456887</v>
      </c>
      <c r="S457" s="910">
        <f>SUM(S446:S456)</f>
        <v>29033788.583100002</v>
      </c>
      <c r="T457" s="907"/>
    </row>
    <row r="458" spans="2:28" x14ac:dyDescent="0.3">
      <c r="B458" s="905"/>
      <c r="C458" s="905"/>
      <c r="D458" s="905"/>
      <c r="E458" s="906"/>
      <c r="F458" s="905"/>
      <c r="G458" s="905"/>
      <c r="H458" s="905"/>
      <c r="I458" s="905"/>
      <c r="J458" s="905"/>
      <c r="K458" s="905"/>
      <c r="L458" s="905"/>
      <c r="M458" s="905"/>
      <c r="N458" s="905"/>
      <c r="O458" s="905"/>
      <c r="P458" s="907"/>
      <c r="Q458" s="907"/>
      <c r="R458" s="907"/>
      <c r="S458" s="863">
        <v>29483214</v>
      </c>
      <c r="T458" s="911" t="s">
        <v>2030</v>
      </c>
    </row>
    <row r="459" spans="2:28" x14ac:dyDescent="0.3">
      <c r="B459" s="905"/>
      <c r="C459" s="905"/>
      <c r="D459" s="905"/>
      <c r="E459" s="906"/>
      <c r="F459" s="905"/>
      <c r="G459" s="905"/>
      <c r="H459" s="905"/>
      <c r="I459" s="905"/>
      <c r="J459" s="905"/>
      <c r="K459" s="905"/>
      <c r="L459" s="905"/>
      <c r="M459" s="905"/>
      <c r="N459" s="905"/>
      <c r="O459" s="905"/>
      <c r="P459" s="907"/>
      <c r="Q459" s="907"/>
      <c r="R459" s="907"/>
      <c r="S459" s="912">
        <f>S457-S458</f>
        <v>-449425.41689999774</v>
      </c>
      <c r="T459" s="907"/>
    </row>
    <row r="460" spans="2:28" x14ac:dyDescent="0.3">
      <c r="B460" s="905"/>
      <c r="C460" s="905"/>
      <c r="D460" s="905"/>
      <c r="E460" s="906"/>
      <c r="F460" s="905"/>
      <c r="G460" s="905"/>
      <c r="H460" s="905"/>
      <c r="I460" s="905"/>
      <c r="J460" s="905"/>
      <c r="K460" s="905"/>
      <c r="L460" s="905"/>
      <c r="M460" s="905"/>
      <c r="N460" s="905"/>
      <c r="O460" s="905"/>
      <c r="P460" s="907"/>
      <c r="Q460" s="907"/>
      <c r="R460" s="907"/>
      <c r="S460" s="912">
        <f>189373-54000</f>
        <v>135373</v>
      </c>
      <c r="T460" s="911" t="s">
        <v>2029</v>
      </c>
    </row>
    <row r="461" spans="2:28" x14ac:dyDescent="0.3">
      <c r="B461" s="905"/>
      <c r="C461" s="905"/>
      <c r="D461" s="905"/>
      <c r="E461" s="906"/>
      <c r="F461" s="905"/>
      <c r="G461" s="905"/>
      <c r="H461" s="905"/>
      <c r="I461" s="905"/>
      <c r="J461" s="905"/>
      <c r="K461" s="905"/>
      <c r="L461" s="905"/>
      <c r="M461" s="905"/>
      <c r="N461" s="905"/>
      <c r="O461" s="905"/>
      <c r="P461" s="907"/>
      <c r="Q461" s="907"/>
      <c r="R461" s="907"/>
      <c r="S461" s="912">
        <f>S459+S460</f>
        <v>-314052.41689999774</v>
      </c>
      <c r="T461" s="907"/>
    </row>
    <row r="462" spans="2:28" x14ac:dyDescent="0.3">
      <c r="B462" s="905"/>
      <c r="C462" s="905"/>
      <c r="D462" s="905"/>
      <c r="E462" s="906"/>
      <c r="F462" s="905"/>
      <c r="G462" s="905"/>
      <c r="H462" s="905"/>
      <c r="I462" s="905"/>
      <c r="J462" s="905"/>
      <c r="K462" s="905"/>
      <c r="L462" s="905"/>
      <c r="M462" s="905"/>
      <c r="N462" s="905"/>
      <c r="O462" s="905"/>
      <c r="P462" s="907"/>
      <c r="Q462" s="907"/>
      <c r="R462" s="907"/>
      <c r="S462" s="912"/>
      <c r="T462" s="907"/>
    </row>
    <row r="463" spans="2:28" x14ac:dyDescent="0.3">
      <c r="B463" s="905"/>
      <c r="C463" s="905" t="s">
        <v>2031</v>
      </c>
      <c r="D463" s="905"/>
      <c r="E463" s="906"/>
      <c r="F463" s="905"/>
      <c r="G463" s="905"/>
      <c r="H463" s="905"/>
      <c r="I463" s="905"/>
      <c r="J463" s="905"/>
      <c r="K463" s="905"/>
      <c r="L463" s="905"/>
      <c r="M463" s="905"/>
      <c r="N463" s="905"/>
      <c r="O463" s="905"/>
      <c r="P463" s="907"/>
      <c r="Q463" s="907"/>
      <c r="R463" s="907"/>
      <c r="S463" s="912">
        <f>S388+S449+S450+S454+S460</f>
        <v>16824525.583099999</v>
      </c>
      <c r="T463" s="907"/>
    </row>
    <row r="464" spans="2:28" x14ac:dyDescent="0.3">
      <c r="B464" s="905"/>
      <c r="C464" s="905" t="s">
        <v>2032</v>
      </c>
      <c r="D464" s="905"/>
      <c r="E464" s="906"/>
      <c r="F464" s="905"/>
      <c r="G464" s="905"/>
      <c r="H464" s="905"/>
      <c r="I464" s="905"/>
      <c r="J464" s="905"/>
      <c r="K464" s="905"/>
      <c r="L464" s="905"/>
      <c r="M464" s="905"/>
      <c r="N464" s="905"/>
      <c r="O464" s="905"/>
      <c r="P464" s="907"/>
      <c r="Q464" s="907"/>
      <c r="R464" s="907"/>
      <c r="S464" s="912">
        <f>S432+'Capital Improvement Plan'!G21+75000+35000</f>
        <v>3306314</v>
      </c>
      <c r="T464" s="907"/>
    </row>
    <row r="465" spans="2:20" x14ac:dyDescent="0.3">
      <c r="B465" s="905"/>
      <c r="C465" s="905" t="s">
        <v>2033</v>
      </c>
      <c r="D465" s="905"/>
      <c r="E465" s="906"/>
      <c r="F465" s="905"/>
      <c r="G465" s="905"/>
      <c r="H465" s="905"/>
      <c r="I465" s="905"/>
      <c r="J465" s="905"/>
      <c r="K465" s="905"/>
      <c r="L465" s="905"/>
      <c r="M465" s="905"/>
      <c r="N465" s="905"/>
      <c r="O465" s="905"/>
      <c r="P465" s="907"/>
      <c r="Q465" s="907"/>
      <c r="R465" s="907"/>
      <c r="S465" s="912">
        <f>S441+'Capital Improvement Plan'!G24-'Capital Improvement Plan'!G21+310000+1900000</f>
        <v>3717295</v>
      </c>
      <c r="T465" s="907"/>
    </row>
    <row r="466" spans="2:20" x14ac:dyDescent="0.3">
      <c r="B466" s="905"/>
      <c r="C466" s="905" t="s">
        <v>2034</v>
      </c>
      <c r="D466" s="905"/>
      <c r="E466" s="906"/>
      <c r="F466" s="905"/>
      <c r="G466" s="905"/>
      <c r="H466" s="905"/>
      <c r="I466" s="905"/>
      <c r="J466" s="905"/>
      <c r="K466" s="905"/>
      <c r="L466" s="905"/>
      <c r="M466" s="905"/>
      <c r="N466" s="905"/>
      <c r="O466" s="905"/>
      <c r="P466" s="907"/>
      <c r="Q466" s="907"/>
      <c r="R466" s="907"/>
      <c r="S466" s="912">
        <f>S442+'Capital Improvement Plan'!G60+825000</f>
        <v>1547810</v>
      </c>
      <c r="T466" s="907"/>
    </row>
    <row r="467" spans="2:20" x14ac:dyDescent="0.3">
      <c r="B467" s="905"/>
      <c r="C467" s="905" t="s">
        <v>2035</v>
      </c>
      <c r="D467" s="905"/>
      <c r="E467" s="906"/>
      <c r="F467" s="905"/>
      <c r="G467" s="905"/>
      <c r="H467" s="905"/>
      <c r="I467" s="905"/>
      <c r="J467" s="905"/>
      <c r="K467" s="905"/>
      <c r="L467" s="905"/>
      <c r="M467" s="905"/>
      <c r="N467" s="905"/>
      <c r="O467" s="905"/>
      <c r="P467" s="907"/>
      <c r="Q467" s="907"/>
      <c r="R467" s="907"/>
      <c r="S467" s="912">
        <f>S443+'Capital Improvement Plan'!G95+810000</f>
        <v>3773217</v>
      </c>
      <c r="T467" s="907"/>
    </row>
    <row r="468" spans="2:20" x14ac:dyDescent="0.3">
      <c r="B468" s="905"/>
      <c r="C468" s="905"/>
      <c r="D468" s="905"/>
      <c r="E468" s="906"/>
      <c r="F468" s="905"/>
      <c r="G468" s="905"/>
      <c r="H468" s="905"/>
      <c r="I468" s="905"/>
      <c r="J468" s="905"/>
      <c r="K468" s="905"/>
      <c r="L468" s="905"/>
      <c r="M468" s="905"/>
      <c r="N468" s="905"/>
      <c r="O468" s="905"/>
      <c r="P468" s="907"/>
      <c r="Q468" s="907"/>
      <c r="R468" s="907"/>
      <c r="S468" s="912">
        <f>SUM(S463:S467)</f>
        <v>29169161.583099999</v>
      </c>
      <c r="T468" s="907"/>
    </row>
    <row r="469" spans="2:20" x14ac:dyDescent="0.3">
      <c r="E469" s="410"/>
    </row>
    <row r="470" spans="2:20" x14ac:dyDescent="0.3">
      <c r="E470" s="410"/>
    </row>
    <row r="471" spans="2:20" x14ac:dyDescent="0.3">
      <c r="E471" s="410"/>
    </row>
    <row r="472" spans="2:20" x14ac:dyDescent="0.3">
      <c r="E472" s="410"/>
    </row>
    <row r="473" spans="2:20" x14ac:dyDescent="0.3">
      <c r="E473" s="410"/>
      <c r="R473" s="1286" t="s">
        <v>5</v>
      </c>
      <c r="S473" s="1287">
        <f>SUMIF($D$350:$D$443,R$473,S$350:S$443)</f>
        <v>3701858.4631000003</v>
      </c>
      <c r="T473" s="1287">
        <f>SUMIF($D$350:$D$443,R$473,T$350:T$443)</f>
        <v>3845687.2102330662</v>
      </c>
    </row>
    <row r="474" spans="2:20" x14ac:dyDescent="0.3">
      <c r="E474" s="410"/>
      <c r="R474" s="1286" t="s">
        <v>6</v>
      </c>
      <c r="S474" s="1287">
        <f>SUMIF($D$350:$D$443,$R474,S$350:S$443)</f>
        <v>477087</v>
      </c>
      <c r="T474" s="1287">
        <f>SUMIF($D$350:$D$443,R$474,T$350:T$443)</f>
        <v>505712.22000000003</v>
      </c>
    </row>
    <row r="475" spans="2:20" x14ac:dyDescent="0.3">
      <c r="E475" s="410"/>
      <c r="S475" s="1287"/>
      <c r="T475" s="1287"/>
    </row>
    <row r="476" spans="2:20" x14ac:dyDescent="0.3">
      <c r="E476" s="410"/>
      <c r="S476" s="1287">
        <f>SUM(S473:S475)</f>
        <v>4178945.4631000003</v>
      </c>
      <c r="T476" s="1287">
        <f>SUM(T473:T475)</f>
        <v>4351399.430233066</v>
      </c>
    </row>
    <row r="477" spans="2:20" x14ac:dyDescent="0.3">
      <c r="E477" s="410"/>
    </row>
    <row r="478" spans="2:20" x14ac:dyDescent="0.3">
      <c r="E478" s="410"/>
      <c r="T478" s="1288">
        <f>(T476-S476)/S476</f>
        <v>4.1267340925080394E-2</v>
      </c>
    </row>
    <row r="479" spans="2:20" x14ac:dyDescent="0.3">
      <c r="E479" s="410"/>
    </row>
    <row r="480" spans="2:20" x14ac:dyDescent="0.3">
      <c r="E480" s="410"/>
    </row>
    <row r="481" spans="5:5" x14ac:dyDescent="0.3">
      <c r="E481" s="410"/>
    </row>
    <row r="482" spans="5:5" x14ac:dyDescent="0.3">
      <c r="E482" s="410"/>
    </row>
    <row r="483" spans="5:5" x14ac:dyDescent="0.3">
      <c r="E483" s="410"/>
    </row>
    <row r="484" spans="5:5" x14ac:dyDescent="0.3">
      <c r="E484" s="410"/>
    </row>
    <row r="485" spans="5:5" x14ac:dyDescent="0.3">
      <c r="E485" s="410"/>
    </row>
    <row r="486" spans="5:5" x14ac:dyDescent="0.3">
      <c r="E486" s="410"/>
    </row>
    <row r="487" spans="5:5" x14ac:dyDescent="0.3">
      <c r="E487" s="410"/>
    </row>
    <row r="488" spans="5:5" x14ac:dyDescent="0.3">
      <c r="E488" s="410"/>
    </row>
    <row r="489" spans="5:5" x14ac:dyDescent="0.3">
      <c r="E489" s="410"/>
    </row>
    <row r="490" spans="5:5" x14ac:dyDescent="0.3">
      <c r="E490" s="410"/>
    </row>
    <row r="491" spans="5:5" x14ac:dyDescent="0.3">
      <c r="E491" s="410"/>
    </row>
  </sheetData>
  <conditionalFormatting sqref="S447:AB447">
    <cfRule type="cellIs" dxfId="147" priority="1" operator="equal">
      <formula>FALSE</formula>
    </cfRule>
    <cfRule type="cellIs" dxfId="146" priority="2" operator="equal">
      <formula>TRUE</formula>
    </cfRule>
  </conditionalFormatting>
  <dataValidations count="1">
    <dataValidation type="list" allowBlank="1" showInputMessage="1" showErrorMessage="1" sqref="D321:D344 D169:D211 D91:D123 D391:D432 D236:D273 D277:D319 D350:D387 D449:D450 D213:D231 D5:D42 D46:D88 D128:D165">
      <formula1>Indicies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G53"/>
  <sheetViews>
    <sheetView showGridLines="0" zoomScaleNormal="100" zoomScaleSheetLayoutView="75" workbookViewId="0">
      <pane xSplit="13" ySplit="3" topLeftCell="V4" activePane="bottomRight" state="frozen"/>
      <selection activeCell="B113" sqref="B113"/>
      <selection pane="topRight" activeCell="B113" sqref="B113"/>
      <selection pane="bottomLeft" activeCell="B113" sqref="B113"/>
      <selection pane="bottomRight" activeCell="V38" sqref="V38"/>
    </sheetView>
  </sheetViews>
  <sheetFormatPr defaultColWidth="9" defaultRowHeight="14.4" outlineLevelCol="1" x14ac:dyDescent="0.3"/>
  <cols>
    <col min="1" max="1" width="5.8984375" style="793" bestFit="1" customWidth="1"/>
    <col min="2" max="2" width="35.5" style="791" customWidth="1"/>
    <col min="3" max="12" width="6.69921875" style="791" customWidth="1" outlineLevel="1"/>
    <col min="13" max="13" width="12.59765625" style="791" bestFit="1" customWidth="1"/>
    <col min="14" max="14" width="14.3984375" style="793" hidden="1" customWidth="1" outlineLevel="1"/>
    <col min="15" max="19" width="11.59765625" style="793" hidden="1" customWidth="1" outlineLevel="1"/>
    <col min="20" max="20" width="11.59765625" style="793" customWidth="1" collapsed="1"/>
    <col min="21" max="21" width="11.59765625" style="793" bestFit="1" customWidth="1"/>
    <col min="22" max="22" width="13.3984375" style="793" customWidth="1"/>
    <col min="23" max="23" width="12.5" style="793" customWidth="1"/>
    <col min="24" max="24" width="11.59765625" style="793" customWidth="1"/>
    <col min="25" max="32" width="11.59765625" style="793" bestFit="1" customWidth="1"/>
    <col min="33" max="33" width="40.3984375" style="793" bestFit="1" customWidth="1"/>
    <col min="34" max="16384" width="9" style="793"/>
  </cols>
  <sheetData>
    <row r="1" spans="1:33" s="792" customFormat="1" x14ac:dyDescent="0.3">
      <c r="A1" s="789" t="s">
        <v>1809</v>
      </c>
      <c r="B1" s="790" t="s">
        <v>1810</v>
      </c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</row>
    <row r="2" spans="1:33" x14ac:dyDescent="0.3">
      <c r="B2" s="116" t="s">
        <v>1948</v>
      </c>
      <c r="C2" s="70">
        <v>2016</v>
      </c>
      <c r="D2" s="70">
        <v>2017</v>
      </c>
      <c r="E2" s="70">
        <v>2018</v>
      </c>
      <c r="F2" s="70">
        <v>2019</v>
      </c>
      <c r="G2" s="70">
        <v>2020</v>
      </c>
      <c r="H2" s="70">
        <v>2021</v>
      </c>
      <c r="I2" s="70">
        <v>2022</v>
      </c>
      <c r="J2" s="70">
        <v>2023</v>
      </c>
      <c r="K2" s="70">
        <v>2024</v>
      </c>
      <c r="L2" s="70">
        <v>2025</v>
      </c>
      <c r="M2" s="659" t="s">
        <v>3</v>
      </c>
      <c r="N2" s="659" t="s">
        <v>1</v>
      </c>
      <c r="O2" s="659" t="s">
        <v>2</v>
      </c>
      <c r="P2" s="659" t="s">
        <v>1</v>
      </c>
      <c r="Q2" s="659" t="s">
        <v>1</v>
      </c>
      <c r="R2" s="659" t="s">
        <v>1</v>
      </c>
      <c r="S2" s="659" t="s">
        <v>1</v>
      </c>
      <c r="T2" s="659" t="s">
        <v>1</v>
      </c>
      <c r="U2" s="659" t="s">
        <v>1</v>
      </c>
      <c r="V2" s="659" t="s">
        <v>1</v>
      </c>
      <c r="W2" s="659" t="s">
        <v>2</v>
      </c>
      <c r="X2" s="659" t="s">
        <v>2</v>
      </c>
      <c r="Y2" s="659" t="s">
        <v>2</v>
      </c>
      <c r="Z2" s="659" t="s">
        <v>2</v>
      </c>
      <c r="AA2" s="659" t="s">
        <v>2</v>
      </c>
      <c r="AB2" s="659" t="s">
        <v>2</v>
      </c>
      <c r="AC2" s="659" t="s">
        <v>2</v>
      </c>
      <c r="AD2" s="659" t="s">
        <v>2</v>
      </c>
      <c r="AE2" s="659" t="s">
        <v>2</v>
      </c>
      <c r="AF2" s="659" t="s">
        <v>2</v>
      </c>
    </row>
    <row r="3" spans="1:33" x14ac:dyDescent="0.3">
      <c r="B3" s="794"/>
      <c r="M3" s="659"/>
      <c r="N3" s="659">
        <v>2007</v>
      </c>
      <c r="O3" s="659">
        <v>2008</v>
      </c>
      <c r="P3" s="659">
        <v>2009</v>
      </c>
      <c r="Q3" s="659">
        <v>2010</v>
      </c>
      <c r="R3" s="659">
        <v>2011</v>
      </c>
      <c r="S3" s="659">
        <v>2012</v>
      </c>
      <c r="T3" s="659">
        <v>2013</v>
      </c>
      <c r="U3" s="659">
        <v>2014</v>
      </c>
      <c r="V3" s="659">
        <v>2015</v>
      </c>
      <c r="W3" s="659">
        <v>2016</v>
      </c>
      <c r="X3" s="659">
        <v>2017</v>
      </c>
      <c r="Y3" s="659">
        <v>2018</v>
      </c>
      <c r="Z3" s="659">
        <v>2019</v>
      </c>
      <c r="AA3" s="659">
        <v>2020</v>
      </c>
      <c r="AB3" s="659">
        <v>2021</v>
      </c>
      <c r="AC3" s="659">
        <v>2022</v>
      </c>
      <c r="AD3" s="659">
        <v>2023</v>
      </c>
      <c r="AE3" s="659">
        <v>2024</v>
      </c>
      <c r="AF3" s="659">
        <v>2025</v>
      </c>
    </row>
    <row r="4" spans="1:33" x14ac:dyDescent="0.3">
      <c r="N4" s="795"/>
      <c r="O4" s="795"/>
      <c r="P4" s="795"/>
      <c r="Q4" s="795"/>
      <c r="R4" s="795"/>
      <c r="S4" s="795"/>
      <c r="T4" s="795"/>
      <c r="U4" s="795"/>
      <c r="V4" s="795"/>
      <c r="W4" s="795"/>
      <c r="X4" s="795"/>
      <c r="Y4" s="795"/>
      <c r="Z4" s="795"/>
      <c r="AA4" s="795"/>
      <c r="AB4" s="795"/>
      <c r="AC4" s="795"/>
      <c r="AD4" s="795"/>
      <c r="AE4" s="795"/>
      <c r="AF4" s="795"/>
    </row>
    <row r="5" spans="1:33" ht="16.2" x14ac:dyDescent="0.3">
      <c r="B5" s="796" t="s">
        <v>1949</v>
      </c>
      <c r="C5" s="1304" t="s">
        <v>1811</v>
      </c>
      <c r="D5" s="1304"/>
      <c r="E5" s="1304"/>
      <c r="F5" s="1304"/>
      <c r="G5" s="1304"/>
      <c r="H5" s="1304"/>
      <c r="I5" s="1304"/>
      <c r="J5" s="1304"/>
      <c r="K5" s="1304"/>
      <c r="L5" s="1304"/>
      <c r="N5" s="797"/>
      <c r="O5" s="798"/>
      <c r="P5" s="798"/>
      <c r="Q5" s="798"/>
      <c r="R5" s="798"/>
      <c r="S5" s="798"/>
      <c r="T5" s="798"/>
      <c r="U5" s="798"/>
      <c r="V5" s="798"/>
      <c r="W5" s="798"/>
      <c r="X5" s="798"/>
      <c r="Y5" s="798"/>
      <c r="Z5" s="798"/>
      <c r="AA5" s="798"/>
      <c r="AB5" s="798"/>
      <c r="AC5" s="798"/>
      <c r="AD5" s="798"/>
      <c r="AE5" s="798"/>
      <c r="AF5" s="798"/>
    </row>
    <row r="6" spans="1:33" x14ac:dyDescent="0.3">
      <c r="B6" s="791" t="s">
        <v>1812</v>
      </c>
      <c r="C6" s="127">
        <f>INDEX('Control Panel'!$C$7:$N$25,MATCH($M6,Indicies,0),MATCH(C$2,'Control Panel'!C$6:$N$6,0))</f>
        <v>3.5000000000000003E-2</v>
      </c>
      <c r="D6" s="127">
        <f>INDEX('Control Panel'!$C$7:$N$25,MATCH($M6,Indicies,0),MATCH(D$2,'Control Panel'!D$6:$N$6,0))</f>
        <v>3.5000000000000003E-2</v>
      </c>
      <c r="E6" s="127">
        <f>INDEX('Control Panel'!$C$7:$N$25,MATCH($M6,Indicies,0),MATCH(E$2,'Control Panel'!E$6:$N$6,0))</f>
        <v>3.5000000000000003E-2</v>
      </c>
      <c r="F6" s="127">
        <f>INDEX('Control Panel'!$C$7:$N$25,MATCH($M6,Indicies,0),MATCH(F$2,'Control Panel'!F$6:$N$6,0))</f>
        <v>3.5000000000000003E-2</v>
      </c>
      <c r="G6" s="127">
        <f>INDEX('Control Panel'!$C$7:$N$25,MATCH($M6,Indicies,0),MATCH(G$2,'Control Panel'!G$6:$N$6,0))</f>
        <v>3.5000000000000003E-2</v>
      </c>
      <c r="H6" s="127">
        <f>INDEX('Control Panel'!$C$7:$N$25,MATCH($M6,Indicies,0),MATCH(H$2,'Control Panel'!H$6:$N$6,0))</f>
        <v>3.5000000000000003E-2</v>
      </c>
      <c r="I6" s="127">
        <f>INDEX('Control Panel'!$C$7:$N$25,MATCH($M6,Indicies,0),MATCH(I$2,'Control Panel'!I$6:$N$6,0))</f>
        <v>3.5000000000000003E-2</v>
      </c>
      <c r="J6" s="127">
        <f>INDEX('Control Panel'!$C$7:$N$25,MATCH($M6,Indicies,0),MATCH(J$2,'Control Panel'!J$6:$N$6,0))</f>
        <v>3.5000000000000003E-2</v>
      </c>
      <c r="K6" s="127">
        <f>INDEX('Control Panel'!$C$7:$N$25,MATCH($M6,Indicies,0),MATCH(K$2,'Control Panel'!K$6:$N$6,0))</f>
        <v>3.5000000000000003E-2</v>
      </c>
      <c r="L6" s="127">
        <f>INDEX('Control Panel'!$C$7:$N$25,MATCH($M6,Indicies,0),MATCH(L$2,'Control Panel'!L$6:$N$6,0))</f>
        <v>3.5000000000000003E-2</v>
      </c>
      <c r="M6" s="841" t="s">
        <v>5</v>
      </c>
      <c r="N6" s="797">
        <v>700000</v>
      </c>
      <c r="O6" s="798">
        <f>N6*(1+D6)</f>
        <v>724500</v>
      </c>
      <c r="P6" s="798">
        <v>950000</v>
      </c>
      <c r="Q6" s="798">
        <v>890000</v>
      </c>
      <c r="R6" s="798">
        <v>770644</v>
      </c>
      <c r="S6" s="799">
        <v>828726.95914285711</v>
      </c>
      <c r="T6" s="798">
        <f>S6*(1+I6)</f>
        <v>857732.402712857</v>
      </c>
      <c r="U6" s="798">
        <v>845000</v>
      </c>
      <c r="V6" s="798">
        <v>975000</v>
      </c>
      <c r="W6" s="801">
        <v>864000</v>
      </c>
      <c r="X6" s="798">
        <f>W6*(1+D6)</f>
        <v>894239.99999999988</v>
      </c>
      <c r="Y6" s="798">
        <f t="shared" ref="X6:AF14" si="0">X6*(1+E6)</f>
        <v>925538.39999999979</v>
      </c>
      <c r="Z6" s="798">
        <f t="shared" si="0"/>
        <v>957932.24399999972</v>
      </c>
      <c r="AA6" s="798">
        <f>Z6*(1+G6)</f>
        <v>991459.87253999966</v>
      </c>
      <c r="AB6" s="798">
        <f t="shared" si="0"/>
        <v>1026160.9680788995</v>
      </c>
      <c r="AC6" s="798">
        <f t="shared" si="0"/>
        <v>1062076.6019616609</v>
      </c>
      <c r="AD6" s="798">
        <f t="shared" si="0"/>
        <v>1099249.283030319</v>
      </c>
      <c r="AE6" s="798">
        <f t="shared" si="0"/>
        <v>1137723.0079363801</v>
      </c>
      <c r="AF6" s="798">
        <f t="shared" si="0"/>
        <v>1177543.3132141533</v>
      </c>
      <c r="AG6" s="793" t="s">
        <v>1813</v>
      </c>
    </row>
    <row r="7" spans="1:33" x14ac:dyDescent="0.3">
      <c r="B7" s="791" t="s">
        <v>1814</v>
      </c>
      <c r="C7" s="127">
        <f>INDEX('Control Panel'!$C$7:$N$25,MATCH($M7,Indicies,0),MATCH(C$2,'Control Panel'!C$6:$N$6,0))</f>
        <v>3.5000000000000003E-2</v>
      </c>
      <c r="D7" s="127">
        <f>INDEX('Control Panel'!$C$7:$N$25,MATCH($M7,Indicies,0),MATCH(D$2,'Control Panel'!D$6:$N$6,0))</f>
        <v>3.5000000000000003E-2</v>
      </c>
      <c r="E7" s="127">
        <f>INDEX('Control Panel'!$C$7:$N$25,MATCH($M7,Indicies,0),MATCH(E$2,'Control Panel'!E$6:$N$6,0))</f>
        <v>3.5000000000000003E-2</v>
      </c>
      <c r="F7" s="127">
        <f>INDEX('Control Panel'!$C$7:$N$25,MATCH($M7,Indicies,0),MATCH(F$2,'Control Panel'!F$6:$N$6,0))</f>
        <v>3.5000000000000003E-2</v>
      </c>
      <c r="G7" s="127">
        <f>INDEX('Control Panel'!$C$7:$N$25,MATCH($M7,Indicies,0),MATCH(G$2,'Control Panel'!G$6:$N$6,0))</f>
        <v>3.5000000000000003E-2</v>
      </c>
      <c r="H7" s="127">
        <f>INDEX('Control Panel'!$C$7:$N$25,MATCH($M7,Indicies,0),MATCH(H$2,'Control Panel'!H$6:$N$6,0))</f>
        <v>3.5000000000000003E-2</v>
      </c>
      <c r="I7" s="127">
        <f>INDEX('Control Panel'!$C$7:$N$25,MATCH($M7,Indicies,0),MATCH(I$2,'Control Panel'!I$6:$N$6,0))</f>
        <v>3.5000000000000003E-2</v>
      </c>
      <c r="J7" s="127">
        <f>INDEX('Control Panel'!$C$7:$N$25,MATCH($M7,Indicies,0),MATCH(J$2,'Control Panel'!J$6:$N$6,0))</f>
        <v>3.5000000000000003E-2</v>
      </c>
      <c r="K7" s="127">
        <f>INDEX('Control Panel'!$C$7:$N$25,MATCH($M7,Indicies,0),MATCH(K$2,'Control Panel'!K$6:$N$6,0))</f>
        <v>3.5000000000000003E-2</v>
      </c>
      <c r="L7" s="127">
        <f>INDEX('Control Panel'!$C$7:$N$25,MATCH($M7,Indicies,0),MATCH(L$2,'Control Panel'!L$6:$N$6,0))</f>
        <v>3.5000000000000003E-2</v>
      </c>
      <c r="M7" s="841" t="s">
        <v>5</v>
      </c>
      <c r="N7" s="797">
        <f>10868+10868+10146+10146+10868+10146+674+674+629+629+674+629+1244+1244+1161+1161+1244+1161+68+68+68+68+68+68+158+158+147+147+158+147</f>
        <v>75489</v>
      </c>
      <c r="O7" s="798">
        <f>N7*(1+D7)</f>
        <v>78131.114999999991</v>
      </c>
      <c r="P7" s="798">
        <f>14612+14612+13640+13640+14612+13640+906+906+846+846+906+846+1395+1395+1303+1303+1395+1303+81+81+81+81+81+81+212+212+198+198+212+198</f>
        <v>99822</v>
      </c>
      <c r="Q7" s="798">
        <v>92359</v>
      </c>
      <c r="R7" s="798">
        <v>86866</v>
      </c>
      <c r="S7" s="799">
        <f>89291</f>
        <v>89291</v>
      </c>
      <c r="T7" s="798">
        <f>S7*(1+I7)</f>
        <v>92416.184999999998</v>
      </c>
      <c r="U7" s="798">
        <v>94857</v>
      </c>
      <c r="V7" s="798">
        <v>97398.8</v>
      </c>
      <c r="W7" s="801">
        <f>16398+16398+16404+16398+16404+16404</f>
        <v>98406</v>
      </c>
      <c r="X7" s="798">
        <f>W7*(1+D7)</f>
        <v>101850.20999999999</v>
      </c>
      <c r="Y7" s="798">
        <f t="shared" si="0"/>
        <v>105414.96734999998</v>
      </c>
      <c r="Z7" s="798">
        <f t="shared" si="0"/>
        <v>109104.49120724997</v>
      </c>
      <c r="AA7" s="798">
        <f t="shared" si="0"/>
        <v>112923.14839950371</v>
      </c>
      <c r="AB7" s="798">
        <f t="shared" si="0"/>
        <v>116875.45859348633</v>
      </c>
      <c r="AC7" s="798">
        <f t="shared" si="0"/>
        <v>120966.09964425834</v>
      </c>
      <c r="AD7" s="798">
        <f t="shared" si="0"/>
        <v>125199.91313180738</v>
      </c>
      <c r="AE7" s="798">
        <f t="shared" si="0"/>
        <v>129581.91009142062</v>
      </c>
      <c r="AF7" s="798">
        <f t="shared" si="0"/>
        <v>134117.27694462033</v>
      </c>
      <c r="AG7" s="793" t="s">
        <v>1815</v>
      </c>
    </row>
    <row r="8" spans="1:33" x14ac:dyDescent="0.3">
      <c r="B8" s="791" t="s">
        <v>1816</v>
      </c>
      <c r="C8" s="127">
        <f>INDEX('Control Panel'!$C$7:$N$25,MATCH($M8,Indicies,0),MATCH(C$2,'Control Panel'!C$6:$N$6,0))</f>
        <v>3.5000000000000003E-2</v>
      </c>
      <c r="D8" s="127">
        <f>INDEX('Control Panel'!$C$7:$N$25,MATCH($M8,Indicies,0),MATCH(D$2,'Control Panel'!D$6:$N$6,0))</f>
        <v>3.5000000000000003E-2</v>
      </c>
      <c r="E8" s="127">
        <f>INDEX('Control Panel'!$C$7:$N$25,MATCH($M8,Indicies,0),MATCH(E$2,'Control Panel'!E$6:$N$6,0))</f>
        <v>3.5000000000000003E-2</v>
      </c>
      <c r="F8" s="127">
        <f>INDEX('Control Panel'!$C$7:$N$25,MATCH($M8,Indicies,0),MATCH(F$2,'Control Panel'!F$6:$N$6,0))</f>
        <v>3.5000000000000003E-2</v>
      </c>
      <c r="G8" s="127">
        <f>INDEX('Control Panel'!$C$7:$N$25,MATCH($M8,Indicies,0),MATCH(G$2,'Control Panel'!G$6:$N$6,0))</f>
        <v>3.5000000000000003E-2</v>
      </c>
      <c r="H8" s="127">
        <f>INDEX('Control Panel'!$C$7:$N$25,MATCH($M8,Indicies,0),MATCH(H$2,'Control Panel'!H$6:$N$6,0))</f>
        <v>3.5000000000000003E-2</v>
      </c>
      <c r="I8" s="127">
        <f>INDEX('Control Panel'!$C$7:$N$25,MATCH($M8,Indicies,0),MATCH(I$2,'Control Panel'!I$6:$N$6,0))</f>
        <v>3.5000000000000003E-2</v>
      </c>
      <c r="J8" s="127">
        <f>INDEX('Control Panel'!$C$7:$N$25,MATCH($M8,Indicies,0),MATCH(J$2,'Control Panel'!J$6:$N$6,0))</f>
        <v>3.5000000000000003E-2</v>
      </c>
      <c r="K8" s="127">
        <f>INDEX('Control Panel'!$C$7:$N$25,MATCH($M8,Indicies,0),MATCH(K$2,'Control Panel'!K$6:$N$6,0))</f>
        <v>3.5000000000000003E-2</v>
      </c>
      <c r="L8" s="127">
        <f>INDEX('Control Panel'!$C$7:$N$25,MATCH($M8,Indicies,0),MATCH(L$2,'Control Panel'!L$6:$N$6,0))</f>
        <v>3.5000000000000003E-2</v>
      </c>
      <c r="M8" s="841" t="s">
        <v>5</v>
      </c>
      <c r="N8" s="797">
        <f>115440+100068+7157+6204+13211+11449+18112+13646+1674+1451</f>
        <v>288412</v>
      </c>
      <c r="O8" s="798">
        <f>N8*(1+D8)</f>
        <v>298506.42</v>
      </c>
      <c r="P8" s="798">
        <f>178063+138357+11598+9136+17861+14069+26580+20052+2712+2137+9000+9000</f>
        <v>438565</v>
      </c>
      <c r="Q8" s="798">
        <v>341180</v>
      </c>
      <c r="R8" s="798">
        <v>361491</v>
      </c>
      <c r="S8" s="799">
        <f>377129</f>
        <v>377129</v>
      </c>
      <c r="T8" s="798">
        <f>S8*(1+I8)</f>
        <v>390328.51499999996</v>
      </c>
      <c r="U8" s="798">
        <v>406895</v>
      </c>
      <c r="V8" s="798">
        <v>418924</v>
      </c>
      <c r="W8" s="801">
        <f>230531+168979</f>
        <v>399510</v>
      </c>
      <c r="X8" s="798">
        <f t="shared" si="0"/>
        <v>413492.85</v>
      </c>
      <c r="Y8" s="798">
        <f>X8*(1+E8)</f>
        <v>427965.09974999994</v>
      </c>
      <c r="Z8" s="798">
        <f t="shared" si="0"/>
        <v>442943.87824124988</v>
      </c>
      <c r="AA8" s="798">
        <f t="shared" si="0"/>
        <v>458446.91397969361</v>
      </c>
      <c r="AB8" s="798">
        <f t="shared" si="0"/>
        <v>474492.55596898287</v>
      </c>
      <c r="AC8" s="798">
        <f t="shared" si="0"/>
        <v>491099.79542789725</v>
      </c>
      <c r="AD8" s="798">
        <f t="shared" si="0"/>
        <v>508288.28826787364</v>
      </c>
      <c r="AE8" s="798">
        <f t="shared" si="0"/>
        <v>526078.3783572492</v>
      </c>
      <c r="AF8" s="798">
        <f t="shared" si="0"/>
        <v>544491.12159975292</v>
      </c>
      <c r="AG8" s="793" t="s">
        <v>1817</v>
      </c>
    </row>
    <row r="9" spans="1:33" x14ac:dyDescent="0.3">
      <c r="B9" s="791" t="s">
        <v>1818</v>
      </c>
      <c r="C9" s="127">
        <f>INDEX('Control Panel'!$C$7:$N$25,MATCH($M9,Indicies,0),MATCH(C$2,'Control Panel'!C$6:$N$6,0))</f>
        <v>3.5000000000000003E-2</v>
      </c>
      <c r="D9" s="127">
        <f>INDEX('Control Panel'!$C$7:$N$25,MATCH($M9,Indicies,0),MATCH(D$2,'Control Panel'!D$6:$N$6,0))</f>
        <v>3.5000000000000003E-2</v>
      </c>
      <c r="E9" s="127">
        <f>INDEX('Control Panel'!$C$7:$N$25,MATCH($M9,Indicies,0),MATCH(E$2,'Control Panel'!E$6:$N$6,0))</f>
        <v>3.5000000000000003E-2</v>
      </c>
      <c r="F9" s="127">
        <f>INDEX('Control Panel'!$C$7:$N$25,MATCH($M9,Indicies,0),MATCH(F$2,'Control Panel'!F$6:$N$6,0))</f>
        <v>3.5000000000000003E-2</v>
      </c>
      <c r="G9" s="127">
        <f>INDEX('Control Panel'!$C$7:$N$25,MATCH($M9,Indicies,0),MATCH(G$2,'Control Panel'!G$6:$N$6,0))</f>
        <v>3.5000000000000003E-2</v>
      </c>
      <c r="H9" s="127">
        <f>INDEX('Control Panel'!$C$7:$N$25,MATCH($M9,Indicies,0),MATCH(H$2,'Control Panel'!H$6:$N$6,0))</f>
        <v>3.5000000000000003E-2</v>
      </c>
      <c r="I9" s="127">
        <f>INDEX('Control Panel'!$C$7:$N$25,MATCH($M9,Indicies,0),MATCH(I$2,'Control Panel'!I$6:$N$6,0))</f>
        <v>3.5000000000000003E-2</v>
      </c>
      <c r="J9" s="127">
        <f>INDEX('Control Panel'!$C$7:$N$25,MATCH($M9,Indicies,0),MATCH(J$2,'Control Panel'!J$6:$N$6,0))</f>
        <v>3.5000000000000003E-2</v>
      </c>
      <c r="K9" s="127">
        <f>INDEX('Control Panel'!$C$7:$N$25,MATCH($M9,Indicies,0),MATCH(K$2,'Control Panel'!K$6:$N$6,0))</f>
        <v>3.5000000000000003E-2</v>
      </c>
      <c r="L9" s="127">
        <f>INDEX('Control Panel'!$C$7:$N$25,MATCH($M9,Indicies,0),MATCH(L$2,'Control Panel'!L$6:$N$6,0))</f>
        <v>3.5000000000000003E-2</v>
      </c>
      <c r="M9" s="841" t="s">
        <v>5</v>
      </c>
      <c r="N9" s="797">
        <f>43000+2666+4921+68+624</f>
        <v>51279</v>
      </c>
      <c r="O9" s="798">
        <f>N9*(1+D9)</f>
        <v>53073.764999999999</v>
      </c>
      <c r="P9" s="798">
        <f>53750+3333+5133+81+779</f>
        <v>63076</v>
      </c>
      <c r="Q9" s="798">
        <v>56147</v>
      </c>
      <c r="R9" s="798">
        <v>51008</v>
      </c>
      <c r="S9" s="799">
        <f>51759</f>
        <v>51759</v>
      </c>
      <c r="T9" s="798">
        <f>S9*(1+I9)</f>
        <v>53570.564999999995</v>
      </c>
      <c r="U9" s="798">
        <v>51970</v>
      </c>
      <c r="V9" s="798">
        <v>51756.800000000003</v>
      </c>
      <c r="W9" s="801">
        <v>51640.800000000003</v>
      </c>
      <c r="X9" s="798">
        <f t="shared" si="0"/>
        <v>53448.227999999996</v>
      </c>
      <c r="Y9" s="798">
        <f>X9*(1+E9)</f>
        <v>55318.915979999991</v>
      </c>
      <c r="Z9" s="798">
        <f t="shared" si="0"/>
        <v>57255.078039299988</v>
      </c>
      <c r="AA9" s="798">
        <f t="shared" si="0"/>
        <v>59259.005770675481</v>
      </c>
      <c r="AB9" s="798">
        <f t="shared" si="0"/>
        <v>61333.070972649119</v>
      </c>
      <c r="AC9" s="798">
        <f t="shared" si="0"/>
        <v>63479.728456691832</v>
      </c>
      <c r="AD9" s="798">
        <f t="shared" si="0"/>
        <v>65701.518952676037</v>
      </c>
      <c r="AE9" s="798">
        <f t="shared" si="0"/>
        <v>68001.072116019699</v>
      </c>
      <c r="AF9" s="798">
        <f t="shared" si="0"/>
        <v>70381.10964008038</v>
      </c>
      <c r="AG9" s="793" t="s">
        <v>1819</v>
      </c>
    </row>
    <row r="10" spans="1:33" x14ac:dyDescent="0.3">
      <c r="B10" s="791" t="s">
        <v>1820</v>
      </c>
      <c r="C10" s="127">
        <f>INDEX('Control Panel'!$C$7:$N$25,MATCH($M10,Indicies,0),MATCH(C$2,'Control Panel'!C$6:$N$6,0))</f>
        <v>3.5000000000000003E-2</v>
      </c>
      <c r="D10" s="127">
        <f>INDEX('Control Panel'!$C$7:$N$25,MATCH($M10,Indicies,0),MATCH(D$2,'Control Panel'!D$6:$N$6,0))</f>
        <v>3.5000000000000003E-2</v>
      </c>
      <c r="E10" s="127">
        <f>INDEX('Control Panel'!$C$7:$N$25,MATCH($M10,Indicies,0),MATCH(E$2,'Control Panel'!E$6:$N$6,0))</f>
        <v>3.5000000000000003E-2</v>
      </c>
      <c r="F10" s="127">
        <f>INDEX('Control Panel'!$C$7:$N$25,MATCH($M10,Indicies,0),MATCH(F$2,'Control Panel'!F$6:$N$6,0))</f>
        <v>3.5000000000000003E-2</v>
      </c>
      <c r="G10" s="127">
        <f>INDEX('Control Panel'!$C$7:$N$25,MATCH($M10,Indicies,0),MATCH(G$2,'Control Panel'!G$6:$N$6,0))</f>
        <v>3.5000000000000003E-2</v>
      </c>
      <c r="H10" s="127">
        <f>INDEX('Control Panel'!$C$7:$N$25,MATCH($M10,Indicies,0),MATCH(H$2,'Control Panel'!H$6:$N$6,0))</f>
        <v>3.5000000000000003E-2</v>
      </c>
      <c r="I10" s="127">
        <f>INDEX('Control Panel'!$C$7:$N$25,MATCH($M10,Indicies,0),MATCH(I$2,'Control Panel'!I$6:$N$6,0))</f>
        <v>3.5000000000000003E-2</v>
      </c>
      <c r="J10" s="127">
        <f>INDEX('Control Panel'!$C$7:$N$25,MATCH($M10,Indicies,0),MATCH(J$2,'Control Panel'!J$6:$N$6,0))</f>
        <v>3.5000000000000003E-2</v>
      </c>
      <c r="K10" s="127">
        <f>INDEX('Control Panel'!$C$7:$N$25,MATCH($M10,Indicies,0),MATCH(K$2,'Control Panel'!K$6:$N$6,0))</f>
        <v>3.5000000000000003E-2</v>
      </c>
      <c r="L10" s="127">
        <f>INDEX('Control Panel'!$C$7:$N$25,MATCH($M10,Indicies,0),MATCH(L$2,'Control Panel'!L$6:$N$6,0))</f>
        <v>3.5000000000000003E-2</v>
      </c>
      <c r="M10" s="841" t="s">
        <v>5</v>
      </c>
      <c r="N10" s="797">
        <f>82266+196556+5985+3800+17893+32339+62247+4185</f>
        <v>405271</v>
      </c>
      <c r="O10" s="798">
        <f>N10*(1+D10)</f>
        <v>419455.48499999999</v>
      </c>
      <c r="P10" s="798">
        <f>111012+273560+6883+17240+10601+26551+20052+45293+1610+4032+29224+1812+81+424</f>
        <v>548375</v>
      </c>
      <c r="Q10" s="798">
        <f>405095+26239</f>
        <v>431334</v>
      </c>
      <c r="R10" s="798">
        <v>436075</v>
      </c>
      <c r="S10" s="799">
        <f>519769</f>
        <v>519769</v>
      </c>
      <c r="T10" s="798">
        <f>S10*(1+I10)</f>
        <v>537960.91499999992</v>
      </c>
      <c r="U10" s="798">
        <f>323178+276586</f>
        <v>599764</v>
      </c>
      <c r="V10" s="798">
        <v>565777</v>
      </c>
      <c r="W10" s="801">
        <f>342377+160131</f>
        <v>502508</v>
      </c>
      <c r="X10" s="798">
        <f t="shared" si="0"/>
        <v>520095.77999999997</v>
      </c>
      <c r="Y10" s="798">
        <f t="shared" si="0"/>
        <v>538299.13229999994</v>
      </c>
      <c r="Z10" s="798">
        <f t="shared" si="0"/>
        <v>557139.60193049989</v>
      </c>
      <c r="AA10" s="798">
        <f t="shared" si="0"/>
        <v>576639.4879980674</v>
      </c>
      <c r="AB10" s="798">
        <f t="shared" si="0"/>
        <v>596821.87007799966</v>
      </c>
      <c r="AC10" s="798">
        <f t="shared" si="0"/>
        <v>617710.63553072955</v>
      </c>
      <c r="AD10" s="798">
        <f t="shared" si="0"/>
        <v>639330.50777430506</v>
      </c>
      <c r="AE10" s="798">
        <f t="shared" si="0"/>
        <v>661707.07554640574</v>
      </c>
      <c r="AF10" s="798">
        <f t="shared" si="0"/>
        <v>684866.82319052995</v>
      </c>
      <c r="AG10" s="793" t="s">
        <v>2116</v>
      </c>
    </row>
    <row r="11" spans="1:33" ht="15.6" x14ac:dyDescent="0.3">
      <c r="B11" s="791" t="s">
        <v>1821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/>
      <c r="N11" s="797" t="s">
        <v>1822</v>
      </c>
      <c r="O11" s="798"/>
      <c r="P11" s="798"/>
      <c r="Q11" s="798"/>
      <c r="R11" s="798"/>
      <c r="S11" s="799"/>
      <c r="T11" s="798"/>
      <c r="U11" s="798"/>
      <c r="V11" s="798"/>
      <c r="W11"/>
      <c r="X11" s="798">
        <f t="shared" si="0"/>
        <v>0</v>
      </c>
      <c r="Y11" s="798">
        <f t="shared" si="0"/>
        <v>0</v>
      </c>
      <c r="Z11" s="798">
        <f t="shared" si="0"/>
        <v>0</v>
      </c>
      <c r="AA11" s="798">
        <f t="shared" si="0"/>
        <v>0</v>
      </c>
      <c r="AB11" s="798">
        <f t="shared" si="0"/>
        <v>0</v>
      </c>
      <c r="AC11" s="798">
        <f t="shared" si="0"/>
        <v>0</v>
      </c>
      <c r="AD11" s="798">
        <f t="shared" si="0"/>
        <v>0</v>
      </c>
      <c r="AE11" s="798">
        <f t="shared" si="0"/>
        <v>0</v>
      </c>
      <c r="AF11" s="798">
        <f t="shared" si="0"/>
        <v>0</v>
      </c>
    </row>
    <row r="12" spans="1:33" x14ac:dyDescent="0.3">
      <c r="B12" s="793" t="s">
        <v>1823</v>
      </c>
      <c r="C12" s="127">
        <f>INDEX('Control Panel'!$C$7:$N$25,MATCH($M12,Indicies,0),MATCH(C$2,'Control Panel'!C$6:$N$6,0))</f>
        <v>3.5000000000000003E-2</v>
      </c>
      <c r="D12" s="127">
        <f>INDEX('Control Panel'!$C$7:$N$25,MATCH($M12,Indicies,0),MATCH(D$2,'Control Panel'!D$6:$N$6,0))</f>
        <v>3.5000000000000003E-2</v>
      </c>
      <c r="E12" s="127">
        <f>INDEX('Control Panel'!$C$7:$N$25,MATCH($M12,Indicies,0),MATCH(E$2,'Control Panel'!E$6:$N$6,0))</f>
        <v>3.5000000000000003E-2</v>
      </c>
      <c r="F12" s="127">
        <f>INDEX('Control Panel'!$C$7:$N$25,MATCH($M12,Indicies,0),MATCH(F$2,'Control Panel'!F$6:$N$6,0))</f>
        <v>3.5000000000000003E-2</v>
      </c>
      <c r="G12" s="127">
        <f>INDEX('Control Panel'!$C$7:$N$25,MATCH($M12,Indicies,0),MATCH(G$2,'Control Panel'!G$6:$N$6,0))</f>
        <v>3.5000000000000003E-2</v>
      </c>
      <c r="H12" s="127">
        <f>INDEX('Control Panel'!$C$7:$N$25,MATCH($M12,Indicies,0),MATCH(H$2,'Control Panel'!H$6:$N$6,0))</f>
        <v>3.5000000000000003E-2</v>
      </c>
      <c r="I12" s="127">
        <f>INDEX('Control Panel'!$C$7:$N$25,MATCH($M12,Indicies,0),MATCH(I$2,'Control Panel'!I$6:$N$6,0))</f>
        <v>3.5000000000000003E-2</v>
      </c>
      <c r="J12" s="127">
        <f>INDEX('Control Panel'!$C$7:$N$25,MATCH($M12,Indicies,0),MATCH(J$2,'Control Panel'!J$6:$N$6,0))</f>
        <v>3.5000000000000003E-2</v>
      </c>
      <c r="K12" s="127">
        <f>INDEX('Control Panel'!$C$7:$N$25,MATCH($M12,Indicies,0),MATCH(K$2,'Control Panel'!K$6:$N$6,0))</f>
        <v>3.5000000000000003E-2</v>
      </c>
      <c r="L12" s="127">
        <f>INDEX('Control Panel'!$C$7:$N$25,MATCH($M12,Indicies,0),MATCH(L$2,'Control Panel'!L$6:$N$6,0))</f>
        <v>3.5000000000000003E-2</v>
      </c>
      <c r="M12" s="841" t="s">
        <v>5</v>
      </c>
      <c r="N12" s="797">
        <f>82266+5100+9414+18112+1193</f>
        <v>116085</v>
      </c>
      <c r="O12" s="798">
        <f>N12*(1+D12)</f>
        <v>120147.97499999999</v>
      </c>
      <c r="P12" s="798">
        <f>124398+300+7731+11908+26580+1808+73005+4526+6971+2181+1059</f>
        <v>260467</v>
      </c>
      <c r="Q12" s="798">
        <v>229580</v>
      </c>
      <c r="R12" s="798">
        <v>249015</v>
      </c>
      <c r="S12" s="799">
        <f>262243</f>
        <v>262243</v>
      </c>
      <c r="T12" s="798">
        <f>S12*(1+I12)</f>
        <v>271421.505</v>
      </c>
      <c r="U12" s="798">
        <v>281890</v>
      </c>
      <c r="V12" s="798">
        <v>288123</v>
      </c>
      <c r="W12" s="801">
        <f>162209+136014+35127</f>
        <v>333350</v>
      </c>
      <c r="X12" s="798">
        <f t="shared" si="0"/>
        <v>345017.25</v>
      </c>
      <c r="Y12" s="798">
        <f t="shared" si="0"/>
        <v>357092.85374999995</v>
      </c>
      <c r="Z12" s="798">
        <f t="shared" si="0"/>
        <v>369591.10363124992</v>
      </c>
      <c r="AA12" s="798">
        <f t="shared" si="0"/>
        <v>382526.79225834366</v>
      </c>
      <c r="AB12" s="798">
        <f t="shared" si="0"/>
        <v>395915.22998738568</v>
      </c>
      <c r="AC12" s="798">
        <f t="shared" si="0"/>
        <v>409772.26303694415</v>
      </c>
      <c r="AD12" s="798">
        <f t="shared" si="0"/>
        <v>424114.29224323714</v>
      </c>
      <c r="AE12" s="798">
        <f t="shared" si="0"/>
        <v>438958.29247175041</v>
      </c>
      <c r="AF12" s="798">
        <f t="shared" si="0"/>
        <v>454321.83270826162</v>
      </c>
      <c r="AG12" s="793" t="s">
        <v>1824</v>
      </c>
    </row>
    <row r="13" spans="1:33" ht="15.6" x14ac:dyDescent="0.3">
      <c r="B13" s="791" t="s">
        <v>1825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/>
      <c r="N13" s="797" t="s">
        <v>1822</v>
      </c>
      <c r="O13" s="798"/>
      <c r="P13" s="798"/>
      <c r="Q13" s="798"/>
      <c r="R13" s="798"/>
      <c r="S13" s="799"/>
      <c r="T13" s="798"/>
      <c r="U13" s="798"/>
      <c r="V13" s="798"/>
      <c r="W13"/>
      <c r="X13" s="798">
        <f t="shared" si="0"/>
        <v>0</v>
      </c>
      <c r="Y13" s="798">
        <f t="shared" si="0"/>
        <v>0</v>
      </c>
      <c r="Z13" s="798">
        <f t="shared" si="0"/>
        <v>0</v>
      </c>
      <c r="AA13" s="798">
        <f t="shared" si="0"/>
        <v>0</v>
      </c>
      <c r="AB13" s="798">
        <f t="shared" si="0"/>
        <v>0</v>
      </c>
      <c r="AC13" s="798">
        <f t="shared" si="0"/>
        <v>0</v>
      </c>
      <c r="AD13" s="798">
        <f t="shared" si="0"/>
        <v>0</v>
      </c>
      <c r="AE13" s="798">
        <f t="shared" si="0"/>
        <v>0</v>
      </c>
      <c r="AF13" s="798">
        <f t="shared" si="0"/>
        <v>0</v>
      </c>
    </row>
    <row r="14" spans="1:33" ht="15.6" x14ac:dyDescent="0.3">
      <c r="B14" s="791" t="s">
        <v>1826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/>
      <c r="N14" s="797">
        <f>59791+1400+3794+7000+12013+887+62105+2000+200+3987+7357+5933+932+75764+2000+200+4834+8921+12081+1130+41707+2586+4772+4885+605</f>
        <v>326884</v>
      </c>
      <c r="O14" s="798">
        <f>N14*(1+D14)</f>
        <v>326884</v>
      </c>
      <c r="P14" s="798">
        <f>(O14*15/12)*(1+E14)</f>
        <v>408605</v>
      </c>
      <c r="Q14" s="798">
        <f>100745+211264+98621</f>
        <v>410630</v>
      </c>
      <c r="R14" s="798">
        <f>107066+225268+107504</f>
        <v>439838</v>
      </c>
      <c r="S14" s="799">
        <f>110869+99724+132139+115707</f>
        <v>458439</v>
      </c>
      <c r="T14" s="798">
        <f>S14*(1+I14)</f>
        <v>458439</v>
      </c>
      <c r="U14" s="798">
        <v>488491</v>
      </c>
      <c r="V14" s="798"/>
      <c r="W14"/>
      <c r="X14" s="798">
        <f t="shared" si="0"/>
        <v>0</v>
      </c>
      <c r="Y14" s="798">
        <f t="shared" si="0"/>
        <v>0</v>
      </c>
      <c r="Z14" s="798">
        <f t="shared" si="0"/>
        <v>0</v>
      </c>
      <c r="AA14" s="798">
        <f t="shared" si="0"/>
        <v>0</v>
      </c>
      <c r="AB14" s="798">
        <f t="shared" si="0"/>
        <v>0</v>
      </c>
      <c r="AC14" s="798">
        <f t="shared" si="0"/>
        <v>0</v>
      </c>
      <c r="AD14" s="798">
        <f t="shared" si="0"/>
        <v>0</v>
      </c>
      <c r="AE14" s="798">
        <f t="shared" si="0"/>
        <v>0</v>
      </c>
      <c r="AF14" s="798">
        <f t="shared" si="0"/>
        <v>0</v>
      </c>
    </row>
    <row r="15" spans="1:33" ht="15.6" x14ac:dyDescent="0.3">
      <c r="B15" s="791" t="s">
        <v>1827</v>
      </c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/>
      <c r="N15" s="797" t="s">
        <v>1822</v>
      </c>
      <c r="O15" s="798"/>
      <c r="P15" s="798"/>
      <c r="Q15" s="798"/>
      <c r="R15" s="798"/>
      <c r="S15" s="798"/>
      <c r="T15" s="798"/>
      <c r="U15" s="798"/>
      <c r="V15" s="798"/>
      <c r="W15" s="798"/>
      <c r="X15" s="798"/>
      <c r="Y15" s="798"/>
      <c r="Z15" s="798"/>
      <c r="AA15" s="798"/>
      <c r="AB15" s="798"/>
      <c r="AC15" s="798"/>
      <c r="AD15" s="798"/>
      <c r="AE15" s="798"/>
      <c r="AF15" s="798"/>
    </row>
    <row r="16" spans="1:33" ht="15.6" x14ac:dyDescent="0.3">
      <c r="B16" s="793" t="s">
        <v>1828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/>
      <c r="N16" s="797" t="s">
        <v>1822</v>
      </c>
      <c r="O16" s="798"/>
      <c r="P16" s="798"/>
      <c r="Q16" s="798"/>
      <c r="R16" s="798"/>
      <c r="S16" s="798"/>
      <c r="T16" s="798"/>
      <c r="U16" s="798"/>
      <c r="V16" s="798"/>
      <c r="W16" s="798"/>
      <c r="X16" s="798"/>
      <c r="Y16" s="798"/>
      <c r="Z16" s="798"/>
      <c r="AA16" s="798"/>
      <c r="AB16" s="798"/>
      <c r="AC16" s="798"/>
      <c r="AD16" s="798"/>
      <c r="AE16" s="798"/>
      <c r="AF16" s="798"/>
    </row>
    <row r="17" spans="2:32" x14ac:dyDescent="0.3">
      <c r="B17" s="793"/>
      <c r="N17" s="797"/>
      <c r="O17" s="798"/>
      <c r="P17" s="798"/>
      <c r="Q17" s="798"/>
      <c r="R17" s="798"/>
      <c r="S17" s="798"/>
      <c r="T17" s="798"/>
      <c r="U17" s="798"/>
      <c r="V17" s="798"/>
      <c r="W17" s="798"/>
      <c r="X17" s="798"/>
      <c r="Y17" s="798"/>
      <c r="Z17" s="798"/>
      <c r="AA17" s="798"/>
      <c r="AB17" s="798"/>
      <c r="AC17" s="798"/>
      <c r="AD17" s="798"/>
      <c r="AE17" s="798"/>
      <c r="AF17" s="798"/>
    </row>
    <row r="18" spans="2:32" x14ac:dyDescent="0.3">
      <c r="B18" s="793"/>
      <c r="N18" s="797"/>
      <c r="O18" s="798"/>
      <c r="P18" s="798"/>
      <c r="Q18" s="798"/>
      <c r="R18" s="798"/>
      <c r="S18" s="798"/>
      <c r="T18" s="798"/>
      <c r="U18" s="798"/>
      <c r="V18" s="798"/>
      <c r="W18" s="798"/>
      <c r="X18" s="798"/>
      <c r="Y18" s="798"/>
      <c r="Z18" s="798"/>
      <c r="AA18" s="798"/>
      <c r="AB18" s="798"/>
      <c r="AC18" s="798"/>
      <c r="AD18" s="798"/>
      <c r="AE18" s="798"/>
      <c r="AF18" s="798"/>
    </row>
    <row r="19" spans="2:32" ht="16.2" x14ac:dyDescent="0.3">
      <c r="C19" s="1304" t="s">
        <v>1950</v>
      </c>
      <c r="D19" s="1304"/>
      <c r="E19" s="1304"/>
      <c r="F19" s="1304"/>
      <c r="G19" s="1304"/>
      <c r="H19" s="1304"/>
      <c r="I19" s="1304"/>
      <c r="J19" s="1304"/>
      <c r="K19" s="1304"/>
      <c r="L19" s="1304"/>
      <c r="N19" s="795"/>
      <c r="O19" s="795"/>
      <c r="P19" s="795"/>
      <c r="Q19" s="795"/>
      <c r="R19" s="795"/>
      <c r="S19" s="795"/>
      <c r="T19" s="795"/>
      <c r="U19" s="795"/>
      <c r="V19" s="795"/>
      <c r="W19" s="795"/>
      <c r="X19" s="795"/>
      <c r="Y19" s="795"/>
      <c r="Z19" s="795"/>
      <c r="AA19" s="795"/>
      <c r="AB19" s="795"/>
      <c r="AC19" s="795"/>
      <c r="AD19" s="795"/>
      <c r="AE19" s="795"/>
      <c r="AF19" s="795"/>
    </row>
    <row r="20" spans="2:32" x14ac:dyDescent="0.3">
      <c r="B20" s="796" t="s">
        <v>1829</v>
      </c>
      <c r="N20" s="795"/>
      <c r="O20" s="795"/>
      <c r="P20" s="795"/>
      <c r="Q20" s="795"/>
      <c r="R20" s="795"/>
      <c r="S20" s="795"/>
      <c r="T20" s="795"/>
      <c r="U20" s="795"/>
      <c r="V20" s="795"/>
      <c r="W20" s="795"/>
      <c r="X20" s="795"/>
      <c r="Y20" s="795"/>
      <c r="Z20" s="795"/>
      <c r="AA20" s="795"/>
      <c r="AB20" s="795"/>
      <c r="AC20" s="795"/>
      <c r="AD20" s="795"/>
      <c r="AE20" s="795"/>
      <c r="AF20" s="795"/>
    </row>
    <row r="21" spans="2:32" x14ac:dyDescent="0.3">
      <c r="B21" s="791" t="s">
        <v>1812</v>
      </c>
      <c r="C21" s="800">
        <v>0.1</v>
      </c>
      <c r="D21" s="800">
        <v>0.1</v>
      </c>
      <c r="E21" s="800">
        <v>0.1</v>
      </c>
      <c r="F21" s="800">
        <v>0.1</v>
      </c>
      <c r="G21" s="800">
        <v>0.1</v>
      </c>
      <c r="H21" s="800">
        <v>0.1</v>
      </c>
      <c r="I21" s="800">
        <v>0.1</v>
      </c>
      <c r="J21" s="800">
        <v>0.1</v>
      </c>
      <c r="K21" s="800">
        <v>0.1</v>
      </c>
      <c r="L21" s="800">
        <v>0.1</v>
      </c>
      <c r="N21" s="798">
        <v>70000</v>
      </c>
      <c r="O21" s="798">
        <v>72450</v>
      </c>
      <c r="P21" s="798">
        <v>95000</v>
      </c>
      <c r="Q21" s="798">
        <v>89000</v>
      </c>
      <c r="R21" s="798">
        <v>77064.400000000009</v>
      </c>
      <c r="S21" s="798">
        <v>82872.695914285723</v>
      </c>
      <c r="T21" s="798">
        <v>85773.2402712857</v>
      </c>
      <c r="U21" s="798">
        <v>84500</v>
      </c>
      <c r="V21" s="798">
        <v>97500</v>
      </c>
      <c r="W21" s="799">
        <f>C21*W6</f>
        <v>86400</v>
      </c>
      <c r="X21" s="798">
        <f t="shared" ref="X21:AF29" si="1">W21*(1+D21)</f>
        <v>95040.000000000015</v>
      </c>
      <c r="Y21" s="798">
        <f t="shared" si="1"/>
        <v>104544.00000000003</v>
      </c>
      <c r="Z21" s="798">
        <f t="shared" si="1"/>
        <v>114998.40000000004</v>
      </c>
      <c r="AA21" s="798">
        <f>Z21*(1+G21)</f>
        <v>126498.24000000005</v>
      </c>
      <c r="AB21" s="798">
        <f t="shared" si="1"/>
        <v>139148.06400000007</v>
      </c>
      <c r="AC21" s="798">
        <f t="shared" si="1"/>
        <v>153062.8704000001</v>
      </c>
      <c r="AD21" s="798">
        <f t="shared" si="1"/>
        <v>168369.15744000013</v>
      </c>
      <c r="AE21" s="798">
        <f t="shared" si="1"/>
        <v>185206.07318400015</v>
      </c>
      <c r="AF21" s="798">
        <f t="shared" si="1"/>
        <v>203726.68050240018</v>
      </c>
    </row>
    <row r="22" spans="2:32" x14ac:dyDescent="0.3">
      <c r="B22" s="791" t="s">
        <v>1814</v>
      </c>
      <c r="C22" s="800">
        <v>0.1</v>
      </c>
      <c r="D22" s="800">
        <v>0.1</v>
      </c>
      <c r="E22" s="800">
        <v>0.1</v>
      </c>
      <c r="F22" s="800">
        <v>0.1</v>
      </c>
      <c r="G22" s="800">
        <v>0.1</v>
      </c>
      <c r="H22" s="800">
        <v>0.1</v>
      </c>
      <c r="I22" s="800">
        <v>0.1</v>
      </c>
      <c r="J22" s="800">
        <v>0.1</v>
      </c>
      <c r="K22" s="800">
        <v>0.1</v>
      </c>
      <c r="L22" s="800">
        <v>0.1</v>
      </c>
      <c r="N22" s="798">
        <v>7548.9000000000005</v>
      </c>
      <c r="O22" s="798">
        <v>7813.1114999999991</v>
      </c>
      <c r="P22" s="798">
        <v>9982.2000000000007</v>
      </c>
      <c r="Q22" s="798">
        <v>9235.9</v>
      </c>
      <c r="R22" s="798">
        <v>8686.6</v>
      </c>
      <c r="S22" s="798">
        <v>8929.1</v>
      </c>
      <c r="T22" s="798">
        <v>9241.6185000000005</v>
      </c>
      <c r="U22" s="798">
        <v>9485.7000000000007</v>
      </c>
      <c r="V22" s="798">
        <v>9739.880000000001</v>
      </c>
      <c r="W22" s="799">
        <f t="shared" ref="W22:W27" si="2">C22*W7</f>
        <v>9840.6</v>
      </c>
      <c r="X22" s="798">
        <f t="shared" si="1"/>
        <v>10824.660000000002</v>
      </c>
      <c r="Y22" s="798">
        <f t="shared" si="1"/>
        <v>11907.126000000002</v>
      </c>
      <c r="Z22" s="798">
        <f t="shared" si="1"/>
        <v>13097.838600000003</v>
      </c>
      <c r="AA22" s="798">
        <f t="shared" si="1"/>
        <v>14407.622460000004</v>
      </c>
      <c r="AB22" s="798">
        <f t="shared" si="1"/>
        <v>15848.384706000006</v>
      </c>
      <c r="AC22" s="798">
        <f t="shared" si="1"/>
        <v>17433.223176600008</v>
      </c>
      <c r="AD22" s="798">
        <f t="shared" si="1"/>
        <v>19176.545494260012</v>
      </c>
      <c r="AE22" s="798">
        <f t="shared" si="1"/>
        <v>21094.200043686014</v>
      </c>
      <c r="AF22" s="798">
        <f t="shared" si="1"/>
        <v>23203.620048054618</v>
      </c>
    </row>
    <row r="23" spans="2:32" x14ac:dyDescent="0.3">
      <c r="B23" s="791" t="s">
        <v>1830</v>
      </c>
      <c r="C23" s="800">
        <v>0.1</v>
      </c>
      <c r="D23" s="800">
        <v>0.1</v>
      </c>
      <c r="E23" s="800">
        <v>0.1</v>
      </c>
      <c r="F23" s="800">
        <v>0.1</v>
      </c>
      <c r="G23" s="800">
        <v>0.1</v>
      </c>
      <c r="H23" s="800">
        <v>0.1</v>
      </c>
      <c r="I23" s="800">
        <v>0.1</v>
      </c>
      <c r="J23" s="800">
        <v>0.1</v>
      </c>
      <c r="K23" s="800">
        <v>0.1</v>
      </c>
      <c r="L23" s="800">
        <v>0.1</v>
      </c>
      <c r="N23" s="798">
        <v>57682.400000000001</v>
      </c>
      <c r="O23" s="798">
        <v>59701.284</v>
      </c>
      <c r="P23" s="798">
        <v>87713</v>
      </c>
      <c r="Q23" s="798">
        <v>68236</v>
      </c>
      <c r="R23" s="798">
        <v>72298.2</v>
      </c>
      <c r="S23" s="798">
        <v>75425.8</v>
      </c>
      <c r="T23" s="798">
        <v>78065.702999999994</v>
      </c>
      <c r="U23" s="798">
        <v>81379</v>
      </c>
      <c r="V23" s="798">
        <v>83784.800000000003</v>
      </c>
      <c r="W23" s="799">
        <f t="shared" si="2"/>
        <v>39951</v>
      </c>
      <c r="X23" s="798">
        <f t="shared" si="1"/>
        <v>43946.100000000006</v>
      </c>
      <c r="Y23" s="798">
        <f t="shared" si="1"/>
        <v>48340.710000000014</v>
      </c>
      <c r="Z23" s="798">
        <f t="shared" si="1"/>
        <v>53174.781000000017</v>
      </c>
      <c r="AA23" s="798">
        <f t="shared" si="1"/>
        <v>58492.259100000025</v>
      </c>
      <c r="AB23" s="798">
        <f t="shared" si="1"/>
        <v>64341.485010000033</v>
      </c>
      <c r="AC23" s="798">
        <f t="shared" si="1"/>
        <v>70775.633511000036</v>
      </c>
      <c r="AD23" s="798">
        <f t="shared" si="1"/>
        <v>77853.196862100041</v>
      </c>
      <c r="AE23" s="798">
        <f t="shared" si="1"/>
        <v>85638.516548310057</v>
      </c>
      <c r="AF23" s="798">
        <f t="shared" si="1"/>
        <v>94202.368203141072</v>
      </c>
    </row>
    <row r="24" spans="2:32" x14ac:dyDescent="0.3">
      <c r="B24" s="791" t="s">
        <v>1818</v>
      </c>
      <c r="C24" s="800">
        <v>0.1</v>
      </c>
      <c r="D24" s="800">
        <v>0.1</v>
      </c>
      <c r="E24" s="800">
        <v>0.1</v>
      </c>
      <c r="F24" s="800">
        <v>0.1</v>
      </c>
      <c r="G24" s="800">
        <v>0.1</v>
      </c>
      <c r="H24" s="800">
        <v>0.1</v>
      </c>
      <c r="I24" s="800">
        <v>0.1</v>
      </c>
      <c r="J24" s="800">
        <v>0.1</v>
      </c>
      <c r="K24" s="800">
        <v>0.1</v>
      </c>
      <c r="L24" s="800">
        <v>0.1</v>
      </c>
      <c r="N24" s="798">
        <v>5127.9000000000005</v>
      </c>
      <c r="O24" s="798">
        <v>5307.3765000000003</v>
      </c>
      <c r="P24" s="798">
        <v>6307.6</v>
      </c>
      <c r="Q24" s="798">
        <v>5614.7000000000007</v>
      </c>
      <c r="R24" s="798">
        <v>5100.8</v>
      </c>
      <c r="S24" s="798">
        <v>5175.9000000000005</v>
      </c>
      <c r="T24" s="798">
        <v>5357.0564999999997</v>
      </c>
      <c r="U24" s="798">
        <v>5197</v>
      </c>
      <c r="V24" s="798">
        <v>5175.68</v>
      </c>
      <c r="W24" s="799">
        <f t="shared" si="2"/>
        <v>5164.0800000000008</v>
      </c>
      <c r="X24" s="798">
        <f t="shared" si="1"/>
        <v>5680.4880000000012</v>
      </c>
      <c r="Y24" s="798">
        <f>X24*(1+E24)</f>
        <v>6248.5368000000017</v>
      </c>
      <c r="Z24" s="798">
        <f t="shared" si="1"/>
        <v>6873.3904800000028</v>
      </c>
      <c r="AA24" s="798">
        <f t="shared" si="1"/>
        <v>7560.7295280000035</v>
      </c>
      <c r="AB24" s="798">
        <f t="shared" si="1"/>
        <v>8316.8024808000046</v>
      </c>
      <c r="AC24" s="798">
        <f t="shared" si="1"/>
        <v>9148.4827288800061</v>
      </c>
      <c r="AD24" s="798">
        <f t="shared" si="1"/>
        <v>10063.331001768007</v>
      </c>
      <c r="AE24" s="798">
        <f t="shared" si="1"/>
        <v>11069.664101944809</v>
      </c>
      <c r="AF24" s="798">
        <f t="shared" si="1"/>
        <v>12176.630512139291</v>
      </c>
    </row>
    <row r="25" spans="2:32" x14ac:dyDescent="0.3">
      <c r="B25" s="791" t="s">
        <v>1820</v>
      </c>
      <c r="C25" s="800">
        <v>0.1</v>
      </c>
      <c r="D25" s="800">
        <v>0.1</v>
      </c>
      <c r="E25" s="800">
        <v>0.1</v>
      </c>
      <c r="F25" s="800">
        <v>0.1</v>
      </c>
      <c r="G25" s="800">
        <v>0.1</v>
      </c>
      <c r="H25" s="800">
        <v>0.1</v>
      </c>
      <c r="I25" s="800">
        <v>0.1</v>
      </c>
      <c r="J25" s="800">
        <v>0.1</v>
      </c>
      <c r="K25" s="800">
        <v>0.1</v>
      </c>
      <c r="L25" s="800">
        <v>0.1</v>
      </c>
      <c r="N25" s="798">
        <v>40527.100000000006</v>
      </c>
      <c r="O25" s="798">
        <v>41945.548500000004</v>
      </c>
      <c r="P25" s="798">
        <v>54837.5</v>
      </c>
      <c r="Q25" s="798">
        <v>43133.4</v>
      </c>
      <c r="R25" s="798">
        <v>43607.5</v>
      </c>
      <c r="S25" s="798">
        <v>51976.9</v>
      </c>
      <c r="T25" s="798">
        <v>53796.091499999995</v>
      </c>
      <c r="U25" s="798">
        <v>59976.4</v>
      </c>
      <c r="V25" s="798">
        <v>56577.700000000004</v>
      </c>
      <c r="W25" s="799">
        <f t="shared" si="2"/>
        <v>50250.8</v>
      </c>
      <c r="X25" s="798">
        <f t="shared" si="1"/>
        <v>55275.880000000005</v>
      </c>
      <c r="Y25" s="798">
        <f t="shared" si="1"/>
        <v>60803.468000000008</v>
      </c>
      <c r="Z25" s="798">
        <f t="shared" si="1"/>
        <v>66883.814800000007</v>
      </c>
      <c r="AA25" s="798">
        <f t="shared" si="1"/>
        <v>73572.196280000018</v>
      </c>
      <c r="AB25" s="798">
        <f t="shared" si="1"/>
        <v>80929.415908000025</v>
      </c>
      <c r="AC25" s="798">
        <f t="shared" si="1"/>
        <v>89022.357498800033</v>
      </c>
      <c r="AD25" s="798">
        <f t="shared" si="1"/>
        <v>97924.593248680045</v>
      </c>
      <c r="AE25" s="798">
        <f t="shared" si="1"/>
        <v>107717.05257354806</v>
      </c>
      <c r="AF25" s="798">
        <f t="shared" si="1"/>
        <v>118488.75783090288</v>
      </c>
    </row>
    <row r="26" spans="2:32" x14ac:dyDescent="0.3">
      <c r="B26" s="791" t="s">
        <v>1821</v>
      </c>
      <c r="C26" s="127">
        <f>INDEX('Control Panel'!$C$7:$N$25,MATCH($M26,Indicies,0),MATCH(C$2,'Control Panel'!C$6:$N$6,0))</f>
        <v>3.5000000000000003E-2</v>
      </c>
      <c r="D26" s="127">
        <f>INDEX('Control Panel'!$C$7:$N$25,MATCH($M26,Indicies,0),MATCH(D$2,'Control Panel'!D$6:$N$6,0))</f>
        <v>3.5000000000000003E-2</v>
      </c>
      <c r="E26" s="127">
        <f>INDEX('Control Panel'!$C$7:$N$25,MATCH($M26,Indicies,0),MATCH(E$2,'Control Panel'!E$6:$N$6,0))</f>
        <v>3.5000000000000003E-2</v>
      </c>
      <c r="F26" s="127">
        <f>INDEX('Control Panel'!$C$7:$N$25,MATCH($M26,Indicies,0),MATCH(F$2,'Control Panel'!F$6:$N$6,0))</f>
        <v>3.5000000000000003E-2</v>
      </c>
      <c r="G26" s="127">
        <f>INDEX('Control Panel'!$C$7:$N$25,MATCH($M26,Indicies,0),MATCH(G$2,'Control Panel'!G$6:$N$6,0))</f>
        <v>3.5000000000000003E-2</v>
      </c>
      <c r="H26" s="127">
        <f>INDEX('Control Panel'!$C$7:$N$25,MATCH($M26,Indicies,0),MATCH(H$2,'Control Panel'!H$6:$N$6,0))</f>
        <v>3.5000000000000003E-2</v>
      </c>
      <c r="I26" s="127">
        <f>INDEX('Control Panel'!$C$7:$N$25,MATCH($M26,Indicies,0),MATCH(I$2,'Control Panel'!I$6:$N$6,0))</f>
        <v>3.5000000000000003E-2</v>
      </c>
      <c r="J26" s="127">
        <f>INDEX('Control Panel'!$C$7:$N$25,MATCH($M26,Indicies,0),MATCH(J$2,'Control Panel'!J$6:$N$6,0))</f>
        <v>3.5000000000000003E-2</v>
      </c>
      <c r="K26" s="127">
        <f>INDEX('Control Panel'!$C$7:$N$25,MATCH($M26,Indicies,0),MATCH(K$2,'Control Panel'!K$6:$N$6,0))</f>
        <v>3.5000000000000003E-2</v>
      </c>
      <c r="L26" s="127">
        <f>INDEX('Control Panel'!$C$7:$N$25,MATCH($M26,Indicies,0),MATCH(L$2,'Control Panel'!L$6:$N$6,0))</f>
        <v>3.5000000000000003E-2</v>
      </c>
      <c r="M26" s="841" t="s">
        <v>5</v>
      </c>
      <c r="N26" s="798">
        <v>225099.80000000002</v>
      </c>
      <c r="O26" s="798">
        <v>232978.29300000001</v>
      </c>
      <c r="P26" s="798">
        <v>301415.66656874999</v>
      </c>
      <c r="Q26" s="798">
        <v>184318</v>
      </c>
      <c r="R26" s="799">
        <v>201809</v>
      </c>
      <c r="S26" s="799">
        <v>191203.59999999998</v>
      </c>
      <c r="T26" s="798">
        <v>197895.72599999997</v>
      </c>
      <c r="U26" s="798">
        <v>233487</v>
      </c>
      <c r="V26" s="798">
        <v>225099.80000000002</v>
      </c>
      <c r="W26" s="801">
        <f>SUM('Indirect Allocation Detail'!F40:F49)</f>
        <v>283989.14412000001</v>
      </c>
      <c r="X26" s="798">
        <f t="shared" si="1"/>
        <v>293928.76416419999</v>
      </c>
      <c r="Y26" s="798">
        <f t="shared" si="1"/>
        <v>304216.27090994699</v>
      </c>
      <c r="Z26" s="798">
        <f t="shared" si="1"/>
        <v>314863.84039179509</v>
      </c>
      <c r="AA26" s="798">
        <f t="shared" si="1"/>
        <v>325884.0748055079</v>
      </c>
      <c r="AB26" s="798">
        <f t="shared" si="1"/>
        <v>337290.01742370066</v>
      </c>
      <c r="AC26" s="798">
        <f t="shared" si="1"/>
        <v>349095.16803353018</v>
      </c>
      <c r="AD26" s="798">
        <f t="shared" si="1"/>
        <v>361313.49891470373</v>
      </c>
      <c r="AE26" s="798">
        <f t="shared" si="1"/>
        <v>373959.47137671831</v>
      </c>
      <c r="AF26" s="798">
        <f t="shared" si="1"/>
        <v>387048.05287490343</v>
      </c>
    </row>
    <row r="27" spans="2:32" x14ac:dyDescent="0.3">
      <c r="B27" s="793" t="s">
        <v>1823</v>
      </c>
      <c r="C27" s="800">
        <v>0.1</v>
      </c>
      <c r="D27" s="800">
        <v>0.1</v>
      </c>
      <c r="E27" s="800">
        <v>0.1</v>
      </c>
      <c r="F27" s="800">
        <v>0.1</v>
      </c>
      <c r="G27" s="800">
        <v>0.1</v>
      </c>
      <c r="H27" s="800">
        <v>0.1</v>
      </c>
      <c r="I27" s="800">
        <v>0.1</v>
      </c>
      <c r="J27" s="800">
        <v>0.1</v>
      </c>
      <c r="K27" s="800">
        <v>0.1</v>
      </c>
      <c r="L27" s="800">
        <v>0.1</v>
      </c>
      <c r="N27" s="798">
        <v>11608.5</v>
      </c>
      <c r="O27" s="798">
        <v>12014.797500000001</v>
      </c>
      <c r="P27" s="798">
        <v>26046.7</v>
      </c>
      <c r="Q27" s="798">
        <v>22958</v>
      </c>
      <c r="R27" s="798">
        <v>24901.5</v>
      </c>
      <c r="S27" s="799">
        <v>26224.300000000003</v>
      </c>
      <c r="T27" s="798">
        <v>27142.150500000003</v>
      </c>
      <c r="U27" s="798">
        <v>28189</v>
      </c>
      <c r="V27" s="798">
        <v>28812.300000000003</v>
      </c>
      <c r="W27" s="799">
        <f t="shared" si="2"/>
        <v>33335</v>
      </c>
      <c r="X27" s="798">
        <f t="shared" si="1"/>
        <v>36668.5</v>
      </c>
      <c r="Y27" s="798">
        <f t="shared" si="1"/>
        <v>40335.350000000006</v>
      </c>
      <c r="Z27" s="798">
        <f t="shared" si="1"/>
        <v>44368.885000000009</v>
      </c>
      <c r="AA27" s="798">
        <f t="shared" si="1"/>
        <v>48805.773500000018</v>
      </c>
      <c r="AB27" s="798">
        <f t="shared" si="1"/>
        <v>53686.350850000024</v>
      </c>
      <c r="AC27" s="798">
        <f t="shared" si="1"/>
        <v>59054.985935000033</v>
      </c>
      <c r="AD27" s="798">
        <f t="shared" si="1"/>
        <v>64960.484528500041</v>
      </c>
      <c r="AE27" s="798">
        <f t="shared" si="1"/>
        <v>71456.532981350058</v>
      </c>
      <c r="AF27" s="798">
        <f t="shared" si="1"/>
        <v>78602.186279485075</v>
      </c>
    </row>
    <row r="28" spans="2:32" x14ac:dyDescent="0.3">
      <c r="B28" s="793" t="s">
        <v>1825</v>
      </c>
      <c r="C28" s="127">
        <f>INDEX('Control Panel'!$C$7:$N$25,MATCH($M28,Indicies,0),MATCH(C$2,'Control Panel'!C$6:$N$6,0))</f>
        <v>0.03</v>
      </c>
      <c r="D28" s="127">
        <f>INDEX('Control Panel'!$C$7:$N$25,MATCH($M28,Indicies,0),MATCH(D$2,'Control Panel'!D$6:$N$6,0))</f>
        <v>0.03</v>
      </c>
      <c r="E28" s="127">
        <f>INDEX('Control Panel'!$C$7:$N$25,MATCH($M28,Indicies,0),MATCH(E$2,'Control Panel'!E$6:$N$6,0))</f>
        <v>0.03</v>
      </c>
      <c r="F28" s="127">
        <f>INDEX('Control Panel'!$C$7:$N$25,MATCH($M28,Indicies,0),MATCH(F$2,'Control Panel'!F$6:$N$6,0))</f>
        <v>0.03</v>
      </c>
      <c r="G28" s="127">
        <f>INDEX('Control Panel'!$C$7:$N$25,MATCH($M28,Indicies,0),MATCH(G$2,'Control Panel'!G$6:$N$6,0))</f>
        <v>0.03</v>
      </c>
      <c r="H28" s="127">
        <f>INDEX('Control Panel'!$C$7:$N$25,MATCH($M28,Indicies,0),MATCH(H$2,'Control Panel'!H$6:$N$6,0))</f>
        <v>0.03</v>
      </c>
      <c r="I28" s="127">
        <f>INDEX('Control Panel'!$C$7:$N$25,MATCH($M28,Indicies,0),MATCH(I$2,'Control Panel'!I$6:$N$6,0))</f>
        <v>0.03</v>
      </c>
      <c r="J28" s="127">
        <f>INDEX('Control Panel'!$C$7:$N$25,MATCH($M28,Indicies,0),MATCH(J$2,'Control Panel'!J$6:$N$6,0))</f>
        <v>0.03</v>
      </c>
      <c r="K28" s="127">
        <f>INDEX('Control Panel'!$C$7:$N$25,MATCH($M28,Indicies,0),MATCH(K$2,'Control Panel'!K$6:$N$6,0))</f>
        <v>0.03</v>
      </c>
      <c r="L28" s="127">
        <f>INDEX('Control Panel'!$C$7:$N$25,MATCH($M28,Indicies,0),MATCH(L$2,'Control Panel'!L$6:$N$6,0))</f>
        <v>0.03</v>
      </c>
      <c r="M28" s="841" t="s">
        <v>7</v>
      </c>
      <c r="N28" s="798">
        <v>61934.15</v>
      </c>
      <c r="O28" s="798">
        <v>64101.845249999998</v>
      </c>
      <c r="P28" s="798">
        <v>82931.762292187501</v>
      </c>
      <c r="Q28" s="798">
        <v>72155</v>
      </c>
      <c r="R28" s="799">
        <v>79078</v>
      </c>
      <c r="S28" s="799">
        <v>65218</v>
      </c>
      <c r="T28" s="798">
        <v>67500.62999999999</v>
      </c>
      <c r="U28" s="798">
        <v>67698</v>
      </c>
      <c r="V28" s="798">
        <v>61934.15</v>
      </c>
      <c r="W28" s="801">
        <f>SUM('Indirect Allocation Detail'!F50:F56)</f>
        <v>66421.75</v>
      </c>
      <c r="X28" s="798">
        <f t="shared" si="1"/>
        <v>68414.402499999997</v>
      </c>
      <c r="Y28" s="798">
        <f t="shared" si="1"/>
        <v>70466.834575000001</v>
      </c>
      <c r="Z28" s="798">
        <f t="shared" si="1"/>
        <v>72580.839612249998</v>
      </c>
      <c r="AA28" s="798">
        <f t="shared" si="1"/>
        <v>74758.2648006175</v>
      </c>
      <c r="AB28" s="798">
        <f t="shared" si="1"/>
        <v>77001.012744636027</v>
      </c>
      <c r="AC28" s="798">
        <f t="shared" si="1"/>
        <v>79311.043126975113</v>
      </c>
      <c r="AD28" s="798">
        <f t="shared" si="1"/>
        <v>81690.37442078437</v>
      </c>
      <c r="AE28" s="798">
        <f t="shared" si="1"/>
        <v>84141.085653407907</v>
      </c>
      <c r="AF28" s="798">
        <f t="shared" si="1"/>
        <v>86665.318223010152</v>
      </c>
    </row>
    <row r="29" spans="2:32" x14ac:dyDescent="0.3">
      <c r="B29" s="793" t="s">
        <v>1826</v>
      </c>
      <c r="C29" s="127">
        <f>INDEX('Control Panel'!$C$7:$N$25,MATCH($M29,Indicies,0),MATCH(C$2,'Control Panel'!C$6:$N$6,0))</f>
        <v>3.5000000000000003E-2</v>
      </c>
      <c r="D29" s="127">
        <f>INDEX('Control Panel'!$C$7:$N$25,MATCH($M29,Indicies,0),MATCH(D$2,'Control Panel'!D$6:$N$6,0))</f>
        <v>3.5000000000000003E-2</v>
      </c>
      <c r="E29" s="127">
        <f>INDEX('Control Panel'!$C$7:$N$25,MATCH($M29,Indicies,0),MATCH(E$2,'Control Panel'!E$6:$N$6,0))</f>
        <v>3.5000000000000003E-2</v>
      </c>
      <c r="F29" s="127">
        <f>INDEX('Control Panel'!$C$7:$N$25,MATCH($M29,Indicies,0),MATCH(F$2,'Control Panel'!F$6:$N$6,0))</f>
        <v>3.5000000000000003E-2</v>
      </c>
      <c r="G29" s="127">
        <f>INDEX('Control Panel'!$C$7:$N$25,MATCH($M29,Indicies,0),MATCH(G$2,'Control Panel'!G$6:$N$6,0))</f>
        <v>3.5000000000000003E-2</v>
      </c>
      <c r="H29" s="127">
        <f>INDEX('Control Panel'!$C$7:$N$25,MATCH($M29,Indicies,0),MATCH(H$2,'Control Panel'!H$6:$N$6,0))</f>
        <v>3.5000000000000003E-2</v>
      </c>
      <c r="I29" s="127">
        <f>INDEX('Control Panel'!$C$7:$N$25,MATCH($M29,Indicies,0),MATCH(I$2,'Control Panel'!I$6:$N$6,0))</f>
        <v>3.5000000000000003E-2</v>
      </c>
      <c r="J29" s="127">
        <f>INDEX('Control Panel'!$C$7:$N$25,MATCH($M29,Indicies,0),MATCH(J$2,'Control Panel'!J$6:$N$6,0))</f>
        <v>3.5000000000000003E-2</v>
      </c>
      <c r="K29" s="127">
        <f>INDEX('Control Panel'!$C$7:$N$25,MATCH($M29,Indicies,0),MATCH(K$2,'Control Panel'!K$6:$N$6,0))</f>
        <v>3.5000000000000003E-2</v>
      </c>
      <c r="L29" s="127">
        <f>INDEX('Control Panel'!$C$7:$N$25,MATCH($M29,Indicies,0),MATCH(L$2,'Control Panel'!L$6:$N$6,0))</f>
        <v>3.5000000000000003E-2</v>
      </c>
      <c r="M29" s="841" t="s">
        <v>5</v>
      </c>
      <c r="N29" s="798">
        <v>16344.2</v>
      </c>
      <c r="O29" s="798">
        <v>16916.246999999999</v>
      </c>
      <c r="P29" s="798">
        <v>21885.394556250001</v>
      </c>
      <c r="Q29" s="798">
        <v>20531.5</v>
      </c>
      <c r="R29" s="799">
        <v>21991.9</v>
      </c>
      <c r="S29" s="799">
        <v>22921.95</v>
      </c>
      <c r="T29" s="798">
        <v>23724.218250000002</v>
      </c>
      <c r="U29" s="798">
        <v>24424.550000000003</v>
      </c>
      <c r="V29" s="798">
        <v>24913.041000000001</v>
      </c>
      <c r="W29" s="801">
        <f>SUM('Indirect Allocation Detail'!F33:F36)</f>
        <v>105392.90898000001</v>
      </c>
      <c r="X29" s="798">
        <f t="shared" si="1"/>
        <v>109081.6607943</v>
      </c>
      <c r="Y29" s="798">
        <f t="shared" si="1"/>
        <v>112899.51892210048</v>
      </c>
      <c r="Z29" s="798">
        <f t="shared" si="1"/>
        <v>116851.00208437399</v>
      </c>
      <c r="AA29" s="798">
        <f t="shared" si="1"/>
        <v>120940.78715732707</v>
      </c>
      <c r="AB29" s="798">
        <f t="shared" si="1"/>
        <v>125173.71470783351</v>
      </c>
      <c r="AC29" s="798">
        <f t="shared" si="1"/>
        <v>129554.79472260768</v>
      </c>
      <c r="AD29" s="798">
        <f t="shared" si="1"/>
        <v>134089.21253789894</v>
      </c>
      <c r="AE29" s="798">
        <f t="shared" si="1"/>
        <v>138782.3349767254</v>
      </c>
      <c r="AF29" s="798">
        <f t="shared" si="1"/>
        <v>143639.71670091077</v>
      </c>
    </row>
    <row r="30" spans="2:32" x14ac:dyDescent="0.3">
      <c r="B30" s="793" t="s">
        <v>1827</v>
      </c>
      <c r="C30" s="127">
        <f>INDEX('Control Panel'!$C$7:$N$25,MATCH($M30,Indicies,0),MATCH(C$2,'Control Panel'!C$6:$N$6,0))</f>
        <v>3.5000000000000003E-2</v>
      </c>
      <c r="D30" s="127">
        <f>INDEX('Control Panel'!$C$7:$N$25,MATCH($M30,Indicies,0),MATCH(D$2,'Control Panel'!D$6:$N$6,0))</f>
        <v>3.5000000000000003E-2</v>
      </c>
      <c r="E30" s="127">
        <f>INDEX('Control Panel'!$C$7:$N$25,MATCH($M30,Indicies,0),MATCH(E$2,'Control Panel'!E$6:$N$6,0))</f>
        <v>3.5000000000000003E-2</v>
      </c>
      <c r="F30" s="127">
        <f>INDEX('Control Panel'!$C$7:$N$25,MATCH($M30,Indicies,0),MATCH(F$2,'Control Panel'!F$6:$N$6,0))</f>
        <v>3.5000000000000003E-2</v>
      </c>
      <c r="G30" s="127">
        <f>INDEX('Control Panel'!$C$7:$N$25,MATCH($M30,Indicies,0),MATCH(G$2,'Control Panel'!G$6:$N$6,0))</f>
        <v>3.5000000000000003E-2</v>
      </c>
      <c r="H30" s="127">
        <f>INDEX('Control Panel'!$C$7:$N$25,MATCH($M30,Indicies,0),MATCH(H$2,'Control Panel'!H$6:$N$6,0))</f>
        <v>3.5000000000000003E-2</v>
      </c>
      <c r="I30" s="127">
        <f>INDEX('Control Panel'!$C$7:$N$25,MATCH($M30,Indicies,0),MATCH(I$2,'Control Panel'!I$6:$N$6,0))</f>
        <v>3.5000000000000003E-2</v>
      </c>
      <c r="J30" s="127">
        <f>INDEX('Control Panel'!$C$7:$N$25,MATCH($M30,Indicies,0),MATCH(J$2,'Control Panel'!J$6:$N$6,0))</f>
        <v>3.5000000000000003E-2</v>
      </c>
      <c r="K30" s="127">
        <f>INDEX('Control Panel'!$C$7:$N$25,MATCH($M30,Indicies,0),MATCH(K$2,'Control Panel'!K$6:$N$6,0))</f>
        <v>3.5000000000000003E-2</v>
      </c>
      <c r="L30" s="127">
        <f>INDEX('Control Panel'!$C$7:$N$25,MATCH($M30,Indicies,0),MATCH(L$2,'Control Panel'!L$6:$N$6,0))</f>
        <v>3.5000000000000003E-2</v>
      </c>
      <c r="M30" s="841" t="s">
        <v>5</v>
      </c>
      <c r="N30" s="798">
        <v>1017415.7488949999</v>
      </c>
      <c r="O30" s="798">
        <v>1053025.3001063247</v>
      </c>
      <c r="P30" s="798">
        <v>1362351.4820125576</v>
      </c>
      <c r="Q30" s="798">
        <v>633467</v>
      </c>
      <c r="R30" s="799">
        <v>719858</v>
      </c>
      <c r="S30" s="799">
        <v>965411.47937814984</v>
      </c>
      <c r="T30" s="798">
        <v>965411.47937814984</v>
      </c>
      <c r="U30" s="798">
        <v>1010083</v>
      </c>
      <c r="V30" s="798">
        <v>1017415.7488949999</v>
      </c>
      <c r="W30" s="801">
        <f>SUM('Indirect Allocation Detail'!F2:F31)</f>
        <v>666195.37</v>
      </c>
      <c r="X30" s="798">
        <f t="shared" ref="X30:AF32" si="3">W30*(1+D30)</f>
        <v>689512.20794999995</v>
      </c>
      <c r="Y30" s="798">
        <f t="shared" si="3"/>
        <v>713645.13522824994</v>
      </c>
      <c r="Z30" s="798">
        <f t="shared" si="3"/>
        <v>738622.71496123867</v>
      </c>
      <c r="AA30" s="798">
        <f t="shared" si="3"/>
        <v>764474.50998488197</v>
      </c>
      <c r="AB30" s="798">
        <f t="shared" si="3"/>
        <v>791231.11783435277</v>
      </c>
      <c r="AC30" s="798">
        <f t="shared" si="3"/>
        <v>818924.20695855503</v>
      </c>
      <c r="AD30" s="798">
        <f t="shared" si="3"/>
        <v>847586.55420210445</v>
      </c>
      <c r="AE30" s="798">
        <f t="shared" si="3"/>
        <v>877252.083599178</v>
      </c>
      <c r="AF30" s="798">
        <f t="shared" si="3"/>
        <v>907955.90652514913</v>
      </c>
    </row>
    <row r="31" spans="2:32" x14ac:dyDescent="0.3">
      <c r="B31" s="793" t="s">
        <v>2218</v>
      </c>
      <c r="C31" s="127">
        <f>INDEX('Control Panel'!$C$7:$N$25,MATCH($M31,Indicies,0),MATCH(C$2,'Control Panel'!C$6:$N$6,0))</f>
        <v>3.5000000000000003E-2</v>
      </c>
      <c r="D31" s="127">
        <f>INDEX('Control Panel'!$C$7:$N$25,MATCH($M31,Indicies,0),MATCH(D$2,'Control Panel'!D$6:$N$6,0))</f>
        <v>3.5000000000000003E-2</v>
      </c>
      <c r="E31" s="127">
        <f>INDEX('Control Panel'!$C$7:$N$25,MATCH($M31,Indicies,0),MATCH(E$2,'Control Panel'!E$6:$N$6,0))</f>
        <v>3.5000000000000003E-2</v>
      </c>
      <c r="F31" s="127">
        <f>INDEX('Control Panel'!$C$7:$N$25,MATCH($M31,Indicies,0),MATCH(F$2,'Control Panel'!F$6:$N$6,0))</f>
        <v>3.5000000000000003E-2</v>
      </c>
      <c r="G31" s="127">
        <f>INDEX('Control Panel'!$C$7:$N$25,MATCH($M31,Indicies,0),MATCH(G$2,'Control Panel'!G$6:$N$6,0))</f>
        <v>3.5000000000000003E-2</v>
      </c>
      <c r="H31" s="127">
        <f>INDEX('Control Panel'!$C$7:$N$25,MATCH($M31,Indicies,0),MATCH(H$2,'Control Panel'!H$6:$N$6,0))</f>
        <v>3.5000000000000003E-2</v>
      </c>
      <c r="I31" s="127">
        <f>INDEX('Control Panel'!$C$7:$N$25,MATCH($M31,Indicies,0),MATCH(I$2,'Control Panel'!I$6:$N$6,0))</f>
        <v>3.5000000000000003E-2</v>
      </c>
      <c r="J31" s="127">
        <f>INDEX('Control Panel'!$C$7:$N$25,MATCH($M31,Indicies,0),MATCH(J$2,'Control Panel'!J$6:$N$6,0))</f>
        <v>3.5000000000000003E-2</v>
      </c>
      <c r="K31" s="127">
        <f>INDEX('Control Panel'!$C$7:$N$25,MATCH($M31,Indicies,0),MATCH(K$2,'Control Panel'!K$6:$N$6,0))</f>
        <v>3.5000000000000003E-2</v>
      </c>
      <c r="L31" s="127">
        <f>INDEX('Control Panel'!$C$7:$N$25,MATCH($M31,Indicies,0),MATCH(L$2,'Control Panel'!L$6:$N$6,0))</f>
        <v>3.5000000000000003E-2</v>
      </c>
      <c r="M31" s="841" t="s">
        <v>5</v>
      </c>
      <c r="N31" s="798">
        <v>1017415.7488949999</v>
      </c>
      <c r="O31" s="798">
        <v>1053025.3001063247</v>
      </c>
      <c r="P31" s="798">
        <v>1362351.4820125576</v>
      </c>
      <c r="Q31" s="798">
        <v>633467</v>
      </c>
      <c r="R31" s="799">
        <v>719858</v>
      </c>
      <c r="S31" s="799">
        <v>965411.47937814984</v>
      </c>
      <c r="T31" s="798">
        <v>0</v>
      </c>
      <c r="U31" s="798">
        <v>0</v>
      </c>
      <c r="V31" s="798">
        <v>0</v>
      </c>
      <c r="W31" s="801">
        <f>SUM('Indirect Allocation Detail'!F37:F39)</f>
        <v>24185.35</v>
      </c>
      <c r="X31" s="798">
        <f t="shared" ref="X31" si="4">W31*(1+D31)</f>
        <v>25031.837249999997</v>
      </c>
      <c r="Y31" s="798">
        <f t="shared" ref="Y31" si="5">X31*(1+E31)</f>
        <v>25907.951553749994</v>
      </c>
      <c r="Z31" s="798">
        <f t="shared" ref="Z31" si="6">Y31*(1+F31)</f>
        <v>26814.729858131243</v>
      </c>
      <c r="AA31" s="798">
        <f t="shared" ref="AA31" si="7">Z31*(1+G31)</f>
        <v>27753.245403165834</v>
      </c>
      <c r="AB31" s="798">
        <f t="shared" ref="AB31" si="8">AA31*(1+H31)</f>
        <v>28724.608992276637</v>
      </c>
      <c r="AC31" s="798">
        <f t="shared" ref="AC31" si="9">AB31*(1+I31)</f>
        <v>29729.970307006315</v>
      </c>
      <c r="AD31" s="798">
        <f t="shared" ref="AD31" si="10">AC31*(1+J31)</f>
        <v>30770.519267751533</v>
      </c>
      <c r="AE31" s="798">
        <f t="shared" ref="AE31" si="11">AD31*(1+K31)</f>
        <v>31847.487442122834</v>
      </c>
      <c r="AF31" s="798">
        <f t="shared" ref="AF31" si="12">AE31*(1+L31)</f>
        <v>32962.149502597131</v>
      </c>
    </row>
    <row r="32" spans="2:32" x14ac:dyDescent="0.3">
      <c r="B32" s="793" t="s">
        <v>1828</v>
      </c>
      <c r="C32" s="127">
        <f>INDEX('Control Panel'!$C$7:$N$25,MATCH($M32,Indicies,0),MATCH(C$2,'Control Panel'!C$6:$N$6,0))</f>
        <v>2.8840404751315222E-2</v>
      </c>
      <c r="D32" s="127">
        <f>INDEX('Control Panel'!$C$7:$N$25,MATCH($M32,Indicies,0),MATCH(D$2,'Control Panel'!D$6:$N$6,0))</f>
        <v>2.8840404751315222E-2</v>
      </c>
      <c r="E32" s="127">
        <f>INDEX('Control Panel'!$C$7:$N$25,MATCH($M32,Indicies,0),MATCH(E$2,'Control Panel'!E$6:$N$6,0))</f>
        <v>2.8840404751315222E-2</v>
      </c>
      <c r="F32" s="127">
        <f>INDEX('Control Panel'!$C$7:$N$25,MATCH($M32,Indicies,0),MATCH(F$2,'Control Panel'!F$6:$N$6,0))</f>
        <v>2.8840404751315222E-2</v>
      </c>
      <c r="G32" s="127">
        <f>INDEX('Control Panel'!$C$7:$N$25,MATCH($M32,Indicies,0),MATCH(G$2,'Control Panel'!G$6:$N$6,0))</f>
        <v>2.8840404751315222E-2</v>
      </c>
      <c r="H32" s="127">
        <f>INDEX('Control Panel'!$C$7:$N$25,MATCH($M32,Indicies,0),MATCH(H$2,'Control Panel'!H$6:$N$6,0))</f>
        <v>2.8840404751315222E-2</v>
      </c>
      <c r="I32" s="127">
        <f>INDEX('Control Panel'!$C$7:$N$25,MATCH($M32,Indicies,0),MATCH(I$2,'Control Panel'!I$6:$N$6,0))</f>
        <v>2.8840404751315222E-2</v>
      </c>
      <c r="J32" s="127">
        <f>INDEX('Control Panel'!$C$7:$N$25,MATCH($M32,Indicies,0),MATCH(J$2,'Control Panel'!J$6:$N$6,0))</f>
        <v>2.8840404751315222E-2</v>
      </c>
      <c r="K32" s="127">
        <f>INDEX('Control Panel'!$C$7:$N$25,MATCH($M32,Indicies,0),MATCH(K$2,'Control Panel'!K$6:$N$6,0))</f>
        <v>2.8840404751315222E-2</v>
      </c>
      <c r="L32" s="127">
        <f>INDEX('Control Panel'!$C$7:$N$25,MATCH($M32,Indicies,0),MATCH(L$2,'Control Panel'!L$6:$N$6,0))</f>
        <v>2.8840404751315222E-2</v>
      </c>
      <c r="M32" s="841" t="s">
        <v>8</v>
      </c>
      <c r="N32" s="798">
        <v>4326.2925634410003</v>
      </c>
      <c r="O32" s="798">
        <v>4477.7128031614347</v>
      </c>
      <c r="P32" s="798">
        <v>5793.0409390901059</v>
      </c>
      <c r="Q32" s="798">
        <v>7545.0176557039749</v>
      </c>
      <c r="R32" s="799">
        <v>7809.0932736536133</v>
      </c>
      <c r="S32" s="799">
        <v>3314.4563667880798</v>
      </c>
      <c r="T32" s="798">
        <v>3430.4623396256625</v>
      </c>
      <c r="U32" s="798">
        <v>3516</v>
      </c>
      <c r="V32" s="798">
        <v>3586.6328947159836</v>
      </c>
      <c r="W32" s="801">
        <v>4121.4599999999991</v>
      </c>
      <c r="X32" s="798">
        <f t="shared" si="3"/>
        <v>4240.3245745663553</v>
      </c>
      <c r="Y32" s="798">
        <f t="shared" si="3"/>
        <v>4362.6172515737981</v>
      </c>
      <c r="Z32" s="798">
        <f t="shared" si="3"/>
        <v>4488.4368988842571</v>
      </c>
      <c r="AA32" s="798">
        <f t="shared" si="3"/>
        <v>4617.8852357488176</v>
      </c>
      <c r="AB32" s="798">
        <f t="shared" si="3"/>
        <v>4751.0669150429367</v>
      </c>
      <c r="AC32" s="798">
        <f t="shared" si="3"/>
        <v>4888.0896078733576</v>
      </c>
      <c r="AD32" s="798">
        <f t="shared" si="3"/>
        <v>5029.0640906251238</v>
      </c>
      <c r="AE32" s="798">
        <f t="shared" si="3"/>
        <v>5174.1043345190583</v>
      </c>
      <c r="AF32" s="798">
        <f t="shared" si="3"/>
        <v>5323.3275977521225</v>
      </c>
    </row>
    <row r="33" spans="2:32" x14ac:dyDescent="0.3">
      <c r="B33" s="802"/>
      <c r="C33" s="803"/>
      <c r="N33" s="804"/>
      <c r="O33" s="804"/>
      <c r="P33" s="804"/>
      <c r="Q33" s="804"/>
      <c r="R33" s="804"/>
      <c r="S33" s="804"/>
      <c r="T33" s="804"/>
      <c r="U33" s="804"/>
      <c r="V33" s="804"/>
      <c r="W33" s="804"/>
      <c r="X33" s="804"/>
      <c r="Y33" s="804"/>
      <c r="Z33" s="804"/>
      <c r="AA33" s="804"/>
      <c r="AB33" s="804"/>
      <c r="AC33" s="804"/>
      <c r="AD33" s="804"/>
      <c r="AE33" s="804"/>
      <c r="AF33" s="804"/>
    </row>
    <row r="34" spans="2:32" x14ac:dyDescent="0.3">
      <c r="B34" s="802" t="s">
        <v>1837</v>
      </c>
      <c r="N34" s="805">
        <f>SUM(N21:N32)</f>
        <v>2535030.7403534409</v>
      </c>
      <c r="O34" s="805">
        <f t="shared" ref="O34:V34" si="13">SUM(O21:O32)</f>
        <v>2623756.8162658107</v>
      </c>
      <c r="P34" s="805">
        <f t="shared" si="13"/>
        <v>3416615.8283813926</v>
      </c>
      <c r="Q34" s="805">
        <f t="shared" si="13"/>
        <v>1789661.5176557039</v>
      </c>
      <c r="R34" s="805">
        <f t="shared" si="13"/>
        <v>1982062.9932736536</v>
      </c>
      <c r="S34" s="805">
        <f t="shared" si="13"/>
        <v>2464085.6610373734</v>
      </c>
      <c r="T34" s="805">
        <f t="shared" si="13"/>
        <v>1517338.3762390614</v>
      </c>
      <c r="U34" s="805">
        <f t="shared" si="13"/>
        <v>1607935.65</v>
      </c>
      <c r="V34" s="805">
        <f t="shared" si="13"/>
        <v>1614539.7327897158</v>
      </c>
      <c r="W34" s="805">
        <f>SUM(W21:W32)</f>
        <v>1375247.4631000003</v>
      </c>
      <c r="X34" s="805">
        <f>SUM(X21:X32)</f>
        <v>1437644.8252330667</v>
      </c>
      <c r="Y34" s="805">
        <f>SUM(Y21:Y32)</f>
        <v>1503677.5192406212</v>
      </c>
      <c r="Z34" s="805">
        <f t="shared" ref="Z34:AF34" si="14">SUM(Z21:Z32)</f>
        <v>1573618.6736866734</v>
      </c>
      <c r="AA34" s="805">
        <f>SUM(AA21:AA32)</f>
        <v>1647765.588255249</v>
      </c>
      <c r="AB34" s="805">
        <f t="shared" si="14"/>
        <v>1726442.0415726427</v>
      </c>
      <c r="AC34" s="805">
        <f t="shared" si="14"/>
        <v>1810000.8260068281</v>
      </c>
      <c r="AD34" s="805">
        <f t="shared" si="14"/>
        <v>1898826.5320091764</v>
      </c>
      <c r="AE34" s="805">
        <f t="shared" si="14"/>
        <v>1993338.6068155107</v>
      </c>
      <c r="AF34" s="805">
        <f t="shared" si="14"/>
        <v>2093994.7148004461</v>
      </c>
    </row>
    <row r="35" spans="2:32" x14ac:dyDescent="0.3">
      <c r="B35" s="802"/>
      <c r="N35" s="805"/>
      <c r="O35" s="805"/>
      <c r="P35" s="805"/>
      <c r="Q35" s="805"/>
      <c r="R35" s="805"/>
      <c r="S35" s="805"/>
      <c r="T35" s="805"/>
      <c r="U35" s="806">
        <f>(U34-T34)/T34</f>
        <v>5.9708022402686974E-2</v>
      </c>
      <c r="V35" s="807">
        <f>(V34-U34)/U34</f>
        <v>4.1071810241385251E-3</v>
      </c>
      <c r="W35" s="807">
        <f>(W34-V34)/V34</f>
        <v>-0.14821082741410729</v>
      </c>
      <c r="X35" s="807">
        <f t="shared" ref="X35:AF35" si="15">(X34-W34)/W34</f>
        <v>4.5371734038624593E-2</v>
      </c>
      <c r="Y35" s="807">
        <f t="shared" si="15"/>
        <v>4.5931159663757375E-2</v>
      </c>
      <c r="Z35" s="807">
        <f t="shared" si="15"/>
        <v>4.6513400347551546E-2</v>
      </c>
      <c r="AA35" s="807">
        <f t="shared" si="15"/>
        <v>4.7118730737265718E-2</v>
      </c>
      <c r="AB35" s="807">
        <f t="shared" si="15"/>
        <v>4.7747357924072822E-2</v>
      </c>
      <c r="AC35" s="807">
        <f t="shared" si="15"/>
        <v>4.8399414762901841E-2</v>
      </c>
      <c r="AD35" s="807">
        <f t="shared" si="15"/>
        <v>4.9074953296188856E-2</v>
      </c>
      <c r="AE35" s="807">
        <f t="shared" si="15"/>
        <v>4.9773938384107999E-2</v>
      </c>
      <c r="AF35" s="807">
        <f t="shared" si="15"/>
        <v>5.0496241652460715E-2</v>
      </c>
    </row>
    <row r="36" spans="2:32" ht="16.2" x14ac:dyDescent="0.3">
      <c r="B36" s="802"/>
      <c r="C36" s="1304" t="s">
        <v>1951</v>
      </c>
      <c r="D36" s="1304"/>
      <c r="E36" s="1304"/>
      <c r="F36" s="1304"/>
      <c r="G36" s="1304"/>
      <c r="H36" s="1304"/>
      <c r="I36" s="1304"/>
      <c r="J36" s="1304"/>
      <c r="K36" s="1304"/>
      <c r="L36" s="1304"/>
      <c r="N36" s="805"/>
      <c r="O36" s="805"/>
      <c r="P36" s="805"/>
      <c r="Q36" s="805"/>
      <c r="R36" s="805"/>
      <c r="S36" s="805"/>
      <c r="T36" s="805"/>
      <c r="U36" s="805"/>
      <c r="V36" s="805"/>
      <c r="W36" s="805"/>
      <c r="X36" s="805"/>
      <c r="Y36" s="805"/>
      <c r="Z36" s="805"/>
      <c r="AA36" s="805"/>
      <c r="AB36" s="805"/>
      <c r="AC36" s="805"/>
      <c r="AD36" s="805"/>
      <c r="AE36" s="805"/>
      <c r="AF36" s="805"/>
    </row>
    <row r="37" spans="2:32" x14ac:dyDescent="0.3">
      <c r="B37" s="802"/>
      <c r="N37" s="805"/>
      <c r="O37" s="805"/>
      <c r="P37" s="805"/>
      <c r="Q37" s="805"/>
      <c r="R37" s="805"/>
      <c r="S37" s="805"/>
      <c r="T37" s="805"/>
      <c r="U37" s="805"/>
      <c r="V37" s="805"/>
      <c r="W37" s="805"/>
      <c r="X37" s="805"/>
      <c r="Y37" s="805"/>
      <c r="Z37" s="805"/>
      <c r="AA37" s="805"/>
      <c r="AB37" s="805"/>
      <c r="AC37" s="805"/>
      <c r="AD37" s="805"/>
      <c r="AE37" s="805"/>
      <c r="AF37" s="805"/>
    </row>
    <row r="38" spans="2:32" x14ac:dyDescent="0.3">
      <c r="B38" s="796" t="s">
        <v>1831</v>
      </c>
      <c r="C38" s="808">
        <f>'O&amp;M'!S435/'O&amp;M'!S$434</f>
        <v>0.82214396455601846</v>
      </c>
      <c r="D38" s="808">
        <f>'O&amp;M'!T435/'O&amp;M'!T$434</f>
        <v>0.82417967065628395</v>
      </c>
      <c r="E38" s="808">
        <f>'O&amp;M'!U435/'O&amp;M'!U$434</f>
        <v>0.82347763738741719</v>
      </c>
      <c r="F38" s="808">
        <f>'O&amp;M'!V435/'O&amp;M'!V$434</f>
        <v>0.82275854052630049</v>
      </c>
      <c r="G38" s="808">
        <f>'O&amp;M'!W435/'O&amp;M'!W$434</f>
        <v>0.82202189881235277</v>
      </c>
      <c r="H38" s="808">
        <f>'O&amp;M'!X435/'O&amp;M'!X$434</f>
        <v>0.82082351518446006</v>
      </c>
      <c r="I38" s="808">
        <f>'O&amp;M'!Y435/'O&amp;M'!Y$434</f>
        <v>0.81960771986090408</v>
      </c>
      <c r="J38" s="808">
        <f>'O&amp;M'!Z435/'O&amp;M'!Z$434</f>
        <v>0.81837406175132754</v>
      </c>
      <c r="K38" s="808">
        <f>'O&amp;M'!AA435/'O&amp;M'!AA$434</f>
        <v>0.81712208461292979</v>
      </c>
      <c r="L38" s="808">
        <f>'O&amp;M'!AB435/'O&amp;M'!AB$434</f>
        <v>0.81585132829636564</v>
      </c>
      <c r="N38" s="805">
        <f>N$34*$C$38</f>
        <v>2084160.2231455564</v>
      </c>
      <c r="O38" s="805">
        <f t="shared" ref="O38:U38" si="16">O$34*$C$38</f>
        <v>2157105.8309556507</v>
      </c>
      <c r="P38" s="805">
        <f t="shared" si="16"/>
        <v>2808950.0825103233</v>
      </c>
      <c r="Q38" s="805">
        <f t="shared" si="16"/>
        <v>1471359.4153388012</v>
      </c>
      <c r="R38" s="805">
        <f t="shared" si="16"/>
        <v>1629541.1272897704</v>
      </c>
      <c r="S38" s="805">
        <f t="shared" si="16"/>
        <v>2025833.1543709035</v>
      </c>
      <c r="T38" s="805">
        <f t="shared" si="16"/>
        <v>1247470.5882141734</v>
      </c>
      <c r="U38" s="805">
        <f t="shared" si="16"/>
        <v>1321954.5900419585</v>
      </c>
      <c r="V38" s="805">
        <f>V$34*$C$38</f>
        <v>1327384.0968489517</v>
      </c>
      <c r="W38" s="805">
        <f>W$34*C38</f>
        <v>1130651.4015586409</v>
      </c>
      <c r="X38" s="805">
        <f t="shared" ref="X38:AF38" si="17">X$34*D38</f>
        <v>1184877.6385812997</v>
      </c>
      <c r="Y38" s="805">
        <f t="shared" si="17"/>
        <v>1238244.8109368393</v>
      </c>
      <c r="Z38" s="805">
        <f t="shared" si="17"/>
        <v>1294708.2033073802</v>
      </c>
      <c r="AA38" s="805">
        <f t="shared" si="17"/>
        <v>1354499.3976552333</v>
      </c>
      <c r="AB38" s="805">
        <f t="shared" si="17"/>
        <v>1417104.2253258924</v>
      </c>
      <c r="AC38" s="805">
        <f t="shared" si="17"/>
        <v>1483490.6499498093</v>
      </c>
      <c r="AD38" s="805">
        <f t="shared" si="17"/>
        <v>1553950.3815615368</v>
      </c>
      <c r="AE38" s="805">
        <f t="shared" si="17"/>
        <v>1628800.9977405232</v>
      </c>
      <c r="AF38" s="805">
        <f t="shared" si="17"/>
        <v>1708388.3695155133</v>
      </c>
    </row>
    <row r="39" spans="2:32" x14ac:dyDescent="0.3">
      <c r="B39" s="796" t="s">
        <v>1832</v>
      </c>
      <c r="C39" s="808">
        <f>'O&amp;M'!S436/'O&amp;M'!S$434</f>
        <v>8.2975735454860838E-2</v>
      </c>
      <c r="D39" s="808">
        <f>'O&amp;M'!T436/'O&amp;M'!T$434</f>
        <v>8.0312275358806445E-2</v>
      </c>
      <c r="E39" s="808">
        <f>'O&amp;M'!U436/'O&amp;M'!U$434</f>
        <v>8.0684444251960155E-2</v>
      </c>
      <c r="F39" s="808">
        <f>'O&amp;M'!V436/'O&amp;M'!V$434</f>
        <v>8.1065737000297691E-2</v>
      </c>
      <c r="G39" s="808">
        <f>'O&amp;M'!W436/'O&amp;M'!W$434</f>
        <v>8.1456427335410295E-2</v>
      </c>
      <c r="H39" s="808">
        <f>'O&amp;M'!X436/'O&amp;M'!X$434</f>
        <v>8.2060005861421162E-2</v>
      </c>
      <c r="I39" s="808">
        <f>'O&amp;M'!Y436/'O&amp;M'!Y$434</f>
        <v>8.267331128953162E-2</v>
      </c>
      <c r="J39" s="808">
        <f>'O&amp;M'!Z436/'O&amp;M'!Z$434</f>
        <v>8.3296616237516816E-2</v>
      </c>
      <c r="K39" s="808">
        <f>'O&amp;M'!AA436/'O&amp;M'!AA$434</f>
        <v>8.393019792396271E-2</v>
      </c>
      <c r="L39" s="808">
        <f>'O&amp;M'!AB436/'O&amp;M'!AB$434</f>
        <v>8.4574337584413184E-2</v>
      </c>
      <c r="M39" s="809"/>
      <c r="N39" s="805">
        <f t="shared" ref="N39:V39" si="18">N$34*$C$39</f>
        <v>210346.04008150712</v>
      </c>
      <c r="O39" s="805">
        <f t="shared" si="18"/>
        <v>217708.15148435984</v>
      </c>
      <c r="P39" s="805">
        <f t="shared" si="18"/>
        <v>283496.21112666465</v>
      </c>
      <c r="Q39" s="805">
        <f t="shared" si="18"/>
        <v>148498.48064274446</v>
      </c>
      <c r="R39" s="805">
        <f t="shared" si="18"/>
        <v>164463.13458474429</v>
      </c>
      <c r="S39" s="805">
        <f t="shared" si="18"/>
        <v>204459.31994835299</v>
      </c>
      <c r="T39" s="805">
        <f t="shared" si="18"/>
        <v>125902.26770232046</v>
      </c>
      <c r="U39" s="805">
        <f t="shared" si="18"/>
        <v>133419.64312283971</v>
      </c>
      <c r="V39" s="805">
        <f t="shared" si="18"/>
        <v>133967.62174932117</v>
      </c>
      <c r="W39" s="805">
        <f>W$34*C39</f>
        <v>114112.16968315412</v>
      </c>
      <c r="X39" s="805">
        <f t="shared" ref="X39:AF39" si="19">X$34*D39</f>
        <v>115460.52707228123</v>
      </c>
      <c r="Y39" s="805">
        <f t="shared" si="19"/>
        <v>121323.38497409565</v>
      </c>
      <c r="Z39" s="805">
        <f t="shared" si="19"/>
        <v>127566.55753984115</v>
      </c>
      <c r="AA39" s="805">
        <f t="shared" si="19"/>
        <v>134221.09790550329</v>
      </c>
      <c r="AB39" s="805">
        <f t="shared" si="19"/>
        <v>141671.84405085497</v>
      </c>
      <c r="AC39" s="805">
        <f t="shared" si="19"/>
        <v>149638.76172277186</v>
      </c>
      <c r="AD39" s="805">
        <f t="shared" si="19"/>
        <v>158165.8249383833</v>
      </c>
      <c r="AE39" s="805">
        <f t="shared" si="19"/>
        <v>167301.30379950188</v>
      </c>
      <c r="AF39" s="805">
        <f t="shared" si="19"/>
        <v>177098.21590950992</v>
      </c>
    </row>
    <row r="40" spans="2:32" x14ac:dyDescent="0.3">
      <c r="B40" s="796" t="s">
        <v>1833</v>
      </c>
      <c r="C40" s="808">
        <f>'O&amp;M'!S437/'O&amp;M'!S$434</f>
        <v>9.4880299989120759E-2</v>
      </c>
      <c r="D40" s="808">
        <f>'O&amp;M'!T437/'O&amp;M'!T$434</f>
        <v>9.5508053984909635E-2</v>
      </c>
      <c r="E40" s="808">
        <f>'O&amp;M'!U437/'O&amp;M'!U$434</f>
        <v>9.5837918360622776E-2</v>
      </c>
      <c r="F40" s="808">
        <f>'O&amp;M'!V437/'O&amp;M'!V$434</f>
        <v>9.6175722473401892E-2</v>
      </c>
      <c r="G40" s="808">
        <f>'O&amp;M'!W437/'O&amp;M'!W$434</f>
        <v>9.6521673852236756E-2</v>
      </c>
      <c r="H40" s="808">
        <f>'O&amp;M'!X437/'O&amp;M'!X$434</f>
        <v>9.7116478954118804E-2</v>
      </c>
      <c r="I40" s="808">
        <f>'O&amp;M'!Y437/'O&amp;M'!Y$434</f>
        <v>9.7718968849564283E-2</v>
      </c>
      <c r="J40" s="808">
        <f>'O&amp;M'!Z437/'O&amp;M'!Z$434</f>
        <v>9.8329322011155587E-2</v>
      </c>
      <c r="K40" s="808">
        <f>'O&amp;M'!AA437/'O&amp;M'!AA$434</f>
        <v>9.8947717463107557E-2</v>
      </c>
      <c r="L40" s="808">
        <f>'O&amp;M'!AB437/'O&amp;M'!AB$434</f>
        <v>9.9574334119221244E-2</v>
      </c>
      <c r="M40" s="809"/>
      <c r="N40" s="805">
        <f t="shared" ref="N40:V40" si="20">N$34*$C$40</f>
        <v>240524.47712637737</v>
      </c>
      <c r="O40" s="805">
        <f t="shared" si="20"/>
        <v>248942.83382580051</v>
      </c>
      <c r="P40" s="805">
        <f t="shared" si="20"/>
        <v>324169.53474440484</v>
      </c>
      <c r="Q40" s="805">
        <f t="shared" si="20"/>
        <v>169803.62167415832</v>
      </c>
      <c r="R40" s="805">
        <f t="shared" si="20"/>
        <v>188058.73139913889</v>
      </c>
      <c r="S40" s="805">
        <f t="shared" si="20"/>
        <v>233793.18671811692</v>
      </c>
      <c r="T40" s="805">
        <f t="shared" si="20"/>
        <v>143965.52032256752</v>
      </c>
      <c r="U40" s="805">
        <f t="shared" si="20"/>
        <v>152561.41683520188</v>
      </c>
      <c r="V40" s="805">
        <f t="shared" si="20"/>
        <v>153188.0141914431</v>
      </c>
      <c r="W40" s="805">
        <f>W$34*C40</f>
        <v>130483.8918582053</v>
      </c>
      <c r="X40" s="805">
        <f t="shared" ref="X40:AF40" si="21">X$34*D40</f>
        <v>137306.65957948571</v>
      </c>
      <c r="Y40" s="805">
        <f t="shared" si="21"/>
        <v>144109.32332968645</v>
      </c>
      <c r="Z40" s="805">
        <f t="shared" si="21"/>
        <v>151343.91283945227</v>
      </c>
      <c r="AA40" s="805">
        <f t="shared" si="21"/>
        <v>159045.09269451219</v>
      </c>
      <c r="AB40" s="805">
        <f t="shared" si="21"/>
        <v>167665.97219589545</v>
      </c>
      <c r="AC40" s="805">
        <f t="shared" si="21"/>
        <v>176871.41433424686</v>
      </c>
      <c r="AD40" s="805">
        <f t="shared" si="21"/>
        <v>186710.32550925613</v>
      </c>
      <c r="AE40" s="805">
        <f t="shared" si="21"/>
        <v>197236.30527548559</v>
      </c>
      <c r="AF40" s="805">
        <f t="shared" si="21"/>
        <v>208508.12937542301</v>
      </c>
    </row>
    <row r="41" spans="2:32" x14ac:dyDescent="0.3">
      <c r="B41" s="796"/>
      <c r="C41" s="809"/>
      <c r="D41" s="809"/>
      <c r="E41" s="809"/>
      <c r="F41" s="809"/>
      <c r="G41" s="809"/>
      <c r="H41" s="809"/>
      <c r="I41" s="809"/>
      <c r="J41" s="809"/>
      <c r="K41" s="809"/>
      <c r="L41" s="809"/>
      <c r="M41" s="809"/>
      <c r="N41" s="791"/>
      <c r="O41" s="791"/>
      <c r="P41" s="791"/>
      <c r="Q41" s="791"/>
      <c r="R41" s="791"/>
      <c r="S41" s="791"/>
      <c r="T41" s="791"/>
      <c r="U41" s="791"/>
      <c r="V41" s="791"/>
      <c r="W41" s="791"/>
      <c r="X41" s="791"/>
    </row>
    <row r="42" spans="2:32" x14ac:dyDescent="0.3">
      <c r="B42" s="796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 t="s">
        <v>1485</v>
      </c>
      <c r="N42" s="811">
        <f t="shared" ref="N42:S42" si="22">SUM(N38:N40)</f>
        <v>2535030.7403534409</v>
      </c>
      <c r="O42" s="811">
        <f t="shared" si="22"/>
        <v>2623756.8162658112</v>
      </c>
      <c r="P42" s="811">
        <f t="shared" si="22"/>
        <v>3416615.8283813926</v>
      </c>
      <c r="Q42" s="811">
        <f t="shared" si="22"/>
        <v>1789661.5176557039</v>
      </c>
      <c r="R42" s="811">
        <f t="shared" si="22"/>
        <v>1982062.9932736536</v>
      </c>
      <c r="S42" s="811">
        <f t="shared" si="22"/>
        <v>2464085.6610373734</v>
      </c>
      <c r="T42" s="811" t="b">
        <f>(SUM(T38:T40))=T34</f>
        <v>1</v>
      </c>
      <c r="U42" s="811" t="b">
        <f t="shared" ref="U42:AF42" si="23">(SUM(U38:U40))=U34</f>
        <v>1</v>
      </c>
      <c r="V42" s="811" t="b">
        <f t="shared" si="23"/>
        <v>1</v>
      </c>
      <c r="W42" s="811" t="b">
        <f t="shared" si="23"/>
        <v>1</v>
      </c>
      <c r="X42" s="811" t="b">
        <f t="shared" si="23"/>
        <v>1</v>
      </c>
      <c r="Y42" s="811" t="b">
        <f t="shared" si="23"/>
        <v>1</v>
      </c>
      <c r="Z42" s="811" t="b">
        <f t="shared" si="23"/>
        <v>1</v>
      </c>
      <c r="AA42" s="811" t="b">
        <f t="shared" si="23"/>
        <v>1</v>
      </c>
      <c r="AB42" s="811" t="b">
        <f t="shared" si="23"/>
        <v>1</v>
      </c>
      <c r="AC42" s="811" t="b">
        <f t="shared" si="23"/>
        <v>1</v>
      </c>
      <c r="AD42" s="811" t="b">
        <f t="shared" si="23"/>
        <v>1</v>
      </c>
      <c r="AE42" s="811" t="b">
        <f t="shared" si="23"/>
        <v>1</v>
      </c>
      <c r="AF42" s="811" t="b">
        <f t="shared" si="23"/>
        <v>1</v>
      </c>
    </row>
    <row r="43" spans="2:32" x14ac:dyDescent="0.3">
      <c r="B43" s="793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791"/>
      <c r="O43" s="791"/>
      <c r="P43" s="791"/>
      <c r="Q43" s="791"/>
      <c r="R43" s="791"/>
      <c r="S43" s="791"/>
      <c r="T43" s="791"/>
      <c r="U43" s="791"/>
      <c r="V43" s="791"/>
      <c r="W43" s="791"/>
      <c r="X43" s="791"/>
    </row>
    <row r="44" spans="2:32" x14ac:dyDescent="0.3">
      <c r="B44" s="796" t="s">
        <v>1834</v>
      </c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791"/>
      <c r="O44" s="791"/>
      <c r="P44" s="791"/>
      <c r="Q44" s="791"/>
      <c r="R44" s="791"/>
      <c r="S44" s="791"/>
      <c r="T44" s="791"/>
      <c r="U44" s="791"/>
      <c r="V44" s="791"/>
      <c r="W44" s="791"/>
      <c r="X44" s="791"/>
    </row>
    <row r="45" spans="2:32" x14ac:dyDescent="0.3">
      <c r="B45" s="796" t="s">
        <v>1835</v>
      </c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</row>
    <row r="46" spans="2:32" x14ac:dyDescent="0.3">
      <c r="B46" s="796" t="s">
        <v>1836</v>
      </c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</row>
    <row r="47" spans="2:32" x14ac:dyDescent="0.3">
      <c r="C47" s="812"/>
      <c r="D47" s="812"/>
      <c r="E47" s="812"/>
      <c r="F47" s="812"/>
      <c r="G47" s="812"/>
      <c r="H47" s="812"/>
      <c r="I47" s="812"/>
      <c r="J47" s="812"/>
      <c r="K47" s="812"/>
      <c r="L47" s="812"/>
      <c r="M47" s="812"/>
    </row>
    <row r="48" spans="2:32" x14ac:dyDescent="0.3">
      <c r="C48" s="809">
        <f t="shared" ref="C48:L48" si="24">SUM(C38:C40)</f>
        <v>1</v>
      </c>
      <c r="D48" s="809">
        <f t="shared" si="24"/>
        <v>1</v>
      </c>
      <c r="E48" s="809">
        <f t="shared" si="24"/>
        <v>1.0000000000000002</v>
      </c>
      <c r="F48" s="809">
        <f t="shared" si="24"/>
        <v>1</v>
      </c>
      <c r="G48" s="809">
        <f t="shared" si="24"/>
        <v>0.99999999999999978</v>
      </c>
      <c r="H48" s="809">
        <f t="shared" si="24"/>
        <v>1</v>
      </c>
      <c r="I48" s="809">
        <f t="shared" si="24"/>
        <v>1</v>
      </c>
      <c r="J48" s="809">
        <f t="shared" si="24"/>
        <v>1</v>
      </c>
      <c r="K48" s="809">
        <f t="shared" si="24"/>
        <v>1</v>
      </c>
      <c r="L48" s="809">
        <f t="shared" si="24"/>
        <v>1</v>
      </c>
      <c r="M48" s="809"/>
    </row>
    <row r="49" spans="3:13" x14ac:dyDescent="0.3">
      <c r="C49" s="809"/>
      <c r="D49" s="809"/>
      <c r="E49" s="809"/>
      <c r="F49" s="809"/>
      <c r="G49" s="809"/>
      <c r="H49" s="809"/>
      <c r="I49" s="809"/>
      <c r="J49" s="809"/>
      <c r="K49" s="809"/>
      <c r="L49" s="809"/>
      <c r="M49" s="809"/>
    </row>
    <row r="50" spans="3:13" x14ac:dyDescent="0.3">
      <c r="C50" s="809"/>
      <c r="D50" s="809"/>
      <c r="E50" s="809"/>
      <c r="F50" s="809"/>
      <c r="G50" s="809"/>
      <c r="H50" s="809"/>
      <c r="I50" s="809"/>
      <c r="J50" s="809"/>
      <c r="K50" s="809"/>
      <c r="L50" s="809"/>
      <c r="M50" s="809"/>
    </row>
    <row r="51" spans="3:13" x14ac:dyDescent="0.3">
      <c r="C51" s="809"/>
      <c r="D51" s="809"/>
      <c r="E51" s="809"/>
      <c r="F51" s="809"/>
      <c r="G51" s="809"/>
      <c r="H51" s="809"/>
      <c r="I51" s="809"/>
      <c r="J51" s="809"/>
      <c r="K51" s="809"/>
      <c r="L51" s="809"/>
      <c r="M51" s="809"/>
    </row>
    <row r="52" spans="3:13" x14ac:dyDescent="0.3">
      <c r="C52" s="809"/>
      <c r="D52" s="809"/>
      <c r="E52" s="809"/>
      <c r="F52" s="809"/>
      <c r="G52" s="809"/>
      <c r="H52" s="809"/>
      <c r="I52" s="809"/>
      <c r="J52" s="809"/>
      <c r="K52" s="809"/>
      <c r="L52" s="809"/>
      <c r="M52" s="809"/>
    </row>
    <row r="53" spans="3:13" x14ac:dyDescent="0.3">
      <c r="C53" s="809"/>
      <c r="D53" s="809"/>
      <c r="E53" s="809"/>
      <c r="F53" s="809"/>
      <c r="G53" s="809"/>
      <c r="H53" s="809"/>
      <c r="I53" s="809"/>
      <c r="J53" s="809"/>
      <c r="K53" s="809"/>
      <c r="L53" s="809"/>
      <c r="M53" s="809"/>
    </row>
  </sheetData>
  <mergeCells count="3">
    <mergeCell ref="C5:L5"/>
    <mergeCell ref="C19:L19"/>
    <mergeCell ref="C36:L36"/>
  </mergeCells>
  <conditionalFormatting sqref="T42:AF42">
    <cfRule type="cellIs" dxfId="145" priority="1" operator="equal">
      <formula>FALSE</formula>
    </cfRule>
    <cfRule type="cellIs" dxfId="144" priority="2" operator="equal">
      <formula>TRUE</formula>
    </cfRule>
  </conditionalFormatting>
  <dataValidations count="1">
    <dataValidation type="list" allowBlank="1" showInputMessage="1" showErrorMessage="1" sqref="M12 M26 M6:M10 M28:M32">
      <formula1>Indicies</formula1>
    </dataValidation>
  </dataValidations>
  <hyperlinks>
    <hyperlink ref="A1" location="Index!A1" display="Index!A1"/>
  </hyperlinks>
  <pageMargins left="0.25" right="0.25" top="0.75" bottom="0.25" header="0.3" footer="0.3"/>
  <pageSetup scale="41" fitToHeight="0" orientation="landscape" r:id="rId1"/>
  <headerFooter alignWithMargins="0">
    <oddHeader>&amp;C&amp;12Village of Orland Park Water and Sewer Rate Study</oddHeader>
    <oddFooter>Page &amp;P of &amp;N</oddFooter>
  </headerFooter>
  <ignoredErrors>
    <ignoredError sqref="C6:L10 C12:L12 C18:L20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0" zoomScaleNormal="80" workbookViewId="0">
      <selection activeCell="F28" sqref="F28"/>
    </sheetView>
  </sheetViews>
  <sheetFormatPr defaultRowHeight="15.6" x14ac:dyDescent="0.3"/>
  <cols>
    <col min="1" max="1" width="8.69921875" bestFit="1" customWidth="1"/>
    <col min="2" max="2" width="12.5" bestFit="1" customWidth="1"/>
    <col min="3" max="3" width="33.8984375" bestFit="1" customWidth="1"/>
    <col min="4" max="4" width="1.09765625" customWidth="1"/>
    <col min="5" max="5" width="5.19921875" bestFit="1" customWidth="1"/>
    <col min="6" max="6" width="9.5" bestFit="1" customWidth="1"/>
    <col min="7" max="7" width="1.19921875" customWidth="1"/>
    <col min="8" max="8" width="43.8984375" customWidth="1"/>
    <col min="10" max="10" width="5.09765625" bestFit="1" customWidth="1"/>
    <col min="11" max="11" width="9.5" bestFit="1" customWidth="1"/>
  </cols>
  <sheetData>
    <row r="1" spans="1:8" x14ac:dyDescent="0.3">
      <c r="A1" s="1305" t="s">
        <v>2036</v>
      </c>
      <c r="B1" s="1305"/>
      <c r="C1" s="916" t="s">
        <v>1776</v>
      </c>
      <c r="D1" s="833"/>
      <c r="E1" s="1306">
        <v>2016</v>
      </c>
      <c r="F1" s="1306"/>
      <c r="G1" s="916"/>
      <c r="H1" s="975" t="s">
        <v>2179</v>
      </c>
    </row>
    <row r="2" spans="1:8" x14ac:dyDescent="0.3">
      <c r="A2" s="928" t="s">
        <v>2037</v>
      </c>
      <c r="B2" s="928" t="s">
        <v>2038</v>
      </c>
      <c r="C2" s="917" t="s">
        <v>2039</v>
      </c>
      <c r="D2" s="918"/>
      <c r="E2" s="919">
        <v>0.3</v>
      </c>
      <c r="F2" s="920">
        <f>'[1]5002'!$AS$7*E2</f>
        <v>49011.299999999996</v>
      </c>
      <c r="G2" s="918"/>
      <c r="H2" t="s">
        <v>2180</v>
      </c>
    </row>
    <row r="3" spans="1:8" x14ac:dyDescent="0.3">
      <c r="A3" s="928"/>
      <c r="B3" s="928" t="s">
        <v>2040</v>
      </c>
      <c r="C3" s="917" t="s">
        <v>2041</v>
      </c>
      <c r="D3" s="918"/>
      <c r="E3" s="919">
        <v>0.25</v>
      </c>
      <c r="F3" s="921">
        <f>'[1]5002'!$AS$8*E3</f>
        <v>33023</v>
      </c>
      <c r="G3" s="918"/>
      <c r="H3" t="s">
        <v>2180</v>
      </c>
    </row>
    <row r="4" spans="1:8" x14ac:dyDescent="0.3">
      <c r="A4" s="928" t="s">
        <v>2173</v>
      </c>
      <c r="B4" s="928" t="s">
        <v>2174</v>
      </c>
      <c r="C4" s="917" t="s">
        <v>2175</v>
      </c>
      <c r="D4" s="918"/>
      <c r="E4" s="919">
        <v>0.05</v>
      </c>
      <c r="F4" s="921">
        <f>'[1]5002'!$AS10*E4</f>
        <v>5739.8</v>
      </c>
      <c r="G4" s="918"/>
    </row>
    <row r="5" spans="1:8" x14ac:dyDescent="0.3">
      <c r="A5" s="928" t="s">
        <v>2042</v>
      </c>
      <c r="B5" s="928" t="s">
        <v>2043</v>
      </c>
      <c r="C5" s="917" t="s">
        <v>2044</v>
      </c>
      <c r="D5" s="918"/>
      <c r="E5" s="919">
        <v>0.05</v>
      </c>
      <c r="F5" s="921">
        <f>'[1]5002'!$AS11*E5</f>
        <v>5221.1000000000004</v>
      </c>
      <c r="G5" s="918"/>
      <c r="H5" t="s">
        <v>2198</v>
      </c>
    </row>
    <row r="6" spans="1:8" x14ac:dyDescent="0.3">
      <c r="A6" s="928" t="s">
        <v>2045</v>
      </c>
      <c r="B6" s="928" t="s">
        <v>2046</v>
      </c>
      <c r="C6" s="917" t="s">
        <v>2047</v>
      </c>
      <c r="D6" s="918"/>
      <c r="E6" s="919">
        <v>0.05</v>
      </c>
      <c r="F6" s="921">
        <f>'[1]5002'!$AS12*E6</f>
        <v>5782.6</v>
      </c>
      <c r="G6" s="918"/>
      <c r="H6" t="s">
        <v>2199</v>
      </c>
    </row>
    <row r="7" spans="1:8" x14ac:dyDescent="0.3">
      <c r="A7" s="928" t="s">
        <v>2048</v>
      </c>
      <c r="B7" s="928" t="s">
        <v>2049</v>
      </c>
      <c r="C7" s="917" t="s">
        <v>2044</v>
      </c>
      <c r="D7" s="918"/>
      <c r="E7" s="919">
        <v>0.05</v>
      </c>
      <c r="F7" s="921">
        <f>'[1]5002'!$AS13*E7</f>
        <v>5293</v>
      </c>
      <c r="G7" s="918"/>
      <c r="H7" t="s">
        <v>2198</v>
      </c>
    </row>
    <row r="8" spans="1:8" x14ac:dyDescent="0.3">
      <c r="A8" s="928" t="s">
        <v>2050</v>
      </c>
      <c r="B8" s="928" t="s">
        <v>2051</v>
      </c>
      <c r="C8" s="917" t="s">
        <v>2052</v>
      </c>
      <c r="D8" s="918"/>
      <c r="E8" s="919">
        <v>0.5</v>
      </c>
      <c r="F8" s="921">
        <f>'[1]5002'!$AS14*E8</f>
        <v>53274.5</v>
      </c>
      <c r="G8" s="918"/>
      <c r="H8" t="s">
        <v>2200</v>
      </c>
    </row>
    <row r="9" spans="1:8" x14ac:dyDescent="0.3">
      <c r="A9" s="928" t="s">
        <v>2048</v>
      </c>
      <c r="B9" s="928" t="s">
        <v>2054</v>
      </c>
      <c r="C9" s="917" t="s">
        <v>2052</v>
      </c>
      <c r="D9" s="918"/>
      <c r="E9" s="919">
        <v>0.4</v>
      </c>
      <c r="F9" s="921">
        <f>'[1]5002'!$AS15*E9</f>
        <v>35146.400000000001</v>
      </c>
      <c r="G9" s="918"/>
      <c r="H9" t="s">
        <v>2201</v>
      </c>
    </row>
    <row r="10" spans="1:8" x14ac:dyDescent="0.3">
      <c r="A10" s="928" t="s">
        <v>2055</v>
      </c>
      <c r="B10" s="928" t="s">
        <v>2056</v>
      </c>
      <c r="C10" s="917" t="s">
        <v>2044</v>
      </c>
      <c r="D10" s="918"/>
      <c r="E10" s="919">
        <v>0.3</v>
      </c>
      <c r="F10" s="921">
        <f>'[1]5002'!$AS16*E10</f>
        <v>30525.899999999998</v>
      </c>
      <c r="G10" s="918"/>
      <c r="H10" t="s">
        <v>2202</v>
      </c>
    </row>
    <row r="11" spans="1:8" x14ac:dyDescent="0.3">
      <c r="A11" s="928" t="s">
        <v>2177</v>
      </c>
      <c r="B11" s="928" t="s">
        <v>2178</v>
      </c>
      <c r="C11" s="917" t="s">
        <v>2053</v>
      </c>
      <c r="D11" s="918"/>
      <c r="E11" s="919">
        <v>0.4</v>
      </c>
      <c r="F11" s="921">
        <f>'[1]5002'!$AS17*E11</f>
        <v>37069.200000000004</v>
      </c>
      <c r="G11" s="918"/>
      <c r="H11" t="s">
        <v>2201</v>
      </c>
    </row>
    <row r="12" spans="1:8" x14ac:dyDescent="0.3">
      <c r="A12" s="928" t="s">
        <v>2057</v>
      </c>
      <c r="B12" s="928" t="s">
        <v>2058</v>
      </c>
      <c r="C12" s="917" t="s">
        <v>2052</v>
      </c>
      <c r="D12" s="918"/>
      <c r="E12" s="919">
        <v>0.05</v>
      </c>
      <c r="F12" s="921">
        <f>'[1]5002'!$AS18*E12</f>
        <v>3957.65</v>
      </c>
      <c r="G12" s="918"/>
      <c r="H12" t="s">
        <v>2198</v>
      </c>
    </row>
    <row r="13" spans="1:8" x14ac:dyDescent="0.3">
      <c r="A13" s="928" t="s">
        <v>2059</v>
      </c>
      <c r="B13" s="928" t="s">
        <v>2060</v>
      </c>
      <c r="C13" s="917" t="s">
        <v>2044</v>
      </c>
      <c r="D13" s="918"/>
      <c r="E13" s="919">
        <v>0.05</v>
      </c>
      <c r="F13" s="921">
        <f>'[1]5002'!$AS19*E13</f>
        <v>5184.8</v>
      </c>
      <c r="G13" s="918"/>
      <c r="H13" t="s">
        <v>2198</v>
      </c>
    </row>
    <row r="14" spans="1:8" x14ac:dyDescent="0.3">
      <c r="A14" s="928" t="s">
        <v>2048</v>
      </c>
      <c r="B14" s="928" t="s">
        <v>2061</v>
      </c>
      <c r="C14" s="917" t="s">
        <v>2052</v>
      </c>
      <c r="D14" s="918"/>
      <c r="E14" s="919">
        <v>0.3</v>
      </c>
      <c r="F14" s="921">
        <f>'[1]5002'!$AS20*E14</f>
        <v>30093</v>
      </c>
      <c r="G14" s="918"/>
      <c r="H14" t="s">
        <v>2203</v>
      </c>
    </row>
    <row r="15" spans="1:8" x14ac:dyDescent="0.3">
      <c r="A15" s="928" t="s">
        <v>2055</v>
      </c>
      <c r="B15" s="928" t="s">
        <v>2062</v>
      </c>
      <c r="C15" s="917" t="s">
        <v>2047</v>
      </c>
      <c r="D15" s="918"/>
      <c r="E15" s="919">
        <v>0.6</v>
      </c>
      <c r="F15" s="921">
        <f>'[1]5002'!$AS21*E15</f>
        <v>67801.2</v>
      </c>
      <c r="G15" s="918"/>
      <c r="H15" t="s">
        <v>2204</v>
      </c>
    </row>
    <row r="16" spans="1:8" x14ac:dyDescent="0.3">
      <c r="A16" s="928" t="s">
        <v>2063</v>
      </c>
      <c r="B16" s="928" t="s">
        <v>2064</v>
      </c>
      <c r="C16" s="917" t="s">
        <v>2065</v>
      </c>
      <c r="D16" s="918"/>
      <c r="E16" s="919">
        <v>0.2</v>
      </c>
      <c r="F16" s="921">
        <f>'[1]5002'!$AS22*E16</f>
        <v>26826.2</v>
      </c>
      <c r="G16" s="918"/>
      <c r="H16" t="s">
        <v>2205</v>
      </c>
    </row>
    <row r="17" spans="1:8" x14ac:dyDescent="0.3">
      <c r="A17" s="928" t="s">
        <v>2066</v>
      </c>
      <c r="B17" s="928" t="s">
        <v>2067</v>
      </c>
      <c r="C17" s="917" t="s">
        <v>2044</v>
      </c>
      <c r="D17" s="918"/>
      <c r="E17" s="919">
        <v>0.6</v>
      </c>
      <c r="F17" s="921">
        <f>'[1]5002'!$AS23*E17</f>
        <v>63808.2</v>
      </c>
      <c r="G17" s="918"/>
      <c r="H17" t="s">
        <v>2206</v>
      </c>
    </row>
    <row r="18" spans="1:8" x14ac:dyDescent="0.3">
      <c r="A18" s="928" t="s">
        <v>2068</v>
      </c>
      <c r="B18" s="928" t="s">
        <v>2069</v>
      </c>
      <c r="C18" s="917" t="s">
        <v>2044</v>
      </c>
      <c r="D18" s="918"/>
      <c r="E18" s="919">
        <v>0.4</v>
      </c>
      <c r="F18" s="921">
        <f>'[1]5002'!$AS24*E18</f>
        <v>43258.8</v>
      </c>
      <c r="G18" s="918"/>
      <c r="H18" t="s">
        <v>2201</v>
      </c>
    </row>
    <row r="19" spans="1:8" x14ac:dyDescent="0.3">
      <c r="A19" s="928" t="s">
        <v>2070</v>
      </c>
      <c r="B19" s="928" t="s">
        <v>2071</v>
      </c>
      <c r="C19" s="917" t="s">
        <v>2047</v>
      </c>
      <c r="D19" s="918"/>
      <c r="E19" s="919">
        <v>0.05</v>
      </c>
      <c r="F19" s="921">
        <f>'[1]5002'!$AS25*E19</f>
        <v>5782.6</v>
      </c>
      <c r="G19" s="918"/>
      <c r="H19" t="s">
        <v>2207</v>
      </c>
    </row>
    <row r="20" spans="1:8" x14ac:dyDescent="0.3">
      <c r="A20" s="928" t="s">
        <v>2072</v>
      </c>
      <c r="B20" s="928" t="s">
        <v>2073</v>
      </c>
      <c r="C20" s="917" t="s">
        <v>2047</v>
      </c>
      <c r="D20" s="918"/>
      <c r="E20" s="919">
        <v>0.15</v>
      </c>
      <c r="F20" s="921">
        <f>'[1]5002'!$AS26*E20</f>
        <v>16950.3</v>
      </c>
      <c r="G20" s="918"/>
      <c r="H20" t="s">
        <v>2208</v>
      </c>
    </row>
    <row r="21" spans="1:8" x14ac:dyDescent="0.3">
      <c r="A21" s="928" t="s">
        <v>2074</v>
      </c>
      <c r="B21" s="928" t="s">
        <v>2075</v>
      </c>
      <c r="C21" s="917" t="s">
        <v>2044</v>
      </c>
      <c r="D21" s="918"/>
      <c r="E21" s="919">
        <v>0.2</v>
      </c>
      <c r="F21" s="921">
        <f>'[1]5002'!$AS27*E21</f>
        <v>21710.2</v>
      </c>
      <c r="G21" s="918"/>
      <c r="H21" t="s">
        <v>2209</v>
      </c>
    </row>
    <row r="22" spans="1:8" x14ac:dyDescent="0.3">
      <c r="A22" s="928" t="s">
        <v>2076</v>
      </c>
      <c r="B22" s="928" t="s">
        <v>2077</v>
      </c>
      <c r="C22" s="917" t="s">
        <v>2052</v>
      </c>
      <c r="D22" s="918"/>
      <c r="E22" s="919">
        <v>0.2</v>
      </c>
      <c r="F22" s="921">
        <f>'[1]5002'!$AS28*E22</f>
        <v>17905</v>
      </c>
      <c r="G22" s="918"/>
      <c r="H22" t="s">
        <v>2210</v>
      </c>
    </row>
    <row r="23" spans="1:8" x14ac:dyDescent="0.3">
      <c r="A23" s="928" t="s">
        <v>2079</v>
      </c>
      <c r="B23" s="928" t="s">
        <v>2080</v>
      </c>
      <c r="C23" s="917" t="s">
        <v>2183</v>
      </c>
      <c r="D23" s="918"/>
      <c r="E23" s="919">
        <v>0.2</v>
      </c>
      <c r="F23" s="921">
        <f>'[1]5002'!$AS29*E23</f>
        <v>13560.400000000001</v>
      </c>
      <c r="G23" s="918"/>
      <c r="H23" t="s">
        <v>2211</v>
      </c>
    </row>
    <row r="24" spans="1:8" x14ac:dyDescent="0.3">
      <c r="A24" s="928" t="s">
        <v>2181</v>
      </c>
      <c r="B24" s="928" t="s">
        <v>2182</v>
      </c>
      <c r="C24" s="917" t="s">
        <v>2183</v>
      </c>
      <c r="D24" s="918"/>
      <c r="E24" s="919">
        <v>0.2</v>
      </c>
      <c r="F24" s="921">
        <f>'[1]5006'!$AS$10*E24</f>
        <v>12990.400000000001</v>
      </c>
      <c r="G24" s="918"/>
      <c r="H24" s="922" t="s">
        <v>2212</v>
      </c>
    </row>
    <row r="25" spans="1:8" x14ac:dyDescent="0.3">
      <c r="A25" s="929"/>
      <c r="B25" s="928" t="s">
        <v>2081</v>
      </c>
      <c r="C25" s="917" t="s">
        <v>2136</v>
      </c>
      <c r="D25" s="918"/>
      <c r="E25" s="919">
        <v>0.22</v>
      </c>
      <c r="F25" s="921">
        <f>SUM('[1]5002'!$AS$32:$AS$40)*E25</f>
        <v>9681.32</v>
      </c>
      <c r="G25" s="918"/>
      <c r="H25" s="922" t="s">
        <v>2213</v>
      </c>
    </row>
    <row r="26" spans="1:8" x14ac:dyDescent="0.3">
      <c r="A26" s="929" t="s">
        <v>2037</v>
      </c>
      <c r="B26" s="928" t="s">
        <v>2184</v>
      </c>
      <c r="C26" s="981" t="s">
        <v>2185</v>
      </c>
      <c r="D26" s="918"/>
      <c r="E26" s="919">
        <v>0.2</v>
      </c>
      <c r="F26" s="921">
        <f>'[1]5006'!$AS$7*E26</f>
        <v>29442.400000000001</v>
      </c>
      <c r="G26" s="918"/>
      <c r="H26" t="s">
        <v>2214</v>
      </c>
    </row>
    <row r="27" spans="1:8" x14ac:dyDescent="0.3">
      <c r="A27" s="929" t="s">
        <v>2186</v>
      </c>
      <c r="B27" s="928" t="s">
        <v>2187</v>
      </c>
      <c r="C27" s="981" t="s">
        <v>2053</v>
      </c>
      <c r="D27" s="918"/>
      <c r="E27" s="919">
        <v>0.05</v>
      </c>
      <c r="F27" s="921">
        <f>'[1]5006'!$AS$9*E27</f>
        <v>3594.6000000000004</v>
      </c>
      <c r="G27" s="918"/>
      <c r="H27" t="s">
        <v>2198</v>
      </c>
    </row>
    <row r="28" spans="1:8" x14ac:dyDescent="0.3">
      <c r="A28" s="929" t="s">
        <v>2188</v>
      </c>
      <c r="B28" s="928" t="s">
        <v>2189</v>
      </c>
      <c r="C28" s="981" t="s">
        <v>2190</v>
      </c>
      <c r="D28" s="918"/>
      <c r="E28" s="919">
        <v>0.1</v>
      </c>
      <c r="F28" s="921">
        <f>'[1]5006'!$AS$11*E28</f>
        <v>12498.400000000001</v>
      </c>
      <c r="G28" s="918"/>
      <c r="H28" s="922" t="s">
        <v>2215</v>
      </c>
    </row>
    <row r="29" spans="1:8" x14ac:dyDescent="0.3">
      <c r="A29" s="929" t="s">
        <v>2191</v>
      </c>
      <c r="B29" s="928" t="s">
        <v>2192</v>
      </c>
      <c r="C29" s="981" t="s">
        <v>2190</v>
      </c>
      <c r="D29" s="918"/>
      <c r="E29" s="919">
        <v>0.1</v>
      </c>
      <c r="F29" s="921">
        <f>'[1]5006'!$AS$12*E29</f>
        <v>10433.1</v>
      </c>
      <c r="G29" s="918"/>
      <c r="H29" s="922" t="s">
        <v>2215</v>
      </c>
    </row>
    <row r="30" spans="1:8" x14ac:dyDescent="0.3">
      <c r="A30" s="929" t="s">
        <v>2193</v>
      </c>
      <c r="B30" s="928" t="s">
        <v>2194</v>
      </c>
      <c r="C30" s="981" t="s">
        <v>2190</v>
      </c>
      <c r="D30" s="918"/>
      <c r="E30" s="919">
        <v>0.05</v>
      </c>
      <c r="F30" s="921">
        <f>'[1]5006'!$AS$14*E30</f>
        <v>5758.9500000000007</v>
      </c>
      <c r="G30" s="918"/>
      <c r="H30" s="922" t="s">
        <v>2215</v>
      </c>
    </row>
    <row r="31" spans="1:8" x14ac:dyDescent="0.3">
      <c r="A31" s="929" t="s">
        <v>2195</v>
      </c>
      <c r="B31" s="928" t="s">
        <v>2196</v>
      </c>
      <c r="C31" s="981" t="s">
        <v>2197</v>
      </c>
      <c r="D31" s="918"/>
      <c r="E31" s="919">
        <v>0.05</v>
      </c>
      <c r="F31" s="921">
        <f>'[1]5006'!$AS$13*E31</f>
        <v>4871.05</v>
      </c>
      <c r="G31" s="918"/>
      <c r="H31" s="922" t="s">
        <v>2216</v>
      </c>
    </row>
    <row r="32" spans="1:8" x14ac:dyDescent="0.3">
      <c r="A32" s="929"/>
      <c r="B32" s="928"/>
      <c r="C32" s="981"/>
      <c r="D32" s="918"/>
      <c r="E32" s="919"/>
      <c r="F32" s="921"/>
      <c r="G32" s="918"/>
      <c r="H32" s="922"/>
    </row>
    <row r="33" spans="1:8" x14ac:dyDescent="0.3">
      <c r="A33" s="930" t="s">
        <v>2082</v>
      </c>
      <c r="B33" s="930" t="s">
        <v>2083</v>
      </c>
      <c r="C33" s="924" t="s">
        <v>2084</v>
      </c>
      <c r="D33" s="918"/>
      <c r="E33" s="919">
        <v>0.1</v>
      </c>
      <c r="F33" s="921">
        <f>'[1]2004'!$AS$7*E33</f>
        <v>17421.31092</v>
      </c>
      <c r="G33" s="918"/>
    </row>
    <row r="34" spans="1:8" x14ac:dyDescent="0.3">
      <c r="A34" s="930" t="s">
        <v>2085</v>
      </c>
      <c r="B34" s="930" t="s">
        <v>2078</v>
      </c>
      <c r="C34" s="924" t="s">
        <v>2065</v>
      </c>
      <c r="D34" s="918"/>
      <c r="E34" s="919">
        <v>0.5</v>
      </c>
      <c r="F34" s="921">
        <f>'[1]2004'!$AS$10*E34</f>
        <v>65576.854600000006</v>
      </c>
      <c r="G34" s="918"/>
      <c r="H34" s="982" t="s">
        <v>2217</v>
      </c>
    </row>
    <row r="35" spans="1:8" x14ac:dyDescent="0.3">
      <c r="A35" s="930" t="s">
        <v>2086</v>
      </c>
      <c r="B35" s="930" t="s">
        <v>2087</v>
      </c>
      <c r="C35" s="925" t="s">
        <v>2088</v>
      </c>
      <c r="D35" s="918"/>
      <c r="E35" s="919">
        <v>0.25</v>
      </c>
      <c r="F35" s="921">
        <f>'[1]2002'!$AS$18*E35</f>
        <v>4825.75</v>
      </c>
      <c r="G35" s="918"/>
    </row>
    <row r="36" spans="1:8" x14ac:dyDescent="0.3">
      <c r="A36" s="930"/>
      <c r="B36" s="930"/>
      <c r="C36" s="926" t="s">
        <v>2089</v>
      </c>
      <c r="D36" s="918"/>
      <c r="E36" s="919">
        <v>0.05</v>
      </c>
      <c r="F36" s="921">
        <f>('[1]2001'!$AS$14+'[1]2001'!$AS$8)*E36</f>
        <v>17568.993460000002</v>
      </c>
      <c r="G36" s="918"/>
    </row>
    <row r="37" spans="1:8" x14ac:dyDescent="0.3">
      <c r="A37" s="930"/>
      <c r="B37" s="930"/>
      <c r="C37" s="918" t="s">
        <v>2090</v>
      </c>
      <c r="D37" s="918"/>
      <c r="E37" s="919"/>
      <c r="F37" s="918"/>
      <c r="G37" s="918"/>
    </row>
    <row r="38" spans="1:8" x14ac:dyDescent="0.3">
      <c r="A38" s="931" t="s">
        <v>2138</v>
      </c>
      <c r="B38" s="931" t="s">
        <v>2137</v>
      </c>
      <c r="C38" t="s">
        <v>2091</v>
      </c>
      <c r="E38" s="780">
        <v>0.1</v>
      </c>
      <c r="F38" s="921">
        <f>'[1]4003'!$AS$28*E38</f>
        <v>1918.3000000000002</v>
      </c>
    </row>
    <row r="39" spans="1:8" x14ac:dyDescent="0.3">
      <c r="A39" s="931" t="s">
        <v>2092</v>
      </c>
      <c r="B39" s="931" t="s">
        <v>2093</v>
      </c>
      <c r="C39" t="s">
        <v>2094</v>
      </c>
      <c r="E39" s="953">
        <v>0.15</v>
      </c>
      <c r="F39" s="921">
        <f>'[1]4003'!$AS$8*E39</f>
        <v>22267.05</v>
      </c>
      <c r="G39" s="927"/>
    </row>
    <row r="40" spans="1:8" x14ac:dyDescent="0.3">
      <c r="A40" s="923"/>
      <c r="B40" s="923"/>
      <c r="C40" s="918" t="s">
        <v>2095</v>
      </c>
      <c r="D40" s="918"/>
      <c r="E40" s="919">
        <v>0.2</v>
      </c>
      <c r="F40" s="921">
        <f>'[1]1400'!$AS$7*E40</f>
        <v>38824.021840000001</v>
      </c>
      <c r="G40" s="918"/>
    </row>
    <row r="41" spans="1:8" x14ac:dyDescent="0.3">
      <c r="A41" s="923"/>
      <c r="B41" s="923"/>
      <c r="C41" s="918" t="s">
        <v>2096</v>
      </c>
      <c r="D41" s="918"/>
      <c r="E41" s="919">
        <v>0.3</v>
      </c>
      <c r="F41" s="921">
        <f>'[1]1400'!$AS$8*E41</f>
        <v>51662.13276</v>
      </c>
      <c r="G41" s="918"/>
    </row>
    <row r="42" spans="1:8" x14ac:dyDescent="0.3">
      <c r="A42" s="923"/>
      <c r="B42" s="923"/>
      <c r="C42" s="918" t="s">
        <v>2097</v>
      </c>
      <c r="D42" s="918"/>
      <c r="E42" s="919">
        <v>0.3</v>
      </c>
      <c r="F42" s="921">
        <f>'[1]1400'!$AS$11*E42</f>
        <v>34640.312760000001</v>
      </c>
      <c r="G42" s="918"/>
    </row>
    <row r="43" spans="1:8" x14ac:dyDescent="0.3">
      <c r="A43" s="923"/>
      <c r="B43" s="923"/>
      <c r="C43" s="918" t="s">
        <v>2098</v>
      </c>
      <c r="D43" s="918"/>
      <c r="E43" s="919">
        <v>0.1</v>
      </c>
      <c r="F43" s="921">
        <f>'[1]1400'!$AS$10*E43</f>
        <v>14778.910920000002</v>
      </c>
      <c r="G43" s="918"/>
    </row>
    <row r="44" spans="1:8" x14ac:dyDescent="0.3">
      <c r="A44" s="923"/>
      <c r="B44" s="923"/>
      <c r="C44" s="918" t="s">
        <v>2099</v>
      </c>
      <c r="D44" s="918"/>
      <c r="E44" s="919">
        <v>0.2</v>
      </c>
      <c r="F44" s="921">
        <f>'[1]1400'!$AS$12*E44</f>
        <v>23768.21384</v>
      </c>
      <c r="G44" s="918"/>
    </row>
    <row r="45" spans="1:8" x14ac:dyDescent="0.3">
      <c r="A45" s="923"/>
      <c r="B45" s="923"/>
      <c r="C45" s="918" t="s">
        <v>2100</v>
      </c>
      <c r="D45" s="918"/>
      <c r="E45" s="919">
        <v>0.2</v>
      </c>
      <c r="F45" s="921">
        <f>'[1]1400'!$AS$14*E45</f>
        <v>19782.904000000002</v>
      </c>
      <c r="G45" s="918"/>
    </row>
    <row r="46" spans="1:8" x14ac:dyDescent="0.3">
      <c r="A46" s="923"/>
      <c r="B46" s="923"/>
      <c r="C46" s="918" t="s">
        <v>2101</v>
      </c>
      <c r="D46" s="918"/>
      <c r="E46" s="919">
        <v>0.2</v>
      </c>
      <c r="F46" s="921">
        <f>'[1]1400'!$AS$16*E46</f>
        <v>20817</v>
      </c>
      <c r="G46" s="918"/>
    </row>
    <row r="47" spans="1:8" x14ac:dyDescent="0.3">
      <c r="A47" s="923"/>
      <c r="B47" s="923"/>
      <c r="C47" s="918" t="s">
        <v>2102</v>
      </c>
      <c r="D47" s="918"/>
      <c r="E47" s="919">
        <v>0.1</v>
      </c>
      <c r="F47" s="921">
        <f>'[1]1400'!$AS$17*E47</f>
        <v>10594.800000000001</v>
      </c>
      <c r="G47" s="918"/>
    </row>
    <row r="48" spans="1:8" x14ac:dyDescent="0.3">
      <c r="A48" s="923"/>
      <c r="B48" s="923"/>
      <c r="C48" s="918" t="s">
        <v>2103</v>
      </c>
      <c r="D48" s="918"/>
      <c r="E48" s="919">
        <v>0.4</v>
      </c>
      <c r="F48" s="921">
        <f>'[1]1400'!$AS$15*E48</f>
        <v>29524.047999999999</v>
      </c>
      <c r="G48" s="918"/>
    </row>
    <row r="49" spans="1:8" x14ac:dyDescent="0.3">
      <c r="A49" s="923"/>
      <c r="B49" s="923"/>
      <c r="C49" s="918" t="s">
        <v>2104</v>
      </c>
      <c r="D49" s="918"/>
      <c r="E49" s="919">
        <v>0.4</v>
      </c>
      <c r="F49" s="921">
        <f>'[1]1400'!$AS$25*E49</f>
        <v>39596.800000000003</v>
      </c>
      <c r="G49" s="918"/>
    </row>
    <row r="50" spans="1:8" x14ac:dyDescent="0.3">
      <c r="A50" s="923"/>
      <c r="B50" s="923"/>
      <c r="C50" s="926" t="s">
        <v>2176</v>
      </c>
      <c r="D50" s="918"/>
      <c r="E50" s="919">
        <v>0.05</v>
      </c>
      <c r="F50" s="921">
        <f>'[1]1600'!$AS$7*E50</f>
        <v>4363.4000000000005</v>
      </c>
      <c r="G50" s="918"/>
    </row>
    <row r="51" spans="1:8" x14ac:dyDescent="0.3">
      <c r="A51" s="923"/>
      <c r="B51" s="923"/>
      <c r="C51" s="918" t="s">
        <v>2105</v>
      </c>
      <c r="D51" s="918"/>
      <c r="E51" s="919">
        <v>0.05</v>
      </c>
      <c r="F51" s="921">
        <f>'[1]1600'!$AS$8*E51</f>
        <v>6849.7000000000007</v>
      </c>
      <c r="G51" s="918"/>
    </row>
    <row r="52" spans="1:8" x14ac:dyDescent="0.3">
      <c r="A52" s="923"/>
      <c r="B52" s="923"/>
      <c r="C52" s="918" t="s">
        <v>2106</v>
      </c>
      <c r="D52" s="918"/>
      <c r="E52" s="919">
        <v>0.2</v>
      </c>
      <c r="F52" s="921">
        <f>'[1]1600'!$AS$9*E52</f>
        <v>26476.2</v>
      </c>
      <c r="G52" s="918"/>
    </row>
    <row r="53" spans="1:8" x14ac:dyDescent="0.3">
      <c r="A53" s="923"/>
      <c r="B53" s="923"/>
      <c r="C53" s="918" t="s">
        <v>2107</v>
      </c>
      <c r="D53" s="918"/>
      <c r="E53" s="919">
        <v>0.05</v>
      </c>
      <c r="F53" s="921">
        <f>'[1]1600'!$AS$11*E53</f>
        <v>5731.4500000000007</v>
      </c>
      <c r="G53" s="918"/>
    </row>
    <row r="54" spans="1:8" x14ac:dyDescent="0.3">
      <c r="A54" s="923"/>
      <c r="B54" s="923"/>
      <c r="C54" s="926"/>
      <c r="D54" s="918"/>
      <c r="E54" s="919"/>
      <c r="F54" s="921"/>
      <c r="G54" s="918"/>
    </row>
    <row r="55" spans="1:8" x14ac:dyDescent="0.3">
      <c r="A55" s="923"/>
      <c r="B55" s="923"/>
      <c r="C55" s="918" t="s">
        <v>2108</v>
      </c>
      <c r="D55" s="918"/>
      <c r="E55" s="919">
        <v>0.3</v>
      </c>
      <c r="F55" s="921">
        <v>21950</v>
      </c>
      <c r="G55" s="918"/>
    </row>
    <row r="56" spans="1:8" x14ac:dyDescent="0.3">
      <c r="A56" s="923"/>
      <c r="B56" s="923"/>
      <c r="C56" s="918" t="s">
        <v>2109</v>
      </c>
      <c r="D56" s="918"/>
      <c r="E56" s="919">
        <v>0.1</v>
      </c>
      <c r="F56" s="921">
        <v>1051</v>
      </c>
      <c r="G56" s="918"/>
    </row>
    <row r="57" spans="1:8" x14ac:dyDescent="0.3">
      <c r="A57" s="923"/>
      <c r="B57" s="923"/>
      <c r="C57" s="918" t="s">
        <v>2110</v>
      </c>
      <c r="D57" s="918"/>
      <c r="E57" s="919"/>
      <c r="F57" s="921"/>
      <c r="G57" s="918"/>
      <c r="H57" t="s">
        <v>2111</v>
      </c>
    </row>
    <row r="58" spans="1:8" x14ac:dyDescent="0.3">
      <c r="A58" s="923"/>
      <c r="B58" s="923"/>
      <c r="C58" s="918" t="s">
        <v>2112</v>
      </c>
      <c r="D58" s="918"/>
      <c r="E58" s="919"/>
      <c r="F58" s="921"/>
      <c r="G58" s="918"/>
      <c r="H58" t="s">
        <v>2111</v>
      </c>
    </row>
    <row r="59" spans="1:8" x14ac:dyDescent="0.3">
      <c r="A59" s="923"/>
      <c r="B59" s="923"/>
      <c r="C59" s="918" t="s">
        <v>2113</v>
      </c>
      <c r="D59" s="918"/>
      <c r="E59" s="919"/>
      <c r="F59" s="921"/>
      <c r="G59" s="918"/>
    </row>
    <row r="60" spans="1:8" x14ac:dyDescent="0.3">
      <c r="A60" s="923"/>
      <c r="B60" s="923"/>
      <c r="C60" s="918" t="s">
        <v>2114</v>
      </c>
      <c r="D60" s="918"/>
      <c r="E60" s="919"/>
      <c r="F60" s="921"/>
      <c r="G60" s="918"/>
    </row>
    <row r="61" spans="1:8" x14ac:dyDescent="0.3">
      <c r="A61" s="923"/>
      <c r="B61" s="923"/>
      <c r="C61" s="926" t="s">
        <v>2115</v>
      </c>
      <c r="D61" s="918"/>
      <c r="E61" s="919"/>
      <c r="F61" s="921"/>
      <c r="G61" s="918"/>
    </row>
    <row r="62" spans="1:8" x14ac:dyDescent="0.3">
      <c r="A62" s="923"/>
      <c r="B62" s="923"/>
      <c r="C62" s="918"/>
      <c r="D62" s="918"/>
      <c r="E62" s="919"/>
      <c r="F62" s="918"/>
      <c r="G62" s="918"/>
    </row>
    <row r="63" spans="1:8" x14ac:dyDescent="0.3">
      <c r="A63" s="923"/>
      <c r="B63" s="923"/>
      <c r="C63" s="918"/>
      <c r="D63" s="918"/>
      <c r="E63" s="919"/>
      <c r="F63" s="920">
        <f>SUM(F2:F62)</f>
        <v>1146184.5230999999</v>
      </c>
      <c r="G63" s="918"/>
    </row>
    <row r="64" spans="1:8" x14ac:dyDescent="0.3">
      <c r="A64" s="923"/>
      <c r="B64" s="923"/>
      <c r="C64" s="918"/>
      <c r="D64" s="918"/>
      <c r="E64" s="919"/>
      <c r="F64" s="918"/>
      <c r="G64" s="918"/>
    </row>
    <row r="65" spans="1:7" x14ac:dyDescent="0.3">
      <c r="A65" s="923"/>
      <c r="B65" s="923"/>
      <c r="C65" s="918"/>
      <c r="D65" s="918"/>
      <c r="E65" s="919"/>
      <c r="F65" s="918"/>
      <c r="G65" s="918"/>
    </row>
    <row r="66" spans="1:7" x14ac:dyDescent="0.3">
      <c r="A66" s="923"/>
      <c r="B66" s="923"/>
      <c r="C66" s="918"/>
      <c r="D66" s="918"/>
      <c r="E66" s="919"/>
      <c r="F66" s="918"/>
      <c r="G66" s="918"/>
    </row>
    <row r="67" spans="1:7" x14ac:dyDescent="0.3">
      <c r="A67" s="923"/>
      <c r="B67" s="923"/>
      <c r="C67" s="918"/>
      <c r="D67" s="918"/>
      <c r="E67" s="919"/>
      <c r="F67" s="918"/>
      <c r="G67" s="918"/>
    </row>
  </sheetData>
  <mergeCells count="2">
    <mergeCell ref="A1:B1"/>
    <mergeCell ref="E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48"/>
  <sheetViews>
    <sheetView showGridLines="0" topLeftCell="B1" zoomScale="85" zoomScaleNormal="85" workbookViewId="0">
      <selection activeCell="L9" sqref="L9"/>
    </sheetView>
  </sheetViews>
  <sheetFormatPr defaultColWidth="9" defaultRowHeight="15.6" x14ac:dyDescent="0.3"/>
  <cols>
    <col min="1" max="1" width="7.5" style="3" customWidth="1"/>
    <col min="2" max="2" width="47.59765625" style="3" bestFit="1" customWidth="1"/>
    <col min="3" max="3" width="16.8984375" style="3" bestFit="1" customWidth="1"/>
    <col min="4" max="4" width="7.5" style="3" bestFit="1" customWidth="1"/>
    <col min="5" max="5" width="11.59765625" style="3" bestFit="1" customWidth="1"/>
    <col min="6" max="7" width="12.59765625" style="3" bestFit="1" customWidth="1"/>
    <col min="8" max="18" width="11.59765625" style="3" bestFit="1" customWidth="1"/>
    <col min="19" max="19" width="12.09765625" style="3" customWidth="1"/>
    <col min="20" max="23" width="11.59765625" style="3" bestFit="1" customWidth="1"/>
    <col min="24" max="28" width="10" style="3" bestFit="1" customWidth="1"/>
    <col min="29" max="16384" width="9" style="3"/>
  </cols>
  <sheetData>
    <row r="1" spans="1:28" s="210" customFormat="1" x14ac:dyDescent="0.3">
      <c r="A1" s="209"/>
    </row>
    <row r="2" spans="1:28" s="211" customFormat="1" x14ac:dyDescent="0.3">
      <c r="B2" s="212" t="s">
        <v>1952</v>
      </c>
      <c r="H2" s="213"/>
      <c r="I2" s="213"/>
      <c r="J2" s="213"/>
      <c r="K2" s="213"/>
      <c r="L2" s="213"/>
      <c r="M2" s="214"/>
      <c r="N2" s="214"/>
      <c r="O2" s="1307"/>
      <c r="P2" s="1307"/>
      <c r="Q2" s="1307"/>
      <c r="R2" s="214"/>
      <c r="S2" s="214"/>
      <c r="T2" s="214"/>
      <c r="U2" s="214"/>
      <c r="V2" s="214"/>
      <c r="W2" s="214"/>
    </row>
    <row r="3" spans="1:28" x14ac:dyDescent="0.3">
      <c r="B3" s="3" t="s">
        <v>344</v>
      </c>
    </row>
    <row r="4" spans="1:28" x14ac:dyDescent="0.3">
      <c r="B4" s="215" t="s">
        <v>346</v>
      </c>
    </row>
    <row r="5" spans="1:28" ht="31.2" x14ac:dyDescent="0.3">
      <c r="B5" s="4" t="s">
        <v>11</v>
      </c>
      <c r="C5" s="236" t="s">
        <v>1498</v>
      </c>
      <c r="D5" s="4"/>
      <c r="E5" s="4"/>
      <c r="F5" s="208">
        <v>2013</v>
      </c>
      <c r="G5" s="208">
        <v>2014</v>
      </c>
      <c r="H5" s="208">
        <v>2015</v>
      </c>
      <c r="I5" s="208">
        <v>2016</v>
      </c>
      <c r="J5" s="208">
        <v>2017</v>
      </c>
      <c r="K5" s="208">
        <v>2018</v>
      </c>
      <c r="L5" s="208">
        <v>2019</v>
      </c>
      <c r="M5" s="208">
        <v>2020</v>
      </c>
      <c r="N5" s="208">
        <v>2021</v>
      </c>
      <c r="O5" s="208">
        <v>2022</v>
      </c>
      <c r="P5" s="208">
        <v>2023</v>
      </c>
      <c r="Q5" s="208">
        <v>2024</v>
      </c>
      <c r="R5" s="208">
        <v>2025</v>
      </c>
      <c r="S5" s="208">
        <v>2026</v>
      </c>
      <c r="T5" s="208">
        <v>2027</v>
      </c>
      <c r="U5" s="208">
        <v>2028</v>
      </c>
      <c r="V5" s="208">
        <v>2029</v>
      </c>
      <c r="W5" s="208">
        <v>2030</v>
      </c>
      <c r="X5" s="208">
        <v>2030</v>
      </c>
      <c r="Y5" s="208">
        <v>2030</v>
      </c>
      <c r="Z5" s="208">
        <v>2030</v>
      </c>
      <c r="AA5" s="208">
        <v>2030</v>
      </c>
      <c r="AB5" s="208">
        <v>2030</v>
      </c>
    </row>
    <row r="6" spans="1:28" s="216" customFormat="1" x14ac:dyDescent="0.3">
      <c r="B6" s="69" t="s">
        <v>315</v>
      </c>
      <c r="C6" s="217">
        <f>SUM(I6:W6)</f>
        <v>9032144</v>
      </c>
      <c r="D6" s="218"/>
      <c r="E6" s="218"/>
      <c r="F6" s="219">
        <f>350000+324213</f>
        <v>674213</v>
      </c>
      <c r="G6" s="220">
        <f>365000+311088</f>
        <v>676088</v>
      </c>
      <c r="H6" s="220">
        <f>380000+297400</f>
        <v>677400</v>
      </c>
      <c r="I6" s="220">
        <f>400000+283150</f>
        <v>683150</v>
      </c>
      <c r="J6" s="220">
        <f>415000+268150</f>
        <v>683150</v>
      </c>
      <c r="K6" s="220">
        <f>435000+251550</f>
        <v>686550</v>
      </c>
      <c r="L6" s="220">
        <f>455000+234150</f>
        <v>689150</v>
      </c>
      <c r="M6" s="220">
        <f>475000+215950</f>
        <v>690950</v>
      </c>
      <c r="N6" s="220">
        <f>495000+196950</f>
        <v>691950</v>
      </c>
      <c r="O6" s="220">
        <f>520000+177150</f>
        <v>697150</v>
      </c>
      <c r="P6" s="220">
        <f>545000+156350</f>
        <v>701350</v>
      </c>
      <c r="Q6" s="220">
        <f>565000+133188</f>
        <v>698188</v>
      </c>
      <c r="R6" s="220">
        <f>590000+109175</f>
        <v>699175</v>
      </c>
      <c r="S6" s="220">
        <f>620000+84100</f>
        <v>704100</v>
      </c>
      <c r="T6" s="220">
        <f>645000+57750</f>
        <v>702750</v>
      </c>
      <c r="U6" s="220">
        <f>675000+29531</f>
        <v>704531</v>
      </c>
      <c r="V6" s="220"/>
      <c r="W6" s="220"/>
    </row>
    <row r="7" spans="1:28" s="216" customFormat="1" x14ac:dyDescent="0.3">
      <c r="B7" s="69" t="s">
        <v>316</v>
      </c>
      <c r="C7" s="217">
        <f>SUM(I7:W7)</f>
        <v>1850290.4100000001</v>
      </c>
      <c r="D7" s="218"/>
      <c r="E7" s="218"/>
      <c r="F7" s="221">
        <f>42037.71+87925.51</f>
        <v>129963.22</v>
      </c>
      <c r="G7" s="221">
        <f>40594.97+87932.58</f>
        <v>128527.55</v>
      </c>
      <c r="H7" s="221">
        <f>39153.52+87921.07</f>
        <v>127074.59</v>
      </c>
      <c r="I7" s="221">
        <f>37863.67+88244.57</f>
        <v>126108.24</v>
      </c>
      <c r="J7" s="221">
        <f>36558.39+88543.31</f>
        <v>125101.7</v>
      </c>
      <c r="K7" s="221">
        <f>35234.44+90724.75</f>
        <v>125959.19</v>
      </c>
      <c r="L7" s="221">
        <f>33848.62+90904.07</f>
        <v>124752.69</v>
      </c>
      <c r="M7" s="221">
        <f>32446.15+91060.13</f>
        <v>123506.28</v>
      </c>
      <c r="N7" s="221">
        <f>31107.68+91432.25</f>
        <v>122539.93</v>
      </c>
      <c r="O7" s="221">
        <f>29742.42+93658.12</f>
        <v>123400.54</v>
      </c>
      <c r="P7" s="221">
        <f>28303.93+93913.41</f>
        <v>122217.34</v>
      </c>
      <c r="Q7" s="221">
        <f>26821.96+95996.5</f>
        <v>122818.45999999999</v>
      </c>
      <c r="R7" s="221">
        <f>25266.56+97984.12</f>
        <v>123250.68</v>
      </c>
      <c r="S7" s="221">
        <f>23602.61+99842.02</f>
        <v>123444.63</v>
      </c>
      <c r="T7" s="221">
        <f>21865.15+99749.68</f>
        <v>121614.82999999999</v>
      </c>
      <c r="U7" s="221">
        <f>20081.03+101466.86</f>
        <v>121547.89</v>
      </c>
      <c r="V7" s="221">
        <f>18222.39+103084.95</f>
        <v>121307.34</v>
      </c>
      <c r="W7" s="221">
        <f>16272.89+106447.78</f>
        <v>122720.67</v>
      </c>
    </row>
    <row r="8" spans="1:28" s="216" customFormat="1" x14ac:dyDescent="0.3">
      <c r="B8" s="69" t="s">
        <v>317</v>
      </c>
      <c r="C8" s="217">
        <f>SUM(I8:W8)</f>
        <v>1526691.59</v>
      </c>
      <c r="D8" s="218"/>
      <c r="E8" s="218"/>
      <c r="F8" s="222">
        <f>22789.23+120425.5</f>
        <v>143214.73000000001</v>
      </c>
      <c r="G8" s="221">
        <f>21617.36+116710.23</f>
        <v>138327.59</v>
      </c>
      <c r="H8" s="221">
        <f>20486.63+121367.29</f>
        <v>141853.91999999998</v>
      </c>
      <c r="I8" s="221">
        <f>19133.42+117884.46</f>
        <v>137017.88</v>
      </c>
      <c r="J8" s="221">
        <f>17815.72+122659.83</f>
        <v>140475.54999999999</v>
      </c>
      <c r="K8" s="221">
        <f>16431.74+127333.03</f>
        <v>143764.76999999999</v>
      </c>
      <c r="L8" s="221">
        <f>14978.78+125388.45</f>
        <v>140367.23000000001</v>
      </c>
      <c r="M8" s="221">
        <f>13266.19+129675.27</f>
        <v>142941.46</v>
      </c>
      <c r="N8" s="221">
        <f>11496.85+132512.06</f>
        <v>144008.91</v>
      </c>
      <c r="O8" s="221">
        <f>9663.3+124007.6</f>
        <v>133670.9</v>
      </c>
      <c r="P8" s="221">
        <f>7932.9+126880.24</f>
        <v>134813.14000000001</v>
      </c>
      <c r="Q8" s="221">
        <f>6137.63+129684.42</f>
        <v>135822.04999999999</v>
      </c>
      <c r="R8" s="221">
        <f>4276.6+132402.53</f>
        <v>136679.13</v>
      </c>
      <c r="S8" s="221">
        <f>2222.48+134908.09</f>
        <v>137130.57</v>
      </c>
      <c r="T8" s="221"/>
      <c r="U8" s="221"/>
      <c r="V8" s="221"/>
      <c r="W8" s="221"/>
    </row>
    <row r="9" spans="1:28" s="216" customFormat="1" ht="15" customHeight="1" x14ac:dyDescent="0.3">
      <c r="B9" s="69" t="s">
        <v>1499</v>
      </c>
      <c r="C9" s="217">
        <f>SUM(I9:W9)</f>
        <v>31434716.651037578</v>
      </c>
      <c r="D9" s="218"/>
      <c r="E9" s="218"/>
      <c r="F9" s="232">
        <v>0</v>
      </c>
      <c r="G9" s="233">
        <v>0</v>
      </c>
      <c r="H9" s="233">
        <v>0</v>
      </c>
      <c r="I9" s="1039">
        <v>54000</v>
      </c>
      <c r="J9" s="233">
        <v>436861.44992311747</v>
      </c>
      <c r="K9" s="233">
        <v>1710872.4347200999</v>
      </c>
      <c r="L9" s="233">
        <v>2436081.8943577847</v>
      </c>
      <c r="M9" s="233">
        <v>2436081.8921049428</v>
      </c>
      <c r="N9" s="233">
        <v>2436081.8974256795</v>
      </c>
      <c r="O9" s="233">
        <v>2436081.8963389434</v>
      </c>
      <c r="P9" s="233">
        <v>2436081.8961405219</v>
      </c>
      <c r="Q9" s="233">
        <v>2436081.8990496793</v>
      </c>
      <c r="R9" s="233">
        <v>2436081.8975874688</v>
      </c>
      <c r="S9" s="233">
        <v>2436081.8967632586</v>
      </c>
      <c r="T9" s="233">
        <v>2436081.8968029432</v>
      </c>
      <c r="U9" s="233">
        <v>2436081.9049626263</v>
      </c>
      <c r="V9" s="233">
        <v>2436081.8982804157</v>
      </c>
      <c r="W9" s="233">
        <v>2436081.8965801005</v>
      </c>
      <c r="X9" s="233"/>
    </row>
    <row r="10" spans="1:28" s="216" customFormat="1" ht="15" customHeight="1" x14ac:dyDescent="0.3">
      <c r="B10" s="69" t="s">
        <v>1918</v>
      </c>
      <c r="C10" s="217">
        <f>SUM(I10:W10)</f>
        <v>36333</v>
      </c>
      <c r="D10" s="218"/>
      <c r="E10" s="218"/>
      <c r="F10" s="232"/>
      <c r="G10" s="233"/>
      <c r="H10" s="233"/>
      <c r="I10" s="233">
        <v>36333</v>
      </c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</row>
    <row r="11" spans="1:28" s="223" customFormat="1" x14ac:dyDescent="0.3">
      <c r="B11" s="224" t="s">
        <v>12</v>
      </c>
      <c r="C11" s="225"/>
      <c r="D11" s="226"/>
      <c r="E11" s="226"/>
      <c r="F11" s="226">
        <f t="shared" ref="F11:V11" si="0">SUM(F6:F10)</f>
        <v>947390.95</v>
      </c>
      <c r="G11" s="226">
        <f t="shared" si="0"/>
        <v>942943.14</v>
      </c>
      <c r="H11" s="226">
        <f t="shared" si="0"/>
        <v>946328.51</v>
      </c>
      <c r="I11" s="226">
        <f>SUM(I6:I10)</f>
        <v>1036609.12</v>
      </c>
      <c r="J11" s="226">
        <f t="shared" si="0"/>
        <v>1385588.6999231174</v>
      </c>
      <c r="K11" s="226">
        <f t="shared" si="0"/>
        <v>2667146.3947200999</v>
      </c>
      <c r="L11" s="226">
        <f t="shared" si="0"/>
        <v>3390351.8143577846</v>
      </c>
      <c r="M11" s="226">
        <f t="shared" si="0"/>
        <v>3393479.6321049426</v>
      </c>
      <c r="N11" s="226">
        <f t="shared" si="0"/>
        <v>3394580.7374256793</v>
      </c>
      <c r="O11" s="226">
        <f t="shared" si="0"/>
        <v>3390303.3363389433</v>
      </c>
      <c r="P11" s="226">
        <f t="shared" si="0"/>
        <v>3394462.3761405218</v>
      </c>
      <c r="Q11" s="226">
        <f t="shared" si="0"/>
        <v>3392910.4090496795</v>
      </c>
      <c r="R11" s="226">
        <f t="shared" si="0"/>
        <v>3395186.7075874689</v>
      </c>
      <c r="S11" s="226">
        <f t="shared" si="0"/>
        <v>3400757.0967632588</v>
      </c>
      <c r="T11" s="226">
        <f t="shared" si="0"/>
        <v>3260446.7268029433</v>
      </c>
      <c r="U11" s="226">
        <f t="shared" si="0"/>
        <v>3262160.7949626264</v>
      </c>
      <c r="V11" s="226">
        <f t="shared" si="0"/>
        <v>2557389.2382804155</v>
      </c>
      <c r="W11" s="226">
        <f t="shared" ref="W11:AB11" si="1">SUM(W6:W10)</f>
        <v>2558802.5665801005</v>
      </c>
      <c r="X11" s="226">
        <f t="shared" si="1"/>
        <v>0</v>
      </c>
      <c r="Y11" s="226">
        <f t="shared" si="1"/>
        <v>0</v>
      </c>
      <c r="Z11" s="226">
        <f t="shared" si="1"/>
        <v>0</v>
      </c>
      <c r="AA11" s="226">
        <f t="shared" si="1"/>
        <v>0</v>
      </c>
      <c r="AB11" s="226">
        <f t="shared" si="1"/>
        <v>0</v>
      </c>
    </row>
    <row r="12" spans="1:28" x14ac:dyDescent="0.3">
      <c r="B12" s="227"/>
      <c r="C12" s="228"/>
      <c r="D12" s="228"/>
      <c r="E12" s="228"/>
      <c r="F12" s="228"/>
      <c r="G12" s="228"/>
      <c r="H12" s="228"/>
      <c r="I12" s="1041" t="b">
        <f>I11='Revenue Requirements'!F93</f>
        <v>1</v>
      </c>
      <c r="J12" s="1041" t="b">
        <f>J11='Revenue Requirements'!G93</f>
        <v>1</v>
      </c>
      <c r="K12" s="1041" t="b">
        <f>K11='Revenue Requirements'!H93</f>
        <v>1</v>
      </c>
      <c r="L12" s="1041" t="b">
        <f>L11='Revenue Requirements'!I93</f>
        <v>1</v>
      </c>
      <c r="M12" s="1041" t="b">
        <f>M11='Revenue Requirements'!J93</f>
        <v>1</v>
      </c>
      <c r="N12" s="1041" t="b">
        <f>N11='Revenue Requirements'!K93</f>
        <v>1</v>
      </c>
      <c r="O12" s="1041" t="b">
        <f>O11='Revenue Requirements'!L93</f>
        <v>1</v>
      </c>
      <c r="P12" s="1041" t="b">
        <f>P11='Revenue Requirements'!M93</f>
        <v>1</v>
      </c>
      <c r="Q12" s="1041" t="b">
        <f>Q11='Revenue Requirements'!N93</f>
        <v>1</v>
      </c>
      <c r="R12" s="1041" t="b">
        <f>R11='Revenue Requirements'!O93</f>
        <v>1</v>
      </c>
      <c r="S12" s="228"/>
      <c r="T12" s="228"/>
      <c r="U12" s="228"/>
      <c r="V12" s="228"/>
      <c r="W12" s="228"/>
    </row>
    <row r="13" spans="1:28" s="229" customFormat="1" x14ac:dyDescent="0.3">
      <c r="B13" s="215" t="s">
        <v>10</v>
      </c>
      <c r="C13" s="230"/>
      <c r="D13" s="230"/>
      <c r="E13" s="230"/>
      <c r="I13" s="1040" t="s">
        <v>2028</v>
      </c>
    </row>
    <row r="14" spans="1:28" x14ac:dyDescent="0.3">
      <c r="B14" s="5"/>
      <c r="C14" s="5" t="s">
        <v>1495</v>
      </c>
      <c r="D14" s="5" t="s">
        <v>1496</v>
      </c>
      <c r="E14" s="5" t="s">
        <v>1497</v>
      </c>
      <c r="F14" s="1">
        <v>2013</v>
      </c>
      <c r="G14" s="1">
        <v>2014</v>
      </c>
      <c r="H14" s="1">
        <v>2015</v>
      </c>
      <c r="I14" s="1">
        <v>2016</v>
      </c>
      <c r="J14" s="1">
        <v>2017</v>
      </c>
      <c r="K14" s="1">
        <v>2018</v>
      </c>
      <c r="L14" s="1">
        <v>2019</v>
      </c>
      <c r="M14" s="1">
        <v>2020</v>
      </c>
      <c r="N14" s="1">
        <v>2021</v>
      </c>
      <c r="O14" s="1">
        <v>2022</v>
      </c>
      <c r="P14" s="1">
        <v>2023</v>
      </c>
      <c r="Q14" s="1">
        <v>2024</v>
      </c>
      <c r="R14" s="1">
        <v>2025</v>
      </c>
      <c r="S14" s="1">
        <v>2026</v>
      </c>
      <c r="T14" s="1">
        <v>2027</v>
      </c>
      <c r="U14" s="1">
        <v>2028</v>
      </c>
      <c r="V14" s="1">
        <v>2029</v>
      </c>
      <c r="W14" s="1">
        <v>2030</v>
      </c>
      <c r="X14" s="1">
        <v>2031</v>
      </c>
      <c r="Y14" s="1">
        <v>2032</v>
      </c>
      <c r="Z14" s="1">
        <v>2033</v>
      </c>
      <c r="AA14" s="1">
        <v>2034</v>
      </c>
      <c r="AB14" s="1">
        <v>2035</v>
      </c>
    </row>
    <row r="15" spans="1:28" x14ac:dyDescent="0.3">
      <c r="B15" s="69" t="s">
        <v>315</v>
      </c>
      <c r="C15" s="172">
        <v>1</v>
      </c>
      <c r="D15" s="234">
        <v>0</v>
      </c>
      <c r="E15" s="235">
        <f>1-D15</f>
        <v>1</v>
      </c>
      <c r="F15" s="219">
        <f t="shared" ref="F15:AB15" si="2">$C15*F6</f>
        <v>674213</v>
      </c>
      <c r="G15" s="219">
        <f t="shared" si="2"/>
        <v>676088</v>
      </c>
      <c r="H15" s="219">
        <f>$C15*H6</f>
        <v>677400</v>
      </c>
      <c r="I15" s="219">
        <f t="shared" si="2"/>
        <v>683150</v>
      </c>
      <c r="J15" s="219">
        <f t="shared" si="2"/>
        <v>683150</v>
      </c>
      <c r="K15" s="219">
        <f t="shared" si="2"/>
        <v>686550</v>
      </c>
      <c r="L15" s="219">
        <f t="shared" si="2"/>
        <v>689150</v>
      </c>
      <c r="M15" s="219">
        <f t="shared" si="2"/>
        <v>690950</v>
      </c>
      <c r="N15" s="219">
        <f t="shared" si="2"/>
        <v>691950</v>
      </c>
      <c r="O15" s="219">
        <f t="shared" si="2"/>
        <v>697150</v>
      </c>
      <c r="P15" s="219">
        <f t="shared" si="2"/>
        <v>701350</v>
      </c>
      <c r="Q15" s="219">
        <f t="shared" si="2"/>
        <v>698188</v>
      </c>
      <c r="R15" s="219">
        <f t="shared" si="2"/>
        <v>699175</v>
      </c>
      <c r="S15" s="219">
        <f t="shared" si="2"/>
        <v>704100</v>
      </c>
      <c r="T15" s="219">
        <f t="shared" si="2"/>
        <v>702750</v>
      </c>
      <c r="U15" s="219">
        <f t="shared" si="2"/>
        <v>704531</v>
      </c>
      <c r="V15" s="219">
        <f t="shared" si="2"/>
        <v>0</v>
      </c>
      <c r="W15" s="219">
        <f t="shared" si="2"/>
        <v>0</v>
      </c>
      <c r="X15" s="219">
        <f t="shared" si="2"/>
        <v>0</v>
      </c>
      <c r="Y15" s="219">
        <f t="shared" si="2"/>
        <v>0</v>
      </c>
      <c r="Z15" s="219">
        <f t="shared" si="2"/>
        <v>0</v>
      </c>
      <c r="AA15" s="219">
        <f t="shared" si="2"/>
        <v>0</v>
      </c>
      <c r="AB15" s="219">
        <f t="shared" si="2"/>
        <v>0</v>
      </c>
    </row>
    <row r="16" spans="1:28" x14ac:dyDescent="0.3">
      <c r="B16" s="69" t="s">
        <v>316</v>
      </c>
      <c r="C16" s="172">
        <v>1</v>
      </c>
      <c r="D16" s="234">
        <v>0</v>
      </c>
      <c r="E16" s="235">
        <f>1-D16</f>
        <v>1</v>
      </c>
      <c r="F16" s="219">
        <f t="shared" ref="F16:AB16" si="3">$C16*F7</f>
        <v>129963.22</v>
      </c>
      <c r="G16" s="219">
        <f t="shared" si="3"/>
        <v>128527.55</v>
      </c>
      <c r="H16" s="219">
        <f>$C16*H7</f>
        <v>127074.59</v>
      </c>
      <c r="I16" s="219">
        <f t="shared" si="3"/>
        <v>126108.24</v>
      </c>
      <c r="J16" s="219">
        <f t="shared" si="3"/>
        <v>125101.7</v>
      </c>
      <c r="K16" s="219">
        <f t="shared" si="3"/>
        <v>125959.19</v>
      </c>
      <c r="L16" s="219">
        <f t="shared" si="3"/>
        <v>124752.69</v>
      </c>
      <c r="M16" s="219">
        <f t="shared" si="3"/>
        <v>123506.28</v>
      </c>
      <c r="N16" s="219">
        <f t="shared" si="3"/>
        <v>122539.93</v>
      </c>
      <c r="O16" s="219">
        <f t="shared" si="3"/>
        <v>123400.54</v>
      </c>
      <c r="P16" s="219">
        <f t="shared" si="3"/>
        <v>122217.34</v>
      </c>
      <c r="Q16" s="219">
        <f t="shared" si="3"/>
        <v>122818.45999999999</v>
      </c>
      <c r="R16" s="219">
        <f t="shared" si="3"/>
        <v>123250.68</v>
      </c>
      <c r="S16" s="219">
        <f t="shared" si="3"/>
        <v>123444.63</v>
      </c>
      <c r="T16" s="219">
        <f t="shared" si="3"/>
        <v>121614.82999999999</v>
      </c>
      <c r="U16" s="219">
        <f t="shared" si="3"/>
        <v>121547.89</v>
      </c>
      <c r="V16" s="219">
        <f t="shared" si="3"/>
        <v>121307.34</v>
      </c>
      <c r="W16" s="219">
        <f t="shared" si="3"/>
        <v>122720.67</v>
      </c>
      <c r="X16" s="219">
        <f t="shared" si="3"/>
        <v>0</v>
      </c>
      <c r="Y16" s="219">
        <f t="shared" si="3"/>
        <v>0</v>
      </c>
      <c r="Z16" s="219">
        <f t="shared" si="3"/>
        <v>0</v>
      </c>
      <c r="AA16" s="219">
        <f t="shared" si="3"/>
        <v>0</v>
      </c>
      <c r="AB16" s="219">
        <f t="shared" si="3"/>
        <v>0</v>
      </c>
    </row>
    <row r="17" spans="2:28" x14ac:dyDescent="0.3">
      <c r="B17" s="69" t="s">
        <v>317</v>
      </c>
      <c r="C17" s="172">
        <v>1</v>
      </c>
      <c r="D17" s="234">
        <v>0</v>
      </c>
      <c r="E17" s="235">
        <f>1-D17</f>
        <v>1</v>
      </c>
      <c r="F17" s="219">
        <f t="shared" ref="F17:AB17" si="4">$C17*F8</f>
        <v>143214.73000000001</v>
      </c>
      <c r="G17" s="219">
        <f t="shared" si="4"/>
        <v>138327.59</v>
      </c>
      <c r="H17" s="219">
        <f t="shared" si="4"/>
        <v>141853.91999999998</v>
      </c>
      <c r="I17" s="219">
        <f t="shared" si="4"/>
        <v>137017.88</v>
      </c>
      <c r="J17" s="219">
        <f t="shared" si="4"/>
        <v>140475.54999999999</v>
      </c>
      <c r="K17" s="219">
        <f t="shared" si="4"/>
        <v>143764.76999999999</v>
      </c>
      <c r="L17" s="219">
        <f t="shared" si="4"/>
        <v>140367.23000000001</v>
      </c>
      <c r="M17" s="219">
        <f t="shared" si="4"/>
        <v>142941.46</v>
      </c>
      <c r="N17" s="219">
        <f t="shared" si="4"/>
        <v>144008.91</v>
      </c>
      <c r="O17" s="219">
        <f t="shared" si="4"/>
        <v>133670.9</v>
      </c>
      <c r="P17" s="219">
        <f t="shared" si="4"/>
        <v>134813.14000000001</v>
      </c>
      <c r="Q17" s="219">
        <f t="shared" si="4"/>
        <v>135822.04999999999</v>
      </c>
      <c r="R17" s="219">
        <f t="shared" si="4"/>
        <v>136679.13</v>
      </c>
      <c r="S17" s="219">
        <f t="shared" si="4"/>
        <v>137130.57</v>
      </c>
      <c r="T17" s="219">
        <f t="shared" si="4"/>
        <v>0</v>
      </c>
      <c r="U17" s="219">
        <f t="shared" si="4"/>
        <v>0</v>
      </c>
      <c r="V17" s="219">
        <f t="shared" si="4"/>
        <v>0</v>
      </c>
      <c r="W17" s="219">
        <f t="shared" si="4"/>
        <v>0</v>
      </c>
      <c r="X17" s="219">
        <f t="shared" si="4"/>
        <v>0</v>
      </c>
      <c r="Y17" s="219">
        <f t="shared" si="4"/>
        <v>0</v>
      </c>
      <c r="Z17" s="219">
        <f t="shared" si="4"/>
        <v>0</v>
      </c>
      <c r="AA17" s="219">
        <f t="shared" si="4"/>
        <v>0</v>
      </c>
      <c r="AB17" s="219">
        <f t="shared" si="4"/>
        <v>0</v>
      </c>
    </row>
    <row r="18" spans="2:28" x14ac:dyDescent="0.3">
      <c r="B18" s="69" t="s">
        <v>1499</v>
      </c>
      <c r="C18" s="172">
        <v>1</v>
      </c>
      <c r="D18" s="234">
        <v>0</v>
      </c>
      <c r="E18" s="235">
        <f>1-D18</f>
        <v>1</v>
      </c>
      <c r="F18" s="219">
        <f t="shared" ref="F18:AB18" si="5">$C18*F9</f>
        <v>0</v>
      </c>
      <c r="G18" s="219">
        <f t="shared" si="5"/>
        <v>0</v>
      </c>
      <c r="H18" s="219">
        <f t="shared" si="5"/>
        <v>0</v>
      </c>
      <c r="I18" s="219">
        <f t="shared" si="5"/>
        <v>54000</v>
      </c>
      <c r="J18" s="219">
        <f t="shared" si="5"/>
        <v>436861.44992311747</v>
      </c>
      <c r="K18" s="219">
        <f t="shared" si="5"/>
        <v>1710872.4347200999</v>
      </c>
      <c r="L18" s="219">
        <f t="shared" si="5"/>
        <v>2436081.8943577847</v>
      </c>
      <c r="M18" s="219">
        <f>$C18*M9</f>
        <v>2436081.8921049428</v>
      </c>
      <c r="N18" s="219">
        <f t="shared" si="5"/>
        <v>2436081.8974256795</v>
      </c>
      <c r="O18" s="219">
        <f t="shared" si="5"/>
        <v>2436081.8963389434</v>
      </c>
      <c r="P18" s="219">
        <f t="shared" si="5"/>
        <v>2436081.8961405219</v>
      </c>
      <c r="Q18" s="219">
        <f t="shared" si="5"/>
        <v>2436081.8990496793</v>
      </c>
      <c r="R18" s="219">
        <f t="shared" si="5"/>
        <v>2436081.8975874688</v>
      </c>
      <c r="S18" s="219">
        <f t="shared" si="5"/>
        <v>2436081.8967632586</v>
      </c>
      <c r="T18" s="219">
        <f t="shared" si="5"/>
        <v>2436081.8968029432</v>
      </c>
      <c r="U18" s="219">
        <f t="shared" si="5"/>
        <v>2436081.9049626263</v>
      </c>
      <c r="V18" s="219">
        <f t="shared" si="5"/>
        <v>2436081.8982804157</v>
      </c>
      <c r="W18" s="219">
        <f t="shared" si="5"/>
        <v>2436081.8965801005</v>
      </c>
      <c r="X18" s="219">
        <f t="shared" si="5"/>
        <v>0</v>
      </c>
      <c r="Y18" s="219">
        <f t="shared" si="5"/>
        <v>0</v>
      </c>
      <c r="Z18" s="219">
        <f t="shared" si="5"/>
        <v>0</v>
      </c>
      <c r="AA18" s="219">
        <f t="shared" si="5"/>
        <v>0</v>
      </c>
      <c r="AB18" s="219">
        <f t="shared" si="5"/>
        <v>0</v>
      </c>
    </row>
    <row r="19" spans="2:28" x14ac:dyDescent="0.3">
      <c r="B19" s="69" t="s">
        <v>1918</v>
      </c>
      <c r="C19" s="172">
        <v>0</v>
      </c>
      <c r="D19" s="234">
        <v>0</v>
      </c>
      <c r="E19" s="235">
        <f>1-D19</f>
        <v>1</v>
      </c>
      <c r="F19" s="219">
        <f>$C19*F10</f>
        <v>0</v>
      </c>
      <c r="G19" s="219">
        <f t="shared" ref="G19:AB19" si="6">$C19*G10</f>
        <v>0</v>
      </c>
      <c r="H19" s="219">
        <f t="shared" si="6"/>
        <v>0</v>
      </c>
      <c r="I19" s="219">
        <f t="shared" si="6"/>
        <v>0</v>
      </c>
      <c r="J19" s="219">
        <f t="shared" si="6"/>
        <v>0</v>
      </c>
      <c r="K19" s="219">
        <f t="shared" si="6"/>
        <v>0</v>
      </c>
      <c r="L19" s="219">
        <f t="shared" si="6"/>
        <v>0</v>
      </c>
      <c r="M19" s="219">
        <f t="shared" si="6"/>
        <v>0</v>
      </c>
      <c r="N19" s="219">
        <f t="shared" si="6"/>
        <v>0</v>
      </c>
      <c r="O19" s="219">
        <f t="shared" si="6"/>
        <v>0</v>
      </c>
      <c r="P19" s="219">
        <f t="shared" si="6"/>
        <v>0</v>
      </c>
      <c r="Q19" s="219">
        <f t="shared" si="6"/>
        <v>0</v>
      </c>
      <c r="R19" s="219">
        <f t="shared" si="6"/>
        <v>0</v>
      </c>
      <c r="S19" s="219">
        <f t="shared" si="6"/>
        <v>0</v>
      </c>
      <c r="T19" s="219">
        <f t="shared" si="6"/>
        <v>0</v>
      </c>
      <c r="U19" s="219">
        <f t="shared" si="6"/>
        <v>0</v>
      </c>
      <c r="V19" s="219">
        <f t="shared" si="6"/>
        <v>0</v>
      </c>
      <c r="W19" s="219">
        <f t="shared" si="6"/>
        <v>0</v>
      </c>
      <c r="X19" s="219">
        <f t="shared" si="6"/>
        <v>0</v>
      </c>
      <c r="Y19" s="219">
        <f t="shared" si="6"/>
        <v>0</v>
      </c>
      <c r="Z19" s="219">
        <f t="shared" si="6"/>
        <v>0</v>
      </c>
      <c r="AA19" s="219">
        <f t="shared" si="6"/>
        <v>0</v>
      </c>
      <c r="AB19" s="219">
        <f t="shared" si="6"/>
        <v>0</v>
      </c>
    </row>
    <row r="20" spans="2:28" x14ac:dyDescent="0.3"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</row>
    <row r="21" spans="2:28" x14ac:dyDescent="0.3">
      <c r="B21" s="3" t="s">
        <v>1500</v>
      </c>
      <c r="F21" s="219">
        <f>SUMPRODUCT($D$15:$D$19,F15:F19)</f>
        <v>0</v>
      </c>
      <c r="G21" s="219">
        <f t="shared" ref="G21:AB21" si="7">SUMPRODUCT($D$15:$D$19,G15:G19)</f>
        <v>0</v>
      </c>
      <c r="H21" s="219">
        <f t="shared" si="7"/>
        <v>0</v>
      </c>
      <c r="I21" s="219">
        <f t="shared" si="7"/>
        <v>0</v>
      </c>
      <c r="J21" s="219">
        <f t="shared" si="7"/>
        <v>0</v>
      </c>
      <c r="K21" s="219">
        <f t="shared" si="7"/>
        <v>0</v>
      </c>
      <c r="L21" s="219">
        <f t="shared" si="7"/>
        <v>0</v>
      </c>
      <c r="M21" s="219">
        <f t="shared" si="7"/>
        <v>0</v>
      </c>
      <c r="N21" s="219">
        <f t="shared" si="7"/>
        <v>0</v>
      </c>
      <c r="O21" s="219">
        <f t="shared" si="7"/>
        <v>0</v>
      </c>
      <c r="P21" s="219">
        <f t="shared" si="7"/>
        <v>0</v>
      </c>
      <c r="Q21" s="219">
        <f t="shared" si="7"/>
        <v>0</v>
      </c>
      <c r="R21" s="219">
        <f t="shared" si="7"/>
        <v>0</v>
      </c>
      <c r="S21" s="219">
        <f t="shared" si="7"/>
        <v>0</v>
      </c>
      <c r="T21" s="219">
        <f t="shared" si="7"/>
        <v>0</v>
      </c>
      <c r="U21" s="219">
        <f t="shared" si="7"/>
        <v>0</v>
      </c>
      <c r="V21" s="219">
        <f t="shared" si="7"/>
        <v>0</v>
      </c>
      <c r="W21" s="219">
        <f t="shared" si="7"/>
        <v>0</v>
      </c>
      <c r="X21" s="219">
        <f t="shared" si="7"/>
        <v>0</v>
      </c>
      <c r="Y21" s="219">
        <f t="shared" si="7"/>
        <v>0</v>
      </c>
      <c r="Z21" s="219">
        <f t="shared" si="7"/>
        <v>0</v>
      </c>
      <c r="AA21" s="219">
        <f t="shared" si="7"/>
        <v>0</v>
      </c>
      <c r="AB21" s="219">
        <f t="shared" si="7"/>
        <v>0</v>
      </c>
    </row>
    <row r="22" spans="2:28" x14ac:dyDescent="0.3">
      <c r="B22" s="69" t="s">
        <v>1501</v>
      </c>
      <c r="C22" s="228"/>
      <c r="D22" s="228"/>
      <c r="E22" s="228"/>
      <c r="F22" s="219">
        <f>SUMPRODUCT($E$15:$E$19,F15:F19)</f>
        <v>947390.95</v>
      </c>
      <c r="G22" s="219">
        <f t="shared" ref="G22:AB22" si="8">SUMPRODUCT($E$15:$E$19,G15:G19)</f>
        <v>942943.14</v>
      </c>
      <c r="H22" s="219">
        <f t="shared" si="8"/>
        <v>946328.51</v>
      </c>
      <c r="I22" s="219">
        <f t="shared" si="8"/>
        <v>1000276.12</v>
      </c>
      <c r="J22" s="219">
        <f t="shared" si="8"/>
        <v>1385588.6999231174</v>
      </c>
      <c r="K22" s="219">
        <f t="shared" si="8"/>
        <v>2667146.3947200999</v>
      </c>
      <c r="L22" s="219">
        <f t="shared" si="8"/>
        <v>3390351.8143577846</v>
      </c>
      <c r="M22" s="219">
        <f t="shared" si="8"/>
        <v>3393479.6321049426</v>
      </c>
      <c r="N22" s="219">
        <f t="shared" si="8"/>
        <v>3394580.7374256793</v>
      </c>
      <c r="O22" s="219">
        <f t="shared" si="8"/>
        <v>3390303.3363389433</v>
      </c>
      <c r="P22" s="219">
        <f t="shared" si="8"/>
        <v>3394462.3761405218</v>
      </c>
      <c r="Q22" s="219">
        <f t="shared" si="8"/>
        <v>3392910.4090496795</v>
      </c>
      <c r="R22" s="219">
        <f t="shared" si="8"/>
        <v>3395186.7075874689</v>
      </c>
      <c r="S22" s="219">
        <f t="shared" si="8"/>
        <v>3400757.0967632588</v>
      </c>
      <c r="T22" s="219">
        <f t="shared" si="8"/>
        <v>3260446.7268029433</v>
      </c>
      <c r="U22" s="219">
        <f t="shared" si="8"/>
        <v>3262160.7949626264</v>
      </c>
      <c r="V22" s="219">
        <f t="shared" si="8"/>
        <v>2557389.2382804155</v>
      </c>
      <c r="W22" s="219">
        <f t="shared" si="8"/>
        <v>2558802.5665801005</v>
      </c>
      <c r="X22" s="219">
        <f t="shared" si="8"/>
        <v>0</v>
      </c>
      <c r="Y22" s="219">
        <f t="shared" si="8"/>
        <v>0</v>
      </c>
      <c r="Z22" s="219">
        <f t="shared" si="8"/>
        <v>0</v>
      </c>
      <c r="AA22" s="219">
        <f t="shared" si="8"/>
        <v>0</v>
      </c>
      <c r="AB22" s="219">
        <f t="shared" si="8"/>
        <v>0</v>
      </c>
    </row>
    <row r="23" spans="2:28" x14ac:dyDescent="0.3">
      <c r="B23" s="69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</row>
    <row r="24" spans="2:28" s="229" customFormat="1" x14ac:dyDescent="0.3">
      <c r="B24" s="215" t="s">
        <v>13</v>
      </c>
      <c r="C24" s="230"/>
      <c r="D24" s="230"/>
      <c r="E24" s="230"/>
    </row>
    <row r="25" spans="2:28" x14ac:dyDescent="0.3">
      <c r="B25" s="5"/>
      <c r="C25" s="5" t="s">
        <v>1495</v>
      </c>
      <c r="D25" s="5" t="s">
        <v>1496</v>
      </c>
      <c r="E25" s="5" t="s">
        <v>1497</v>
      </c>
      <c r="F25" s="1">
        <v>2013</v>
      </c>
      <c r="G25" s="1">
        <v>2014</v>
      </c>
      <c r="H25" s="1">
        <v>2015</v>
      </c>
      <c r="I25" s="1">
        <v>2016</v>
      </c>
      <c r="J25" s="1">
        <v>2017</v>
      </c>
      <c r="K25" s="1">
        <v>2018</v>
      </c>
      <c r="L25" s="1">
        <v>2019</v>
      </c>
      <c r="M25" s="1">
        <v>2020</v>
      </c>
      <c r="N25" s="1">
        <v>2021</v>
      </c>
      <c r="O25" s="1">
        <v>2022</v>
      </c>
      <c r="P25" s="1">
        <v>2023</v>
      </c>
      <c r="Q25" s="1">
        <v>2024</v>
      </c>
      <c r="R25" s="1">
        <v>2025</v>
      </c>
      <c r="S25" s="1">
        <v>2026</v>
      </c>
      <c r="T25" s="1">
        <v>2027</v>
      </c>
      <c r="U25" s="1">
        <v>2028</v>
      </c>
      <c r="V25" s="1">
        <v>2029</v>
      </c>
      <c r="W25" s="1">
        <v>2030</v>
      </c>
      <c r="X25" s="1">
        <v>2031</v>
      </c>
      <c r="Y25" s="1">
        <v>2032</v>
      </c>
      <c r="Z25" s="1">
        <v>2033</v>
      </c>
      <c r="AA25" s="1">
        <v>2034</v>
      </c>
      <c r="AB25" s="1">
        <v>2035</v>
      </c>
    </row>
    <row r="26" spans="2:28" x14ac:dyDescent="0.3">
      <c r="B26" s="69" t="s">
        <v>315</v>
      </c>
      <c r="C26" s="172">
        <v>0</v>
      </c>
      <c r="D26" s="234">
        <v>0</v>
      </c>
      <c r="E26" s="235">
        <f>1-D26</f>
        <v>1</v>
      </c>
      <c r="F26" s="219">
        <f t="shared" ref="F26:AB26" si="9">$C26*F6</f>
        <v>0</v>
      </c>
      <c r="G26" s="219">
        <f t="shared" si="9"/>
        <v>0</v>
      </c>
      <c r="H26" s="219">
        <f t="shared" si="9"/>
        <v>0</v>
      </c>
      <c r="I26" s="219">
        <f t="shared" si="9"/>
        <v>0</v>
      </c>
      <c r="J26" s="219">
        <f t="shared" si="9"/>
        <v>0</v>
      </c>
      <c r="K26" s="219">
        <f t="shared" si="9"/>
        <v>0</v>
      </c>
      <c r="L26" s="219">
        <f t="shared" si="9"/>
        <v>0</v>
      </c>
      <c r="M26" s="219">
        <f t="shared" si="9"/>
        <v>0</v>
      </c>
      <c r="N26" s="219">
        <f t="shared" si="9"/>
        <v>0</v>
      </c>
      <c r="O26" s="219">
        <f t="shared" si="9"/>
        <v>0</v>
      </c>
      <c r="P26" s="219">
        <f t="shared" si="9"/>
        <v>0</v>
      </c>
      <c r="Q26" s="219">
        <f t="shared" si="9"/>
        <v>0</v>
      </c>
      <c r="R26" s="219">
        <f t="shared" si="9"/>
        <v>0</v>
      </c>
      <c r="S26" s="219">
        <f t="shared" si="9"/>
        <v>0</v>
      </c>
      <c r="T26" s="219">
        <f t="shared" si="9"/>
        <v>0</v>
      </c>
      <c r="U26" s="219">
        <f t="shared" si="9"/>
        <v>0</v>
      </c>
      <c r="V26" s="219">
        <f t="shared" si="9"/>
        <v>0</v>
      </c>
      <c r="W26" s="219">
        <f t="shared" si="9"/>
        <v>0</v>
      </c>
      <c r="X26" s="219">
        <f t="shared" si="9"/>
        <v>0</v>
      </c>
      <c r="Y26" s="219">
        <f t="shared" si="9"/>
        <v>0</v>
      </c>
      <c r="Z26" s="219">
        <f t="shared" si="9"/>
        <v>0</v>
      </c>
      <c r="AA26" s="219">
        <f t="shared" si="9"/>
        <v>0</v>
      </c>
      <c r="AB26" s="219">
        <f t="shared" si="9"/>
        <v>0</v>
      </c>
    </row>
    <row r="27" spans="2:28" x14ac:dyDescent="0.3">
      <c r="B27" s="69" t="s">
        <v>316</v>
      </c>
      <c r="C27" s="172">
        <v>0</v>
      </c>
      <c r="D27" s="234">
        <v>0</v>
      </c>
      <c r="E27" s="235">
        <f>1-D27</f>
        <v>1</v>
      </c>
      <c r="F27" s="219">
        <f t="shared" ref="F27:AB27" si="10">$C27*F7</f>
        <v>0</v>
      </c>
      <c r="G27" s="219">
        <f t="shared" si="10"/>
        <v>0</v>
      </c>
      <c r="H27" s="219">
        <f t="shared" si="10"/>
        <v>0</v>
      </c>
      <c r="I27" s="219">
        <f t="shared" si="10"/>
        <v>0</v>
      </c>
      <c r="J27" s="219">
        <f t="shared" si="10"/>
        <v>0</v>
      </c>
      <c r="K27" s="219">
        <f t="shared" si="10"/>
        <v>0</v>
      </c>
      <c r="L27" s="219">
        <f t="shared" si="10"/>
        <v>0</v>
      </c>
      <c r="M27" s="219">
        <f t="shared" si="10"/>
        <v>0</v>
      </c>
      <c r="N27" s="219">
        <f t="shared" si="10"/>
        <v>0</v>
      </c>
      <c r="O27" s="219">
        <f t="shared" si="10"/>
        <v>0</v>
      </c>
      <c r="P27" s="219">
        <f t="shared" si="10"/>
        <v>0</v>
      </c>
      <c r="Q27" s="219">
        <f t="shared" si="10"/>
        <v>0</v>
      </c>
      <c r="R27" s="219">
        <f t="shared" si="10"/>
        <v>0</v>
      </c>
      <c r="S27" s="219">
        <f t="shared" si="10"/>
        <v>0</v>
      </c>
      <c r="T27" s="219">
        <f t="shared" si="10"/>
        <v>0</v>
      </c>
      <c r="U27" s="219">
        <f t="shared" si="10"/>
        <v>0</v>
      </c>
      <c r="V27" s="219">
        <f t="shared" si="10"/>
        <v>0</v>
      </c>
      <c r="W27" s="219">
        <f t="shared" si="10"/>
        <v>0</v>
      </c>
      <c r="X27" s="219">
        <f t="shared" si="10"/>
        <v>0</v>
      </c>
      <c r="Y27" s="219">
        <f t="shared" si="10"/>
        <v>0</v>
      </c>
      <c r="Z27" s="219">
        <f t="shared" si="10"/>
        <v>0</v>
      </c>
      <c r="AA27" s="219">
        <f t="shared" si="10"/>
        <v>0</v>
      </c>
      <c r="AB27" s="219">
        <f t="shared" si="10"/>
        <v>0</v>
      </c>
    </row>
    <row r="28" spans="2:28" x14ac:dyDescent="0.3">
      <c r="B28" s="69" t="s">
        <v>317</v>
      </c>
      <c r="C28" s="172">
        <v>0</v>
      </c>
      <c r="D28" s="234">
        <v>0</v>
      </c>
      <c r="E28" s="235">
        <f>1-D28</f>
        <v>1</v>
      </c>
      <c r="F28" s="219">
        <f t="shared" ref="F28:AB28" si="11">$C28*F8</f>
        <v>0</v>
      </c>
      <c r="G28" s="219">
        <f t="shared" si="11"/>
        <v>0</v>
      </c>
      <c r="H28" s="219">
        <f t="shared" si="11"/>
        <v>0</v>
      </c>
      <c r="I28" s="219">
        <f t="shared" si="11"/>
        <v>0</v>
      </c>
      <c r="J28" s="219">
        <f t="shared" si="11"/>
        <v>0</v>
      </c>
      <c r="K28" s="219">
        <f t="shared" si="11"/>
        <v>0</v>
      </c>
      <c r="L28" s="219">
        <f t="shared" si="11"/>
        <v>0</v>
      </c>
      <c r="M28" s="219">
        <f t="shared" si="11"/>
        <v>0</v>
      </c>
      <c r="N28" s="219">
        <f t="shared" si="11"/>
        <v>0</v>
      </c>
      <c r="O28" s="219">
        <f t="shared" si="11"/>
        <v>0</v>
      </c>
      <c r="P28" s="219">
        <f t="shared" si="11"/>
        <v>0</v>
      </c>
      <c r="Q28" s="219">
        <f t="shared" si="11"/>
        <v>0</v>
      </c>
      <c r="R28" s="219">
        <f t="shared" si="11"/>
        <v>0</v>
      </c>
      <c r="S28" s="219">
        <f t="shared" si="11"/>
        <v>0</v>
      </c>
      <c r="T28" s="219">
        <f t="shared" si="11"/>
        <v>0</v>
      </c>
      <c r="U28" s="219">
        <f t="shared" si="11"/>
        <v>0</v>
      </c>
      <c r="V28" s="219">
        <f t="shared" si="11"/>
        <v>0</v>
      </c>
      <c r="W28" s="219">
        <f t="shared" si="11"/>
        <v>0</v>
      </c>
      <c r="X28" s="219">
        <f t="shared" si="11"/>
        <v>0</v>
      </c>
      <c r="Y28" s="219">
        <f t="shared" si="11"/>
        <v>0</v>
      </c>
      <c r="Z28" s="219">
        <f t="shared" si="11"/>
        <v>0</v>
      </c>
      <c r="AA28" s="219">
        <f t="shared" si="11"/>
        <v>0</v>
      </c>
      <c r="AB28" s="219">
        <f t="shared" si="11"/>
        <v>0</v>
      </c>
    </row>
    <row r="29" spans="2:28" x14ac:dyDescent="0.3">
      <c r="B29" s="69" t="s">
        <v>1499</v>
      </c>
      <c r="C29" s="172">
        <v>0</v>
      </c>
      <c r="D29" s="234">
        <v>0</v>
      </c>
      <c r="E29" s="235">
        <f>1-D29</f>
        <v>1</v>
      </c>
      <c r="F29" s="219">
        <f t="shared" ref="F29:AB29" si="12">$C29*F9</f>
        <v>0</v>
      </c>
      <c r="G29" s="219">
        <f t="shared" si="12"/>
        <v>0</v>
      </c>
      <c r="H29" s="219">
        <f t="shared" si="12"/>
        <v>0</v>
      </c>
      <c r="I29" s="219">
        <f t="shared" si="12"/>
        <v>0</v>
      </c>
      <c r="J29" s="219">
        <f t="shared" si="12"/>
        <v>0</v>
      </c>
      <c r="K29" s="219">
        <f t="shared" si="12"/>
        <v>0</v>
      </c>
      <c r="L29" s="219">
        <f t="shared" si="12"/>
        <v>0</v>
      </c>
      <c r="M29" s="219">
        <f t="shared" si="12"/>
        <v>0</v>
      </c>
      <c r="N29" s="219">
        <f t="shared" si="12"/>
        <v>0</v>
      </c>
      <c r="O29" s="219">
        <f t="shared" si="12"/>
        <v>0</v>
      </c>
      <c r="P29" s="219">
        <f t="shared" si="12"/>
        <v>0</v>
      </c>
      <c r="Q29" s="219">
        <f t="shared" si="12"/>
        <v>0</v>
      </c>
      <c r="R29" s="219">
        <f t="shared" si="12"/>
        <v>0</v>
      </c>
      <c r="S29" s="219">
        <f t="shared" si="12"/>
        <v>0</v>
      </c>
      <c r="T29" s="219">
        <f t="shared" si="12"/>
        <v>0</v>
      </c>
      <c r="U29" s="219">
        <f t="shared" si="12"/>
        <v>0</v>
      </c>
      <c r="V29" s="219">
        <f t="shared" si="12"/>
        <v>0</v>
      </c>
      <c r="W29" s="219">
        <f t="shared" si="12"/>
        <v>0</v>
      </c>
      <c r="X29" s="219">
        <f t="shared" si="12"/>
        <v>0</v>
      </c>
      <c r="Y29" s="219">
        <f t="shared" si="12"/>
        <v>0</v>
      </c>
      <c r="Z29" s="219">
        <f t="shared" si="12"/>
        <v>0</v>
      </c>
      <c r="AA29" s="219">
        <f t="shared" si="12"/>
        <v>0</v>
      </c>
      <c r="AB29" s="219">
        <f t="shared" si="12"/>
        <v>0</v>
      </c>
    </row>
    <row r="30" spans="2:28" ht="16.5" customHeight="1" x14ac:dyDescent="0.3">
      <c r="B30" s="69" t="s">
        <v>1918</v>
      </c>
      <c r="C30" s="172">
        <v>0</v>
      </c>
      <c r="D30" s="234">
        <v>0</v>
      </c>
      <c r="E30" s="235">
        <f>1-D30</f>
        <v>1</v>
      </c>
      <c r="F30" s="219">
        <f>$C30*F10</f>
        <v>0</v>
      </c>
      <c r="G30" s="219">
        <f t="shared" ref="G30:AB30" si="13">$C30*G10</f>
        <v>0</v>
      </c>
      <c r="H30" s="219">
        <f t="shared" si="13"/>
        <v>0</v>
      </c>
      <c r="I30" s="219">
        <f t="shared" si="13"/>
        <v>0</v>
      </c>
      <c r="J30" s="219">
        <f t="shared" si="13"/>
        <v>0</v>
      </c>
      <c r="K30" s="219">
        <f t="shared" si="13"/>
        <v>0</v>
      </c>
      <c r="L30" s="219">
        <f t="shared" si="13"/>
        <v>0</v>
      </c>
      <c r="M30" s="219">
        <f t="shared" si="13"/>
        <v>0</v>
      </c>
      <c r="N30" s="219">
        <f t="shared" si="13"/>
        <v>0</v>
      </c>
      <c r="O30" s="219">
        <f t="shared" si="13"/>
        <v>0</v>
      </c>
      <c r="P30" s="219">
        <f t="shared" si="13"/>
        <v>0</v>
      </c>
      <c r="Q30" s="219">
        <f t="shared" si="13"/>
        <v>0</v>
      </c>
      <c r="R30" s="219">
        <f t="shared" si="13"/>
        <v>0</v>
      </c>
      <c r="S30" s="219">
        <f t="shared" si="13"/>
        <v>0</v>
      </c>
      <c r="T30" s="219">
        <f t="shared" si="13"/>
        <v>0</v>
      </c>
      <c r="U30" s="219">
        <f t="shared" si="13"/>
        <v>0</v>
      </c>
      <c r="V30" s="219">
        <f t="shared" si="13"/>
        <v>0</v>
      </c>
      <c r="W30" s="219">
        <f t="shared" si="13"/>
        <v>0</v>
      </c>
      <c r="X30" s="219">
        <f t="shared" si="13"/>
        <v>0</v>
      </c>
      <c r="Y30" s="219">
        <f t="shared" si="13"/>
        <v>0</v>
      </c>
      <c r="Z30" s="219">
        <f t="shared" si="13"/>
        <v>0</v>
      </c>
      <c r="AA30" s="219">
        <f t="shared" si="13"/>
        <v>0</v>
      </c>
      <c r="AB30" s="219">
        <f t="shared" si="13"/>
        <v>0</v>
      </c>
    </row>
    <row r="31" spans="2:28" s="216" customFormat="1" x14ac:dyDescent="0.3">
      <c r="B31" s="3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31"/>
    </row>
    <row r="32" spans="2:28" s="216" customFormat="1" x14ac:dyDescent="0.3">
      <c r="B32" s="3" t="s">
        <v>1502</v>
      </c>
      <c r="C32" s="214"/>
      <c r="D32" s="214"/>
      <c r="E32" s="214"/>
      <c r="F32" s="219">
        <f>SUMPRODUCT($D$26:$D$30,F26:F30)</f>
        <v>0</v>
      </c>
      <c r="G32" s="219">
        <f t="shared" ref="G32:AB32" si="14">SUMPRODUCT($D$26:$D$30,G26:G30)</f>
        <v>0</v>
      </c>
      <c r="H32" s="219">
        <f t="shared" si="14"/>
        <v>0</v>
      </c>
      <c r="I32" s="219">
        <f t="shared" si="14"/>
        <v>0</v>
      </c>
      <c r="J32" s="219">
        <f t="shared" si="14"/>
        <v>0</v>
      </c>
      <c r="K32" s="219">
        <f t="shared" si="14"/>
        <v>0</v>
      </c>
      <c r="L32" s="219">
        <f t="shared" si="14"/>
        <v>0</v>
      </c>
      <c r="M32" s="219">
        <f t="shared" si="14"/>
        <v>0</v>
      </c>
      <c r="N32" s="219">
        <f t="shared" si="14"/>
        <v>0</v>
      </c>
      <c r="O32" s="219">
        <f t="shared" si="14"/>
        <v>0</v>
      </c>
      <c r="P32" s="219">
        <f t="shared" si="14"/>
        <v>0</v>
      </c>
      <c r="Q32" s="219">
        <f t="shared" si="14"/>
        <v>0</v>
      </c>
      <c r="R32" s="219">
        <f t="shared" si="14"/>
        <v>0</v>
      </c>
      <c r="S32" s="219">
        <f t="shared" si="14"/>
        <v>0</v>
      </c>
      <c r="T32" s="219">
        <f t="shared" si="14"/>
        <v>0</v>
      </c>
      <c r="U32" s="219">
        <f t="shared" si="14"/>
        <v>0</v>
      </c>
      <c r="V32" s="219">
        <f t="shared" si="14"/>
        <v>0</v>
      </c>
      <c r="W32" s="219">
        <f t="shared" si="14"/>
        <v>0</v>
      </c>
      <c r="X32" s="219">
        <f t="shared" si="14"/>
        <v>0</v>
      </c>
      <c r="Y32" s="219">
        <f t="shared" si="14"/>
        <v>0</v>
      </c>
      <c r="Z32" s="219">
        <f t="shared" si="14"/>
        <v>0</v>
      </c>
      <c r="AA32" s="219">
        <f t="shared" si="14"/>
        <v>0</v>
      </c>
      <c r="AB32" s="219">
        <f t="shared" si="14"/>
        <v>0</v>
      </c>
    </row>
    <row r="33" spans="2:28" s="216" customFormat="1" x14ac:dyDescent="0.3">
      <c r="B33" s="69" t="s">
        <v>1503</v>
      </c>
      <c r="C33" s="214"/>
      <c r="D33" s="214"/>
      <c r="E33" s="214"/>
      <c r="F33" s="219">
        <f>SUMPRODUCT($E$26:$E$30,F26:F30)</f>
        <v>0</v>
      </c>
      <c r="G33" s="219">
        <f t="shared" ref="G33:AB33" si="15">SUMPRODUCT($E$26:$E$30,G26:G30)</f>
        <v>0</v>
      </c>
      <c r="H33" s="219">
        <f t="shared" si="15"/>
        <v>0</v>
      </c>
      <c r="I33" s="219">
        <f t="shared" si="15"/>
        <v>0</v>
      </c>
      <c r="J33" s="219">
        <f t="shared" si="15"/>
        <v>0</v>
      </c>
      <c r="K33" s="219">
        <f t="shared" si="15"/>
        <v>0</v>
      </c>
      <c r="L33" s="219">
        <f t="shared" si="15"/>
        <v>0</v>
      </c>
      <c r="M33" s="219">
        <f t="shared" si="15"/>
        <v>0</v>
      </c>
      <c r="N33" s="219">
        <f t="shared" si="15"/>
        <v>0</v>
      </c>
      <c r="O33" s="219">
        <f t="shared" si="15"/>
        <v>0</v>
      </c>
      <c r="P33" s="219">
        <f t="shared" si="15"/>
        <v>0</v>
      </c>
      <c r="Q33" s="219">
        <f t="shared" si="15"/>
        <v>0</v>
      </c>
      <c r="R33" s="219">
        <f t="shared" si="15"/>
        <v>0</v>
      </c>
      <c r="S33" s="219">
        <f t="shared" si="15"/>
        <v>0</v>
      </c>
      <c r="T33" s="219">
        <f t="shared" si="15"/>
        <v>0</v>
      </c>
      <c r="U33" s="219">
        <f t="shared" si="15"/>
        <v>0</v>
      </c>
      <c r="V33" s="219">
        <f t="shared" si="15"/>
        <v>0</v>
      </c>
      <c r="W33" s="219">
        <f t="shared" si="15"/>
        <v>0</v>
      </c>
      <c r="X33" s="219">
        <f t="shared" si="15"/>
        <v>0</v>
      </c>
      <c r="Y33" s="219">
        <f t="shared" si="15"/>
        <v>0</v>
      </c>
      <c r="Z33" s="219">
        <f t="shared" si="15"/>
        <v>0</v>
      </c>
      <c r="AA33" s="219">
        <f t="shared" si="15"/>
        <v>0</v>
      </c>
      <c r="AB33" s="219">
        <f t="shared" si="15"/>
        <v>0</v>
      </c>
    </row>
    <row r="34" spans="2:28" s="216" customFormat="1" x14ac:dyDescent="0.3">
      <c r="B34" s="69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31"/>
    </row>
    <row r="35" spans="2:28" s="229" customFormat="1" x14ac:dyDescent="0.3">
      <c r="B35" s="215" t="s">
        <v>347</v>
      </c>
      <c r="C35" s="230"/>
      <c r="D35" s="230"/>
      <c r="E35" s="230"/>
    </row>
    <row r="36" spans="2:28" x14ac:dyDescent="0.3">
      <c r="B36" s="5"/>
      <c r="C36" s="5" t="s">
        <v>1495</v>
      </c>
      <c r="D36" s="4" t="s">
        <v>1496</v>
      </c>
      <c r="E36" s="4" t="s">
        <v>1497</v>
      </c>
      <c r="F36" s="1">
        <v>2013</v>
      </c>
      <c r="G36" s="1">
        <v>2014</v>
      </c>
      <c r="H36" s="1">
        <v>2015</v>
      </c>
      <c r="I36" s="1">
        <v>2016</v>
      </c>
      <c r="J36" s="1">
        <v>2017</v>
      </c>
      <c r="K36" s="1">
        <v>2018</v>
      </c>
      <c r="L36" s="1">
        <v>2019</v>
      </c>
      <c r="M36" s="1">
        <v>2020</v>
      </c>
      <c r="N36" s="1">
        <v>2021</v>
      </c>
      <c r="O36" s="1">
        <v>2022</v>
      </c>
      <c r="P36" s="1">
        <v>2023</v>
      </c>
      <c r="Q36" s="1">
        <v>2024</v>
      </c>
      <c r="R36" s="1">
        <v>2025</v>
      </c>
      <c r="S36" s="1">
        <v>2026</v>
      </c>
      <c r="T36" s="1">
        <v>2027</v>
      </c>
      <c r="U36" s="1">
        <v>2028</v>
      </c>
      <c r="V36" s="1">
        <v>2029</v>
      </c>
      <c r="W36" s="1">
        <v>2030</v>
      </c>
      <c r="X36" s="1">
        <v>2031</v>
      </c>
      <c r="Y36" s="1">
        <v>2032</v>
      </c>
      <c r="Z36" s="1">
        <v>2033</v>
      </c>
      <c r="AA36" s="1">
        <v>2034</v>
      </c>
      <c r="AB36" s="1">
        <v>2035</v>
      </c>
    </row>
    <row r="37" spans="2:28" x14ac:dyDescent="0.3">
      <c r="B37" s="69" t="s">
        <v>315</v>
      </c>
      <c r="C37" s="172">
        <v>0</v>
      </c>
      <c r="D37" s="234">
        <v>0</v>
      </c>
      <c r="E37" s="235">
        <f>1-D37</f>
        <v>1</v>
      </c>
      <c r="F37" s="219">
        <f t="shared" ref="F37:AB37" si="16">$C37*F6</f>
        <v>0</v>
      </c>
      <c r="G37" s="219">
        <f t="shared" si="16"/>
        <v>0</v>
      </c>
      <c r="H37" s="219">
        <f t="shared" si="16"/>
        <v>0</v>
      </c>
      <c r="I37" s="219">
        <f t="shared" si="16"/>
        <v>0</v>
      </c>
      <c r="J37" s="219">
        <f t="shared" si="16"/>
        <v>0</v>
      </c>
      <c r="K37" s="219">
        <f t="shared" si="16"/>
        <v>0</v>
      </c>
      <c r="L37" s="219">
        <f t="shared" si="16"/>
        <v>0</v>
      </c>
      <c r="M37" s="219">
        <f t="shared" si="16"/>
        <v>0</v>
      </c>
      <c r="N37" s="219">
        <f t="shared" si="16"/>
        <v>0</v>
      </c>
      <c r="O37" s="219">
        <f t="shared" si="16"/>
        <v>0</v>
      </c>
      <c r="P37" s="219">
        <f t="shared" si="16"/>
        <v>0</v>
      </c>
      <c r="Q37" s="219">
        <f t="shared" si="16"/>
        <v>0</v>
      </c>
      <c r="R37" s="219">
        <f t="shared" si="16"/>
        <v>0</v>
      </c>
      <c r="S37" s="219">
        <f t="shared" si="16"/>
        <v>0</v>
      </c>
      <c r="T37" s="219">
        <f t="shared" si="16"/>
        <v>0</v>
      </c>
      <c r="U37" s="219">
        <f t="shared" si="16"/>
        <v>0</v>
      </c>
      <c r="V37" s="219">
        <f t="shared" si="16"/>
        <v>0</v>
      </c>
      <c r="W37" s="219">
        <f t="shared" si="16"/>
        <v>0</v>
      </c>
      <c r="X37" s="219">
        <f t="shared" si="16"/>
        <v>0</v>
      </c>
      <c r="Y37" s="219">
        <f t="shared" si="16"/>
        <v>0</v>
      </c>
      <c r="Z37" s="219">
        <f t="shared" si="16"/>
        <v>0</v>
      </c>
      <c r="AA37" s="219">
        <f t="shared" si="16"/>
        <v>0</v>
      </c>
      <c r="AB37" s="219">
        <f t="shared" si="16"/>
        <v>0</v>
      </c>
    </row>
    <row r="38" spans="2:28" x14ac:dyDescent="0.3">
      <c r="B38" s="69" t="s">
        <v>316</v>
      </c>
      <c r="C38" s="172">
        <v>0</v>
      </c>
      <c r="D38" s="234">
        <v>0</v>
      </c>
      <c r="E38" s="235">
        <f>1-D38</f>
        <v>1</v>
      </c>
      <c r="F38" s="219">
        <f t="shared" ref="F38:AB38" si="17">$C38*F7</f>
        <v>0</v>
      </c>
      <c r="G38" s="219">
        <f t="shared" si="17"/>
        <v>0</v>
      </c>
      <c r="H38" s="219">
        <f t="shared" si="17"/>
        <v>0</v>
      </c>
      <c r="I38" s="219">
        <f t="shared" si="17"/>
        <v>0</v>
      </c>
      <c r="J38" s="219">
        <f t="shared" si="17"/>
        <v>0</v>
      </c>
      <c r="K38" s="219">
        <f t="shared" si="17"/>
        <v>0</v>
      </c>
      <c r="L38" s="219">
        <f t="shared" si="17"/>
        <v>0</v>
      </c>
      <c r="M38" s="219">
        <f t="shared" si="17"/>
        <v>0</v>
      </c>
      <c r="N38" s="219">
        <f t="shared" si="17"/>
        <v>0</v>
      </c>
      <c r="O38" s="219">
        <f t="shared" si="17"/>
        <v>0</v>
      </c>
      <c r="P38" s="219">
        <f t="shared" si="17"/>
        <v>0</v>
      </c>
      <c r="Q38" s="219">
        <f t="shared" si="17"/>
        <v>0</v>
      </c>
      <c r="R38" s="219">
        <f t="shared" si="17"/>
        <v>0</v>
      </c>
      <c r="S38" s="219">
        <f t="shared" si="17"/>
        <v>0</v>
      </c>
      <c r="T38" s="219">
        <f t="shared" si="17"/>
        <v>0</v>
      </c>
      <c r="U38" s="219">
        <f t="shared" si="17"/>
        <v>0</v>
      </c>
      <c r="V38" s="219">
        <f t="shared" si="17"/>
        <v>0</v>
      </c>
      <c r="W38" s="219">
        <f t="shared" si="17"/>
        <v>0</v>
      </c>
      <c r="X38" s="219">
        <f t="shared" si="17"/>
        <v>0</v>
      </c>
      <c r="Y38" s="219">
        <f t="shared" si="17"/>
        <v>0</v>
      </c>
      <c r="Z38" s="219">
        <f t="shared" si="17"/>
        <v>0</v>
      </c>
      <c r="AA38" s="219">
        <f t="shared" si="17"/>
        <v>0</v>
      </c>
      <c r="AB38" s="219">
        <f t="shared" si="17"/>
        <v>0</v>
      </c>
    </row>
    <row r="39" spans="2:28" x14ac:dyDescent="0.3">
      <c r="B39" s="69" t="s">
        <v>317</v>
      </c>
      <c r="C39" s="172">
        <v>0</v>
      </c>
      <c r="D39" s="234">
        <v>0</v>
      </c>
      <c r="E39" s="235">
        <f>1-D39</f>
        <v>1</v>
      </c>
      <c r="F39" s="219">
        <f t="shared" ref="F39:AB39" si="18">$C39*F8</f>
        <v>0</v>
      </c>
      <c r="G39" s="219">
        <f t="shared" si="18"/>
        <v>0</v>
      </c>
      <c r="H39" s="219">
        <f t="shared" si="18"/>
        <v>0</v>
      </c>
      <c r="I39" s="219">
        <f t="shared" si="18"/>
        <v>0</v>
      </c>
      <c r="J39" s="219">
        <f t="shared" si="18"/>
        <v>0</v>
      </c>
      <c r="K39" s="219">
        <f t="shared" si="18"/>
        <v>0</v>
      </c>
      <c r="L39" s="219">
        <f t="shared" si="18"/>
        <v>0</v>
      </c>
      <c r="M39" s="219">
        <f t="shared" si="18"/>
        <v>0</v>
      </c>
      <c r="N39" s="219">
        <f t="shared" si="18"/>
        <v>0</v>
      </c>
      <c r="O39" s="219">
        <f t="shared" si="18"/>
        <v>0</v>
      </c>
      <c r="P39" s="219">
        <f t="shared" si="18"/>
        <v>0</v>
      </c>
      <c r="Q39" s="219">
        <f t="shared" si="18"/>
        <v>0</v>
      </c>
      <c r="R39" s="219">
        <f t="shared" si="18"/>
        <v>0</v>
      </c>
      <c r="S39" s="219">
        <f t="shared" si="18"/>
        <v>0</v>
      </c>
      <c r="T39" s="219">
        <f t="shared" si="18"/>
        <v>0</v>
      </c>
      <c r="U39" s="219">
        <f t="shared" si="18"/>
        <v>0</v>
      </c>
      <c r="V39" s="219">
        <f t="shared" si="18"/>
        <v>0</v>
      </c>
      <c r="W39" s="219">
        <f t="shared" si="18"/>
        <v>0</v>
      </c>
      <c r="X39" s="219">
        <f t="shared" si="18"/>
        <v>0</v>
      </c>
      <c r="Y39" s="219">
        <f t="shared" si="18"/>
        <v>0</v>
      </c>
      <c r="Z39" s="219">
        <f t="shared" si="18"/>
        <v>0</v>
      </c>
      <c r="AA39" s="219">
        <f t="shared" si="18"/>
        <v>0</v>
      </c>
      <c r="AB39" s="219">
        <f t="shared" si="18"/>
        <v>0</v>
      </c>
    </row>
    <row r="40" spans="2:28" x14ac:dyDescent="0.3">
      <c r="B40" s="69" t="s">
        <v>1499</v>
      </c>
      <c r="C40" s="172">
        <v>0</v>
      </c>
      <c r="D40" s="234">
        <v>0</v>
      </c>
      <c r="E40" s="235">
        <f>1-D40</f>
        <v>1</v>
      </c>
      <c r="F40" s="219">
        <f t="shared" ref="F40:W40" si="19">$C40*F9</f>
        <v>0</v>
      </c>
      <c r="G40" s="219">
        <f t="shared" si="19"/>
        <v>0</v>
      </c>
      <c r="H40" s="219">
        <f t="shared" si="19"/>
        <v>0</v>
      </c>
      <c r="I40" s="219">
        <f t="shared" si="19"/>
        <v>0</v>
      </c>
      <c r="J40" s="219">
        <f t="shared" si="19"/>
        <v>0</v>
      </c>
      <c r="K40" s="219">
        <f t="shared" si="19"/>
        <v>0</v>
      </c>
      <c r="L40" s="219">
        <f t="shared" si="19"/>
        <v>0</v>
      </c>
      <c r="M40" s="219">
        <f t="shared" si="19"/>
        <v>0</v>
      </c>
      <c r="N40" s="219">
        <f t="shared" si="19"/>
        <v>0</v>
      </c>
      <c r="O40" s="219">
        <f t="shared" si="19"/>
        <v>0</v>
      </c>
      <c r="P40" s="219">
        <f t="shared" si="19"/>
        <v>0</v>
      </c>
      <c r="Q40" s="219">
        <f t="shared" si="19"/>
        <v>0</v>
      </c>
      <c r="R40" s="219">
        <f t="shared" si="19"/>
        <v>0</v>
      </c>
      <c r="S40" s="219">
        <f t="shared" si="19"/>
        <v>0</v>
      </c>
      <c r="T40" s="219">
        <f t="shared" si="19"/>
        <v>0</v>
      </c>
      <c r="U40" s="219">
        <f t="shared" si="19"/>
        <v>0</v>
      </c>
      <c r="V40" s="219">
        <f t="shared" si="19"/>
        <v>0</v>
      </c>
      <c r="W40" s="219">
        <f t="shared" si="19"/>
        <v>0</v>
      </c>
      <c r="X40" s="219">
        <f t="shared" ref="X40:AB41" si="20">$C40*X9</f>
        <v>0</v>
      </c>
      <c r="Y40" s="219">
        <f t="shared" si="20"/>
        <v>0</v>
      </c>
      <c r="Z40" s="219">
        <f t="shared" si="20"/>
        <v>0</v>
      </c>
      <c r="AA40" s="219">
        <f t="shared" si="20"/>
        <v>0</v>
      </c>
      <c r="AB40" s="219">
        <f t="shared" si="20"/>
        <v>0</v>
      </c>
    </row>
    <row r="41" spans="2:28" x14ac:dyDescent="0.3">
      <c r="B41" s="1038" t="s">
        <v>1918</v>
      </c>
      <c r="C41" s="172">
        <v>1</v>
      </c>
      <c r="D41" s="234">
        <v>0</v>
      </c>
      <c r="E41" s="235">
        <f>1-D41</f>
        <v>1</v>
      </c>
      <c r="F41" s="219">
        <f t="shared" ref="F41:W41" si="21">$C41*F10</f>
        <v>0</v>
      </c>
      <c r="G41" s="219">
        <f t="shared" si="21"/>
        <v>0</v>
      </c>
      <c r="H41" s="219">
        <f t="shared" si="21"/>
        <v>0</v>
      </c>
      <c r="I41" s="219">
        <f t="shared" si="21"/>
        <v>36333</v>
      </c>
      <c r="J41" s="219">
        <f t="shared" si="21"/>
        <v>0</v>
      </c>
      <c r="K41" s="219">
        <f t="shared" si="21"/>
        <v>0</v>
      </c>
      <c r="L41" s="219">
        <f t="shared" si="21"/>
        <v>0</v>
      </c>
      <c r="M41" s="219">
        <f t="shared" si="21"/>
        <v>0</v>
      </c>
      <c r="N41" s="219">
        <f t="shared" si="21"/>
        <v>0</v>
      </c>
      <c r="O41" s="219">
        <f t="shared" si="21"/>
        <v>0</v>
      </c>
      <c r="P41" s="219">
        <f t="shared" si="21"/>
        <v>0</v>
      </c>
      <c r="Q41" s="219">
        <f t="shared" si="21"/>
        <v>0</v>
      </c>
      <c r="R41" s="219">
        <f t="shared" si="21"/>
        <v>0</v>
      </c>
      <c r="S41" s="219">
        <f t="shared" si="21"/>
        <v>0</v>
      </c>
      <c r="T41" s="219">
        <f t="shared" si="21"/>
        <v>0</v>
      </c>
      <c r="U41" s="219">
        <f t="shared" si="21"/>
        <v>0</v>
      </c>
      <c r="V41" s="219">
        <f t="shared" si="21"/>
        <v>0</v>
      </c>
      <c r="W41" s="219">
        <f t="shared" si="21"/>
        <v>0</v>
      </c>
      <c r="X41" s="219">
        <f t="shared" si="20"/>
        <v>0</v>
      </c>
      <c r="Y41" s="219">
        <f t="shared" si="20"/>
        <v>0</v>
      </c>
      <c r="Z41" s="219">
        <f t="shared" si="20"/>
        <v>0</v>
      </c>
      <c r="AA41" s="219">
        <f t="shared" si="20"/>
        <v>0</v>
      </c>
      <c r="AB41" s="219">
        <f t="shared" si="20"/>
        <v>0</v>
      </c>
    </row>
    <row r="43" spans="2:28" x14ac:dyDescent="0.3">
      <c r="B43" s="3" t="s">
        <v>1504</v>
      </c>
      <c r="F43" s="219">
        <f>SUMPRODUCT($D$37:$D$41,F37:F41)</f>
        <v>0</v>
      </c>
      <c r="G43" s="219">
        <f t="shared" ref="G43:AB43" si="22">SUMPRODUCT($D$37:$D$41,G37:G41)</f>
        <v>0</v>
      </c>
      <c r="H43" s="219">
        <f t="shared" si="22"/>
        <v>0</v>
      </c>
      <c r="I43" s="219">
        <f t="shared" si="22"/>
        <v>0</v>
      </c>
      <c r="J43" s="219">
        <f t="shared" si="22"/>
        <v>0</v>
      </c>
      <c r="K43" s="219">
        <f t="shared" si="22"/>
        <v>0</v>
      </c>
      <c r="L43" s="219">
        <f t="shared" si="22"/>
        <v>0</v>
      </c>
      <c r="M43" s="219">
        <f t="shared" si="22"/>
        <v>0</v>
      </c>
      <c r="N43" s="219">
        <f t="shared" si="22"/>
        <v>0</v>
      </c>
      <c r="O43" s="219">
        <f t="shared" si="22"/>
        <v>0</v>
      </c>
      <c r="P43" s="219">
        <f t="shared" si="22"/>
        <v>0</v>
      </c>
      <c r="Q43" s="219">
        <f t="shared" si="22"/>
        <v>0</v>
      </c>
      <c r="R43" s="219">
        <f t="shared" si="22"/>
        <v>0</v>
      </c>
      <c r="S43" s="219">
        <f t="shared" si="22"/>
        <v>0</v>
      </c>
      <c r="T43" s="219">
        <f t="shared" si="22"/>
        <v>0</v>
      </c>
      <c r="U43" s="219">
        <f t="shared" si="22"/>
        <v>0</v>
      </c>
      <c r="V43" s="219">
        <f t="shared" si="22"/>
        <v>0</v>
      </c>
      <c r="W43" s="219">
        <f t="shared" si="22"/>
        <v>0</v>
      </c>
      <c r="X43" s="219">
        <f t="shared" si="22"/>
        <v>0</v>
      </c>
      <c r="Y43" s="219">
        <f t="shared" si="22"/>
        <v>0</v>
      </c>
      <c r="Z43" s="219">
        <f t="shared" si="22"/>
        <v>0</v>
      </c>
      <c r="AA43" s="219">
        <f t="shared" si="22"/>
        <v>0</v>
      </c>
      <c r="AB43" s="219">
        <f t="shared" si="22"/>
        <v>0</v>
      </c>
    </row>
    <row r="44" spans="2:28" x14ac:dyDescent="0.3">
      <c r="B44" s="69" t="s">
        <v>1505</v>
      </c>
      <c r="F44" s="219">
        <f>SUMPRODUCT($E$37:$E$41,F37:F41)</f>
        <v>0</v>
      </c>
      <c r="G44" s="219">
        <f t="shared" ref="G44:AB44" si="23">SUMPRODUCT($E$37:$E$41,G37:G41)</f>
        <v>0</v>
      </c>
      <c r="H44" s="219">
        <f t="shared" si="23"/>
        <v>0</v>
      </c>
      <c r="I44" s="219">
        <f t="shared" si="23"/>
        <v>36333</v>
      </c>
      <c r="J44" s="219">
        <f t="shared" si="23"/>
        <v>0</v>
      </c>
      <c r="K44" s="219">
        <f t="shared" si="23"/>
        <v>0</v>
      </c>
      <c r="L44" s="219">
        <f t="shared" si="23"/>
        <v>0</v>
      </c>
      <c r="M44" s="219">
        <f t="shared" si="23"/>
        <v>0</v>
      </c>
      <c r="N44" s="219">
        <f t="shared" si="23"/>
        <v>0</v>
      </c>
      <c r="O44" s="219">
        <f t="shared" si="23"/>
        <v>0</v>
      </c>
      <c r="P44" s="219">
        <f t="shared" si="23"/>
        <v>0</v>
      </c>
      <c r="Q44" s="219">
        <f t="shared" si="23"/>
        <v>0</v>
      </c>
      <c r="R44" s="219">
        <f t="shared" si="23"/>
        <v>0</v>
      </c>
      <c r="S44" s="219">
        <f t="shared" si="23"/>
        <v>0</v>
      </c>
      <c r="T44" s="219">
        <f t="shared" si="23"/>
        <v>0</v>
      </c>
      <c r="U44" s="219">
        <f t="shared" si="23"/>
        <v>0</v>
      </c>
      <c r="V44" s="219">
        <f t="shared" si="23"/>
        <v>0</v>
      </c>
      <c r="W44" s="219">
        <f t="shared" si="23"/>
        <v>0</v>
      </c>
      <c r="X44" s="219">
        <f t="shared" si="23"/>
        <v>0</v>
      </c>
      <c r="Y44" s="219">
        <f t="shared" si="23"/>
        <v>0</v>
      </c>
      <c r="Z44" s="219">
        <f t="shared" si="23"/>
        <v>0</v>
      </c>
      <c r="AA44" s="219">
        <f t="shared" si="23"/>
        <v>0</v>
      </c>
      <c r="AB44" s="219">
        <f t="shared" si="23"/>
        <v>0</v>
      </c>
    </row>
    <row r="45" spans="2:28" x14ac:dyDescent="0.3">
      <c r="B45" s="69"/>
    </row>
    <row r="46" spans="2:28" x14ac:dyDescent="0.3">
      <c r="B46" s="69"/>
    </row>
    <row r="47" spans="2:28" x14ac:dyDescent="0.3">
      <c r="B47" s="69"/>
    </row>
    <row r="48" spans="2:28" x14ac:dyDescent="0.3">
      <c r="E48" s="951" t="s">
        <v>1485</v>
      </c>
      <c r="F48" s="3" t="b">
        <f>SUM(F37:F41,F26:F30,F15:F19)=F11</f>
        <v>1</v>
      </c>
      <c r="G48" s="3" t="b">
        <f t="shared" ref="G48:AB48" si="24">SUM(G37:G41,G26:G30,G15:G19)=G11</f>
        <v>1</v>
      </c>
      <c r="H48" s="3" t="b">
        <f t="shared" si="24"/>
        <v>1</v>
      </c>
      <c r="I48" s="3" t="b">
        <f t="shared" si="24"/>
        <v>1</v>
      </c>
      <c r="J48" s="3" t="b">
        <f t="shared" si="24"/>
        <v>1</v>
      </c>
      <c r="K48" s="3" t="b">
        <f t="shared" si="24"/>
        <v>1</v>
      </c>
      <c r="L48" s="3" t="b">
        <f t="shared" si="24"/>
        <v>1</v>
      </c>
      <c r="M48" s="3" t="b">
        <f t="shared" si="24"/>
        <v>1</v>
      </c>
      <c r="N48" s="3" t="b">
        <f t="shared" si="24"/>
        <v>1</v>
      </c>
      <c r="O48" s="3" t="b">
        <f t="shared" si="24"/>
        <v>1</v>
      </c>
      <c r="P48" s="3" t="b">
        <f t="shared" si="24"/>
        <v>1</v>
      </c>
      <c r="Q48" s="3" t="b">
        <f t="shared" si="24"/>
        <v>1</v>
      </c>
      <c r="R48" s="3" t="b">
        <f t="shared" si="24"/>
        <v>1</v>
      </c>
      <c r="S48" s="3" t="b">
        <f t="shared" si="24"/>
        <v>1</v>
      </c>
      <c r="T48" s="3" t="b">
        <f t="shared" si="24"/>
        <v>1</v>
      </c>
      <c r="U48" s="3" t="b">
        <f t="shared" si="24"/>
        <v>1</v>
      </c>
      <c r="V48" s="3" t="b">
        <f t="shared" si="24"/>
        <v>1</v>
      </c>
      <c r="W48" s="3" t="b">
        <f t="shared" si="24"/>
        <v>1</v>
      </c>
      <c r="X48" s="3" t="b">
        <f t="shared" si="24"/>
        <v>1</v>
      </c>
      <c r="Y48" s="3" t="b">
        <f t="shared" si="24"/>
        <v>1</v>
      </c>
      <c r="Z48" s="3" t="b">
        <f t="shared" si="24"/>
        <v>1</v>
      </c>
      <c r="AA48" s="3" t="b">
        <f t="shared" si="24"/>
        <v>1</v>
      </c>
      <c r="AB48" s="3" t="b">
        <f t="shared" si="24"/>
        <v>1</v>
      </c>
    </row>
  </sheetData>
  <mergeCells count="1">
    <mergeCell ref="O2:Q2"/>
  </mergeCells>
  <conditionalFormatting sqref="F48:AB48">
    <cfRule type="cellIs" dxfId="143" priority="3" operator="equal">
      <formula>FALSE</formula>
    </cfRule>
    <cfRule type="cellIs" dxfId="142" priority="4" operator="equal">
      <formula>TRUE</formula>
    </cfRule>
  </conditionalFormatting>
  <conditionalFormatting sqref="I12:R12">
    <cfRule type="cellIs" dxfId="141" priority="1" operator="equal">
      <formula>FALSE</formula>
    </cfRule>
    <cfRule type="cellIs" dxfId="140" priority="2" operator="equal">
      <formula>TRUE</formula>
    </cfRule>
  </conditionalFormatting>
  <printOptions horizontalCentered="1"/>
  <pageMargins left="0.2" right="0.2" top="0.2" bottom="0.2" header="0.3" footer="0.3"/>
  <pageSetup scale="41" orientation="landscape" r:id="rId1"/>
  <ignoredErrors>
    <ignoredError sqref="C9:C10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8"/>
  <sheetViews>
    <sheetView showGridLines="0" zoomScale="85" zoomScaleNormal="85" workbookViewId="0">
      <pane ySplit="18" topLeftCell="A73" activePane="bottomLeft" state="frozen"/>
      <selection activeCell="B113" sqref="B113"/>
      <selection pane="bottomLeft" activeCell="D7" sqref="D7"/>
    </sheetView>
  </sheetViews>
  <sheetFormatPr defaultColWidth="9" defaultRowHeight="15.6" x14ac:dyDescent="0.3"/>
  <cols>
    <col min="1" max="1" width="3.8984375" style="716" customWidth="1"/>
    <col min="2" max="2" width="41.5" style="716" bestFit="1" customWidth="1"/>
    <col min="3" max="3" width="12.8984375" style="716" customWidth="1"/>
    <col min="4" max="12" width="13.5" style="716" customWidth="1"/>
    <col min="13" max="15" width="12" style="716" bestFit="1" customWidth="1"/>
    <col min="16" max="23" width="13" style="716" customWidth="1"/>
    <col min="24" max="29" width="10.59765625" style="716" customWidth="1"/>
    <col min="30" max="33" width="9.19921875" style="716" customWidth="1"/>
    <col min="34" max="34" width="15.8984375" style="716" bestFit="1" customWidth="1"/>
    <col min="35" max="36" width="8.09765625" style="716" bestFit="1" customWidth="1"/>
    <col min="37" max="37" width="16.8984375" style="716" bestFit="1" customWidth="1"/>
    <col min="38" max="16384" width="9" style="716"/>
  </cols>
  <sheetData>
    <row r="1" spans="1:36" s="210" customFormat="1" x14ac:dyDescent="0.3">
      <c r="A1" s="209"/>
    </row>
    <row r="2" spans="1:36" s="211" customFormat="1" x14ac:dyDescent="0.3">
      <c r="B2" s="212" t="s">
        <v>1909</v>
      </c>
      <c r="K2" s="710"/>
      <c r="L2" s="710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</row>
    <row r="3" spans="1:36" x14ac:dyDescent="0.3">
      <c r="A3" s="411"/>
      <c r="B3" s="715"/>
    </row>
    <row r="4" spans="1:36" x14ac:dyDescent="0.3">
      <c r="A4" s="411"/>
      <c r="B4" s="717"/>
      <c r="C4" s="147">
        <v>2016</v>
      </c>
      <c r="D4" s="147">
        <v>2017</v>
      </c>
      <c r="E4" s="147">
        <v>2018</v>
      </c>
      <c r="F4" s="147">
        <v>2019</v>
      </c>
      <c r="G4" s="147">
        <v>2020</v>
      </c>
      <c r="H4" s="147">
        <v>2021</v>
      </c>
      <c r="I4" s="147">
        <v>2022</v>
      </c>
      <c r="J4" s="147">
        <v>2023</v>
      </c>
      <c r="K4" s="147">
        <v>2024</v>
      </c>
      <c r="L4" s="147">
        <v>2025</v>
      </c>
    </row>
    <row r="5" spans="1:36" x14ac:dyDescent="0.3">
      <c r="A5" s="411"/>
      <c r="B5" s="714" t="s">
        <v>1895</v>
      </c>
      <c r="C5" s="718">
        <f>'Capital Improvement Plan'!G28</f>
        <v>0</v>
      </c>
      <c r="D5" s="719">
        <f>'Capital Improvement Plan'!H28</f>
        <v>1900000</v>
      </c>
      <c r="E5" s="719">
        <f>'Capital Improvement Plan'!I28</f>
        <v>1900000</v>
      </c>
      <c r="F5" s="719">
        <f>'Capital Improvement Plan'!J28</f>
        <v>2000000</v>
      </c>
      <c r="G5" s="719">
        <f>'Capital Improvement Plan'!K28</f>
        <v>2000000</v>
      </c>
      <c r="H5" s="719">
        <f>'Capital Improvement Plan'!L28</f>
        <v>2000000</v>
      </c>
      <c r="I5" s="719">
        <f>'Capital Improvement Plan'!M28</f>
        <v>2000000</v>
      </c>
      <c r="J5" s="719">
        <f>'Capital Improvement Plan'!N28</f>
        <v>2000000</v>
      </c>
      <c r="K5" s="719">
        <f>'Capital Improvement Plan'!O28</f>
        <v>2000000</v>
      </c>
      <c r="L5" s="720">
        <f>'Capital Improvement Plan'!P28</f>
        <v>2000000</v>
      </c>
    </row>
    <row r="6" spans="1:36" x14ac:dyDescent="0.3">
      <c r="A6" s="411"/>
      <c r="B6" s="714" t="s">
        <v>1894</v>
      </c>
      <c r="C6" s="721">
        <f>'Capital Improvement Plan'!G64</f>
        <v>0</v>
      </c>
      <c r="D6" s="722">
        <f>'Capital Improvement Plan'!H64</f>
        <v>0</v>
      </c>
      <c r="E6" s="722">
        <f>'Capital Improvement Plan'!I64</f>
        <v>0</v>
      </c>
      <c r="F6" s="722">
        <f>'Capital Improvement Plan'!J64</f>
        <v>0</v>
      </c>
      <c r="G6" s="722">
        <f>'Capital Improvement Plan'!K64</f>
        <v>0</v>
      </c>
      <c r="H6" s="722">
        <f>'Capital Improvement Plan'!L64</f>
        <v>0</v>
      </c>
      <c r="I6" s="722">
        <f>'Capital Improvement Plan'!M64</f>
        <v>0</v>
      </c>
      <c r="J6" s="722">
        <f>'Capital Improvement Plan'!N64</f>
        <v>0</v>
      </c>
      <c r="K6" s="722">
        <f>'Capital Improvement Plan'!O64</f>
        <v>0</v>
      </c>
      <c r="L6" s="723">
        <f>'Capital Improvement Plan'!P64</f>
        <v>0</v>
      </c>
    </row>
    <row r="7" spans="1:36" x14ac:dyDescent="0.3">
      <c r="A7" s="411"/>
      <c r="B7" s="714" t="s">
        <v>1896</v>
      </c>
      <c r="C7" s="724">
        <f>'Capital Improvement Plan'!G99</f>
        <v>0</v>
      </c>
      <c r="D7" s="725">
        <f>'Capital Improvement Plan'!H99+10000000</f>
        <v>13245400</v>
      </c>
      <c r="E7" s="725">
        <f>'Capital Improvement Plan'!I99</f>
        <v>3750000</v>
      </c>
      <c r="F7" s="725">
        <f>'Capital Improvement Plan'!J99</f>
        <v>1000000</v>
      </c>
      <c r="G7" s="725">
        <f>'Capital Improvement Plan'!K99</f>
        <v>500000</v>
      </c>
      <c r="H7" s="725">
        <f>'Capital Improvement Plan'!L99</f>
        <v>600000</v>
      </c>
      <c r="I7" s="725">
        <f>'Capital Improvement Plan'!M99</f>
        <v>0</v>
      </c>
      <c r="J7" s="725">
        <f>'Capital Improvement Plan'!N99</f>
        <v>2000000</v>
      </c>
      <c r="K7" s="725">
        <f>'Capital Improvement Plan'!O99</f>
        <v>0</v>
      </c>
      <c r="L7" s="726">
        <f>'Capital Improvement Plan'!P99</f>
        <v>0</v>
      </c>
    </row>
    <row r="8" spans="1:36" x14ac:dyDescent="0.3">
      <c r="A8" s="411"/>
      <c r="B8" s="58" t="s">
        <v>1666</v>
      </c>
      <c r="C8" s="727">
        <f>SUM(C5:C7)</f>
        <v>0</v>
      </c>
      <c r="D8" s="727">
        <f t="shared" ref="D8:L8" si="0">SUM(D5:D7)</f>
        <v>15145400</v>
      </c>
      <c r="E8" s="727">
        <f t="shared" si="0"/>
        <v>5650000</v>
      </c>
      <c r="F8" s="727">
        <f t="shared" si="0"/>
        <v>3000000</v>
      </c>
      <c r="G8" s="727">
        <f t="shared" si="0"/>
        <v>2500000</v>
      </c>
      <c r="H8" s="727">
        <f t="shared" si="0"/>
        <v>2600000</v>
      </c>
      <c r="I8" s="727">
        <f t="shared" si="0"/>
        <v>2000000</v>
      </c>
      <c r="J8" s="727">
        <f t="shared" si="0"/>
        <v>4000000</v>
      </c>
      <c r="K8" s="727">
        <f t="shared" si="0"/>
        <v>2000000</v>
      </c>
      <c r="L8" s="728">
        <f t="shared" si="0"/>
        <v>2000000</v>
      </c>
      <c r="M8" s="729"/>
      <c r="N8" s="729"/>
      <c r="O8" s="729"/>
      <c r="P8" s="729"/>
      <c r="Q8" s="729"/>
      <c r="R8" s="729"/>
      <c r="S8" s="729"/>
      <c r="T8" s="729"/>
      <c r="U8" s="729"/>
      <c r="V8" s="729"/>
      <c r="W8" s="729"/>
      <c r="X8" s="729"/>
      <c r="Y8" s="729"/>
      <c r="Z8" s="729"/>
      <c r="AA8" s="729"/>
      <c r="AB8" s="729"/>
      <c r="AC8" s="729"/>
      <c r="AD8" s="729"/>
      <c r="AE8" s="729"/>
      <c r="AF8" s="729"/>
      <c r="AG8" s="729"/>
    </row>
    <row r="9" spans="1:36" x14ac:dyDescent="0.3">
      <c r="A9" s="411"/>
      <c r="B9" s="59" t="s">
        <v>28</v>
      </c>
      <c r="C9" s="148">
        <v>2016</v>
      </c>
      <c r="D9" s="149">
        <f t="shared" ref="D9:L9" si="1">D4</f>
        <v>2017</v>
      </c>
      <c r="E9" s="149">
        <f t="shared" si="1"/>
        <v>2018</v>
      </c>
      <c r="F9" s="149">
        <f t="shared" si="1"/>
        <v>2019</v>
      </c>
      <c r="G9" s="149">
        <f t="shared" si="1"/>
        <v>2020</v>
      </c>
      <c r="H9" s="149">
        <f t="shared" si="1"/>
        <v>2021</v>
      </c>
      <c r="I9" s="149">
        <f t="shared" si="1"/>
        <v>2022</v>
      </c>
      <c r="J9" s="149">
        <f t="shared" si="1"/>
        <v>2023</v>
      </c>
      <c r="K9" s="149">
        <f t="shared" si="1"/>
        <v>2024</v>
      </c>
      <c r="L9" s="150">
        <f t="shared" si="1"/>
        <v>2025</v>
      </c>
      <c r="M9" s="729"/>
      <c r="N9" s="729"/>
      <c r="O9" s="729"/>
      <c r="P9" s="729"/>
      <c r="Q9" s="729"/>
      <c r="R9" s="729"/>
      <c r="S9" s="729"/>
      <c r="T9" s="729"/>
      <c r="U9" s="729"/>
      <c r="V9" s="729"/>
      <c r="W9" s="729"/>
      <c r="X9" s="729"/>
      <c r="Y9" s="729"/>
      <c r="Z9" s="729"/>
      <c r="AA9" s="729"/>
      <c r="AB9" s="729"/>
      <c r="AC9" s="729"/>
      <c r="AD9" s="729"/>
      <c r="AE9" s="729"/>
      <c r="AF9" s="729"/>
      <c r="AG9" s="729"/>
    </row>
    <row r="10" spans="1:36" x14ac:dyDescent="0.3">
      <c r="A10" s="411"/>
      <c r="B10" s="59" t="s">
        <v>29</v>
      </c>
      <c r="C10" s="60">
        <v>0.02</v>
      </c>
      <c r="D10" s="61">
        <v>1.1900000000000001E-2</v>
      </c>
      <c r="E10" s="61">
        <v>0.03</v>
      </c>
      <c r="F10" s="61">
        <v>0.02</v>
      </c>
      <c r="G10" s="61">
        <v>0.02</v>
      </c>
      <c r="H10" s="61">
        <v>0.02</v>
      </c>
      <c r="I10" s="61">
        <v>0.02</v>
      </c>
      <c r="J10" s="61">
        <v>0.02</v>
      </c>
      <c r="K10" s="61">
        <v>0.02</v>
      </c>
      <c r="L10" s="62">
        <v>0.02</v>
      </c>
      <c r="M10" s="729"/>
      <c r="N10" s="729"/>
      <c r="O10" s="729"/>
      <c r="P10" s="729"/>
      <c r="Q10" s="729"/>
      <c r="R10" s="729"/>
      <c r="S10" s="729"/>
      <c r="T10" s="729"/>
      <c r="U10" s="729"/>
      <c r="V10" s="729"/>
      <c r="W10" s="729"/>
      <c r="X10" s="729"/>
      <c r="Y10" s="729"/>
      <c r="Z10" s="729"/>
      <c r="AA10" s="729"/>
      <c r="AB10" s="729"/>
      <c r="AC10" s="729"/>
      <c r="AD10" s="729"/>
      <c r="AE10" s="729"/>
      <c r="AF10" s="729"/>
      <c r="AG10" s="729"/>
    </row>
    <row r="11" spans="1:36" x14ac:dyDescent="0.3">
      <c r="A11" s="411"/>
      <c r="B11" s="63" t="s">
        <v>30</v>
      </c>
      <c r="C11" s="64">
        <v>15</v>
      </c>
      <c r="D11" s="65">
        <v>15</v>
      </c>
      <c r="E11" s="65">
        <v>15</v>
      </c>
      <c r="F11" s="65">
        <v>15</v>
      </c>
      <c r="G11" s="65">
        <v>15</v>
      </c>
      <c r="H11" s="65">
        <v>15</v>
      </c>
      <c r="I11" s="65">
        <v>15</v>
      </c>
      <c r="J11" s="65">
        <v>15</v>
      </c>
      <c r="K11" s="65">
        <v>15</v>
      </c>
      <c r="L11" s="66">
        <v>15</v>
      </c>
      <c r="M11" s="729"/>
      <c r="N11" s="729"/>
      <c r="O11" s="729"/>
      <c r="P11" s="729"/>
      <c r="Q11" s="729"/>
      <c r="R11" s="729"/>
      <c r="S11" s="729"/>
      <c r="T11" s="729"/>
      <c r="U11" s="729"/>
      <c r="V11" s="729"/>
      <c r="W11" s="729"/>
      <c r="X11" s="729"/>
      <c r="Y11" s="729"/>
      <c r="Z11" s="729"/>
      <c r="AA11" s="729"/>
      <c r="AB11" s="729"/>
      <c r="AC11" s="729"/>
      <c r="AD11" s="729"/>
      <c r="AE11" s="729"/>
      <c r="AF11" s="729"/>
      <c r="AG11" s="729"/>
    </row>
    <row r="12" spans="1:36" hidden="1" x14ac:dyDescent="0.3">
      <c r="A12" s="411"/>
      <c r="C12" s="730"/>
      <c r="D12" s="731"/>
      <c r="E12" s="732"/>
      <c r="F12" s="733"/>
      <c r="G12" s="733"/>
      <c r="H12" s="733"/>
      <c r="I12" s="722"/>
      <c r="J12" s="734"/>
      <c r="K12" s="730"/>
      <c r="L12" s="734"/>
      <c r="M12" s="734"/>
      <c r="N12" s="734"/>
      <c r="O12" s="734"/>
      <c r="P12" s="734"/>
      <c r="Q12" s="734"/>
      <c r="R12" s="734"/>
      <c r="S12" s="734"/>
      <c r="T12" s="734"/>
      <c r="U12" s="734"/>
      <c r="V12" s="734"/>
      <c r="W12" s="734"/>
      <c r="X12" s="734"/>
      <c r="Y12" s="734"/>
      <c r="Z12" s="734"/>
      <c r="AA12" s="734"/>
      <c r="AB12" s="734"/>
      <c r="AC12" s="734"/>
      <c r="AD12" s="734"/>
      <c r="AE12" s="734"/>
      <c r="AF12" s="734"/>
      <c r="AG12" s="734"/>
      <c r="AH12" s="730"/>
    </row>
    <row r="13" spans="1:36" hidden="1" x14ac:dyDescent="0.3">
      <c r="A13" s="411"/>
      <c r="B13" s="716" t="s">
        <v>1901</v>
      </c>
      <c r="C13" s="735">
        <f>IFERROR(C5/C$8,0)</f>
        <v>0</v>
      </c>
      <c r="D13" s="735">
        <f t="shared" ref="D13:L13" si="2">IFERROR(D5/D$8,0)</f>
        <v>0.12545063187502475</v>
      </c>
      <c r="E13" s="735">
        <f t="shared" si="2"/>
        <v>0.33628318584070799</v>
      </c>
      <c r="F13" s="735">
        <f t="shared" si="2"/>
        <v>0.66666666666666663</v>
      </c>
      <c r="G13" s="735">
        <f t="shared" si="2"/>
        <v>0.8</v>
      </c>
      <c r="H13" s="735">
        <f t="shared" si="2"/>
        <v>0.76923076923076927</v>
      </c>
      <c r="I13" s="735">
        <f t="shared" si="2"/>
        <v>1</v>
      </c>
      <c r="J13" s="735">
        <f t="shared" si="2"/>
        <v>0.5</v>
      </c>
      <c r="K13" s="735">
        <f t="shared" si="2"/>
        <v>1</v>
      </c>
      <c r="L13" s="735">
        <f t="shared" si="2"/>
        <v>1</v>
      </c>
      <c r="M13" s="734"/>
      <c r="N13" s="734"/>
      <c r="O13" s="734"/>
      <c r="P13" s="734"/>
      <c r="Q13" s="734"/>
      <c r="R13" s="734"/>
      <c r="S13" s="734"/>
      <c r="T13" s="734"/>
      <c r="U13" s="734"/>
      <c r="V13" s="734"/>
      <c r="W13" s="734"/>
      <c r="X13" s="734"/>
      <c r="Y13" s="734"/>
      <c r="Z13" s="734"/>
      <c r="AA13" s="734"/>
      <c r="AB13" s="734"/>
      <c r="AC13" s="734"/>
      <c r="AD13" s="734"/>
      <c r="AE13" s="734"/>
      <c r="AF13" s="734"/>
      <c r="AG13" s="734"/>
      <c r="AH13" s="730"/>
    </row>
    <row r="14" spans="1:36" hidden="1" x14ac:dyDescent="0.3">
      <c r="A14" s="411"/>
      <c r="B14" s="716" t="s">
        <v>1902</v>
      </c>
      <c r="C14" s="735">
        <f t="shared" ref="C14:L15" si="3">IFERROR(C6/C$8,0)</f>
        <v>0</v>
      </c>
      <c r="D14" s="735">
        <f t="shared" si="3"/>
        <v>0</v>
      </c>
      <c r="E14" s="735">
        <f t="shared" si="3"/>
        <v>0</v>
      </c>
      <c r="F14" s="735">
        <f t="shared" si="3"/>
        <v>0</v>
      </c>
      <c r="G14" s="735">
        <f t="shared" si="3"/>
        <v>0</v>
      </c>
      <c r="H14" s="735">
        <f t="shared" si="3"/>
        <v>0</v>
      </c>
      <c r="I14" s="735">
        <f t="shared" si="3"/>
        <v>0</v>
      </c>
      <c r="J14" s="735">
        <f t="shared" si="3"/>
        <v>0</v>
      </c>
      <c r="K14" s="735">
        <f t="shared" si="3"/>
        <v>0</v>
      </c>
      <c r="L14" s="735">
        <f t="shared" si="3"/>
        <v>0</v>
      </c>
      <c r="M14" s="734"/>
      <c r="N14" s="734"/>
      <c r="O14" s="734"/>
      <c r="P14" s="734"/>
      <c r="Q14" s="734"/>
      <c r="R14" s="734"/>
      <c r="S14" s="734"/>
      <c r="T14" s="734"/>
      <c r="U14" s="734"/>
      <c r="V14" s="734"/>
      <c r="W14" s="734"/>
      <c r="X14" s="734"/>
      <c r="Y14" s="734"/>
      <c r="Z14" s="734"/>
      <c r="AA14" s="734"/>
      <c r="AB14" s="734"/>
      <c r="AC14" s="734"/>
      <c r="AD14" s="734"/>
      <c r="AE14" s="734"/>
      <c r="AF14" s="734"/>
      <c r="AG14" s="734"/>
      <c r="AH14" s="730"/>
    </row>
    <row r="15" spans="1:36" hidden="1" x14ac:dyDescent="0.3">
      <c r="A15" s="411"/>
      <c r="B15" s="716" t="s">
        <v>1903</v>
      </c>
      <c r="C15" s="735">
        <f t="shared" si="3"/>
        <v>0</v>
      </c>
      <c r="D15" s="735">
        <f t="shared" si="3"/>
        <v>0.87454936812497519</v>
      </c>
      <c r="E15" s="735">
        <f t="shared" si="3"/>
        <v>0.66371681415929207</v>
      </c>
      <c r="F15" s="735">
        <f t="shared" si="3"/>
        <v>0.33333333333333331</v>
      </c>
      <c r="G15" s="735">
        <f t="shared" si="3"/>
        <v>0.2</v>
      </c>
      <c r="H15" s="735">
        <f t="shared" si="3"/>
        <v>0.23076923076923078</v>
      </c>
      <c r="I15" s="735">
        <f t="shared" si="3"/>
        <v>0</v>
      </c>
      <c r="J15" s="735">
        <f t="shared" si="3"/>
        <v>0.5</v>
      </c>
      <c r="K15" s="735">
        <f t="shared" si="3"/>
        <v>0</v>
      </c>
      <c r="L15" s="735">
        <f t="shared" si="3"/>
        <v>0</v>
      </c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34"/>
      <c r="X15" s="734"/>
      <c r="Y15" s="734"/>
      <c r="Z15" s="734"/>
      <c r="AA15" s="734"/>
      <c r="AB15" s="734"/>
      <c r="AC15" s="734"/>
      <c r="AD15" s="734"/>
      <c r="AE15" s="734"/>
      <c r="AF15" s="734"/>
      <c r="AG15" s="734"/>
      <c r="AH15" s="730"/>
    </row>
    <row r="16" spans="1:36" hidden="1" x14ac:dyDescent="0.3">
      <c r="A16" s="411"/>
      <c r="C16" s="730"/>
      <c r="D16" s="731"/>
      <c r="E16" s="732"/>
      <c r="F16" s="733"/>
      <c r="G16" s="733"/>
      <c r="H16" s="733"/>
      <c r="I16" s="722"/>
      <c r="J16" s="734"/>
      <c r="K16" s="730"/>
      <c r="L16" s="734"/>
      <c r="M16" s="734"/>
      <c r="N16" s="734"/>
      <c r="O16" s="734"/>
      <c r="P16" s="734"/>
      <c r="Q16" s="734"/>
      <c r="R16" s="734"/>
      <c r="S16" s="734"/>
      <c r="T16" s="734"/>
      <c r="U16" s="734"/>
      <c r="V16" s="734"/>
      <c r="W16" s="734"/>
      <c r="X16" s="734"/>
      <c r="Y16" s="734"/>
      <c r="Z16" s="734"/>
      <c r="AA16" s="734"/>
      <c r="AB16" s="734"/>
      <c r="AC16" s="734"/>
      <c r="AD16" s="734"/>
      <c r="AE16" s="734"/>
      <c r="AF16" s="734"/>
      <c r="AG16" s="734"/>
      <c r="AH16" s="730"/>
    </row>
    <row r="17" spans="1:37" x14ac:dyDescent="0.3">
      <c r="A17" s="411"/>
      <c r="C17" s="730"/>
      <c r="D17" s="731"/>
      <c r="E17" s="732"/>
      <c r="F17" s="733"/>
      <c r="G17" s="733"/>
      <c r="H17" s="733"/>
      <c r="I17" s="722"/>
      <c r="J17" s="734"/>
      <c r="K17" s="730"/>
      <c r="L17" s="734"/>
      <c r="M17" s="734"/>
      <c r="N17" s="734"/>
      <c r="O17" s="734"/>
      <c r="P17" s="734"/>
      <c r="Q17" s="734"/>
      <c r="R17" s="734"/>
      <c r="S17" s="734"/>
      <c r="T17" s="734"/>
      <c r="U17" s="734"/>
      <c r="V17" s="734"/>
      <c r="W17" s="734"/>
      <c r="X17" s="734"/>
      <c r="Y17" s="734"/>
      <c r="Z17" s="734"/>
      <c r="AA17" s="734"/>
      <c r="AB17" s="734"/>
      <c r="AC17" s="734"/>
      <c r="AD17" s="734"/>
      <c r="AE17" s="734"/>
      <c r="AF17" s="734"/>
      <c r="AG17" s="734"/>
      <c r="AH17" s="730"/>
    </row>
    <row r="18" spans="1:37" x14ac:dyDescent="0.3">
      <c r="A18" s="411"/>
      <c r="C18" s="67">
        <v>2016</v>
      </c>
      <c r="D18" s="67">
        <v>2017</v>
      </c>
      <c r="E18" s="67">
        <v>2018</v>
      </c>
      <c r="F18" s="67">
        <v>2019</v>
      </c>
      <c r="G18" s="67">
        <v>2020</v>
      </c>
      <c r="H18" s="67">
        <v>2021</v>
      </c>
      <c r="I18" s="67">
        <v>2022</v>
      </c>
      <c r="J18" s="67">
        <v>2023</v>
      </c>
      <c r="K18" s="67">
        <v>2024</v>
      </c>
      <c r="L18" s="67">
        <v>2025</v>
      </c>
      <c r="M18" s="67">
        <v>2026</v>
      </c>
      <c r="N18" s="67">
        <v>2027</v>
      </c>
      <c r="O18" s="67">
        <v>2028</v>
      </c>
      <c r="P18" s="67">
        <v>2029</v>
      </c>
      <c r="Q18" s="67">
        <v>2030</v>
      </c>
      <c r="R18" s="67">
        <v>2031</v>
      </c>
      <c r="S18" s="67">
        <v>2032</v>
      </c>
      <c r="T18" s="67">
        <v>2033</v>
      </c>
      <c r="U18" s="67">
        <v>2034</v>
      </c>
      <c r="V18" s="67">
        <v>2035</v>
      </c>
      <c r="W18" s="67">
        <v>2036</v>
      </c>
      <c r="X18" s="67">
        <v>2037</v>
      </c>
      <c r="Y18" s="67">
        <v>2038</v>
      </c>
      <c r="Z18" s="67">
        <v>2039</v>
      </c>
      <c r="AA18" s="67">
        <v>2040</v>
      </c>
      <c r="AB18" s="67">
        <v>2041</v>
      </c>
      <c r="AC18" s="67">
        <v>2042</v>
      </c>
      <c r="AD18" s="67">
        <v>2043</v>
      </c>
      <c r="AE18" s="67">
        <v>2044</v>
      </c>
      <c r="AF18" s="67">
        <v>2045</v>
      </c>
      <c r="AG18" s="67">
        <v>2046</v>
      </c>
    </row>
    <row r="19" spans="1:37" x14ac:dyDescent="0.3">
      <c r="B19" s="736" t="s">
        <v>1897</v>
      </c>
      <c r="C19" s="737">
        <f t="shared" ref="C19:AG19" si="4">C31+C38+C45+C52+C59+C66+C73+C80+C87+C94</f>
        <v>0</v>
      </c>
      <c r="D19" s="737">
        <f t="shared" si="4"/>
        <v>0</v>
      </c>
      <c r="E19" s="737">
        <f t="shared" si="4"/>
        <v>1108467.9952926179</v>
      </c>
      <c r="F19" s="737">
        <f>F31+F38+F45+F52+F59+F66+F73+F80+F87+F94</f>
        <v>1581749.1749045453</v>
      </c>
      <c r="G19" s="737">
        <f t="shared" si="4"/>
        <v>1815225.5916552776</v>
      </c>
      <c r="H19" s="737">
        <f t="shared" si="4"/>
        <v>2009789.2722808879</v>
      </c>
      <c r="I19" s="737">
        <f t="shared" si="4"/>
        <v>2212135.5001315228</v>
      </c>
      <c r="J19" s="737">
        <f t="shared" si="4"/>
        <v>2367786.444632011</v>
      </c>
      <c r="K19" s="737">
        <f t="shared" si="4"/>
        <v>2679088.3336329875</v>
      </c>
      <c r="L19" s="737">
        <f t="shared" si="4"/>
        <v>2834739.2781334752</v>
      </c>
      <c r="M19" s="738">
        <f t="shared" si="4"/>
        <v>2990390.2226339639</v>
      </c>
      <c r="N19" s="738">
        <f t="shared" si="4"/>
        <v>2990390.2226339639</v>
      </c>
      <c r="O19" s="738">
        <f t="shared" si="4"/>
        <v>2990390.2226339639</v>
      </c>
      <c r="P19" s="738">
        <f t="shared" si="4"/>
        <v>2990390.2226339639</v>
      </c>
      <c r="Q19" s="738">
        <f t="shared" si="4"/>
        <v>2990390.2226339639</v>
      </c>
      <c r="R19" s="738">
        <f t="shared" si="4"/>
        <v>2990390.2226339639</v>
      </c>
      <c r="S19" s="738">
        <f t="shared" si="4"/>
        <v>2990390.2226339639</v>
      </c>
      <c r="T19" s="738">
        <f t="shared" si="4"/>
        <v>1881922.227341346</v>
      </c>
      <c r="U19" s="738">
        <f t="shared" si="4"/>
        <v>1408641.0477294186</v>
      </c>
      <c r="V19" s="738">
        <f t="shared" si="4"/>
        <v>1175164.6309786863</v>
      </c>
      <c r="W19" s="738">
        <f t="shared" si="4"/>
        <v>980600.95035307587</v>
      </c>
      <c r="X19" s="738">
        <f t="shared" si="4"/>
        <v>778254.72250244115</v>
      </c>
      <c r="Y19" s="738">
        <f t="shared" si="4"/>
        <v>622603.77800195292</v>
      </c>
      <c r="Z19" s="738">
        <f t="shared" si="4"/>
        <v>311301.88900097646</v>
      </c>
      <c r="AA19" s="738">
        <f t="shared" si="4"/>
        <v>155650.94450048823</v>
      </c>
      <c r="AB19" s="738">
        <f t="shared" si="4"/>
        <v>0</v>
      </c>
      <c r="AC19" s="738">
        <f t="shared" si="4"/>
        <v>0</v>
      </c>
      <c r="AD19" s="738">
        <f t="shared" si="4"/>
        <v>0</v>
      </c>
      <c r="AE19" s="738">
        <f t="shared" si="4"/>
        <v>0</v>
      </c>
      <c r="AF19" s="738">
        <f t="shared" si="4"/>
        <v>0</v>
      </c>
      <c r="AG19" s="738">
        <f t="shared" si="4"/>
        <v>0</v>
      </c>
    </row>
    <row r="20" spans="1:37" s="739" customFormat="1" x14ac:dyDescent="0.3">
      <c r="B20" s="740" t="s">
        <v>31</v>
      </c>
      <c r="C20" s="741">
        <f t="shared" ref="C20:AG21" si="5">C29+C36+C43+C50+C57+C64+C71+C78+C85+C92</f>
        <v>0</v>
      </c>
      <c r="D20" s="741">
        <f t="shared" si="5"/>
        <v>0</v>
      </c>
      <c r="E20" s="741">
        <f t="shared" si="5"/>
        <v>928237.73529261793</v>
      </c>
      <c r="F20" s="741">
        <f t="shared" si="5"/>
        <v>1243064.9439545274</v>
      </c>
      <c r="G20" s="741">
        <f t="shared" si="5"/>
        <v>1436832.2728892947</v>
      </c>
      <c r="H20" s="741">
        <f t="shared" si="5"/>
        <v>1605562.8090694735</v>
      </c>
      <c r="I20" s="741">
        <f t="shared" si="5"/>
        <v>1783452.7566237473</v>
      </c>
      <c r="J20" s="741">
        <f t="shared" si="5"/>
        <v>1930209.1990379491</v>
      </c>
      <c r="K20" s="741">
        <f t="shared" si="5"/>
        <v>2195557.4914013874</v>
      </c>
      <c r="L20" s="741">
        <f t="shared" si="5"/>
        <v>2350569.4529415555</v>
      </c>
      <c r="M20" s="730">
        <f t="shared" si="5"/>
        <v>2508691.2491142326</v>
      </c>
      <c r="N20" s="730">
        <f t="shared" si="5"/>
        <v>2554336.1585563174</v>
      </c>
      <c r="O20" s="730">
        <f t="shared" si="5"/>
        <v>2600907.6959608998</v>
      </c>
      <c r="P20" s="730">
        <f t="shared" si="5"/>
        <v>2648426.5859875935</v>
      </c>
      <c r="Q20" s="730">
        <f t="shared" si="5"/>
        <v>2696914.0547366813</v>
      </c>
      <c r="R20" s="730">
        <f t="shared" si="5"/>
        <v>2746391.8426384451</v>
      </c>
      <c r="S20" s="730">
        <f t="shared" si="5"/>
        <v>2796882.2176891048</v>
      </c>
      <c r="T20" s="730">
        <f t="shared" si="5"/>
        <v>1739939.9937503687</v>
      </c>
      <c r="U20" s="730">
        <f t="shared" si="5"/>
        <v>1306052.5769223026</v>
      </c>
      <c r="V20" s="730">
        <f t="shared" si="5"/>
        <v>1098697.2117100162</v>
      </c>
      <c r="W20" s="730">
        <f t="shared" si="5"/>
        <v>926107.47531860613</v>
      </c>
      <c r="X20" s="730">
        <f t="shared" si="5"/>
        <v>742283.39697434357</v>
      </c>
      <c r="Y20" s="730">
        <f t="shared" si="5"/>
        <v>601478.12041334226</v>
      </c>
      <c r="Z20" s="730">
        <f t="shared" si="5"/>
        <v>302205.79382063262</v>
      </c>
      <c r="AA20" s="730">
        <f t="shared" si="5"/>
        <v>152598.96519655708</v>
      </c>
      <c r="AB20" s="730">
        <f t="shared" si="5"/>
        <v>0</v>
      </c>
      <c r="AC20" s="730">
        <f t="shared" si="5"/>
        <v>0</v>
      </c>
      <c r="AD20" s="730">
        <f t="shared" si="5"/>
        <v>0</v>
      </c>
      <c r="AE20" s="730">
        <f t="shared" si="5"/>
        <v>0</v>
      </c>
      <c r="AF20" s="730">
        <f t="shared" si="5"/>
        <v>0</v>
      </c>
      <c r="AG20" s="730">
        <f t="shared" si="5"/>
        <v>0</v>
      </c>
    </row>
    <row r="21" spans="1:37" s="739" customFormat="1" x14ac:dyDescent="0.3">
      <c r="B21" s="740" t="s">
        <v>32</v>
      </c>
      <c r="C21" s="741">
        <f t="shared" si="5"/>
        <v>0</v>
      </c>
      <c r="D21" s="741">
        <f t="shared" si="5"/>
        <v>0</v>
      </c>
      <c r="E21" s="741">
        <f>E30+E37+E44+E51+E58+E65+E72+E79+E86+E93</f>
        <v>180230.26000000004</v>
      </c>
      <c r="F21" s="741">
        <f t="shared" si="5"/>
        <v>338684.23095001787</v>
      </c>
      <c r="G21" s="741">
        <f t="shared" si="5"/>
        <v>378393.3187659831</v>
      </c>
      <c r="H21" s="741">
        <f t="shared" si="5"/>
        <v>404226.46321141435</v>
      </c>
      <c r="I21" s="741">
        <f t="shared" si="5"/>
        <v>428682.7435077753</v>
      </c>
      <c r="J21" s="741">
        <f t="shared" si="5"/>
        <v>437577.24559406156</v>
      </c>
      <c r="K21" s="741">
        <f t="shared" si="5"/>
        <v>483530.8422316002</v>
      </c>
      <c r="L21" s="741">
        <f t="shared" si="5"/>
        <v>484169.82519192016</v>
      </c>
      <c r="M21" s="730">
        <f t="shared" si="5"/>
        <v>481698.97351973108</v>
      </c>
      <c r="N21" s="730">
        <f t="shared" si="5"/>
        <v>436054.06407764583</v>
      </c>
      <c r="O21" s="730">
        <f t="shared" si="5"/>
        <v>389482.52667306358</v>
      </c>
      <c r="P21" s="730">
        <f t="shared" si="5"/>
        <v>341963.63664636994</v>
      </c>
      <c r="Q21" s="730">
        <f t="shared" si="5"/>
        <v>293476.16789728292</v>
      </c>
      <c r="R21" s="730">
        <f t="shared" si="5"/>
        <v>243998.37999551898</v>
      </c>
      <c r="S21" s="730">
        <f t="shared" si="5"/>
        <v>193508.00494485867</v>
      </c>
      <c r="T21" s="730">
        <f t="shared" si="5"/>
        <v>141982.23359097706</v>
      </c>
      <c r="U21" s="730">
        <f t="shared" si="5"/>
        <v>102588.47080711601</v>
      </c>
      <c r="V21" s="730">
        <f t="shared" si="5"/>
        <v>76467.419268669968</v>
      </c>
      <c r="W21" s="730">
        <f t="shared" si="5"/>
        <v>54493.475034469644</v>
      </c>
      <c r="X21" s="730">
        <f t="shared" si="5"/>
        <v>35971.325528097514</v>
      </c>
      <c r="Y21" s="730">
        <f t="shared" si="5"/>
        <v>21125.657588610644</v>
      </c>
      <c r="Z21" s="730">
        <f t="shared" si="5"/>
        <v>9096.0951803437965</v>
      </c>
      <c r="AA21" s="730">
        <f t="shared" si="5"/>
        <v>3051.9793039311417</v>
      </c>
      <c r="AB21" s="730">
        <f t="shared" si="5"/>
        <v>0</v>
      </c>
      <c r="AC21" s="730">
        <f t="shared" si="5"/>
        <v>0</v>
      </c>
      <c r="AD21" s="730">
        <f t="shared" si="5"/>
        <v>0</v>
      </c>
      <c r="AE21" s="730">
        <f t="shared" si="5"/>
        <v>0</v>
      </c>
      <c r="AF21" s="730">
        <f t="shared" si="5"/>
        <v>0</v>
      </c>
      <c r="AG21" s="730">
        <f t="shared" si="5"/>
        <v>0</v>
      </c>
    </row>
    <row r="22" spans="1:37" s="739" customFormat="1" x14ac:dyDescent="0.3">
      <c r="B22" s="740"/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30"/>
      <c r="Y22" s="730"/>
      <c r="Z22" s="730"/>
      <c r="AA22" s="730"/>
      <c r="AB22" s="730"/>
      <c r="AC22" s="730"/>
      <c r="AD22" s="730"/>
      <c r="AE22" s="730"/>
      <c r="AF22" s="730"/>
      <c r="AG22" s="730"/>
    </row>
    <row r="23" spans="1:37" s="739" customFormat="1" x14ac:dyDescent="0.3">
      <c r="B23" s="740" t="s">
        <v>1898</v>
      </c>
      <c r="C23" s="741">
        <f>C$31*$C13+C$38*$D13+C$45*$E13+C$52*$F13+C$59*$G13+C$66*$H13+C$73*$I13+C$80*$J13+C$87*$K13+C$94*$L13</f>
        <v>0</v>
      </c>
      <c r="D23" s="741">
        <f>D$31*$C13+D$38*$D13+D$45*$E13+D$52*$F13+D$59*$G13+D$66*$H13+D$73*$I13+D$80*$J13+D$87*$K13+D$94*$L13</f>
        <v>0</v>
      </c>
      <c r="E23" s="741">
        <f t="shared" ref="E23:AG23" si="6">E$31*$C13+E$38*$D13+E$45*$E13+E$52*$F13+E$59*$G13+E$66*$H13+E$73*$I13+E$80*$J13+E$87*$K13+E$94*$L13</f>
        <v>139058.01042270087</v>
      </c>
      <c r="F23" s="741">
        <f t="shared" si="6"/>
        <v>298214.51330104814</v>
      </c>
      <c r="G23" s="741">
        <f t="shared" si="6"/>
        <v>453865.45780153637</v>
      </c>
      <c r="H23" s="741">
        <f t="shared" si="6"/>
        <v>609516.40230202465</v>
      </c>
      <c r="I23" s="741">
        <f t="shared" si="6"/>
        <v>765167.34680251288</v>
      </c>
      <c r="J23" s="741">
        <f t="shared" si="6"/>
        <v>920818.29130300111</v>
      </c>
      <c r="K23" s="741">
        <f t="shared" si="6"/>
        <v>1076469.2358034893</v>
      </c>
      <c r="L23" s="741">
        <f t="shared" si="6"/>
        <v>1232120.1803039776</v>
      </c>
      <c r="M23" s="741">
        <f t="shared" si="6"/>
        <v>1387771.1248044656</v>
      </c>
      <c r="N23" s="741">
        <f t="shared" si="6"/>
        <v>1387771.1248044658</v>
      </c>
      <c r="O23" s="741">
        <f t="shared" si="6"/>
        <v>1387771.1248044658</v>
      </c>
      <c r="P23" s="741">
        <f t="shared" si="6"/>
        <v>1387771.1248044658</v>
      </c>
      <c r="Q23" s="741">
        <f t="shared" si="6"/>
        <v>1387771.1248044658</v>
      </c>
      <c r="R23" s="741">
        <f t="shared" si="6"/>
        <v>1387771.1248044658</v>
      </c>
      <c r="S23" s="741">
        <f t="shared" si="6"/>
        <v>1387771.1248044658</v>
      </c>
      <c r="T23" s="741">
        <f t="shared" si="6"/>
        <v>1248713.114381765</v>
      </c>
      <c r="U23" s="741">
        <f t="shared" si="6"/>
        <v>1089556.6115034176</v>
      </c>
      <c r="V23" s="741">
        <f t="shared" si="6"/>
        <v>933905.66700292937</v>
      </c>
      <c r="W23" s="741">
        <f t="shared" si="6"/>
        <v>778254.72250244115</v>
      </c>
      <c r="X23" s="741">
        <f t="shared" si="6"/>
        <v>622603.77800195292</v>
      </c>
      <c r="Y23" s="741">
        <f t="shared" si="6"/>
        <v>466952.83350146469</v>
      </c>
      <c r="Z23" s="741">
        <f t="shared" si="6"/>
        <v>311301.88900097646</v>
      </c>
      <c r="AA23" s="741">
        <f t="shared" si="6"/>
        <v>155650.94450048823</v>
      </c>
      <c r="AB23" s="741">
        <f t="shared" si="6"/>
        <v>0</v>
      </c>
      <c r="AC23" s="741">
        <f t="shared" si="6"/>
        <v>0</v>
      </c>
      <c r="AD23" s="741">
        <f t="shared" si="6"/>
        <v>0</v>
      </c>
      <c r="AE23" s="741">
        <f t="shared" si="6"/>
        <v>0</v>
      </c>
      <c r="AF23" s="741">
        <f t="shared" si="6"/>
        <v>0</v>
      </c>
      <c r="AG23" s="741">
        <f t="shared" si="6"/>
        <v>0</v>
      </c>
    </row>
    <row r="24" spans="1:37" s="739" customFormat="1" x14ac:dyDescent="0.3">
      <c r="B24" s="740" t="s">
        <v>1899</v>
      </c>
      <c r="C24" s="741">
        <f t="shared" ref="C24:D25" si="7">C$31*$C14+C$38*$D14+C$45*$E14+C$52*$F14+C$59*$G14+C$66*$H14+C$73*$I14+C$80*$J14+C$87*$K14+C$94*$L14</f>
        <v>0</v>
      </c>
      <c r="D24" s="741">
        <f t="shared" si="7"/>
        <v>0</v>
      </c>
      <c r="E24" s="741">
        <f t="shared" ref="E24:AG24" si="8">E$31*$C14+E$38*$D14+E$45*$E14+E$52*$F14+E$59*$G14+E$66*$H14+E$73*$I14+E$80*$J14+E$87*$K14+E$94*$L14</f>
        <v>0</v>
      </c>
      <c r="F24" s="741">
        <f t="shared" si="8"/>
        <v>0</v>
      </c>
      <c r="G24" s="741">
        <f t="shared" si="8"/>
        <v>0</v>
      </c>
      <c r="H24" s="741">
        <f t="shared" si="8"/>
        <v>0</v>
      </c>
      <c r="I24" s="741">
        <f t="shared" si="8"/>
        <v>0</v>
      </c>
      <c r="J24" s="741">
        <f t="shared" si="8"/>
        <v>0</v>
      </c>
      <c r="K24" s="741">
        <f t="shared" si="8"/>
        <v>0</v>
      </c>
      <c r="L24" s="741">
        <f t="shared" si="8"/>
        <v>0</v>
      </c>
      <c r="M24" s="741">
        <f t="shared" si="8"/>
        <v>0</v>
      </c>
      <c r="N24" s="741">
        <f t="shared" si="8"/>
        <v>0</v>
      </c>
      <c r="O24" s="741">
        <f t="shared" si="8"/>
        <v>0</v>
      </c>
      <c r="P24" s="741">
        <f t="shared" si="8"/>
        <v>0</v>
      </c>
      <c r="Q24" s="741">
        <f t="shared" si="8"/>
        <v>0</v>
      </c>
      <c r="R24" s="741">
        <f t="shared" si="8"/>
        <v>0</v>
      </c>
      <c r="S24" s="741">
        <f t="shared" si="8"/>
        <v>0</v>
      </c>
      <c r="T24" s="741">
        <f t="shared" si="8"/>
        <v>0</v>
      </c>
      <c r="U24" s="741">
        <f t="shared" si="8"/>
        <v>0</v>
      </c>
      <c r="V24" s="741">
        <f t="shared" si="8"/>
        <v>0</v>
      </c>
      <c r="W24" s="741">
        <f t="shared" si="8"/>
        <v>0</v>
      </c>
      <c r="X24" s="741">
        <f t="shared" si="8"/>
        <v>0</v>
      </c>
      <c r="Y24" s="741">
        <f t="shared" si="8"/>
        <v>0</v>
      </c>
      <c r="Z24" s="741">
        <f t="shared" si="8"/>
        <v>0</v>
      </c>
      <c r="AA24" s="741">
        <f t="shared" si="8"/>
        <v>0</v>
      </c>
      <c r="AB24" s="741">
        <f t="shared" si="8"/>
        <v>0</v>
      </c>
      <c r="AC24" s="741">
        <f t="shared" si="8"/>
        <v>0</v>
      </c>
      <c r="AD24" s="741">
        <f t="shared" si="8"/>
        <v>0</v>
      </c>
      <c r="AE24" s="741">
        <f t="shared" si="8"/>
        <v>0</v>
      </c>
      <c r="AF24" s="741">
        <f t="shared" si="8"/>
        <v>0</v>
      </c>
      <c r="AG24" s="741">
        <f t="shared" si="8"/>
        <v>0</v>
      </c>
    </row>
    <row r="25" spans="1:37" s="739" customFormat="1" x14ac:dyDescent="0.3">
      <c r="B25" s="740" t="s">
        <v>1900</v>
      </c>
      <c r="C25" s="741">
        <f t="shared" si="7"/>
        <v>0</v>
      </c>
      <c r="D25" s="741">
        <f t="shared" si="7"/>
        <v>0</v>
      </c>
      <c r="E25" s="741">
        <f t="shared" ref="E25:AG25" si="9">E$31*$C15+E$38*$D15+E$45*$E15+E$52*$F15+E$59*$G15+E$66*$H15+E$73*$I15+E$80*$J15+E$87*$K15+E$94*$L15</f>
        <v>969409.98486991704</v>
      </c>
      <c r="F25" s="741">
        <f t="shared" si="9"/>
        <v>1283534.6616034971</v>
      </c>
      <c r="G25" s="741">
        <f t="shared" si="9"/>
        <v>1361360.1338537412</v>
      </c>
      <c r="H25" s="741">
        <f t="shared" si="9"/>
        <v>1400272.8699788633</v>
      </c>
      <c r="I25" s="741">
        <f t="shared" si="9"/>
        <v>1446968.1533290097</v>
      </c>
      <c r="J25" s="741">
        <f t="shared" si="9"/>
        <v>1446968.1533290097</v>
      </c>
      <c r="K25" s="741">
        <f t="shared" si="9"/>
        <v>1602619.0978294979</v>
      </c>
      <c r="L25" s="741">
        <f t="shared" si="9"/>
        <v>1602619.0978294977</v>
      </c>
      <c r="M25" s="741">
        <f t="shared" si="9"/>
        <v>1602619.0978294979</v>
      </c>
      <c r="N25" s="741">
        <f t="shared" si="9"/>
        <v>1602619.0978294979</v>
      </c>
      <c r="O25" s="741">
        <f t="shared" si="9"/>
        <v>1602619.0978294979</v>
      </c>
      <c r="P25" s="741">
        <f t="shared" si="9"/>
        <v>1602619.0978294979</v>
      </c>
      <c r="Q25" s="741">
        <f t="shared" si="9"/>
        <v>1602619.0978294981</v>
      </c>
      <c r="R25" s="741">
        <f t="shared" si="9"/>
        <v>1602619.0978294981</v>
      </c>
      <c r="S25" s="741">
        <f t="shared" si="9"/>
        <v>1602619.0978294981</v>
      </c>
      <c r="T25" s="741">
        <f t="shared" si="9"/>
        <v>633209.11295958108</v>
      </c>
      <c r="U25" s="741">
        <f t="shared" si="9"/>
        <v>319084.43622600089</v>
      </c>
      <c r="V25" s="741">
        <f t="shared" si="9"/>
        <v>241258.96397575678</v>
      </c>
      <c r="W25" s="741">
        <f t="shared" si="9"/>
        <v>202346.22785063469</v>
      </c>
      <c r="X25" s="741">
        <f t="shared" si="9"/>
        <v>155650.94450048823</v>
      </c>
      <c r="Y25" s="741">
        <f t="shared" si="9"/>
        <v>155650.94450048823</v>
      </c>
      <c r="Z25" s="741">
        <f t="shared" si="9"/>
        <v>0</v>
      </c>
      <c r="AA25" s="741">
        <f t="shared" si="9"/>
        <v>0</v>
      </c>
      <c r="AB25" s="741">
        <f t="shared" si="9"/>
        <v>0</v>
      </c>
      <c r="AC25" s="741">
        <f t="shared" si="9"/>
        <v>0</v>
      </c>
      <c r="AD25" s="741">
        <f t="shared" si="9"/>
        <v>0</v>
      </c>
      <c r="AE25" s="741">
        <f t="shared" si="9"/>
        <v>0</v>
      </c>
      <c r="AF25" s="741">
        <f t="shared" si="9"/>
        <v>0</v>
      </c>
      <c r="AG25" s="741">
        <f t="shared" si="9"/>
        <v>0</v>
      </c>
    </row>
    <row r="26" spans="1:37" x14ac:dyDescent="0.3">
      <c r="A26" s="411"/>
      <c r="B26" s="715"/>
      <c r="C26" s="730" t="b">
        <f>SUM(C23:C25)='Revenue Requirements'!F94</f>
        <v>1</v>
      </c>
      <c r="D26" s="730" t="b">
        <f>SUM(D23:D25)='Revenue Requirements'!G94</f>
        <v>1</v>
      </c>
      <c r="E26" s="730" t="b">
        <f>SUM(E23:E25)='Revenue Requirements'!H94</f>
        <v>1</v>
      </c>
      <c r="F26" s="730" t="b">
        <f>SUM(F23:F25)='Revenue Requirements'!I94</f>
        <v>1</v>
      </c>
      <c r="G26" s="730" t="b">
        <f>SUM(G23:G25)='Revenue Requirements'!J94</f>
        <v>1</v>
      </c>
      <c r="H26" s="730" t="b">
        <f>SUM(H23:H25)='Revenue Requirements'!K94</f>
        <v>1</v>
      </c>
      <c r="I26" s="730" t="b">
        <f>SUM(I23:I25)='Revenue Requirements'!L94</f>
        <v>1</v>
      </c>
      <c r="J26" s="730" t="b">
        <f>SUM(J23:J25)='Revenue Requirements'!M94</f>
        <v>1</v>
      </c>
      <c r="K26" s="730" t="b">
        <f>SUM(K23:K25)='Revenue Requirements'!N94</f>
        <v>1</v>
      </c>
      <c r="L26" s="730" t="b">
        <f>SUM(L23:L25)='Revenue Requirements'!O94</f>
        <v>1</v>
      </c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30"/>
      <c r="AJ26" s="730"/>
      <c r="AK26" s="730"/>
    </row>
    <row r="27" spans="1:37" x14ac:dyDescent="0.3">
      <c r="A27" s="411"/>
      <c r="B27" s="68" t="s">
        <v>33</v>
      </c>
      <c r="C27" s="68">
        <v>2016</v>
      </c>
      <c r="D27" s="68">
        <v>2017</v>
      </c>
      <c r="E27" s="68">
        <v>2018</v>
      </c>
      <c r="F27" s="68">
        <v>2019</v>
      </c>
      <c r="G27" s="68">
        <v>2020</v>
      </c>
      <c r="H27" s="68">
        <v>2021</v>
      </c>
      <c r="I27" s="68">
        <v>2022</v>
      </c>
      <c r="J27" s="68">
        <v>2023</v>
      </c>
      <c r="K27" s="68">
        <v>2024</v>
      </c>
      <c r="L27" s="68">
        <v>2025</v>
      </c>
      <c r="M27" s="68">
        <v>2026</v>
      </c>
      <c r="N27" s="68">
        <v>2027</v>
      </c>
      <c r="O27" s="68">
        <v>2028</v>
      </c>
      <c r="P27" s="68">
        <v>2029</v>
      </c>
      <c r="Q27" s="68">
        <v>2030</v>
      </c>
      <c r="R27" s="68">
        <v>2031</v>
      </c>
      <c r="S27" s="68">
        <v>2032</v>
      </c>
      <c r="T27" s="68">
        <v>2033</v>
      </c>
      <c r="U27" s="68">
        <v>2034</v>
      </c>
      <c r="V27" s="68">
        <v>2035</v>
      </c>
      <c r="W27" s="68">
        <v>2036</v>
      </c>
      <c r="X27" s="68">
        <v>2037</v>
      </c>
      <c r="Y27" s="68">
        <v>2038</v>
      </c>
      <c r="Z27" s="68">
        <v>2039</v>
      </c>
      <c r="AA27" s="68">
        <v>2040</v>
      </c>
      <c r="AB27" s="68">
        <v>2041</v>
      </c>
      <c r="AC27" s="68">
        <v>2042</v>
      </c>
      <c r="AD27" s="68">
        <v>2043</v>
      </c>
      <c r="AE27" s="68">
        <v>2044</v>
      </c>
      <c r="AF27" s="68">
        <v>2045</v>
      </c>
      <c r="AG27" s="68">
        <v>2046</v>
      </c>
    </row>
    <row r="28" spans="1:37" x14ac:dyDescent="0.3">
      <c r="B28" s="742" t="str">
        <f>C4&amp;" Payment Number"</f>
        <v>2016 Payment Number</v>
      </c>
      <c r="C28" s="743">
        <f>IF(C27&gt;$C$9+$C$11,"",IF(C27-$C$9&lt;0,"",C27-$C$9))</f>
        <v>0</v>
      </c>
      <c r="D28" s="743">
        <f>IF(D27&gt;$C$9+$C$11,"",IF(D27-$C$9&lt;0,"",D27-$C$9))</f>
        <v>1</v>
      </c>
      <c r="E28" s="743">
        <f t="shared" ref="E28:AG28" si="10">IF(E27&gt;$C$9+$C$11,"",IF(E27-$C$9&lt;0,"",E27-$C$9))</f>
        <v>2</v>
      </c>
      <c r="F28" s="743">
        <f t="shared" si="10"/>
        <v>3</v>
      </c>
      <c r="G28" s="743">
        <f t="shared" si="10"/>
        <v>4</v>
      </c>
      <c r="H28" s="743">
        <f t="shared" si="10"/>
        <v>5</v>
      </c>
      <c r="I28" s="743">
        <f t="shared" si="10"/>
        <v>6</v>
      </c>
      <c r="J28" s="743">
        <f t="shared" si="10"/>
        <v>7</v>
      </c>
      <c r="K28" s="743">
        <f t="shared" si="10"/>
        <v>8</v>
      </c>
      <c r="L28" s="743">
        <f t="shared" si="10"/>
        <v>9</v>
      </c>
      <c r="M28" s="743">
        <f t="shared" si="10"/>
        <v>10</v>
      </c>
      <c r="N28" s="743">
        <f t="shared" si="10"/>
        <v>11</v>
      </c>
      <c r="O28" s="743">
        <f t="shared" si="10"/>
        <v>12</v>
      </c>
      <c r="P28" s="743">
        <f t="shared" si="10"/>
        <v>13</v>
      </c>
      <c r="Q28" s="743">
        <f t="shared" si="10"/>
        <v>14</v>
      </c>
      <c r="R28" s="743">
        <f t="shared" si="10"/>
        <v>15</v>
      </c>
      <c r="S28" s="743" t="str">
        <f t="shared" si="10"/>
        <v/>
      </c>
      <c r="T28" s="743" t="str">
        <f t="shared" si="10"/>
        <v/>
      </c>
      <c r="U28" s="743" t="str">
        <f t="shared" si="10"/>
        <v/>
      </c>
      <c r="V28" s="743" t="str">
        <f t="shared" si="10"/>
        <v/>
      </c>
      <c r="W28" s="743" t="str">
        <f t="shared" si="10"/>
        <v/>
      </c>
      <c r="X28" s="743" t="str">
        <f t="shared" si="10"/>
        <v/>
      </c>
      <c r="Y28" s="743" t="str">
        <f t="shared" si="10"/>
        <v/>
      </c>
      <c r="Z28" s="743" t="str">
        <f t="shared" si="10"/>
        <v/>
      </c>
      <c r="AA28" s="743" t="str">
        <f t="shared" si="10"/>
        <v/>
      </c>
      <c r="AB28" s="743" t="str">
        <f t="shared" si="10"/>
        <v/>
      </c>
      <c r="AC28" s="743" t="str">
        <f t="shared" si="10"/>
        <v/>
      </c>
      <c r="AD28" s="743" t="str">
        <f t="shared" si="10"/>
        <v/>
      </c>
      <c r="AE28" s="743" t="str">
        <f t="shared" si="10"/>
        <v/>
      </c>
      <c r="AF28" s="743" t="str">
        <f t="shared" si="10"/>
        <v/>
      </c>
      <c r="AG28" s="743" t="str">
        <f t="shared" si="10"/>
        <v/>
      </c>
    </row>
    <row r="29" spans="1:37" s="739" customFormat="1" x14ac:dyDescent="0.3">
      <c r="B29" s="744" t="s">
        <v>34</v>
      </c>
      <c r="C29" s="745">
        <f>IF(OR(C28="",C28=0),0,IF(C28&lt;=$C$11,-PPMT($C$10,C28,$C$11,$C$8)))</f>
        <v>0</v>
      </c>
      <c r="D29" s="745">
        <f t="shared" ref="D29:AG29" si="11">IF(OR(D28="",D28=0),0,IF(D28&lt;=$C$11,-PPMT($C$10,D28,$C$11,$C$8)))</f>
        <v>0</v>
      </c>
      <c r="E29" s="745">
        <f t="shared" si="11"/>
        <v>0</v>
      </c>
      <c r="F29" s="745">
        <f t="shared" si="11"/>
        <v>0</v>
      </c>
      <c r="G29" s="745">
        <f t="shared" si="11"/>
        <v>0</v>
      </c>
      <c r="H29" s="745">
        <f t="shared" si="11"/>
        <v>0</v>
      </c>
      <c r="I29" s="745">
        <f t="shared" si="11"/>
        <v>0</v>
      </c>
      <c r="J29" s="745">
        <f t="shared" si="11"/>
        <v>0</v>
      </c>
      <c r="K29" s="745">
        <f t="shared" si="11"/>
        <v>0</v>
      </c>
      <c r="L29" s="745">
        <f t="shared" si="11"/>
        <v>0</v>
      </c>
      <c r="M29" s="745">
        <f t="shared" si="11"/>
        <v>0</v>
      </c>
      <c r="N29" s="745">
        <f t="shared" si="11"/>
        <v>0</v>
      </c>
      <c r="O29" s="745">
        <f t="shared" si="11"/>
        <v>0</v>
      </c>
      <c r="P29" s="745">
        <f t="shared" si="11"/>
        <v>0</v>
      </c>
      <c r="Q29" s="745">
        <f t="shared" si="11"/>
        <v>0</v>
      </c>
      <c r="R29" s="745">
        <f t="shared" si="11"/>
        <v>0</v>
      </c>
      <c r="S29" s="745">
        <f t="shared" si="11"/>
        <v>0</v>
      </c>
      <c r="T29" s="745">
        <f t="shared" si="11"/>
        <v>0</v>
      </c>
      <c r="U29" s="745">
        <f t="shared" si="11"/>
        <v>0</v>
      </c>
      <c r="V29" s="745">
        <f t="shared" si="11"/>
        <v>0</v>
      </c>
      <c r="W29" s="745">
        <f t="shared" si="11"/>
        <v>0</v>
      </c>
      <c r="X29" s="745">
        <f t="shared" si="11"/>
        <v>0</v>
      </c>
      <c r="Y29" s="745">
        <f t="shared" si="11"/>
        <v>0</v>
      </c>
      <c r="Z29" s="745">
        <f t="shared" si="11"/>
        <v>0</v>
      </c>
      <c r="AA29" s="745">
        <f t="shared" si="11"/>
        <v>0</v>
      </c>
      <c r="AB29" s="745">
        <f t="shared" si="11"/>
        <v>0</v>
      </c>
      <c r="AC29" s="745">
        <f t="shared" si="11"/>
        <v>0</v>
      </c>
      <c r="AD29" s="745">
        <f t="shared" si="11"/>
        <v>0</v>
      </c>
      <c r="AE29" s="745">
        <f t="shared" si="11"/>
        <v>0</v>
      </c>
      <c r="AF29" s="745">
        <f t="shared" si="11"/>
        <v>0</v>
      </c>
      <c r="AG29" s="745">
        <f t="shared" si="11"/>
        <v>0</v>
      </c>
    </row>
    <row r="30" spans="1:37" s="739" customFormat="1" x14ac:dyDescent="0.3">
      <c r="B30" s="744" t="s">
        <v>35</v>
      </c>
      <c r="C30" s="746">
        <f>IF(C28&gt;0,IFERROR(-IPMT($C$10,C28,$C$11,$C$8),0),0)</f>
        <v>0</v>
      </c>
      <c r="D30" s="746">
        <f t="shared" ref="D30:AG30" si="12">IF(D28&gt;0,IFERROR(-IPMT($C$10,D28,$C$11,$C$8),0),0)</f>
        <v>0</v>
      </c>
      <c r="E30" s="746">
        <f t="shared" si="12"/>
        <v>0</v>
      </c>
      <c r="F30" s="746">
        <f t="shared" si="12"/>
        <v>0</v>
      </c>
      <c r="G30" s="746">
        <f t="shared" si="12"/>
        <v>0</v>
      </c>
      <c r="H30" s="746">
        <f t="shared" si="12"/>
        <v>0</v>
      </c>
      <c r="I30" s="746">
        <f t="shared" si="12"/>
        <v>0</v>
      </c>
      <c r="J30" s="746">
        <f t="shared" si="12"/>
        <v>0</v>
      </c>
      <c r="K30" s="746">
        <f t="shared" si="12"/>
        <v>0</v>
      </c>
      <c r="L30" s="746">
        <f t="shared" si="12"/>
        <v>0</v>
      </c>
      <c r="M30" s="746">
        <f t="shared" si="12"/>
        <v>0</v>
      </c>
      <c r="N30" s="746">
        <f t="shared" si="12"/>
        <v>0</v>
      </c>
      <c r="O30" s="746">
        <f t="shared" si="12"/>
        <v>0</v>
      </c>
      <c r="P30" s="746">
        <f t="shared" si="12"/>
        <v>0</v>
      </c>
      <c r="Q30" s="746">
        <f t="shared" si="12"/>
        <v>0</v>
      </c>
      <c r="R30" s="746">
        <f t="shared" si="12"/>
        <v>0</v>
      </c>
      <c r="S30" s="746">
        <f t="shared" si="12"/>
        <v>0</v>
      </c>
      <c r="T30" s="746">
        <f t="shared" si="12"/>
        <v>0</v>
      </c>
      <c r="U30" s="746">
        <f t="shared" si="12"/>
        <v>0</v>
      </c>
      <c r="V30" s="746">
        <f t="shared" si="12"/>
        <v>0</v>
      </c>
      <c r="W30" s="746">
        <f t="shared" si="12"/>
        <v>0</v>
      </c>
      <c r="X30" s="746">
        <f t="shared" si="12"/>
        <v>0</v>
      </c>
      <c r="Y30" s="746">
        <f t="shared" si="12"/>
        <v>0</v>
      </c>
      <c r="Z30" s="746">
        <f t="shared" si="12"/>
        <v>0</v>
      </c>
      <c r="AA30" s="746">
        <f t="shared" si="12"/>
        <v>0</v>
      </c>
      <c r="AB30" s="746">
        <f t="shared" si="12"/>
        <v>0</v>
      </c>
      <c r="AC30" s="746">
        <f t="shared" si="12"/>
        <v>0</v>
      </c>
      <c r="AD30" s="746">
        <f t="shared" si="12"/>
        <v>0</v>
      </c>
      <c r="AE30" s="746">
        <f t="shared" si="12"/>
        <v>0</v>
      </c>
      <c r="AF30" s="746">
        <f t="shared" si="12"/>
        <v>0</v>
      </c>
      <c r="AG30" s="746">
        <f t="shared" si="12"/>
        <v>0</v>
      </c>
    </row>
    <row r="31" spans="1:37" x14ac:dyDescent="0.3">
      <c r="B31" s="742" t="s">
        <v>1904</v>
      </c>
      <c r="C31" s="747">
        <f>SUM(C29:C30)</f>
        <v>0</v>
      </c>
      <c r="D31" s="747">
        <f>SUM(D29:D30)</f>
        <v>0</v>
      </c>
      <c r="E31" s="747">
        <f t="shared" ref="E31:AG31" si="13">SUM(E29:E30)</f>
        <v>0</v>
      </c>
      <c r="F31" s="747">
        <f t="shared" si="13"/>
        <v>0</v>
      </c>
      <c r="G31" s="747">
        <f t="shared" si="13"/>
        <v>0</v>
      </c>
      <c r="H31" s="747">
        <f t="shared" si="13"/>
        <v>0</v>
      </c>
      <c r="I31" s="747">
        <f t="shared" si="13"/>
        <v>0</v>
      </c>
      <c r="J31" s="747">
        <f t="shared" si="13"/>
        <v>0</v>
      </c>
      <c r="K31" s="747">
        <f t="shared" si="13"/>
        <v>0</v>
      </c>
      <c r="L31" s="747">
        <f t="shared" si="13"/>
        <v>0</v>
      </c>
      <c r="M31" s="747">
        <f t="shared" si="13"/>
        <v>0</v>
      </c>
      <c r="N31" s="747">
        <f t="shared" si="13"/>
        <v>0</v>
      </c>
      <c r="O31" s="747">
        <f t="shared" si="13"/>
        <v>0</v>
      </c>
      <c r="P31" s="747">
        <f t="shared" si="13"/>
        <v>0</v>
      </c>
      <c r="Q31" s="747">
        <f t="shared" si="13"/>
        <v>0</v>
      </c>
      <c r="R31" s="747">
        <f t="shared" si="13"/>
        <v>0</v>
      </c>
      <c r="S31" s="747">
        <f t="shared" si="13"/>
        <v>0</v>
      </c>
      <c r="T31" s="747">
        <f t="shared" si="13"/>
        <v>0</v>
      </c>
      <c r="U31" s="747">
        <f t="shared" si="13"/>
        <v>0</v>
      </c>
      <c r="V31" s="747">
        <f t="shared" si="13"/>
        <v>0</v>
      </c>
      <c r="W31" s="747">
        <f t="shared" si="13"/>
        <v>0</v>
      </c>
      <c r="X31" s="747">
        <f t="shared" si="13"/>
        <v>0</v>
      </c>
      <c r="Y31" s="747">
        <f t="shared" si="13"/>
        <v>0</v>
      </c>
      <c r="Z31" s="747">
        <f t="shared" si="13"/>
        <v>0</v>
      </c>
      <c r="AA31" s="747">
        <f t="shared" si="13"/>
        <v>0</v>
      </c>
      <c r="AB31" s="747">
        <f t="shared" si="13"/>
        <v>0</v>
      </c>
      <c r="AC31" s="747">
        <f t="shared" si="13"/>
        <v>0</v>
      </c>
      <c r="AD31" s="747">
        <f t="shared" si="13"/>
        <v>0</v>
      </c>
      <c r="AE31" s="747">
        <f t="shared" si="13"/>
        <v>0</v>
      </c>
      <c r="AF31" s="747">
        <f t="shared" si="13"/>
        <v>0</v>
      </c>
      <c r="AG31" s="747">
        <f t="shared" si="13"/>
        <v>0</v>
      </c>
    </row>
    <row r="32" spans="1:37" x14ac:dyDescent="0.3">
      <c r="B32" s="742"/>
      <c r="C32" s="748"/>
      <c r="D32" s="748"/>
      <c r="E32" s="748"/>
      <c r="F32" s="748"/>
      <c r="G32" s="748"/>
      <c r="H32" s="748"/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748"/>
      <c r="AB32" s="748"/>
      <c r="AC32" s="748"/>
      <c r="AD32" s="748"/>
      <c r="AE32" s="748"/>
      <c r="AF32" s="748"/>
      <c r="AG32" s="748"/>
    </row>
    <row r="33" spans="2:33" x14ac:dyDescent="0.3">
      <c r="B33" s="749" t="s">
        <v>36</v>
      </c>
      <c r="C33" s="750">
        <f>IF(C28="",0,IF(C28=0,$C$8,B33-C29))</f>
        <v>0</v>
      </c>
      <c r="D33" s="750">
        <f>IF(D28="",0,IF(D28=0,$C$8,C33-D29))</f>
        <v>0</v>
      </c>
      <c r="E33" s="750">
        <f t="shared" ref="E33:AG33" si="14">IF(E28="",0,IF(E28=0,$C$8,D33-E29))</f>
        <v>0</v>
      </c>
      <c r="F33" s="750">
        <f t="shared" si="14"/>
        <v>0</v>
      </c>
      <c r="G33" s="750">
        <f t="shared" si="14"/>
        <v>0</v>
      </c>
      <c r="H33" s="750">
        <f t="shared" si="14"/>
        <v>0</v>
      </c>
      <c r="I33" s="750">
        <f t="shared" si="14"/>
        <v>0</v>
      </c>
      <c r="J33" s="750">
        <f t="shared" si="14"/>
        <v>0</v>
      </c>
      <c r="K33" s="750">
        <f t="shared" si="14"/>
        <v>0</v>
      </c>
      <c r="L33" s="750">
        <f t="shared" si="14"/>
        <v>0</v>
      </c>
      <c r="M33" s="750">
        <f t="shared" si="14"/>
        <v>0</v>
      </c>
      <c r="N33" s="750">
        <f t="shared" si="14"/>
        <v>0</v>
      </c>
      <c r="O33" s="750">
        <f t="shared" si="14"/>
        <v>0</v>
      </c>
      <c r="P33" s="750">
        <f t="shared" si="14"/>
        <v>0</v>
      </c>
      <c r="Q33" s="750">
        <f t="shared" si="14"/>
        <v>0</v>
      </c>
      <c r="R33" s="750">
        <f t="shared" si="14"/>
        <v>0</v>
      </c>
      <c r="S33" s="750">
        <f t="shared" si="14"/>
        <v>0</v>
      </c>
      <c r="T33" s="750">
        <f t="shared" si="14"/>
        <v>0</v>
      </c>
      <c r="U33" s="750">
        <f t="shared" si="14"/>
        <v>0</v>
      </c>
      <c r="V33" s="750">
        <f t="shared" si="14"/>
        <v>0</v>
      </c>
      <c r="W33" s="750">
        <f t="shared" si="14"/>
        <v>0</v>
      </c>
      <c r="X33" s="750">
        <f t="shared" si="14"/>
        <v>0</v>
      </c>
      <c r="Y33" s="750">
        <f t="shared" si="14"/>
        <v>0</v>
      </c>
      <c r="Z33" s="750">
        <f t="shared" si="14"/>
        <v>0</v>
      </c>
      <c r="AA33" s="750">
        <f t="shared" si="14"/>
        <v>0</v>
      </c>
      <c r="AB33" s="750">
        <f t="shared" si="14"/>
        <v>0</v>
      </c>
      <c r="AC33" s="750">
        <f t="shared" si="14"/>
        <v>0</v>
      </c>
      <c r="AD33" s="750">
        <f t="shared" si="14"/>
        <v>0</v>
      </c>
      <c r="AE33" s="750">
        <f t="shared" si="14"/>
        <v>0</v>
      </c>
      <c r="AF33" s="750">
        <f t="shared" si="14"/>
        <v>0</v>
      </c>
      <c r="AG33" s="750">
        <f t="shared" si="14"/>
        <v>0</v>
      </c>
    </row>
    <row r="34" spans="2:33" x14ac:dyDescent="0.3">
      <c r="B34" s="742"/>
      <c r="C34" s="748"/>
      <c r="D34" s="748"/>
      <c r="E34" s="748"/>
      <c r="F34" s="748"/>
      <c r="G34" s="748"/>
      <c r="H34" s="748"/>
      <c r="I34" s="748"/>
      <c r="J34" s="748"/>
      <c r="K34" s="748"/>
      <c r="L34" s="748"/>
      <c r="M34" s="748"/>
      <c r="N34" s="748"/>
      <c r="O34" s="748"/>
      <c r="P34" s="748"/>
      <c r="Q34" s="748"/>
      <c r="R34" s="748"/>
      <c r="S34" s="748"/>
      <c r="T34" s="748"/>
      <c r="U34" s="748"/>
      <c r="V34" s="748"/>
      <c r="W34" s="748"/>
      <c r="X34" s="748"/>
      <c r="Y34" s="748"/>
      <c r="Z34" s="748"/>
      <c r="AA34" s="748"/>
      <c r="AB34" s="748"/>
      <c r="AC34" s="748"/>
      <c r="AD34" s="748"/>
      <c r="AE34" s="748"/>
      <c r="AF34" s="748"/>
      <c r="AG34" s="748"/>
    </row>
    <row r="35" spans="2:33" x14ac:dyDescent="0.3">
      <c r="B35" s="751" t="str">
        <f>D4&amp;" Payment Number"</f>
        <v>2017 Payment Number</v>
      </c>
      <c r="C35" s="752" t="str">
        <f>IF(C$27&gt;$D$9+$D$11,"",IF(C$27-$D$9&lt;0,"",C$27-$D$9))</f>
        <v/>
      </c>
      <c r="D35" s="752">
        <f>IF(D$27&gt;$D$9+$D$11,"",IF(D$27-$D$9&lt;0,"",D$27-$D$9))</f>
        <v>0</v>
      </c>
      <c r="E35" s="752">
        <f t="shared" ref="E35:AG35" si="15">IF(E$27&gt;$D$9+$D$11,"",IF(E$27-$D$9&lt;0,"",E$27-$D$9))</f>
        <v>1</v>
      </c>
      <c r="F35" s="752">
        <f t="shared" si="15"/>
        <v>2</v>
      </c>
      <c r="G35" s="752">
        <f t="shared" si="15"/>
        <v>3</v>
      </c>
      <c r="H35" s="752">
        <f t="shared" si="15"/>
        <v>4</v>
      </c>
      <c r="I35" s="752">
        <f t="shared" si="15"/>
        <v>5</v>
      </c>
      <c r="J35" s="752">
        <f t="shared" si="15"/>
        <v>6</v>
      </c>
      <c r="K35" s="752">
        <f t="shared" si="15"/>
        <v>7</v>
      </c>
      <c r="L35" s="752">
        <f t="shared" si="15"/>
        <v>8</v>
      </c>
      <c r="M35" s="752">
        <f t="shared" si="15"/>
        <v>9</v>
      </c>
      <c r="N35" s="752">
        <f t="shared" si="15"/>
        <v>10</v>
      </c>
      <c r="O35" s="752">
        <f t="shared" si="15"/>
        <v>11</v>
      </c>
      <c r="P35" s="752">
        <f t="shared" si="15"/>
        <v>12</v>
      </c>
      <c r="Q35" s="752">
        <f t="shared" si="15"/>
        <v>13</v>
      </c>
      <c r="R35" s="752">
        <f t="shared" si="15"/>
        <v>14</v>
      </c>
      <c r="S35" s="752">
        <f t="shared" si="15"/>
        <v>15</v>
      </c>
      <c r="T35" s="752" t="str">
        <f t="shared" si="15"/>
        <v/>
      </c>
      <c r="U35" s="752" t="str">
        <f t="shared" si="15"/>
        <v/>
      </c>
      <c r="V35" s="752" t="str">
        <f t="shared" si="15"/>
        <v/>
      </c>
      <c r="W35" s="752" t="str">
        <f t="shared" si="15"/>
        <v/>
      </c>
      <c r="X35" s="752" t="str">
        <f t="shared" si="15"/>
        <v/>
      </c>
      <c r="Y35" s="752" t="str">
        <f t="shared" si="15"/>
        <v/>
      </c>
      <c r="Z35" s="752" t="str">
        <f t="shared" si="15"/>
        <v/>
      </c>
      <c r="AA35" s="752" t="str">
        <f t="shared" si="15"/>
        <v/>
      </c>
      <c r="AB35" s="752" t="str">
        <f t="shared" si="15"/>
        <v/>
      </c>
      <c r="AC35" s="752" t="str">
        <f t="shared" si="15"/>
        <v/>
      </c>
      <c r="AD35" s="752" t="str">
        <f t="shared" si="15"/>
        <v/>
      </c>
      <c r="AE35" s="752" t="str">
        <f t="shared" si="15"/>
        <v/>
      </c>
      <c r="AF35" s="752" t="str">
        <f t="shared" si="15"/>
        <v/>
      </c>
      <c r="AG35" s="752" t="str">
        <f t="shared" si="15"/>
        <v/>
      </c>
    </row>
    <row r="36" spans="2:33" x14ac:dyDescent="0.3">
      <c r="B36" s="751" t="s">
        <v>34</v>
      </c>
      <c r="C36" s="753">
        <f>IF(OR(C35="",C35=0),0,IF(C35&lt;=$D$11,-PPMT($D$10,C35,$D$11,$D$8)))</f>
        <v>0</v>
      </c>
      <c r="D36" s="753">
        <f t="shared" ref="D36:AG36" si="16">IF(OR(D35="",D35=0),0,IF(D35&lt;=$D$11,-PPMT($D$10,D35,$D$11,$D$8)))</f>
        <v>0</v>
      </c>
      <c r="E36" s="753">
        <f t="shared" si="16"/>
        <v>928237.73529261793</v>
      </c>
      <c r="F36" s="753">
        <f t="shared" si="16"/>
        <v>939283.76434260013</v>
      </c>
      <c r="G36" s="753">
        <f t="shared" si="16"/>
        <v>950461.24113827699</v>
      </c>
      <c r="H36" s="753">
        <f t="shared" si="16"/>
        <v>961771.72990782256</v>
      </c>
      <c r="I36" s="753">
        <f t="shared" si="16"/>
        <v>973216.81349372561</v>
      </c>
      <c r="J36" s="753">
        <f t="shared" si="16"/>
        <v>984798.09357430087</v>
      </c>
      <c r="K36" s="753">
        <f t="shared" si="16"/>
        <v>996517.19088783523</v>
      </c>
      <c r="L36" s="753">
        <f t="shared" si="16"/>
        <v>1008375.7454594002</v>
      </c>
      <c r="M36" s="753">
        <f t="shared" si="16"/>
        <v>1020375.4168303673</v>
      </c>
      <c r="N36" s="753">
        <f t="shared" si="16"/>
        <v>1032517.8842906485</v>
      </c>
      <c r="O36" s="753">
        <f t="shared" si="16"/>
        <v>1044804.8471137073</v>
      </c>
      <c r="P36" s="753">
        <f t="shared" si="16"/>
        <v>1057238.0247943604</v>
      </c>
      <c r="Q36" s="753">
        <f t="shared" si="16"/>
        <v>1069819.1572894133</v>
      </c>
      <c r="R36" s="753">
        <f t="shared" si="16"/>
        <v>1082550.0052611574</v>
      </c>
      <c r="S36" s="753">
        <f t="shared" si="16"/>
        <v>1095432.3503237651</v>
      </c>
      <c r="T36" s="753">
        <f t="shared" si="16"/>
        <v>0</v>
      </c>
      <c r="U36" s="753">
        <f t="shared" si="16"/>
        <v>0</v>
      </c>
      <c r="V36" s="753">
        <f t="shared" si="16"/>
        <v>0</v>
      </c>
      <c r="W36" s="753">
        <f t="shared" si="16"/>
        <v>0</v>
      </c>
      <c r="X36" s="753">
        <f t="shared" si="16"/>
        <v>0</v>
      </c>
      <c r="Y36" s="753">
        <f t="shared" si="16"/>
        <v>0</v>
      </c>
      <c r="Z36" s="753">
        <f t="shared" si="16"/>
        <v>0</v>
      </c>
      <c r="AA36" s="753">
        <f t="shared" si="16"/>
        <v>0</v>
      </c>
      <c r="AB36" s="753">
        <f t="shared" si="16"/>
        <v>0</v>
      </c>
      <c r="AC36" s="753">
        <f t="shared" si="16"/>
        <v>0</v>
      </c>
      <c r="AD36" s="753">
        <f t="shared" si="16"/>
        <v>0</v>
      </c>
      <c r="AE36" s="753">
        <f t="shared" si="16"/>
        <v>0</v>
      </c>
      <c r="AF36" s="753">
        <f t="shared" si="16"/>
        <v>0</v>
      </c>
      <c r="AG36" s="753">
        <f t="shared" si="16"/>
        <v>0</v>
      </c>
    </row>
    <row r="37" spans="2:33" x14ac:dyDescent="0.3">
      <c r="B37" s="751" t="s">
        <v>35</v>
      </c>
      <c r="C37" s="754">
        <f>IF(C35&gt;0,IFERROR(-IPMT($D$10,C35,$D$11,$D$8),0),0)</f>
        <v>0</v>
      </c>
      <c r="D37" s="754">
        <f t="shared" ref="D37:AG37" si="17">IF(D35&gt;0,IFERROR(-IPMT($D$10,D35,$D$11,$D$8),0),0)</f>
        <v>0</v>
      </c>
      <c r="E37" s="754">
        <f t="shared" si="17"/>
        <v>180230.26000000004</v>
      </c>
      <c r="F37" s="754">
        <f t="shared" si="17"/>
        <v>169184.23095001787</v>
      </c>
      <c r="G37" s="754">
        <f t="shared" si="17"/>
        <v>158006.75415434095</v>
      </c>
      <c r="H37" s="754">
        <f t="shared" si="17"/>
        <v>146696.26538479544</v>
      </c>
      <c r="I37" s="754">
        <f t="shared" si="17"/>
        <v>135251.18179889233</v>
      </c>
      <c r="J37" s="754">
        <f t="shared" si="17"/>
        <v>123669.90171831699</v>
      </c>
      <c r="K37" s="754">
        <f t="shared" si="17"/>
        <v>111950.80440478282</v>
      </c>
      <c r="L37" s="754">
        <f t="shared" si="17"/>
        <v>100092.24983321757</v>
      </c>
      <c r="M37" s="754">
        <f t="shared" si="17"/>
        <v>88092.578462250705</v>
      </c>
      <c r="N37" s="754">
        <f t="shared" si="17"/>
        <v>75950.111001969344</v>
      </c>
      <c r="O37" s="754">
        <f t="shared" si="17"/>
        <v>63663.148178910611</v>
      </c>
      <c r="P37" s="754">
        <f t="shared" si="17"/>
        <v>51229.970498257506</v>
      </c>
      <c r="Q37" s="754">
        <f t="shared" si="17"/>
        <v>38648.838003204604</v>
      </c>
      <c r="R37" s="754">
        <f t="shared" si="17"/>
        <v>25917.990031460577</v>
      </c>
      <c r="S37" s="754">
        <f t="shared" si="17"/>
        <v>13035.644968852805</v>
      </c>
      <c r="T37" s="754">
        <f t="shared" si="17"/>
        <v>0</v>
      </c>
      <c r="U37" s="754">
        <f t="shared" si="17"/>
        <v>0</v>
      </c>
      <c r="V37" s="754">
        <f t="shared" si="17"/>
        <v>0</v>
      </c>
      <c r="W37" s="754">
        <f t="shared" si="17"/>
        <v>0</v>
      </c>
      <c r="X37" s="754">
        <f t="shared" si="17"/>
        <v>0</v>
      </c>
      <c r="Y37" s="754">
        <f t="shared" si="17"/>
        <v>0</v>
      </c>
      <c r="Z37" s="754">
        <f t="shared" si="17"/>
        <v>0</v>
      </c>
      <c r="AA37" s="754">
        <f t="shared" si="17"/>
        <v>0</v>
      </c>
      <c r="AB37" s="754">
        <f t="shared" si="17"/>
        <v>0</v>
      </c>
      <c r="AC37" s="754">
        <f t="shared" si="17"/>
        <v>0</v>
      </c>
      <c r="AD37" s="754">
        <f t="shared" si="17"/>
        <v>0</v>
      </c>
      <c r="AE37" s="754">
        <f t="shared" si="17"/>
        <v>0</v>
      </c>
      <c r="AF37" s="754">
        <f t="shared" si="17"/>
        <v>0</v>
      </c>
      <c r="AG37" s="754">
        <f t="shared" si="17"/>
        <v>0</v>
      </c>
    </row>
    <row r="38" spans="2:33" x14ac:dyDescent="0.3">
      <c r="B38" s="751" t="s">
        <v>1904</v>
      </c>
      <c r="C38" s="753">
        <f t="shared" ref="C38:J38" si="18">SUM(C36:C37)</f>
        <v>0</v>
      </c>
      <c r="D38" s="753">
        <f t="shared" si="18"/>
        <v>0</v>
      </c>
      <c r="E38" s="753">
        <f t="shared" si="18"/>
        <v>1108467.9952926179</v>
      </c>
      <c r="F38" s="753">
        <f t="shared" si="18"/>
        <v>1108467.9952926179</v>
      </c>
      <c r="G38" s="753">
        <f t="shared" si="18"/>
        <v>1108467.9952926179</v>
      </c>
      <c r="H38" s="753">
        <f t="shared" si="18"/>
        <v>1108467.9952926179</v>
      </c>
      <c r="I38" s="753">
        <f t="shared" si="18"/>
        <v>1108467.9952926179</v>
      </c>
      <c r="J38" s="753">
        <f t="shared" si="18"/>
        <v>1108467.9952926179</v>
      </c>
      <c r="K38" s="753">
        <f t="shared" ref="K38:AG38" si="19">SUM(K36:K37)</f>
        <v>1108467.9952926179</v>
      </c>
      <c r="L38" s="753">
        <f t="shared" si="19"/>
        <v>1108467.9952926177</v>
      </c>
      <c r="M38" s="753">
        <f t="shared" si="19"/>
        <v>1108467.9952926179</v>
      </c>
      <c r="N38" s="753">
        <f t="shared" si="19"/>
        <v>1108467.9952926179</v>
      </c>
      <c r="O38" s="753">
        <f t="shared" si="19"/>
        <v>1108467.9952926179</v>
      </c>
      <c r="P38" s="753">
        <f t="shared" si="19"/>
        <v>1108467.9952926179</v>
      </c>
      <c r="Q38" s="753">
        <f t="shared" si="19"/>
        <v>1108467.9952926179</v>
      </c>
      <c r="R38" s="753">
        <f t="shared" si="19"/>
        <v>1108467.9952926179</v>
      </c>
      <c r="S38" s="753">
        <f t="shared" si="19"/>
        <v>1108467.9952926179</v>
      </c>
      <c r="T38" s="753">
        <f t="shared" si="19"/>
        <v>0</v>
      </c>
      <c r="U38" s="753">
        <f t="shared" si="19"/>
        <v>0</v>
      </c>
      <c r="V38" s="753">
        <f t="shared" si="19"/>
        <v>0</v>
      </c>
      <c r="W38" s="753">
        <f t="shared" si="19"/>
        <v>0</v>
      </c>
      <c r="X38" s="753">
        <f t="shared" si="19"/>
        <v>0</v>
      </c>
      <c r="Y38" s="753">
        <f t="shared" si="19"/>
        <v>0</v>
      </c>
      <c r="Z38" s="753">
        <f t="shared" si="19"/>
        <v>0</v>
      </c>
      <c r="AA38" s="753">
        <f t="shared" si="19"/>
        <v>0</v>
      </c>
      <c r="AB38" s="753">
        <f t="shared" si="19"/>
        <v>0</v>
      </c>
      <c r="AC38" s="753">
        <f t="shared" si="19"/>
        <v>0</v>
      </c>
      <c r="AD38" s="753">
        <f t="shared" si="19"/>
        <v>0</v>
      </c>
      <c r="AE38" s="753">
        <f t="shared" si="19"/>
        <v>0</v>
      </c>
      <c r="AF38" s="753">
        <f t="shared" si="19"/>
        <v>0</v>
      </c>
      <c r="AG38" s="753">
        <f t="shared" si="19"/>
        <v>0</v>
      </c>
    </row>
    <row r="39" spans="2:33" x14ac:dyDescent="0.3">
      <c r="B39" s="751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  <c r="AA39" s="755"/>
      <c r="AB39" s="755"/>
      <c r="AC39" s="755"/>
      <c r="AD39" s="755"/>
      <c r="AE39" s="755"/>
      <c r="AF39" s="755"/>
      <c r="AG39" s="755"/>
    </row>
    <row r="40" spans="2:33" x14ac:dyDescent="0.3">
      <c r="B40" s="756" t="s">
        <v>36</v>
      </c>
      <c r="C40" s="757">
        <f t="shared" ref="C40:AG40" si="20">IF(C35="",0,IF(C35=0,$D$8,B40-C36))</f>
        <v>0</v>
      </c>
      <c r="D40" s="757">
        <f t="shared" si="20"/>
        <v>15145400</v>
      </c>
      <c r="E40" s="757">
        <f t="shared" si="20"/>
        <v>14217162.264707383</v>
      </c>
      <c r="F40" s="757">
        <f t="shared" si="20"/>
        <v>13277878.500364782</v>
      </c>
      <c r="G40" s="757">
        <f t="shared" si="20"/>
        <v>12327417.259226505</v>
      </c>
      <c r="H40" s="757">
        <f t="shared" si="20"/>
        <v>11365645.529318683</v>
      </c>
      <c r="I40" s="757">
        <f t="shared" si="20"/>
        <v>10392428.715824958</v>
      </c>
      <c r="J40" s="757">
        <f t="shared" si="20"/>
        <v>9407630.6222506575</v>
      </c>
      <c r="K40" s="757">
        <f t="shared" si="20"/>
        <v>8411113.4313628227</v>
      </c>
      <c r="L40" s="757">
        <f t="shared" si="20"/>
        <v>7402737.6859034225</v>
      </c>
      <c r="M40" s="757">
        <f t="shared" si="20"/>
        <v>6382362.2690730551</v>
      </c>
      <c r="N40" s="757">
        <f t="shared" si="20"/>
        <v>5349844.3847824065</v>
      </c>
      <c r="O40" s="757">
        <f t="shared" si="20"/>
        <v>4305039.5376686994</v>
      </c>
      <c r="P40" s="757">
        <f t="shared" si="20"/>
        <v>3247801.5128743388</v>
      </c>
      <c r="Q40" s="757">
        <f t="shared" si="20"/>
        <v>2177982.3555849255</v>
      </c>
      <c r="R40" s="757">
        <f t="shared" si="20"/>
        <v>1095432.3503237681</v>
      </c>
      <c r="S40" s="757">
        <f t="shared" si="20"/>
        <v>3.0267983675003052E-9</v>
      </c>
      <c r="T40" s="757">
        <f t="shared" si="20"/>
        <v>0</v>
      </c>
      <c r="U40" s="757">
        <f t="shared" si="20"/>
        <v>0</v>
      </c>
      <c r="V40" s="757">
        <f t="shared" si="20"/>
        <v>0</v>
      </c>
      <c r="W40" s="757">
        <f t="shared" si="20"/>
        <v>0</v>
      </c>
      <c r="X40" s="757">
        <f t="shared" si="20"/>
        <v>0</v>
      </c>
      <c r="Y40" s="757">
        <f t="shared" si="20"/>
        <v>0</v>
      </c>
      <c r="Z40" s="757">
        <f t="shared" si="20"/>
        <v>0</v>
      </c>
      <c r="AA40" s="757">
        <f t="shared" si="20"/>
        <v>0</v>
      </c>
      <c r="AB40" s="757">
        <f t="shared" si="20"/>
        <v>0</v>
      </c>
      <c r="AC40" s="757">
        <f t="shared" si="20"/>
        <v>0</v>
      </c>
      <c r="AD40" s="757">
        <f t="shared" si="20"/>
        <v>0</v>
      </c>
      <c r="AE40" s="757">
        <f t="shared" si="20"/>
        <v>0</v>
      </c>
      <c r="AF40" s="757">
        <f t="shared" si="20"/>
        <v>0</v>
      </c>
      <c r="AG40" s="757">
        <f t="shared" si="20"/>
        <v>0</v>
      </c>
    </row>
    <row r="41" spans="2:33" x14ac:dyDescent="0.3">
      <c r="B41" s="742"/>
      <c r="C41" s="748"/>
      <c r="D41" s="748"/>
      <c r="E41" s="748"/>
      <c r="F41" s="748"/>
      <c r="G41" s="748"/>
      <c r="H41" s="748"/>
      <c r="I41" s="748"/>
      <c r="J41" s="748"/>
      <c r="K41" s="748"/>
      <c r="L41" s="748"/>
      <c r="M41" s="748"/>
      <c r="N41" s="748"/>
      <c r="O41" s="748"/>
      <c r="P41" s="748"/>
      <c r="Q41" s="748"/>
      <c r="R41" s="748"/>
      <c r="S41" s="748"/>
      <c r="T41" s="748"/>
      <c r="U41" s="748"/>
      <c r="V41" s="748"/>
      <c r="W41" s="748"/>
      <c r="X41" s="748"/>
      <c r="Y41" s="748"/>
      <c r="Z41" s="748"/>
      <c r="AA41" s="748"/>
      <c r="AB41" s="748"/>
      <c r="AC41" s="748"/>
      <c r="AD41" s="748"/>
      <c r="AE41" s="748"/>
      <c r="AF41" s="748"/>
      <c r="AG41" s="748"/>
    </row>
    <row r="42" spans="2:33" x14ac:dyDescent="0.3">
      <c r="B42" s="744" t="str">
        <f>E4&amp;" Payment Number"</f>
        <v>2018 Payment Number</v>
      </c>
      <c r="C42" s="743" t="str">
        <f>IF(C$27&gt;$E$9+$E$11,"",IF(C$27-$E$9&lt;0,"",C$27-$E$9))</f>
        <v/>
      </c>
      <c r="D42" s="743" t="str">
        <f t="shared" ref="D42:AG42" si="21">IF(D$27&gt;$E$9+$E$11,"",IF(D$27-$E$9&lt;0,"",D$27-$E$9))</f>
        <v/>
      </c>
      <c r="E42" s="743">
        <f t="shared" si="21"/>
        <v>0</v>
      </c>
      <c r="F42" s="743">
        <f t="shared" si="21"/>
        <v>1</v>
      </c>
      <c r="G42" s="743">
        <f t="shared" si="21"/>
        <v>2</v>
      </c>
      <c r="H42" s="743">
        <f t="shared" si="21"/>
        <v>3</v>
      </c>
      <c r="I42" s="743">
        <f t="shared" si="21"/>
        <v>4</v>
      </c>
      <c r="J42" s="743">
        <f t="shared" si="21"/>
        <v>5</v>
      </c>
      <c r="K42" s="743">
        <f t="shared" si="21"/>
        <v>6</v>
      </c>
      <c r="L42" s="743">
        <f t="shared" si="21"/>
        <v>7</v>
      </c>
      <c r="M42" s="743">
        <f t="shared" si="21"/>
        <v>8</v>
      </c>
      <c r="N42" s="743">
        <f t="shared" si="21"/>
        <v>9</v>
      </c>
      <c r="O42" s="743">
        <f t="shared" si="21"/>
        <v>10</v>
      </c>
      <c r="P42" s="743">
        <f t="shared" si="21"/>
        <v>11</v>
      </c>
      <c r="Q42" s="743">
        <f t="shared" si="21"/>
        <v>12</v>
      </c>
      <c r="R42" s="743">
        <f t="shared" si="21"/>
        <v>13</v>
      </c>
      <c r="S42" s="743">
        <f t="shared" si="21"/>
        <v>14</v>
      </c>
      <c r="T42" s="743">
        <f t="shared" si="21"/>
        <v>15</v>
      </c>
      <c r="U42" s="743" t="str">
        <f t="shared" si="21"/>
        <v/>
      </c>
      <c r="V42" s="743" t="str">
        <f t="shared" si="21"/>
        <v/>
      </c>
      <c r="W42" s="743" t="str">
        <f t="shared" si="21"/>
        <v/>
      </c>
      <c r="X42" s="743" t="str">
        <f t="shared" si="21"/>
        <v/>
      </c>
      <c r="Y42" s="743" t="str">
        <f t="shared" si="21"/>
        <v/>
      </c>
      <c r="Z42" s="743" t="str">
        <f t="shared" si="21"/>
        <v/>
      </c>
      <c r="AA42" s="743" t="str">
        <f t="shared" si="21"/>
        <v/>
      </c>
      <c r="AB42" s="743" t="str">
        <f t="shared" si="21"/>
        <v/>
      </c>
      <c r="AC42" s="743" t="str">
        <f t="shared" si="21"/>
        <v/>
      </c>
      <c r="AD42" s="743" t="str">
        <f t="shared" si="21"/>
        <v/>
      </c>
      <c r="AE42" s="743" t="str">
        <f t="shared" si="21"/>
        <v/>
      </c>
      <c r="AF42" s="743" t="str">
        <f t="shared" si="21"/>
        <v/>
      </c>
      <c r="AG42" s="743" t="str">
        <f t="shared" si="21"/>
        <v/>
      </c>
    </row>
    <row r="43" spans="2:33" s="739" customFormat="1" x14ac:dyDescent="0.3">
      <c r="B43" s="744" t="s">
        <v>34</v>
      </c>
      <c r="C43" s="745">
        <f>IF(OR(C42="",C42=0),0,IF(C42&lt;=$E$11,-PPMT($E$10,C42,$E$11,$E$8)))</f>
        <v>0</v>
      </c>
      <c r="D43" s="745">
        <f t="shared" ref="D43:AG43" si="22">IF(OR(D42="",D42=0),0,IF(D42&lt;=$E$11,-PPMT($E$10,D42,$E$11,$E$8)))</f>
        <v>0</v>
      </c>
      <c r="E43" s="745">
        <f t="shared" si="22"/>
        <v>0</v>
      </c>
      <c r="F43" s="745">
        <f t="shared" si="22"/>
        <v>303781.17961192736</v>
      </c>
      <c r="G43" s="745">
        <f t="shared" si="22"/>
        <v>312894.61500028521</v>
      </c>
      <c r="H43" s="745">
        <f t="shared" si="22"/>
        <v>322281.45345029375</v>
      </c>
      <c r="I43" s="745">
        <f t="shared" si="22"/>
        <v>331949.89705380256</v>
      </c>
      <c r="J43" s="745">
        <f t="shared" si="22"/>
        <v>341908.39396541665</v>
      </c>
      <c r="K43" s="745">
        <f t="shared" si="22"/>
        <v>352165.64578437916</v>
      </c>
      <c r="L43" s="745">
        <f t="shared" si="22"/>
        <v>362730.61515791051</v>
      </c>
      <c r="M43" s="745">
        <f t="shared" si="22"/>
        <v>373612.53361264779</v>
      </c>
      <c r="N43" s="745">
        <f t="shared" si="22"/>
        <v>384820.90962102724</v>
      </c>
      <c r="O43" s="745">
        <f t="shared" si="22"/>
        <v>396365.53690965811</v>
      </c>
      <c r="P43" s="745">
        <f t="shared" si="22"/>
        <v>408256.50301694783</v>
      </c>
      <c r="Q43" s="745">
        <f t="shared" si="22"/>
        <v>420504.19810745632</v>
      </c>
      <c r="R43" s="745">
        <f t="shared" si="22"/>
        <v>433119.32405068004</v>
      </c>
      <c r="S43" s="745">
        <f t="shared" si="22"/>
        <v>446112.9037722004</v>
      </c>
      <c r="T43" s="745">
        <f t="shared" si="22"/>
        <v>459496.29088536638</v>
      </c>
      <c r="U43" s="745">
        <f t="shared" si="22"/>
        <v>0</v>
      </c>
      <c r="V43" s="745">
        <f t="shared" si="22"/>
        <v>0</v>
      </c>
      <c r="W43" s="745">
        <f t="shared" si="22"/>
        <v>0</v>
      </c>
      <c r="X43" s="745">
        <f t="shared" si="22"/>
        <v>0</v>
      </c>
      <c r="Y43" s="745">
        <f t="shared" si="22"/>
        <v>0</v>
      </c>
      <c r="Z43" s="745">
        <f t="shared" si="22"/>
        <v>0</v>
      </c>
      <c r="AA43" s="745">
        <f t="shared" si="22"/>
        <v>0</v>
      </c>
      <c r="AB43" s="745">
        <f t="shared" si="22"/>
        <v>0</v>
      </c>
      <c r="AC43" s="745">
        <f t="shared" si="22"/>
        <v>0</v>
      </c>
      <c r="AD43" s="745">
        <f t="shared" si="22"/>
        <v>0</v>
      </c>
      <c r="AE43" s="745">
        <f t="shared" si="22"/>
        <v>0</v>
      </c>
      <c r="AF43" s="745">
        <f t="shared" si="22"/>
        <v>0</v>
      </c>
      <c r="AG43" s="745">
        <f t="shared" si="22"/>
        <v>0</v>
      </c>
    </row>
    <row r="44" spans="2:33" s="739" customFormat="1" x14ac:dyDescent="0.3">
      <c r="B44" s="744" t="s">
        <v>35</v>
      </c>
      <c r="C44" s="746">
        <f>IF(C42&gt;0,IFERROR(-IPMT($E$10,C42,$E$11,$E$8),0),0)</f>
        <v>0</v>
      </c>
      <c r="D44" s="746">
        <f t="shared" ref="D44:AG44" si="23">IF(D42&gt;0,IFERROR(-IPMT($E$10,D42,$E$11,$E$8),0),0)</f>
        <v>0</v>
      </c>
      <c r="E44" s="746">
        <f t="shared" si="23"/>
        <v>0</v>
      </c>
      <c r="F44" s="746">
        <f t="shared" si="23"/>
        <v>169500</v>
      </c>
      <c r="G44" s="746">
        <f t="shared" si="23"/>
        <v>160386.56461164218</v>
      </c>
      <c r="H44" s="746">
        <f t="shared" si="23"/>
        <v>150999.72616163359</v>
      </c>
      <c r="I44" s="746">
        <f t="shared" si="23"/>
        <v>141331.2825581248</v>
      </c>
      <c r="J44" s="746">
        <f t="shared" si="23"/>
        <v>131372.78564651075</v>
      </c>
      <c r="K44" s="746">
        <f t="shared" si="23"/>
        <v>121115.53382754822</v>
      </c>
      <c r="L44" s="746">
        <f t="shared" si="23"/>
        <v>110550.56445401683</v>
      </c>
      <c r="M44" s="746">
        <f t="shared" si="23"/>
        <v>99668.645999279528</v>
      </c>
      <c r="N44" s="746">
        <f t="shared" si="23"/>
        <v>88460.269990900109</v>
      </c>
      <c r="O44" s="746">
        <f t="shared" si="23"/>
        <v>76915.642702269281</v>
      </c>
      <c r="P44" s="746">
        <f t="shared" si="23"/>
        <v>65024.676594979523</v>
      </c>
      <c r="Q44" s="746">
        <f t="shared" si="23"/>
        <v>52776.981504471092</v>
      </c>
      <c r="R44" s="746">
        <f t="shared" si="23"/>
        <v>40161.855561247408</v>
      </c>
      <c r="S44" s="746">
        <f t="shared" si="23"/>
        <v>27168.275839727004</v>
      </c>
      <c r="T44" s="746">
        <f t="shared" si="23"/>
        <v>13784.888726560992</v>
      </c>
      <c r="U44" s="746">
        <f t="shared" si="23"/>
        <v>0</v>
      </c>
      <c r="V44" s="746">
        <f t="shared" si="23"/>
        <v>0</v>
      </c>
      <c r="W44" s="746">
        <f t="shared" si="23"/>
        <v>0</v>
      </c>
      <c r="X44" s="746">
        <f t="shared" si="23"/>
        <v>0</v>
      </c>
      <c r="Y44" s="746">
        <f t="shared" si="23"/>
        <v>0</v>
      </c>
      <c r="Z44" s="746">
        <f t="shared" si="23"/>
        <v>0</v>
      </c>
      <c r="AA44" s="746">
        <f t="shared" si="23"/>
        <v>0</v>
      </c>
      <c r="AB44" s="746">
        <f t="shared" si="23"/>
        <v>0</v>
      </c>
      <c r="AC44" s="746">
        <f t="shared" si="23"/>
        <v>0</v>
      </c>
      <c r="AD44" s="746">
        <f t="shared" si="23"/>
        <v>0</v>
      </c>
      <c r="AE44" s="746">
        <f t="shared" si="23"/>
        <v>0</v>
      </c>
      <c r="AF44" s="746">
        <f t="shared" si="23"/>
        <v>0</v>
      </c>
      <c r="AG44" s="746">
        <f t="shared" si="23"/>
        <v>0</v>
      </c>
    </row>
    <row r="45" spans="2:33" x14ac:dyDescent="0.3">
      <c r="B45" s="744" t="s">
        <v>1904</v>
      </c>
      <c r="C45" s="747">
        <f>SUM(C43:C44)</f>
        <v>0</v>
      </c>
      <c r="D45" s="747">
        <f>SUM(D43:D44)</f>
        <v>0</v>
      </c>
      <c r="E45" s="747">
        <f>SUM(E43:E44)</f>
        <v>0</v>
      </c>
      <c r="F45" s="747">
        <f>SUM(F43:F44)</f>
        <v>473281.17961192736</v>
      </c>
      <c r="G45" s="747">
        <f t="shared" ref="G45:AG45" si="24">SUM(G43:G44)</f>
        <v>473281.17961192736</v>
      </c>
      <c r="H45" s="747">
        <f t="shared" si="24"/>
        <v>473281.17961192736</v>
      </c>
      <c r="I45" s="747">
        <f t="shared" si="24"/>
        <v>473281.17961192736</v>
      </c>
      <c r="J45" s="747">
        <f t="shared" si="24"/>
        <v>473281.17961192736</v>
      </c>
      <c r="K45" s="747">
        <f t="shared" si="24"/>
        <v>473281.17961192736</v>
      </c>
      <c r="L45" s="747">
        <f t="shared" si="24"/>
        <v>473281.17961192736</v>
      </c>
      <c r="M45" s="747">
        <f t="shared" si="24"/>
        <v>473281.17961192731</v>
      </c>
      <c r="N45" s="747">
        <f t="shared" si="24"/>
        <v>473281.17961192736</v>
      </c>
      <c r="O45" s="747">
        <f t="shared" si="24"/>
        <v>473281.17961192736</v>
      </c>
      <c r="P45" s="747">
        <f t="shared" si="24"/>
        <v>473281.17961192736</v>
      </c>
      <c r="Q45" s="747">
        <f t="shared" si="24"/>
        <v>473281.17961192742</v>
      </c>
      <c r="R45" s="747">
        <f t="shared" si="24"/>
        <v>473281.17961192742</v>
      </c>
      <c r="S45" s="747">
        <f t="shared" si="24"/>
        <v>473281.17961192742</v>
      </c>
      <c r="T45" s="747">
        <f t="shared" si="24"/>
        <v>473281.17961192736</v>
      </c>
      <c r="U45" s="747">
        <f t="shared" si="24"/>
        <v>0</v>
      </c>
      <c r="V45" s="747">
        <f t="shared" si="24"/>
        <v>0</v>
      </c>
      <c r="W45" s="747">
        <f t="shared" si="24"/>
        <v>0</v>
      </c>
      <c r="X45" s="747">
        <f t="shared" si="24"/>
        <v>0</v>
      </c>
      <c r="Y45" s="747">
        <f t="shared" si="24"/>
        <v>0</v>
      </c>
      <c r="Z45" s="747">
        <f t="shared" si="24"/>
        <v>0</v>
      </c>
      <c r="AA45" s="747">
        <f t="shared" si="24"/>
        <v>0</v>
      </c>
      <c r="AB45" s="747">
        <f t="shared" si="24"/>
        <v>0</v>
      </c>
      <c r="AC45" s="747">
        <f t="shared" si="24"/>
        <v>0</v>
      </c>
      <c r="AD45" s="747">
        <f t="shared" si="24"/>
        <v>0</v>
      </c>
      <c r="AE45" s="747">
        <f t="shared" si="24"/>
        <v>0</v>
      </c>
      <c r="AF45" s="747">
        <f t="shared" si="24"/>
        <v>0</v>
      </c>
      <c r="AG45" s="747">
        <f t="shared" si="24"/>
        <v>0</v>
      </c>
    </row>
    <row r="46" spans="2:33" x14ac:dyDescent="0.3">
      <c r="B46" s="744"/>
      <c r="C46" s="748"/>
      <c r="D46" s="748"/>
      <c r="E46" s="748"/>
      <c r="F46" s="748"/>
      <c r="G46" s="748"/>
      <c r="H46" s="748"/>
      <c r="I46" s="748"/>
      <c r="J46" s="748"/>
      <c r="K46" s="748"/>
      <c r="L46" s="748"/>
      <c r="M46" s="748"/>
      <c r="N46" s="748"/>
      <c r="O46" s="748"/>
      <c r="P46" s="748"/>
      <c r="Q46" s="748"/>
      <c r="R46" s="748"/>
      <c r="S46" s="748"/>
      <c r="T46" s="748"/>
      <c r="U46" s="748"/>
      <c r="V46" s="748"/>
      <c r="W46" s="748"/>
      <c r="X46" s="748"/>
      <c r="Y46" s="748"/>
      <c r="Z46" s="748"/>
      <c r="AA46" s="748"/>
      <c r="AB46" s="748"/>
      <c r="AC46" s="748"/>
      <c r="AD46" s="748"/>
      <c r="AE46" s="748"/>
      <c r="AF46" s="748"/>
      <c r="AG46" s="748"/>
    </row>
    <row r="47" spans="2:33" x14ac:dyDescent="0.3">
      <c r="B47" s="749" t="s">
        <v>36</v>
      </c>
      <c r="C47" s="750">
        <f>IF(C42="",0,IF(C42=0,$E$8,B47-C43))</f>
        <v>0</v>
      </c>
      <c r="D47" s="750">
        <f>IF(D42="",0,IF(D42=0,$E$8,C47-D43))</f>
        <v>0</v>
      </c>
      <c r="E47" s="750">
        <f>IF(E42="",0,IF(E42=0,$E$8,D47-E43))</f>
        <v>5650000</v>
      </c>
      <c r="F47" s="750">
        <f>IF(F42="",0,IF(F42=0,$E$8,E47-F43))</f>
        <v>5346218.8203880731</v>
      </c>
      <c r="G47" s="750">
        <f>IF(G42="",0,IF(G42=0,$E$8,F47-G43))</f>
        <v>5033324.2053877879</v>
      </c>
      <c r="H47" s="750">
        <f t="shared" ref="H47:AG47" si="25">IF(H42="",0,IF(H42=0,$E$8,G47-H43))</f>
        <v>4711042.7519374937</v>
      </c>
      <c r="I47" s="750">
        <f t="shared" si="25"/>
        <v>4379092.8548836913</v>
      </c>
      <c r="J47" s="750">
        <f t="shared" si="25"/>
        <v>4037184.4609182747</v>
      </c>
      <c r="K47" s="750">
        <f t="shared" si="25"/>
        <v>3685018.8151338957</v>
      </c>
      <c r="L47" s="750">
        <f t="shared" si="25"/>
        <v>3322288.1999759851</v>
      </c>
      <c r="M47" s="750">
        <f t="shared" si="25"/>
        <v>2948675.6663633371</v>
      </c>
      <c r="N47" s="750">
        <f t="shared" si="25"/>
        <v>2563854.7567423098</v>
      </c>
      <c r="O47" s="750">
        <f t="shared" si="25"/>
        <v>2167489.2198326518</v>
      </c>
      <c r="P47" s="750">
        <f t="shared" si="25"/>
        <v>1759232.716815704</v>
      </c>
      <c r="Q47" s="750">
        <f t="shared" si="25"/>
        <v>1338728.5187082477</v>
      </c>
      <c r="R47" s="750">
        <f t="shared" si="25"/>
        <v>905609.19465756766</v>
      </c>
      <c r="S47" s="750">
        <f t="shared" si="25"/>
        <v>459496.29088536726</v>
      </c>
      <c r="T47" s="750">
        <f t="shared" si="25"/>
        <v>8.7311491370201111E-10</v>
      </c>
      <c r="U47" s="750">
        <f t="shared" si="25"/>
        <v>0</v>
      </c>
      <c r="V47" s="750">
        <f t="shared" si="25"/>
        <v>0</v>
      </c>
      <c r="W47" s="750">
        <f t="shared" si="25"/>
        <v>0</v>
      </c>
      <c r="X47" s="750">
        <f t="shared" si="25"/>
        <v>0</v>
      </c>
      <c r="Y47" s="750">
        <f t="shared" si="25"/>
        <v>0</v>
      </c>
      <c r="Z47" s="750">
        <f t="shared" si="25"/>
        <v>0</v>
      </c>
      <c r="AA47" s="750">
        <f t="shared" si="25"/>
        <v>0</v>
      </c>
      <c r="AB47" s="750">
        <f t="shared" si="25"/>
        <v>0</v>
      </c>
      <c r="AC47" s="750">
        <f t="shared" si="25"/>
        <v>0</v>
      </c>
      <c r="AD47" s="750">
        <f t="shared" si="25"/>
        <v>0</v>
      </c>
      <c r="AE47" s="750">
        <f t="shared" si="25"/>
        <v>0</v>
      </c>
      <c r="AF47" s="750">
        <f t="shared" si="25"/>
        <v>0</v>
      </c>
      <c r="AG47" s="750">
        <f t="shared" si="25"/>
        <v>0</v>
      </c>
    </row>
    <row r="48" spans="2:33" x14ac:dyDescent="0.3">
      <c r="B48" s="742"/>
      <c r="C48" s="748"/>
      <c r="D48" s="748"/>
      <c r="E48" s="748"/>
      <c r="F48" s="748"/>
      <c r="G48" s="748"/>
      <c r="H48" s="748"/>
      <c r="I48" s="748"/>
      <c r="J48" s="748"/>
      <c r="K48" s="748"/>
      <c r="L48" s="748"/>
      <c r="M48" s="748"/>
      <c r="N48" s="748"/>
      <c r="O48" s="748"/>
      <c r="P48" s="748"/>
      <c r="Q48" s="748"/>
      <c r="R48" s="748"/>
      <c r="S48" s="748"/>
      <c r="T48" s="748"/>
      <c r="U48" s="748"/>
      <c r="V48" s="748"/>
      <c r="W48" s="748"/>
      <c r="X48" s="748"/>
      <c r="Y48" s="748"/>
      <c r="Z48" s="748"/>
      <c r="AA48" s="748"/>
      <c r="AB48" s="748"/>
      <c r="AC48" s="748"/>
      <c r="AD48" s="748"/>
      <c r="AE48" s="748"/>
      <c r="AF48" s="748"/>
      <c r="AG48" s="748"/>
    </row>
    <row r="49" spans="2:33" x14ac:dyDescent="0.3">
      <c r="B49" s="751" t="str">
        <f>F4&amp;" Payment Number"</f>
        <v>2019 Payment Number</v>
      </c>
      <c r="C49" s="752" t="str">
        <f>IF(C$27&gt;$F$9+$F$11,"",IF(C$27-$F$9&lt;0,"",C$27-$F$9))</f>
        <v/>
      </c>
      <c r="D49" s="752" t="str">
        <f>IF(D$27&gt;$F$9+$F$11,"",IF(D$27-$F$9&lt;0,"",D$27-$F$9))</f>
        <v/>
      </c>
      <c r="E49" s="752" t="str">
        <f>IF(E$27&gt;$F$9+$F$11,"",IF(E$27-$F$9&lt;0,"",E$27-$F$9))</f>
        <v/>
      </c>
      <c r="F49" s="752">
        <f>IF(F$27&gt;$F$9+$F$11,"",IF(F$27-$F$9&lt;0,"",F$27-$F$9))</f>
        <v>0</v>
      </c>
      <c r="G49" s="752">
        <f>IF(G$27&gt;$F$9+$F$11,"",IF(G$27-$F$9&lt;0,"",G$27-$F$9))</f>
        <v>1</v>
      </c>
      <c r="H49" s="752">
        <f t="shared" ref="H49:AG49" si="26">IF(H$27&gt;$F$9+$F$11,"",IF(H$27-$F$9&lt;0,"",H$27-$F$9))</f>
        <v>2</v>
      </c>
      <c r="I49" s="752">
        <f t="shared" si="26"/>
        <v>3</v>
      </c>
      <c r="J49" s="752">
        <f t="shared" si="26"/>
        <v>4</v>
      </c>
      <c r="K49" s="752">
        <f t="shared" si="26"/>
        <v>5</v>
      </c>
      <c r="L49" s="752">
        <f t="shared" si="26"/>
        <v>6</v>
      </c>
      <c r="M49" s="752">
        <f t="shared" si="26"/>
        <v>7</v>
      </c>
      <c r="N49" s="752">
        <f t="shared" si="26"/>
        <v>8</v>
      </c>
      <c r="O49" s="752">
        <f t="shared" si="26"/>
        <v>9</v>
      </c>
      <c r="P49" s="752">
        <f t="shared" si="26"/>
        <v>10</v>
      </c>
      <c r="Q49" s="752">
        <f t="shared" si="26"/>
        <v>11</v>
      </c>
      <c r="R49" s="752">
        <f t="shared" si="26"/>
        <v>12</v>
      </c>
      <c r="S49" s="752">
        <f t="shared" si="26"/>
        <v>13</v>
      </c>
      <c r="T49" s="752">
        <f t="shared" si="26"/>
        <v>14</v>
      </c>
      <c r="U49" s="752">
        <f t="shared" si="26"/>
        <v>15</v>
      </c>
      <c r="V49" s="752" t="str">
        <f t="shared" si="26"/>
        <v/>
      </c>
      <c r="W49" s="752" t="str">
        <f t="shared" si="26"/>
        <v/>
      </c>
      <c r="X49" s="752" t="str">
        <f t="shared" si="26"/>
        <v/>
      </c>
      <c r="Y49" s="752" t="str">
        <f t="shared" si="26"/>
        <v/>
      </c>
      <c r="Z49" s="752" t="str">
        <f t="shared" si="26"/>
        <v/>
      </c>
      <c r="AA49" s="752" t="str">
        <f t="shared" si="26"/>
        <v/>
      </c>
      <c r="AB49" s="752" t="str">
        <f t="shared" si="26"/>
        <v/>
      </c>
      <c r="AC49" s="752" t="str">
        <f t="shared" si="26"/>
        <v/>
      </c>
      <c r="AD49" s="752" t="str">
        <f t="shared" si="26"/>
        <v/>
      </c>
      <c r="AE49" s="752" t="str">
        <f t="shared" si="26"/>
        <v/>
      </c>
      <c r="AF49" s="752" t="str">
        <f t="shared" si="26"/>
        <v/>
      </c>
      <c r="AG49" s="752" t="str">
        <f t="shared" si="26"/>
        <v/>
      </c>
    </row>
    <row r="50" spans="2:33" x14ac:dyDescent="0.3">
      <c r="B50" s="751" t="s">
        <v>34</v>
      </c>
      <c r="C50" s="758">
        <f>IF(OR(C49="",C49=0),0,IF(C49&lt;=$F$11,-PPMT($F$10,C49,$F$11,$F$8)))</f>
        <v>0</v>
      </c>
      <c r="D50" s="758">
        <f t="shared" ref="D50:AG50" si="27">IF(OR(D49="",D49=0),0,IF(D49&lt;=$F$11,-PPMT($F$10,D49,$F$11,$F$8)))</f>
        <v>0</v>
      </c>
      <c r="E50" s="758">
        <f t="shared" si="27"/>
        <v>0</v>
      </c>
      <c r="F50" s="758">
        <f t="shared" si="27"/>
        <v>0</v>
      </c>
      <c r="G50" s="758">
        <f t="shared" si="27"/>
        <v>173476.41675073237</v>
      </c>
      <c r="H50" s="758">
        <f t="shared" si="27"/>
        <v>176945.94508574702</v>
      </c>
      <c r="I50" s="758">
        <f t="shared" si="27"/>
        <v>180484.86398746195</v>
      </c>
      <c r="J50" s="758">
        <f t="shared" si="27"/>
        <v>184094.56126721119</v>
      </c>
      <c r="K50" s="758">
        <f t="shared" si="27"/>
        <v>187776.45249255543</v>
      </c>
      <c r="L50" s="758">
        <f t="shared" si="27"/>
        <v>191531.98154240655</v>
      </c>
      <c r="M50" s="758">
        <f t="shared" si="27"/>
        <v>195362.62117325465</v>
      </c>
      <c r="N50" s="758">
        <f t="shared" si="27"/>
        <v>199269.87359671973</v>
      </c>
      <c r="O50" s="758">
        <f t="shared" si="27"/>
        <v>203255.27106865414</v>
      </c>
      <c r="P50" s="758">
        <f t="shared" si="27"/>
        <v>207320.37649002724</v>
      </c>
      <c r="Q50" s="758">
        <f t="shared" si="27"/>
        <v>211466.78401982778</v>
      </c>
      <c r="R50" s="758">
        <f t="shared" si="27"/>
        <v>215696.11970022434</v>
      </c>
      <c r="S50" s="758">
        <f t="shared" si="27"/>
        <v>220010.04209422879</v>
      </c>
      <c r="T50" s="758">
        <f t="shared" si="27"/>
        <v>224410.24293611341</v>
      </c>
      <c r="U50" s="758">
        <f t="shared" si="27"/>
        <v>228898.44779483564</v>
      </c>
      <c r="V50" s="758">
        <f t="shared" si="27"/>
        <v>0</v>
      </c>
      <c r="W50" s="758">
        <f t="shared" si="27"/>
        <v>0</v>
      </c>
      <c r="X50" s="758">
        <f t="shared" si="27"/>
        <v>0</v>
      </c>
      <c r="Y50" s="758">
        <f t="shared" si="27"/>
        <v>0</v>
      </c>
      <c r="Z50" s="758">
        <f t="shared" si="27"/>
        <v>0</v>
      </c>
      <c r="AA50" s="758">
        <f t="shared" si="27"/>
        <v>0</v>
      </c>
      <c r="AB50" s="758">
        <f t="shared" si="27"/>
        <v>0</v>
      </c>
      <c r="AC50" s="758">
        <f t="shared" si="27"/>
        <v>0</v>
      </c>
      <c r="AD50" s="758">
        <f t="shared" si="27"/>
        <v>0</v>
      </c>
      <c r="AE50" s="758">
        <f t="shared" si="27"/>
        <v>0</v>
      </c>
      <c r="AF50" s="758">
        <f t="shared" si="27"/>
        <v>0</v>
      </c>
      <c r="AG50" s="758">
        <f t="shared" si="27"/>
        <v>0</v>
      </c>
    </row>
    <row r="51" spans="2:33" x14ac:dyDescent="0.3">
      <c r="B51" s="751" t="s">
        <v>35</v>
      </c>
      <c r="C51" s="754">
        <f>IF(C49&gt;0,IFERROR(-IPMT($F$10,C49,$F$11,$F$8),0),0)</f>
        <v>0</v>
      </c>
      <c r="D51" s="754">
        <f t="shared" ref="D51:AG51" si="28">IF(D49&gt;0,IFERROR(-IPMT($F$10,D49,$F$11,$F$8),0),0)</f>
        <v>0</v>
      </c>
      <c r="E51" s="754">
        <f t="shared" si="28"/>
        <v>0</v>
      </c>
      <c r="F51" s="754">
        <f t="shared" si="28"/>
        <v>0</v>
      </c>
      <c r="G51" s="754">
        <f t="shared" si="28"/>
        <v>60000</v>
      </c>
      <c r="H51" s="754">
        <f t="shared" si="28"/>
        <v>56530.471664985351</v>
      </c>
      <c r="I51" s="754">
        <f t="shared" si="28"/>
        <v>52991.552763270411</v>
      </c>
      <c r="J51" s="754">
        <f t="shared" si="28"/>
        <v>49381.855483521183</v>
      </c>
      <c r="K51" s="754">
        <f t="shared" si="28"/>
        <v>45699.964258176944</v>
      </c>
      <c r="L51" s="754">
        <f t="shared" si="28"/>
        <v>41944.435208325842</v>
      </c>
      <c r="M51" s="754">
        <f t="shared" si="28"/>
        <v>38113.795577477715</v>
      </c>
      <c r="N51" s="754">
        <f t="shared" si="28"/>
        <v>34206.543154012616</v>
      </c>
      <c r="O51" s="754">
        <f t="shared" si="28"/>
        <v>30221.14568207823</v>
      </c>
      <c r="P51" s="754">
        <f t="shared" si="28"/>
        <v>26156.040260705144</v>
      </c>
      <c r="Q51" s="754">
        <f t="shared" si="28"/>
        <v>22009.632730904596</v>
      </c>
      <c r="R51" s="754">
        <f t="shared" si="28"/>
        <v>17780.297050508041</v>
      </c>
      <c r="S51" s="754">
        <f t="shared" si="28"/>
        <v>13466.374656503556</v>
      </c>
      <c r="T51" s="754">
        <f t="shared" si="28"/>
        <v>9066.1738146189819</v>
      </c>
      <c r="U51" s="754">
        <f t="shared" si="28"/>
        <v>4577.9689558967129</v>
      </c>
      <c r="V51" s="754">
        <f t="shared" si="28"/>
        <v>0</v>
      </c>
      <c r="W51" s="754">
        <f t="shared" si="28"/>
        <v>0</v>
      </c>
      <c r="X51" s="754">
        <f t="shared" si="28"/>
        <v>0</v>
      </c>
      <c r="Y51" s="754">
        <f t="shared" si="28"/>
        <v>0</v>
      </c>
      <c r="Z51" s="754">
        <f t="shared" si="28"/>
        <v>0</v>
      </c>
      <c r="AA51" s="754">
        <f t="shared" si="28"/>
        <v>0</v>
      </c>
      <c r="AB51" s="754">
        <f t="shared" si="28"/>
        <v>0</v>
      </c>
      <c r="AC51" s="754">
        <f t="shared" si="28"/>
        <v>0</v>
      </c>
      <c r="AD51" s="754">
        <f t="shared" si="28"/>
        <v>0</v>
      </c>
      <c r="AE51" s="754">
        <f t="shared" si="28"/>
        <v>0</v>
      </c>
      <c r="AF51" s="754">
        <f t="shared" si="28"/>
        <v>0</v>
      </c>
      <c r="AG51" s="754">
        <f t="shared" si="28"/>
        <v>0</v>
      </c>
    </row>
    <row r="52" spans="2:33" x14ac:dyDescent="0.3">
      <c r="B52" s="751" t="s">
        <v>1904</v>
      </c>
      <c r="C52" s="753">
        <f t="shared" ref="C52:K52" si="29">SUM(C50:C51)</f>
        <v>0</v>
      </c>
      <c r="D52" s="753">
        <f t="shared" si="29"/>
        <v>0</v>
      </c>
      <c r="E52" s="753">
        <f t="shared" si="29"/>
        <v>0</v>
      </c>
      <c r="F52" s="753">
        <f t="shared" si="29"/>
        <v>0</v>
      </c>
      <c r="G52" s="753">
        <f t="shared" si="29"/>
        <v>233476.41675073237</v>
      </c>
      <c r="H52" s="753">
        <f t="shared" si="29"/>
        <v>233476.41675073237</v>
      </c>
      <c r="I52" s="753">
        <f t="shared" si="29"/>
        <v>233476.41675073237</v>
      </c>
      <c r="J52" s="753">
        <f t="shared" si="29"/>
        <v>233476.41675073237</v>
      </c>
      <c r="K52" s="753">
        <f t="shared" si="29"/>
        <v>233476.41675073237</v>
      </c>
      <c r="L52" s="753">
        <f t="shared" ref="L52:AG52" si="30">SUM(L50:L51)</f>
        <v>233476.4167507324</v>
      </c>
      <c r="M52" s="753">
        <f t="shared" si="30"/>
        <v>233476.41675073237</v>
      </c>
      <c r="N52" s="753">
        <f t="shared" si="30"/>
        <v>233476.41675073234</v>
      </c>
      <c r="O52" s="753">
        <f t="shared" si="30"/>
        <v>233476.41675073237</v>
      </c>
      <c r="P52" s="753">
        <f t="shared" si="30"/>
        <v>233476.41675073237</v>
      </c>
      <c r="Q52" s="753">
        <f t="shared" si="30"/>
        <v>233476.41675073237</v>
      </c>
      <c r="R52" s="753">
        <f t="shared" si="30"/>
        <v>233476.41675073237</v>
      </c>
      <c r="S52" s="753">
        <f t="shared" si="30"/>
        <v>233476.41675073234</v>
      </c>
      <c r="T52" s="753">
        <f t="shared" si="30"/>
        <v>233476.4167507324</v>
      </c>
      <c r="U52" s="753">
        <f t="shared" si="30"/>
        <v>233476.41675073234</v>
      </c>
      <c r="V52" s="753">
        <f t="shared" si="30"/>
        <v>0</v>
      </c>
      <c r="W52" s="753">
        <f t="shared" si="30"/>
        <v>0</v>
      </c>
      <c r="X52" s="753">
        <f t="shared" si="30"/>
        <v>0</v>
      </c>
      <c r="Y52" s="753">
        <f t="shared" si="30"/>
        <v>0</v>
      </c>
      <c r="Z52" s="753">
        <f t="shared" si="30"/>
        <v>0</v>
      </c>
      <c r="AA52" s="753">
        <f t="shared" si="30"/>
        <v>0</v>
      </c>
      <c r="AB52" s="753">
        <f t="shared" si="30"/>
        <v>0</v>
      </c>
      <c r="AC52" s="753">
        <f t="shared" si="30"/>
        <v>0</v>
      </c>
      <c r="AD52" s="753">
        <f t="shared" si="30"/>
        <v>0</v>
      </c>
      <c r="AE52" s="753">
        <f t="shared" si="30"/>
        <v>0</v>
      </c>
      <c r="AF52" s="753">
        <f t="shared" si="30"/>
        <v>0</v>
      </c>
      <c r="AG52" s="753">
        <f t="shared" si="30"/>
        <v>0</v>
      </c>
    </row>
    <row r="53" spans="2:33" x14ac:dyDescent="0.3">
      <c r="B53" s="751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  <c r="AA53" s="755"/>
      <c r="AB53" s="755"/>
      <c r="AC53" s="755"/>
      <c r="AD53" s="755"/>
      <c r="AE53" s="755"/>
      <c r="AF53" s="755"/>
      <c r="AG53" s="755"/>
    </row>
    <row r="54" spans="2:33" x14ac:dyDescent="0.3">
      <c r="B54" s="756" t="s">
        <v>36</v>
      </c>
      <c r="C54" s="757">
        <f>IF(C49="",0,IF(C49=0,$F$8,B54-C50))</f>
        <v>0</v>
      </c>
      <c r="D54" s="757">
        <f>IF(D49="",0,IF(D49=0,$F$8,C54-D50))</f>
        <v>0</v>
      </c>
      <c r="E54" s="757">
        <f>IF(E49="",0,IF(E49=0,$F$8,D54-E50))</f>
        <v>0</v>
      </c>
      <c r="F54" s="757">
        <f>IF(F49="",0,IF(F49=0,$F$8,E54-F50))</f>
        <v>3000000</v>
      </c>
      <c r="G54" s="757">
        <f>IF(G49="",0,IF(G49=0,$F$8,F54-G50))</f>
        <v>2826523.5832492677</v>
      </c>
      <c r="H54" s="757">
        <f t="shared" ref="H54:AG54" si="31">IF(H49="",0,IF(H49=0,$F$8,G54-H50))</f>
        <v>2649577.6381635205</v>
      </c>
      <c r="I54" s="757">
        <f t="shared" si="31"/>
        <v>2469092.7741760584</v>
      </c>
      <c r="J54" s="757">
        <f t="shared" si="31"/>
        <v>2284998.2129088473</v>
      </c>
      <c r="K54" s="757">
        <f t="shared" si="31"/>
        <v>2097221.7604162917</v>
      </c>
      <c r="L54" s="757">
        <f t="shared" si="31"/>
        <v>1905689.7788738851</v>
      </c>
      <c r="M54" s="757">
        <f t="shared" si="31"/>
        <v>1710327.1577006304</v>
      </c>
      <c r="N54" s="757">
        <f t="shared" si="31"/>
        <v>1511057.2841039107</v>
      </c>
      <c r="O54" s="757">
        <f t="shared" si="31"/>
        <v>1307802.0130352564</v>
      </c>
      <c r="P54" s="757">
        <f t="shared" si="31"/>
        <v>1100481.6365452292</v>
      </c>
      <c r="Q54" s="757">
        <f t="shared" si="31"/>
        <v>889014.85252540139</v>
      </c>
      <c r="R54" s="757">
        <f t="shared" si="31"/>
        <v>673318.73282517702</v>
      </c>
      <c r="S54" s="757">
        <f t="shared" si="31"/>
        <v>453308.69073094823</v>
      </c>
      <c r="T54" s="757">
        <f t="shared" si="31"/>
        <v>228898.44779483482</v>
      </c>
      <c r="U54" s="757">
        <f t="shared" si="31"/>
        <v>-8.149072527885437E-10</v>
      </c>
      <c r="V54" s="757">
        <f t="shared" si="31"/>
        <v>0</v>
      </c>
      <c r="W54" s="757">
        <f t="shared" si="31"/>
        <v>0</v>
      </c>
      <c r="X54" s="757">
        <f t="shared" si="31"/>
        <v>0</v>
      </c>
      <c r="Y54" s="757">
        <f t="shared" si="31"/>
        <v>0</v>
      </c>
      <c r="Z54" s="757">
        <f t="shared" si="31"/>
        <v>0</v>
      </c>
      <c r="AA54" s="757">
        <f t="shared" si="31"/>
        <v>0</v>
      </c>
      <c r="AB54" s="757">
        <f t="shared" si="31"/>
        <v>0</v>
      </c>
      <c r="AC54" s="757">
        <f t="shared" si="31"/>
        <v>0</v>
      </c>
      <c r="AD54" s="757">
        <f t="shared" si="31"/>
        <v>0</v>
      </c>
      <c r="AE54" s="757">
        <f t="shared" si="31"/>
        <v>0</v>
      </c>
      <c r="AF54" s="757">
        <f t="shared" si="31"/>
        <v>0</v>
      </c>
      <c r="AG54" s="757">
        <f t="shared" si="31"/>
        <v>0</v>
      </c>
    </row>
    <row r="55" spans="2:33" x14ac:dyDescent="0.3">
      <c r="B55" s="742"/>
      <c r="C55" s="748"/>
      <c r="D55" s="748"/>
      <c r="E55" s="748"/>
      <c r="F55" s="748"/>
      <c r="G55" s="748"/>
      <c r="H55" s="748"/>
      <c r="I55" s="748"/>
      <c r="J55" s="748"/>
      <c r="K55" s="748"/>
      <c r="L55" s="748"/>
      <c r="M55" s="748"/>
      <c r="N55" s="748"/>
      <c r="O55" s="748"/>
      <c r="P55" s="748"/>
      <c r="Q55" s="748"/>
      <c r="R55" s="748"/>
      <c r="S55" s="748"/>
      <c r="T55" s="748"/>
      <c r="U55" s="748"/>
      <c r="V55" s="748"/>
      <c r="W55" s="748"/>
      <c r="X55" s="748"/>
      <c r="Y55" s="748"/>
      <c r="Z55" s="748"/>
      <c r="AA55" s="748"/>
      <c r="AB55" s="748"/>
      <c r="AC55" s="748"/>
      <c r="AD55" s="748"/>
      <c r="AE55" s="748"/>
      <c r="AF55" s="748"/>
      <c r="AG55" s="748"/>
    </row>
    <row r="56" spans="2:33" x14ac:dyDescent="0.3">
      <c r="B56" s="742" t="str">
        <f>G4&amp;" Payment Number"</f>
        <v>2020 Payment Number</v>
      </c>
      <c r="C56" s="743" t="str">
        <f t="shared" ref="C56:AG56" si="32">IF(C$27&gt;$G$9+$G$11,"",IF(C$27-$G$9&lt;0,"",C$27-$G$9))</f>
        <v/>
      </c>
      <c r="D56" s="743" t="str">
        <f t="shared" si="32"/>
        <v/>
      </c>
      <c r="E56" s="743" t="str">
        <f t="shared" si="32"/>
        <v/>
      </c>
      <c r="F56" s="743" t="str">
        <f t="shared" si="32"/>
        <v/>
      </c>
      <c r="G56" s="743">
        <f t="shared" si="32"/>
        <v>0</v>
      </c>
      <c r="H56" s="743">
        <f t="shared" si="32"/>
        <v>1</v>
      </c>
      <c r="I56" s="743">
        <f t="shared" si="32"/>
        <v>2</v>
      </c>
      <c r="J56" s="743">
        <f t="shared" si="32"/>
        <v>3</v>
      </c>
      <c r="K56" s="743">
        <f t="shared" si="32"/>
        <v>4</v>
      </c>
      <c r="L56" s="743">
        <f t="shared" si="32"/>
        <v>5</v>
      </c>
      <c r="M56" s="743">
        <f t="shared" si="32"/>
        <v>6</v>
      </c>
      <c r="N56" s="743">
        <f t="shared" si="32"/>
        <v>7</v>
      </c>
      <c r="O56" s="743">
        <f t="shared" si="32"/>
        <v>8</v>
      </c>
      <c r="P56" s="743">
        <f t="shared" si="32"/>
        <v>9</v>
      </c>
      <c r="Q56" s="743">
        <f t="shared" si="32"/>
        <v>10</v>
      </c>
      <c r="R56" s="743">
        <f t="shared" si="32"/>
        <v>11</v>
      </c>
      <c r="S56" s="743">
        <f t="shared" si="32"/>
        <v>12</v>
      </c>
      <c r="T56" s="743">
        <f t="shared" si="32"/>
        <v>13</v>
      </c>
      <c r="U56" s="743">
        <f t="shared" si="32"/>
        <v>14</v>
      </c>
      <c r="V56" s="743">
        <f t="shared" si="32"/>
        <v>15</v>
      </c>
      <c r="W56" s="743" t="str">
        <f t="shared" si="32"/>
        <v/>
      </c>
      <c r="X56" s="743" t="str">
        <f t="shared" si="32"/>
        <v/>
      </c>
      <c r="Y56" s="743" t="str">
        <f t="shared" si="32"/>
        <v/>
      </c>
      <c r="Z56" s="743" t="str">
        <f t="shared" si="32"/>
        <v/>
      </c>
      <c r="AA56" s="743" t="str">
        <f t="shared" si="32"/>
        <v/>
      </c>
      <c r="AB56" s="743" t="str">
        <f t="shared" si="32"/>
        <v/>
      </c>
      <c r="AC56" s="743" t="str">
        <f t="shared" si="32"/>
        <v/>
      </c>
      <c r="AD56" s="743" t="str">
        <f t="shared" si="32"/>
        <v/>
      </c>
      <c r="AE56" s="743" t="str">
        <f t="shared" si="32"/>
        <v/>
      </c>
      <c r="AF56" s="743" t="str">
        <f t="shared" si="32"/>
        <v/>
      </c>
      <c r="AG56" s="743" t="str">
        <f t="shared" si="32"/>
        <v/>
      </c>
    </row>
    <row r="57" spans="2:33" s="739" customFormat="1" x14ac:dyDescent="0.3">
      <c r="B57" s="744" t="s">
        <v>34</v>
      </c>
      <c r="C57" s="745">
        <f>IF(OR(C56="",C56=0),0,IF(C56&lt;=$G$11,-PPMT($G$10,C56,$G$11,$G$8)))</f>
        <v>0</v>
      </c>
      <c r="D57" s="745">
        <f t="shared" ref="D57:AG57" si="33">IF(OR(D56="",D56=0),0,IF(D56&lt;=$G$11,-PPMT($G$10,D56,$G$11,$G$8)))</f>
        <v>0</v>
      </c>
      <c r="E57" s="745">
        <f t="shared" si="33"/>
        <v>0</v>
      </c>
      <c r="F57" s="745">
        <f t="shared" si="33"/>
        <v>0</v>
      </c>
      <c r="G57" s="745">
        <f t="shared" si="33"/>
        <v>0</v>
      </c>
      <c r="H57" s="745">
        <f t="shared" si="33"/>
        <v>144563.68062561032</v>
      </c>
      <c r="I57" s="745">
        <f t="shared" si="33"/>
        <v>147454.95423812253</v>
      </c>
      <c r="J57" s="745">
        <f t="shared" si="33"/>
        <v>150404.05332288495</v>
      </c>
      <c r="K57" s="745">
        <f t="shared" si="33"/>
        <v>153412.13438934268</v>
      </c>
      <c r="L57" s="745">
        <f t="shared" si="33"/>
        <v>156480.37707712955</v>
      </c>
      <c r="M57" s="745">
        <f t="shared" si="33"/>
        <v>159609.98461867211</v>
      </c>
      <c r="N57" s="745">
        <f t="shared" si="33"/>
        <v>162802.18431104554</v>
      </c>
      <c r="O57" s="745">
        <f t="shared" si="33"/>
        <v>166058.22799726645</v>
      </c>
      <c r="P57" s="745">
        <f t="shared" si="33"/>
        <v>169379.39255721177</v>
      </c>
      <c r="Q57" s="745">
        <f t="shared" si="33"/>
        <v>172766.98040835603</v>
      </c>
      <c r="R57" s="745">
        <f t="shared" si="33"/>
        <v>176222.32001652315</v>
      </c>
      <c r="S57" s="745">
        <f t="shared" si="33"/>
        <v>179746.76641685358</v>
      </c>
      <c r="T57" s="745">
        <f t="shared" si="33"/>
        <v>183341.70174519069</v>
      </c>
      <c r="U57" s="745">
        <f t="shared" si="33"/>
        <v>187008.53578009451</v>
      </c>
      <c r="V57" s="745">
        <f t="shared" si="33"/>
        <v>190748.70649569639</v>
      </c>
      <c r="W57" s="745">
        <f t="shared" si="33"/>
        <v>0</v>
      </c>
      <c r="X57" s="745">
        <f t="shared" si="33"/>
        <v>0</v>
      </c>
      <c r="Y57" s="745">
        <f t="shared" si="33"/>
        <v>0</v>
      </c>
      <c r="Z57" s="745">
        <f t="shared" si="33"/>
        <v>0</v>
      </c>
      <c r="AA57" s="745">
        <f t="shared" si="33"/>
        <v>0</v>
      </c>
      <c r="AB57" s="745">
        <f t="shared" si="33"/>
        <v>0</v>
      </c>
      <c r="AC57" s="745">
        <f t="shared" si="33"/>
        <v>0</v>
      </c>
      <c r="AD57" s="745">
        <f t="shared" si="33"/>
        <v>0</v>
      </c>
      <c r="AE57" s="745">
        <f t="shared" si="33"/>
        <v>0</v>
      </c>
      <c r="AF57" s="745">
        <f t="shared" si="33"/>
        <v>0</v>
      </c>
      <c r="AG57" s="745">
        <f t="shared" si="33"/>
        <v>0</v>
      </c>
    </row>
    <row r="58" spans="2:33" s="739" customFormat="1" x14ac:dyDescent="0.3">
      <c r="B58" s="744" t="s">
        <v>35</v>
      </c>
      <c r="C58" s="746">
        <f>IF(C56&gt;0,IFERROR(-IPMT($G$10,C56,$G$11,$G$8),0),0)</f>
        <v>0</v>
      </c>
      <c r="D58" s="746">
        <f t="shared" ref="D58:AG58" si="34">IF(D56&gt;0,IFERROR(-IPMT($G$10,D56,$G$11,$G$8),0),0)</f>
        <v>0</v>
      </c>
      <c r="E58" s="746">
        <f t="shared" si="34"/>
        <v>0</v>
      </c>
      <c r="F58" s="746">
        <f t="shared" si="34"/>
        <v>0</v>
      </c>
      <c r="G58" s="746">
        <f t="shared" si="34"/>
        <v>0</v>
      </c>
      <c r="H58" s="746">
        <f t="shared" si="34"/>
        <v>50000</v>
      </c>
      <c r="I58" s="746">
        <f t="shared" si="34"/>
        <v>47108.726387487797</v>
      </c>
      <c r="J58" s="746">
        <f t="shared" si="34"/>
        <v>44159.627302725341</v>
      </c>
      <c r="K58" s="746">
        <f t="shared" si="34"/>
        <v>41151.546236267655</v>
      </c>
      <c r="L58" s="746">
        <f t="shared" si="34"/>
        <v>38083.303548480792</v>
      </c>
      <c r="M58" s="746">
        <f t="shared" si="34"/>
        <v>34953.696006938204</v>
      </c>
      <c r="N58" s="746">
        <f t="shared" si="34"/>
        <v>31761.496314564763</v>
      </c>
      <c r="O58" s="746">
        <f t="shared" si="34"/>
        <v>28505.45262834385</v>
      </c>
      <c r="P58" s="746">
        <f t="shared" si="34"/>
        <v>25184.288068398528</v>
      </c>
      <c r="Q58" s="746">
        <f t="shared" si="34"/>
        <v>21796.700217254289</v>
      </c>
      <c r="R58" s="746">
        <f t="shared" si="34"/>
        <v>18341.360609087165</v>
      </c>
      <c r="S58" s="746">
        <f t="shared" si="34"/>
        <v>14816.914208756703</v>
      </c>
      <c r="T58" s="746">
        <f t="shared" si="34"/>
        <v>11221.978880419631</v>
      </c>
      <c r="U58" s="746">
        <f t="shared" si="34"/>
        <v>7555.1448455158179</v>
      </c>
      <c r="V58" s="746">
        <f t="shared" si="34"/>
        <v>3814.9741299139278</v>
      </c>
      <c r="W58" s="746">
        <f t="shared" si="34"/>
        <v>0</v>
      </c>
      <c r="X58" s="746">
        <f t="shared" si="34"/>
        <v>0</v>
      </c>
      <c r="Y58" s="746">
        <f t="shared" si="34"/>
        <v>0</v>
      </c>
      <c r="Z58" s="746">
        <f t="shared" si="34"/>
        <v>0</v>
      </c>
      <c r="AA58" s="746">
        <f t="shared" si="34"/>
        <v>0</v>
      </c>
      <c r="AB58" s="746">
        <f t="shared" si="34"/>
        <v>0</v>
      </c>
      <c r="AC58" s="746">
        <f t="shared" si="34"/>
        <v>0</v>
      </c>
      <c r="AD58" s="746">
        <f t="shared" si="34"/>
        <v>0</v>
      </c>
      <c r="AE58" s="746">
        <f t="shared" si="34"/>
        <v>0</v>
      </c>
      <c r="AF58" s="746">
        <f t="shared" si="34"/>
        <v>0</v>
      </c>
      <c r="AG58" s="746">
        <f t="shared" si="34"/>
        <v>0</v>
      </c>
    </row>
    <row r="59" spans="2:33" x14ac:dyDescent="0.3">
      <c r="B59" s="742" t="s">
        <v>1904</v>
      </c>
      <c r="C59" s="747">
        <f>SUM(C57:C58)</f>
        <v>0</v>
      </c>
      <c r="D59" s="747">
        <f>SUM(D57:D58)</f>
        <v>0</v>
      </c>
      <c r="E59" s="747">
        <f>SUM(E57:E58)</f>
        <v>0</v>
      </c>
      <c r="F59" s="747">
        <f>SUM(F57:F58)</f>
        <v>0</v>
      </c>
      <c r="G59" s="747">
        <f>SUM(G57:G58)</f>
        <v>0</v>
      </c>
      <c r="H59" s="747">
        <f t="shared" ref="H59:AG59" si="35">SUM(H57:H58)</f>
        <v>194563.68062561032</v>
      </c>
      <c r="I59" s="747">
        <f t="shared" si="35"/>
        <v>194563.68062561034</v>
      </c>
      <c r="J59" s="747">
        <f t="shared" si="35"/>
        <v>194563.68062561029</v>
      </c>
      <c r="K59" s="747">
        <f t="shared" si="35"/>
        <v>194563.68062561034</v>
      </c>
      <c r="L59" s="747">
        <f t="shared" si="35"/>
        <v>194563.68062561034</v>
      </c>
      <c r="M59" s="747">
        <f t="shared" si="35"/>
        <v>194563.68062561032</v>
      </c>
      <c r="N59" s="747">
        <f t="shared" si="35"/>
        <v>194563.68062561029</v>
      </c>
      <c r="O59" s="747">
        <f t="shared" si="35"/>
        <v>194563.68062561032</v>
      </c>
      <c r="P59" s="747">
        <f t="shared" si="35"/>
        <v>194563.68062561029</v>
      </c>
      <c r="Q59" s="747">
        <f t="shared" si="35"/>
        <v>194563.68062561032</v>
      </c>
      <c r="R59" s="747">
        <f t="shared" si="35"/>
        <v>194563.68062561032</v>
      </c>
      <c r="S59" s="747">
        <f t="shared" si="35"/>
        <v>194563.68062561029</v>
      </c>
      <c r="T59" s="747">
        <f t="shared" si="35"/>
        <v>194563.68062561032</v>
      </c>
      <c r="U59" s="747">
        <f t="shared" si="35"/>
        <v>194563.68062561032</v>
      </c>
      <c r="V59" s="747">
        <f t="shared" si="35"/>
        <v>194563.68062561032</v>
      </c>
      <c r="W59" s="747">
        <f t="shared" si="35"/>
        <v>0</v>
      </c>
      <c r="X59" s="747">
        <f t="shared" si="35"/>
        <v>0</v>
      </c>
      <c r="Y59" s="747">
        <f t="shared" si="35"/>
        <v>0</v>
      </c>
      <c r="Z59" s="747">
        <f t="shared" si="35"/>
        <v>0</v>
      </c>
      <c r="AA59" s="747">
        <f t="shared" si="35"/>
        <v>0</v>
      </c>
      <c r="AB59" s="747">
        <f t="shared" si="35"/>
        <v>0</v>
      </c>
      <c r="AC59" s="747">
        <f t="shared" si="35"/>
        <v>0</v>
      </c>
      <c r="AD59" s="747">
        <f t="shared" si="35"/>
        <v>0</v>
      </c>
      <c r="AE59" s="747">
        <f t="shared" si="35"/>
        <v>0</v>
      </c>
      <c r="AF59" s="747">
        <f t="shared" si="35"/>
        <v>0</v>
      </c>
      <c r="AG59" s="747">
        <f t="shared" si="35"/>
        <v>0</v>
      </c>
    </row>
    <row r="60" spans="2:33" x14ac:dyDescent="0.3">
      <c r="B60" s="742"/>
      <c r="C60" s="748"/>
      <c r="D60" s="748"/>
      <c r="E60" s="748"/>
      <c r="F60" s="748"/>
      <c r="G60" s="748"/>
      <c r="H60" s="748"/>
      <c r="I60" s="748"/>
      <c r="J60" s="748"/>
      <c r="K60" s="748"/>
      <c r="L60" s="748"/>
      <c r="M60" s="748"/>
      <c r="N60" s="748"/>
      <c r="O60" s="748"/>
      <c r="P60" s="748"/>
      <c r="Q60" s="748"/>
      <c r="R60" s="748"/>
      <c r="S60" s="748"/>
      <c r="T60" s="748"/>
      <c r="U60" s="748"/>
      <c r="V60" s="748"/>
      <c r="W60" s="748"/>
      <c r="X60" s="748"/>
      <c r="Y60" s="748"/>
      <c r="Z60" s="748"/>
      <c r="AA60" s="748"/>
      <c r="AB60" s="748"/>
      <c r="AC60" s="748"/>
      <c r="AD60" s="748"/>
      <c r="AE60" s="748"/>
      <c r="AF60" s="748"/>
      <c r="AG60" s="748"/>
    </row>
    <row r="61" spans="2:33" x14ac:dyDescent="0.3">
      <c r="B61" s="749" t="s">
        <v>36</v>
      </c>
      <c r="C61" s="750">
        <f t="shared" ref="C61:AG61" si="36">IF(C56="",0,IF(C56=0,$G$8,B61-C57))</f>
        <v>0</v>
      </c>
      <c r="D61" s="750">
        <f t="shared" si="36"/>
        <v>0</v>
      </c>
      <c r="E61" s="750">
        <f t="shared" si="36"/>
        <v>0</v>
      </c>
      <c r="F61" s="750">
        <f t="shared" si="36"/>
        <v>0</v>
      </c>
      <c r="G61" s="750">
        <f t="shared" si="36"/>
        <v>2500000</v>
      </c>
      <c r="H61" s="750">
        <f t="shared" si="36"/>
        <v>2355436.3193743895</v>
      </c>
      <c r="I61" s="750">
        <f t="shared" si="36"/>
        <v>2207981.3651362672</v>
      </c>
      <c r="J61" s="750">
        <f t="shared" si="36"/>
        <v>2057577.3118133822</v>
      </c>
      <c r="K61" s="750">
        <f t="shared" si="36"/>
        <v>1904165.1774240395</v>
      </c>
      <c r="L61" s="750">
        <f t="shared" si="36"/>
        <v>1747684.80034691</v>
      </c>
      <c r="M61" s="750">
        <f t="shared" si="36"/>
        <v>1588074.8157282379</v>
      </c>
      <c r="N61" s="750">
        <f t="shared" si="36"/>
        <v>1425272.6314171923</v>
      </c>
      <c r="O61" s="750">
        <f t="shared" si="36"/>
        <v>1259214.4034199258</v>
      </c>
      <c r="P61" s="750">
        <f t="shared" si="36"/>
        <v>1089835.0108627141</v>
      </c>
      <c r="Q61" s="750">
        <f t="shared" si="36"/>
        <v>917068.03045435809</v>
      </c>
      <c r="R61" s="750">
        <f t="shared" si="36"/>
        <v>740845.71043783496</v>
      </c>
      <c r="S61" s="750">
        <f t="shared" si="36"/>
        <v>561098.94402098143</v>
      </c>
      <c r="T61" s="750">
        <f t="shared" si="36"/>
        <v>377757.24227579078</v>
      </c>
      <c r="U61" s="750">
        <f t="shared" si="36"/>
        <v>190748.70649569627</v>
      </c>
      <c r="V61" s="750">
        <f t="shared" si="36"/>
        <v>-1.1641532182693481E-10</v>
      </c>
      <c r="W61" s="750">
        <f t="shared" si="36"/>
        <v>0</v>
      </c>
      <c r="X61" s="750">
        <f t="shared" si="36"/>
        <v>0</v>
      </c>
      <c r="Y61" s="750">
        <f t="shared" si="36"/>
        <v>0</v>
      </c>
      <c r="Z61" s="750">
        <f t="shared" si="36"/>
        <v>0</v>
      </c>
      <c r="AA61" s="750">
        <f t="shared" si="36"/>
        <v>0</v>
      </c>
      <c r="AB61" s="750">
        <f t="shared" si="36"/>
        <v>0</v>
      </c>
      <c r="AC61" s="750">
        <f t="shared" si="36"/>
        <v>0</v>
      </c>
      <c r="AD61" s="750">
        <f t="shared" si="36"/>
        <v>0</v>
      </c>
      <c r="AE61" s="750">
        <f t="shared" si="36"/>
        <v>0</v>
      </c>
      <c r="AF61" s="750">
        <f t="shared" si="36"/>
        <v>0</v>
      </c>
      <c r="AG61" s="750">
        <f t="shared" si="36"/>
        <v>0</v>
      </c>
    </row>
    <row r="63" spans="2:33" x14ac:dyDescent="0.3">
      <c r="B63" s="751" t="str">
        <f>H4&amp;" Payment Number"</f>
        <v>2021 Payment Number</v>
      </c>
      <c r="C63" s="752" t="str">
        <f>IF(C$27&gt;$H$9+$H$11,"",IF(C$27-$H$9&lt;0,"",C$27-$H$9))</f>
        <v/>
      </c>
      <c r="D63" s="752" t="str">
        <f t="shared" ref="D63:AG63" si="37">IF(D$27&gt;$H$9+$H$11,"",IF(D$27-$H$9&lt;0,"",D$27-$H$9))</f>
        <v/>
      </c>
      <c r="E63" s="752" t="str">
        <f t="shared" si="37"/>
        <v/>
      </c>
      <c r="F63" s="752" t="str">
        <f t="shared" si="37"/>
        <v/>
      </c>
      <c r="G63" s="752" t="str">
        <f t="shared" si="37"/>
        <v/>
      </c>
      <c r="H63" s="752">
        <f t="shared" si="37"/>
        <v>0</v>
      </c>
      <c r="I63" s="752">
        <f t="shared" si="37"/>
        <v>1</v>
      </c>
      <c r="J63" s="752">
        <f t="shared" si="37"/>
        <v>2</v>
      </c>
      <c r="K63" s="752">
        <f t="shared" si="37"/>
        <v>3</v>
      </c>
      <c r="L63" s="752">
        <f t="shared" si="37"/>
        <v>4</v>
      </c>
      <c r="M63" s="752">
        <f t="shared" si="37"/>
        <v>5</v>
      </c>
      <c r="N63" s="752">
        <f t="shared" si="37"/>
        <v>6</v>
      </c>
      <c r="O63" s="752">
        <f t="shared" si="37"/>
        <v>7</v>
      </c>
      <c r="P63" s="752">
        <f t="shared" si="37"/>
        <v>8</v>
      </c>
      <c r="Q63" s="752">
        <f t="shared" si="37"/>
        <v>9</v>
      </c>
      <c r="R63" s="752">
        <f t="shared" si="37"/>
        <v>10</v>
      </c>
      <c r="S63" s="752">
        <f t="shared" si="37"/>
        <v>11</v>
      </c>
      <c r="T63" s="752">
        <f t="shared" si="37"/>
        <v>12</v>
      </c>
      <c r="U63" s="752">
        <f t="shared" si="37"/>
        <v>13</v>
      </c>
      <c r="V63" s="752">
        <f t="shared" si="37"/>
        <v>14</v>
      </c>
      <c r="W63" s="752">
        <f t="shared" si="37"/>
        <v>15</v>
      </c>
      <c r="X63" s="752" t="str">
        <f t="shared" si="37"/>
        <v/>
      </c>
      <c r="Y63" s="752" t="str">
        <f t="shared" si="37"/>
        <v/>
      </c>
      <c r="Z63" s="752" t="str">
        <f t="shared" si="37"/>
        <v/>
      </c>
      <c r="AA63" s="752" t="str">
        <f t="shared" si="37"/>
        <v/>
      </c>
      <c r="AB63" s="752" t="str">
        <f t="shared" si="37"/>
        <v/>
      </c>
      <c r="AC63" s="752" t="str">
        <f t="shared" si="37"/>
        <v/>
      </c>
      <c r="AD63" s="752" t="str">
        <f t="shared" si="37"/>
        <v/>
      </c>
      <c r="AE63" s="752" t="str">
        <f t="shared" si="37"/>
        <v/>
      </c>
      <c r="AF63" s="752" t="str">
        <f t="shared" si="37"/>
        <v/>
      </c>
      <c r="AG63" s="752" t="str">
        <f t="shared" si="37"/>
        <v/>
      </c>
    </row>
    <row r="64" spans="2:33" x14ac:dyDescent="0.3">
      <c r="B64" s="751" t="s">
        <v>34</v>
      </c>
      <c r="C64" s="753">
        <f>IF(OR(C63="",C63=0),0,IF(C63&lt;=$H$11,-PPMT($H$10,C63,$H$11,$H$8)))</f>
        <v>0</v>
      </c>
      <c r="D64" s="753">
        <f t="shared" ref="D64:AG64" si="38">IF(OR(D63="",D63=0),0,IF(D63&lt;=$H$11,-PPMT($H$10,D63,$H$11,$H$8)))</f>
        <v>0</v>
      </c>
      <c r="E64" s="753">
        <f t="shared" si="38"/>
        <v>0</v>
      </c>
      <c r="F64" s="753">
        <f t="shared" si="38"/>
        <v>0</v>
      </c>
      <c r="G64" s="753">
        <f t="shared" si="38"/>
        <v>0</v>
      </c>
      <c r="H64" s="753">
        <f t="shared" si="38"/>
        <v>0</v>
      </c>
      <c r="I64" s="753">
        <f t="shared" si="38"/>
        <v>150346.22785063472</v>
      </c>
      <c r="J64" s="753">
        <f t="shared" si="38"/>
        <v>153353.1524076474</v>
      </c>
      <c r="K64" s="753">
        <f t="shared" si="38"/>
        <v>156420.21545580035</v>
      </c>
      <c r="L64" s="753">
        <f t="shared" si="38"/>
        <v>159548.61976491637</v>
      </c>
      <c r="M64" s="753">
        <f t="shared" si="38"/>
        <v>162739.5921602147</v>
      </c>
      <c r="N64" s="753">
        <f t="shared" si="38"/>
        <v>165994.38400341899</v>
      </c>
      <c r="O64" s="753">
        <f t="shared" si="38"/>
        <v>169314.27168348737</v>
      </c>
      <c r="P64" s="753">
        <f t="shared" si="38"/>
        <v>172700.55711715709</v>
      </c>
      <c r="Q64" s="753">
        <f t="shared" si="38"/>
        <v>176154.56825950026</v>
      </c>
      <c r="R64" s="753">
        <f t="shared" si="38"/>
        <v>179677.65962469028</v>
      </c>
      <c r="S64" s="753">
        <f t="shared" si="38"/>
        <v>183271.21281718407</v>
      </c>
      <c r="T64" s="753">
        <f t="shared" si="38"/>
        <v>186936.63707352776</v>
      </c>
      <c r="U64" s="753">
        <f t="shared" si="38"/>
        <v>190675.3698149983</v>
      </c>
      <c r="V64" s="753">
        <f t="shared" si="38"/>
        <v>194488.87721129827</v>
      </c>
      <c r="W64" s="753">
        <f t="shared" si="38"/>
        <v>198378.65475552421</v>
      </c>
      <c r="X64" s="753">
        <f t="shared" si="38"/>
        <v>0</v>
      </c>
      <c r="Y64" s="753">
        <f t="shared" si="38"/>
        <v>0</v>
      </c>
      <c r="Z64" s="753">
        <f t="shared" si="38"/>
        <v>0</v>
      </c>
      <c r="AA64" s="753">
        <f t="shared" si="38"/>
        <v>0</v>
      </c>
      <c r="AB64" s="753">
        <f t="shared" si="38"/>
        <v>0</v>
      </c>
      <c r="AC64" s="753">
        <f t="shared" si="38"/>
        <v>0</v>
      </c>
      <c r="AD64" s="753">
        <f t="shared" si="38"/>
        <v>0</v>
      </c>
      <c r="AE64" s="753">
        <f t="shared" si="38"/>
        <v>0</v>
      </c>
      <c r="AF64" s="753">
        <f t="shared" si="38"/>
        <v>0</v>
      </c>
      <c r="AG64" s="753">
        <f t="shared" si="38"/>
        <v>0</v>
      </c>
    </row>
    <row r="65" spans="2:33" x14ac:dyDescent="0.3">
      <c r="B65" s="751" t="s">
        <v>35</v>
      </c>
      <c r="C65" s="754">
        <f>IF(C63&gt;0,IFERROR(-IPMT($H$10,C63,$H$11,$H$8),0),0)</f>
        <v>0</v>
      </c>
      <c r="D65" s="754">
        <f t="shared" ref="D65:AG65" si="39">IF(D63&gt;0,IFERROR(-IPMT($H$10,D63,$H$11,$H$8),0),0)</f>
        <v>0</v>
      </c>
      <c r="E65" s="754">
        <f t="shared" si="39"/>
        <v>0</v>
      </c>
      <c r="F65" s="754">
        <f t="shared" si="39"/>
        <v>0</v>
      </c>
      <c r="G65" s="754">
        <f t="shared" si="39"/>
        <v>0</v>
      </c>
      <c r="H65" s="754">
        <f t="shared" si="39"/>
        <v>0</v>
      </c>
      <c r="I65" s="754">
        <f t="shared" si="39"/>
        <v>52000</v>
      </c>
      <c r="J65" s="754">
        <f t="shared" si="39"/>
        <v>48993.075442987312</v>
      </c>
      <c r="K65" s="754">
        <f t="shared" si="39"/>
        <v>45926.012394834361</v>
      </c>
      <c r="L65" s="754">
        <f t="shared" si="39"/>
        <v>42797.608085718362</v>
      </c>
      <c r="M65" s="754">
        <f t="shared" si="39"/>
        <v>39606.635690420022</v>
      </c>
      <c r="N65" s="754">
        <f t="shared" si="39"/>
        <v>36351.843847215729</v>
      </c>
      <c r="O65" s="754">
        <f t="shared" si="39"/>
        <v>33031.956167147349</v>
      </c>
      <c r="P65" s="754">
        <f t="shared" si="39"/>
        <v>29645.670733477604</v>
      </c>
      <c r="Q65" s="754">
        <f t="shared" si="39"/>
        <v>26191.659591134467</v>
      </c>
      <c r="R65" s="754">
        <f t="shared" si="39"/>
        <v>22668.568225944458</v>
      </c>
      <c r="S65" s="754">
        <f t="shared" si="39"/>
        <v>19075.015033450651</v>
      </c>
      <c r="T65" s="754">
        <f t="shared" si="39"/>
        <v>15409.590777106971</v>
      </c>
      <c r="U65" s="754">
        <f t="shared" si="39"/>
        <v>11670.858035636416</v>
      </c>
      <c r="V65" s="754">
        <f t="shared" si="39"/>
        <v>7857.3506393364505</v>
      </c>
      <c r="W65" s="754">
        <f t="shared" si="39"/>
        <v>3967.5730951104852</v>
      </c>
      <c r="X65" s="754">
        <f t="shared" si="39"/>
        <v>0</v>
      </c>
      <c r="Y65" s="754">
        <f t="shared" si="39"/>
        <v>0</v>
      </c>
      <c r="Z65" s="754">
        <f t="shared" si="39"/>
        <v>0</v>
      </c>
      <c r="AA65" s="754">
        <f t="shared" si="39"/>
        <v>0</v>
      </c>
      <c r="AB65" s="754">
        <f t="shared" si="39"/>
        <v>0</v>
      </c>
      <c r="AC65" s="754">
        <f t="shared" si="39"/>
        <v>0</v>
      </c>
      <c r="AD65" s="754">
        <f t="shared" si="39"/>
        <v>0</v>
      </c>
      <c r="AE65" s="754">
        <f t="shared" si="39"/>
        <v>0</v>
      </c>
      <c r="AF65" s="754">
        <f t="shared" si="39"/>
        <v>0</v>
      </c>
      <c r="AG65" s="754">
        <f t="shared" si="39"/>
        <v>0</v>
      </c>
    </row>
    <row r="66" spans="2:33" x14ac:dyDescent="0.3">
      <c r="B66" s="751" t="s">
        <v>1904</v>
      </c>
      <c r="C66" s="753">
        <f>SUM(C64:C65)</f>
        <v>0</v>
      </c>
      <c r="D66" s="753">
        <f t="shared" ref="D66:AG66" si="40">SUM(D64:D65)</f>
        <v>0</v>
      </c>
      <c r="E66" s="753">
        <f t="shared" si="40"/>
        <v>0</v>
      </c>
      <c r="F66" s="753">
        <f t="shared" si="40"/>
        <v>0</v>
      </c>
      <c r="G66" s="753">
        <f t="shared" si="40"/>
        <v>0</v>
      </c>
      <c r="H66" s="753">
        <f t="shared" si="40"/>
        <v>0</v>
      </c>
      <c r="I66" s="753">
        <f t="shared" si="40"/>
        <v>202346.22785063472</v>
      </c>
      <c r="J66" s="753">
        <f t="shared" si="40"/>
        <v>202346.22785063472</v>
      </c>
      <c r="K66" s="753">
        <f t="shared" si="40"/>
        <v>202346.22785063472</v>
      </c>
      <c r="L66" s="753">
        <f t="shared" si="40"/>
        <v>202346.22785063472</v>
      </c>
      <c r="M66" s="753">
        <f t="shared" si="40"/>
        <v>202346.22785063472</v>
      </c>
      <c r="N66" s="753">
        <f t="shared" si="40"/>
        <v>202346.22785063472</v>
      </c>
      <c r="O66" s="753">
        <f t="shared" si="40"/>
        <v>202346.22785063472</v>
      </c>
      <c r="P66" s="753">
        <f t="shared" si="40"/>
        <v>202346.22785063469</v>
      </c>
      <c r="Q66" s="753">
        <f t="shared" si="40"/>
        <v>202346.22785063472</v>
      </c>
      <c r="R66" s="753">
        <f t="shared" si="40"/>
        <v>202346.22785063472</v>
      </c>
      <c r="S66" s="753">
        <f t="shared" si="40"/>
        <v>202346.22785063472</v>
      </c>
      <c r="T66" s="753">
        <f t="shared" si="40"/>
        <v>202346.22785063472</v>
      </c>
      <c r="U66" s="753">
        <f t="shared" si="40"/>
        <v>202346.22785063472</v>
      </c>
      <c r="V66" s="753">
        <f t="shared" si="40"/>
        <v>202346.22785063472</v>
      </c>
      <c r="W66" s="753">
        <f t="shared" si="40"/>
        <v>202346.22785063469</v>
      </c>
      <c r="X66" s="753">
        <f t="shared" si="40"/>
        <v>0</v>
      </c>
      <c r="Y66" s="753">
        <f t="shared" si="40"/>
        <v>0</v>
      </c>
      <c r="Z66" s="753">
        <f t="shared" si="40"/>
        <v>0</v>
      </c>
      <c r="AA66" s="753">
        <f t="shared" si="40"/>
        <v>0</v>
      </c>
      <c r="AB66" s="753">
        <f t="shared" si="40"/>
        <v>0</v>
      </c>
      <c r="AC66" s="753">
        <f t="shared" si="40"/>
        <v>0</v>
      </c>
      <c r="AD66" s="753">
        <f t="shared" si="40"/>
        <v>0</v>
      </c>
      <c r="AE66" s="753">
        <f t="shared" si="40"/>
        <v>0</v>
      </c>
      <c r="AF66" s="753">
        <f t="shared" si="40"/>
        <v>0</v>
      </c>
      <c r="AG66" s="753">
        <f t="shared" si="40"/>
        <v>0</v>
      </c>
    </row>
    <row r="67" spans="2:33" x14ac:dyDescent="0.3">
      <c r="B67" s="751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  <c r="AA67" s="755"/>
      <c r="AB67" s="755"/>
      <c r="AC67" s="755"/>
      <c r="AD67" s="755"/>
      <c r="AE67" s="755"/>
      <c r="AF67" s="755"/>
      <c r="AG67" s="755"/>
    </row>
    <row r="68" spans="2:33" x14ac:dyDescent="0.3">
      <c r="B68" s="756" t="s">
        <v>36</v>
      </c>
      <c r="C68" s="757">
        <f>IF(C63="",0,IF(C63=0,$H$8,B68-C64))</f>
        <v>0</v>
      </c>
      <c r="D68" s="757">
        <f t="shared" ref="D68:AG68" si="41">IF(D63="",0,IF(D63=0,$H$8,C68-D64))</f>
        <v>0</v>
      </c>
      <c r="E68" s="757">
        <f t="shared" si="41"/>
        <v>0</v>
      </c>
      <c r="F68" s="757">
        <f t="shared" si="41"/>
        <v>0</v>
      </c>
      <c r="G68" s="757">
        <f t="shared" si="41"/>
        <v>0</v>
      </c>
      <c r="H68" s="757">
        <f t="shared" si="41"/>
        <v>2600000</v>
      </c>
      <c r="I68" s="757">
        <f t="shared" si="41"/>
        <v>2449653.7721493654</v>
      </c>
      <c r="J68" s="757">
        <f t="shared" si="41"/>
        <v>2296300.6197417178</v>
      </c>
      <c r="K68" s="757">
        <f t="shared" si="41"/>
        <v>2139880.4042859175</v>
      </c>
      <c r="L68" s="757">
        <f t="shared" si="41"/>
        <v>1980331.7845210012</v>
      </c>
      <c r="M68" s="757">
        <f t="shared" si="41"/>
        <v>1817592.1923607865</v>
      </c>
      <c r="N68" s="757">
        <f t="shared" si="41"/>
        <v>1651597.8083573675</v>
      </c>
      <c r="O68" s="757">
        <f t="shared" si="41"/>
        <v>1482283.5366738802</v>
      </c>
      <c r="P68" s="757">
        <f t="shared" si="41"/>
        <v>1309582.979556723</v>
      </c>
      <c r="Q68" s="757">
        <f t="shared" si="41"/>
        <v>1133428.4112972228</v>
      </c>
      <c r="R68" s="757">
        <f t="shared" si="41"/>
        <v>953750.75167253253</v>
      </c>
      <c r="S68" s="757">
        <f t="shared" si="41"/>
        <v>770479.53885534848</v>
      </c>
      <c r="T68" s="757">
        <f t="shared" si="41"/>
        <v>583542.90178182069</v>
      </c>
      <c r="U68" s="757">
        <f t="shared" si="41"/>
        <v>392867.5319668224</v>
      </c>
      <c r="V68" s="757">
        <f t="shared" si="41"/>
        <v>198378.65475552413</v>
      </c>
      <c r="W68" s="757">
        <f t="shared" si="41"/>
        <v>-8.7311491370201111E-11</v>
      </c>
      <c r="X68" s="757">
        <f t="shared" si="41"/>
        <v>0</v>
      </c>
      <c r="Y68" s="757">
        <f t="shared" si="41"/>
        <v>0</v>
      </c>
      <c r="Z68" s="757">
        <f t="shared" si="41"/>
        <v>0</v>
      </c>
      <c r="AA68" s="757">
        <f t="shared" si="41"/>
        <v>0</v>
      </c>
      <c r="AB68" s="757">
        <f t="shared" si="41"/>
        <v>0</v>
      </c>
      <c r="AC68" s="757">
        <f t="shared" si="41"/>
        <v>0</v>
      </c>
      <c r="AD68" s="757">
        <f t="shared" si="41"/>
        <v>0</v>
      </c>
      <c r="AE68" s="757">
        <f t="shared" si="41"/>
        <v>0</v>
      </c>
      <c r="AF68" s="757">
        <f t="shared" si="41"/>
        <v>0</v>
      </c>
      <c r="AG68" s="757">
        <f t="shared" si="41"/>
        <v>0</v>
      </c>
    </row>
    <row r="69" spans="2:33" x14ac:dyDescent="0.3">
      <c r="B69" s="742"/>
      <c r="C69" s="759"/>
      <c r="D69" s="759"/>
      <c r="E69" s="759"/>
      <c r="F69" s="759"/>
      <c r="G69" s="759"/>
      <c r="H69" s="759"/>
      <c r="I69" s="759"/>
      <c r="J69" s="759"/>
      <c r="K69" s="759"/>
      <c r="L69" s="759"/>
      <c r="M69" s="759"/>
      <c r="N69" s="759"/>
      <c r="O69" s="759"/>
      <c r="P69" s="759"/>
      <c r="Q69" s="759"/>
      <c r="R69" s="759"/>
      <c r="S69" s="759"/>
      <c r="T69" s="759"/>
      <c r="U69" s="759"/>
      <c r="V69" s="759"/>
      <c r="W69" s="759"/>
      <c r="X69" s="759"/>
      <c r="Y69" s="759"/>
      <c r="Z69" s="759"/>
      <c r="AA69" s="759"/>
      <c r="AB69" s="759"/>
      <c r="AC69" s="759"/>
      <c r="AD69" s="759"/>
      <c r="AE69" s="759"/>
      <c r="AF69" s="759"/>
      <c r="AG69" s="759"/>
    </row>
    <row r="70" spans="2:33" x14ac:dyDescent="0.3">
      <c r="B70" s="742" t="str">
        <f>I4&amp;" Payment Number"</f>
        <v>2022 Payment Number</v>
      </c>
      <c r="C70" s="743" t="str">
        <f>IF(C$27&gt;$I$9+$I$11,"",IF(C$27-$I$9&lt;0,"",C$27-$I$9))</f>
        <v/>
      </c>
      <c r="D70" s="743" t="str">
        <f t="shared" ref="D70:AG70" si="42">IF(D$27&gt;$I$9+$I$11,"",IF(D$27-$I$9&lt;0,"",D$27-$I$9))</f>
        <v/>
      </c>
      <c r="E70" s="743" t="str">
        <f t="shared" si="42"/>
        <v/>
      </c>
      <c r="F70" s="743" t="str">
        <f t="shared" si="42"/>
        <v/>
      </c>
      <c r="G70" s="743" t="str">
        <f t="shared" si="42"/>
        <v/>
      </c>
      <c r="H70" s="743" t="str">
        <f t="shared" si="42"/>
        <v/>
      </c>
      <c r="I70" s="743">
        <f t="shared" si="42"/>
        <v>0</v>
      </c>
      <c r="J70" s="743">
        <f>IF(J$27&gt;$I$9+$I$11,"",IF(J$27-$I$9&lt;0,"",J$27-$I$9))</f>
        <v>1</v>
      </c>
      <c r="K70" s="743">
        <f t="shared" si="42"/>
        <v>2</v>
      </c>
      <c r="L70" s="743">
        <f t="shared" si="42"/>
        <v>3</v>
      </c>
      <c r="M70" s="743">
        <f t="shared" si="42"/>
        <v>4</v>
      </c>
      <c r="N70" s="743">
        <f t="shared" si="42"/>
        <v>5</v>
      </c>
      <c r="O70" s="743">
        <f t="shared" si="42"/>
        <v>6</v>
      </c>
      <c r="P70" s="743">
        <f t="shared" si="42"/>
        <v>7</v>
      </c>
      <c r="Q70" s="743">
        <f t="shared" si="42"/>
        <v>8</v>
      </c>
      <c r="R70" s="743">
        <f t="shared" si="42"/>
        <v>9</v>
      </c>
      <c r="S70" s="743">
        <f t="shared" si="42"/>
        <v>10</v>
      </c>
      <c r="T70" s="743">
        <f t="shared" si="42"/>
        <v>11</v>
      </c>
      <c r="U70" s="743">
        <f t="shared" si="42"/>
        <v>12</v>
      </c>
      <c r="V70" s="743">
        <f t="shared" si="42"/>
        <v>13</v>
      </c>
      <c r="W70" s="743">
        <f t="shared" si="42"/>
        <v>14</v>
      </c>
      <c r="X70" s="743">
        <f t="shared" si="42"/>
        <v>15</v>
      </c>
      <c r="Y70" s="743" t="str">
        <f t="shared" si="42"/>
        <v/>
      </c>
      <c r="Z70" s="743" t="str">
        <f t="shared" si="42"/>
        <v/>
      </c>
      <c r="AA70" s="743" t="str">
        <f t="shared" si="42"/>
        <v/>
      </c>
      <c r="AB70" s="743" t="str">
        <f t="shared" si="42"/>
        <v/>
      </c>
      <c r="AC70" s="743" t="str">
        <f t="shared" si="42"/>
        <v/>
      </c>
      <c r="AD70" s="743" t="str">
        <f t="shared" si="42"/>
        <v/>
      </c>
      <c r="AE70" s="743" t="str">
        <f t="shared" si="42"/>
        <v/>
      </c>
      <c r="AF70" s="743" t="str">
        <f t="shared" si="42"/>
        <v/>
      </c>
      <c r="AG70" s="743" t="str">
        <f t="shared" si="42"/>
        <v/>
      </c>
    </row>
    <row r="71" spans="2:33" s="739" customFormat="1" x14ac:dyDescent="0.3">
      <c r="B71" s="744" t="s">
        <v>34</v>
      </c>
      <c r="C71" s="745">
        <f>IF(OR(C70="",C70=0),0,IF(C70&lt;=$I$11,-PPMT($I$10,C70,$I$11,$I$8)))</f>
        <v>0</v>
      </c>
      <c r="D71" s="745">
        <f t="shared" ref="D71:AG71" si="43">IF(OR(D70="",D70=0),0,IF(D70&lt;=$I$11,-PPMT($I$10,D70,$I$11,$I$8)))</f>
        <v>0</v>
      </c>
      <c r="E71" s="745">
        <f t="shared" si="43"/>
        <v>0</v>
      </c>
      <c r="F71" s="745">
        <f t="shared" si="43"/>
        <v>0</v>
      </c>
      <c r="G71" s="745">
        <f t="shared" si="43"/>
        <v>0</v>
      </c>
      <c r="H71" s="745">
        <f t="shared" si="43"/>
        <v>0</v>
      </c>
      <c r="I71" s="745">
        <f t="shared" si="43"/>
        <v>0</v>
      </c>
      <c r="J71" s="745">
        <f t="shared" si="43"/>
        <v>115650.94450048824</v>
      </c>
      <c r="K71" s="745">
        <f t="shared" si="43"/>
        <v>117963.963390498</v>
      </c>
      <c r="L71" s="745">
        <f t="shared" si="43"/>
        <v>120323.24265830797</v>
      </c>
      <c r="M71" s="745">
        <f t="shared" si="43"/>
        <v>122729.70751147412</v>
      </c>
      <c r="N71" s="745">
        <f t="shared" si="43"/>
        <v>125184.3016617036</v>
      </c>
      <c r="O71" s="745">
        <f t="shared" si="43"/>
        <v>127687.98769493768</v>
      </c>
      <c r="P71" s="745">
        <f t="shared" si="43"/>
        <v>130241.74744883642</v>
      </c>
      <c r="Q71" s="745">
        <f t="shared" si="43"/>
        <v>132846.58239781315</v>
      </c>
      <c r="R71" s="745">
        <f t="shared" si="43"/>
        <v>135503.51404576941</v>
      </c>
      <c r="S71" s="745">
        <f t="shared" si="43"/>
        <v>138213.58432668482</v>
      </c>
      <c r="T71" s="745">
        <f t="shared" si="43"/>
        <v>140977.85601321849</v>
      </c>
      <c r="U71" s="745">
        <f t="shared" si="43"/>
        <v>143797.41313348286</v>
      </c>
      <c r="V71" s="745">
        <f t="shared" si="43"/>
        <v>146673.36139615253</v>
      </c>
      <c r="W71" s="745">
        <f t="shared" si="43"/>
        <v>149606.82862407557</v>
      </c>
      <c r="X71" s="745">
        <f t="shared" si="43"/>
        <v>152598.96519655708</v>
      </c>
      <c r="Y71" s="745">
        <f t="shared" si="43"/>
        <v>0</v>
      </c>
      <c r="Z71" s="745">
        <f t="shared" si="43"/>
        <v>0</v>
      </c>
      <c r="AA71" s="745">
        <f t="shared" si="43"/>
        <v>0</v>
      </c>
      <c r="AB71" s="745">
        <f t="shared" si="43"/>
        <v>0</v>
      </c>
      <c r="AC71" s="745">
        <f t="shared" si="43"/>
        <v>0</v>
      </c>
      <c r="AD71" s="745">
        <f t="shared" si="43"/>
        <v>0</v>
      </c>
      <c r="AE71" s="745">
        <f t="shared" si="43"/>
        <v>0</v>
      </c>
      <c r="AF71" s="745">
        <f t="shared" si="43"/>
        <v>0</v>
      </c>
      <c r="AG71" s="745">
        <f t="shared" si="43"/>
        <v>0</v>
      </c>
    </row>
    <row r="72" spans="2:33" s="739" customFormat="1" x14ac:dyDescent="0.3">
      <c r="B72" s="744" t="s">
        <v>35</v>
      </c>
      <c r="C72" s="746">
        <f>IF(C70&gt;0,IFERROR(-IPMT($I$10,C70,$I$11,$I$8),0),0)</f>
        <v>0</v>
      </c>
      <c r="D72" s="746">
        <f t="shared" ref="D72:AG72" si="44">IF(D70&gt;0,IFERROR(-IPMT($I$10,D70,$I$11,$I$8),0),0)</f>
        <v>0</v>
      </c>
      <c r="E72" s="746">
        <f t="shared" si="44"/>
        <v>0</v>
      </c>
      <c r="F72" s="746">
        <f t="shared" si="44"/>
        <v>0</v>
      </c>
      <c r="G72" s="746">
        <f t="shared" si="44"/>
        <v>0</v>
      </c>
      <c r="H72" s="746">
        <f t="shared" si="44"/>
        <v>0</v>
      </c>
      <c r="I72" s="746">
        <f t="shared" si="44"/>
        <v>0</v>
      </c>
      <c r="J72" s="746">
        <f t="shared" si="44"/>
        <v>40000</v>
      </c>
      <c r="K72" s="746">
        <f t="shared" si="44"/>
        <v>37686.981109990229</v>
      </c>
      <c r="L72" s="746">
        <f t="shared" si="44"/>
        <v>35327.701842180271</v>
      </c>
      <c r="M72" s="746">
        <f t="shared" si="44"/>
        <v>32921.23698901412</v>
      </c>
      <c r="N72" s="746">
        <f t="shared" si="44"/>
        <v>30466.642838784628</v>
      </c>
      <c r="O72" s="746">
        <f t="shared" si="44"/>
        <v>27962.956805550559</v>
      </c>
      <c r="P72" s="746">
        <f t="shared" si="44"/>
        <v>25409.197051651805</v>
      </c>
      <c r="Q72" s="746">
        <f t="shared" si="44"/>
        <v>22804.362102675073</v>
      </c>
      <c r="R72" s="746">
        <f t="shared" si="44"/>
        <v>20147.430454718819</v>
      </c>
      <c r="S72" s="746">
        <f t="shared" si="44"/>
        <v>17437.360173803427</v>
      </c>
      <c r="T72" s="746">
        <f t="shared" si="44"/>
        <v>14673.08848726973</v>
      </c>
      <c r="U72" s="746">
        <f t="shared" si="44"/>
        <v>11853.531367005362</v>
      </c>
      <c r="V72" s="746">
        <f t="shared" si="44"/>
        <v>8977.5831043357048</v>
      </c>
      <c r="W72" s="746">
        <f t="shared" si="44"/>
        <v>6044.115876412654</v>
      </c>
      <c r="X72" s="746">
        <f t="shared" si="44"/>
        <v>3051.9793039311417</v>
      </c>
      <c r="Y72" s="746">
        <f t="shared" si="44"/>
        <v>0</v>
      </c>
      <c r="Z72" s="746">
        <f t="shared" si="44"/>
        <v>0</v>
      </c>
      <c r="AA72" s="746">
        <f t="shared" si="44"/>
        <v>0</v>
      </c>
      <c r="AB72" s="746">
        <f t="shared" si="44"/>
        <v>0</v>
      </c>
      <c r="AC72" s="746">
        <f t="shared" si="44"/>
        <v>0</v>
      </c>
      <c r="AD72" s="746">
        <f t="shared" si="44"/>
        <v>0</v>
      </c>
      <c r="AE72" s="746">
        <f t="shared" si="44"/>
        <v>0</v>
      </c>
      <c r="AF72" s="746">
        <f t="shared" si="44"/>
        <v>0</v>
      </c>
      <c r="AG72" s="746">
        <f t="shared" si="44"/>
        <v>0</v>
      </c>
    </row>
    <row r="73" spans="2:33" x14ac:dyDescent="0.3">
      <c r="B73" s="742" t="s">
        <v>1904</v>
      </c>
      <c r="C73" s="747">
        <f>SUM(C71:C72)</f>
        <v>0</v>
      </c>
      <c r="D73" s="747">
        <f t="shared" ref="D73:AG73" si="45">SUM(D71:D72)</f>
        <v>0</v>
      </c>
      <c r="E73" s="747">
        <f t="shared" si="45"/>
        <v>0</v>
      </c>
      <c r="F73" s="747">
        <f t="shared" si="45"/>
        <v>0</v>
      </c>
      <c r="G73" s="747">
        <f t="shared" si="45"/>
        <v>0</v>
      </c>
      <c r="H73" s="747">
        <f t="shared" si="45"/>
        <v>0</v>
      </c>
      <c r="I73" s="747">
        <f t="shared" si="45"/>
        <v>0</v>
      </c>
      <c r="J73" s="747">
        <f t="shared" si="45"/>
        <v>155650.94450048823</v>
      </c>
      <c r="K73" s="747">
        <f t="shared" si="45"/>
        <v>155650.94450048823</v>
      </c>
      <c r="L73" s="747">
        <f t="shared" si="45"/>
        <v>155650.94450048823</v>
      </c>
      <c r="M73" s="747">
        <f t="shared" si="45"/>
        <v>155650.94450048823</v>
      </c>
      <c r="N73" s="747">
        <f t="shared" si="45"/>
        <v>155650.94450048823</v>
      </c>
      <c r="O73" s="747">
        <f t="shared" si="45"/>
        <v>155650.94450048823</v>
      </c>
      <c r="P73" s="747">
        <f t="shared" si="45"/>
        <v>155650.94450048823</v>
      </c>
      <c r="Q73" s="747">
        <f t="shared" si="45"/>
        <v>155650.94450048823</v>
      </c>
      <c r="R73" s="747">
        <f t="shared" si="45"/>
        <v>155650.94450048823</v>
      </c>
      <c r="S73" s="747">
        <f t="shared" si="45"/>
        <v>155650.94450048826</v>
      </c>
      <c r="T73" s="747">
        <f t="shared" si="45"/>
        <v>155650.94450048823</v>
      </c>
      <c r="U73" s="747">
        <f t="shared" si="45"/>
        <v>155650.94450048823</v>
      </c>
      <c r="V73" s="747">
        <f t="shared" si="45"/>
        <v>155650.94450048823</v>
      </c>
      <c r="W73" s="747">
        <f t="shared" si="45"/>
        <v>155650.94450048823</v>
      </c>
      <c r="X73" s="747">
        <f t="shared" si="45"/>
        <v>155650.94450048823</v>
      </c>
      <c r="Y73" s="747">
        <f t="shared" si="45"/>
        <v>0</v>
      </c>
      <c r="Z73" s="747">
        <f t="shared" si="45"/>
        <v>0</v>
      </c>
      <c r="AA73" s="747">
        <f t="shared" si="45"/>
        <v>0</v>
      </c>
      <c r="AB73" s="747">
        <f t="shared" si="45"/>
        <v>0</v>
      </c>
      <c r="AC73" s="747">
        <f t="shared" si="45"/>
        <v>0</v>
      </c>
      <c r="AD73" s="747">
        <f t="shared" si="45"/>
        <v>0</v>
      </c>
      <c r="AE73" s="747">
        <f t="shared" si="45"/>
        <v>0</v>
      </c>
      <c r="AF73" s="747">
        <f t="shared" si="45"/>
        <v>0</v>
      </c>
      <c r="AG73" s="747">
        <f t="shared" si="45"/>
        <v>0</v>
      </c>
    </row>
    <row r="74" spans="2:33" x14ac:dyDescent="0.3">
      <c r="B74" s="742"/>
      <c r="C74" s="748"/>
      <c r="D74" s="748"/>
      <c r="E74" s="748"/>
      <c r="F74" s="748"/>
      <c r="G74" s="748"/>
      <c r="H74" s="748"/>
      <c r="I74" s="748"/>
      <c r="J74" s="748"/>
      <c r="K74" s="748"/>
      <c r="L74" s="748"/>
      <c r="M74" s="748"/>
      <c r="N74" s="748"/>
      <c r="O74" s="748"/>
      <c r="P74" s="748"/>
      <c r="Q74" s="748"/>
      <c r="R74" s="748"/>
      <c r="S74" s="748"/>
      <c r="T74" s="748"/>
      <c r="U74" s="748"/>
      <c r="V74" s="748"/>
      <c r="W74" s="748"/>
      <c r="X74" s="748"/>
      <c r="Y74" s="748"/>
      <c r="Z74" s="748"/>
      <c r="AA74" s="748"/>
      <c r="AB74" s="748"/>
      <c r="AC74" s="748"/>
      <c r="AD74" s="748"/>
      <c r="AE74" s="748"/>
      <c r="AF74" s="748"/>
      <c r="AG74" s="748"/>
    </row>
    <row r="75" spans="2:33" x14ac:dyDescent="0.3">
      <c r="B75" s="749" t="s">
        <v>36</v>
      </c>
      <c r="C75" s="750">
        <f>IF(C70="",0,IF(C70=0,$I$8,B75-C71))</f>
        <v>0</v>
      </c>
      <c r="D75" s="750">
        <f t="shared" ref="D75:I75" si="46">IF(D70="",0,IF(D70=0,$I$8,C75-D71))</f>
        <v>0</v>
      </c>
      <c r="E75" s="750">
        <f t="shared" si="46"/>
        <v>0</v>
      </c>
      <c r="F75" s="750">
        <f t="shared" si="46"/>
        <v>0</v>
      </c>
      <c r="G75" s="750">
        <f t="shared" si="46"/>
        <v>0</v>
      </c>
      <c r="H75" s="750">
        <f t="shared" si="46"/>
        <v>0</v>
      </c>
      <c r="I75" s="750">
        <f t="shared" si="46"/>
        <v>2000000</v>
      </c>
      <c r="J75" s="750">
        <f>IF(J70="",0,IF(J70=0,$I$8,I75-J71))</f>
        <v>1884349.0554995118</v>
      </c>
      <c r="K75" s="750">
        <f t="shared" ref="K75:AG75" si="47">IF(K70="",0,IF(K70=0,$I$8,J75-K71))</f>
        <v>1766385.0921090138</v>
      </c>
      <c r="L75" s="750">
        <f t="shared" si="47"/>
        <v>1646061.8494507058</v>
      </c>
      <c r="M75" s="750">
        <f t="shared" si="47"/>
        <v>1523332.1419392317</v>
      </c>
      <c r="N75" s="750">
        <f t="shared" si="47"/>
        <v>1398147.8402775282</v>
      </c>
      <c r="O75" s="750">
        <f t="shared" si="47"/>
        <v>1270459.8525825904</v>
      </c>
      <c r="P75" s="750">
        <f t="shared" si="47"/>
        <v>1140218.105133754</v>
      </c>
      <c r="Q75" s="750">
        <f t="shared" si="47"/>
        <v>1007371.5227359408</v>
      </c>
      <c r="R75" s="750">
        <f t="shared" si="47"/>
        <v>871868.00869017141</v>
      </c>
      <c r="S75" s="750">
        <f t="shared" si="47"/>
        <v>733654.42436348659</v>
      </c>
      <c r="T75" s="750">
        <f t="shared" si="47"/>
        <v>592676.56835026806</v>
      </c>
      <c r="U75" s="750">
        <f t="shared" si="47"/>
        <v>448879.15521678521</v>
      </c>
      <c r="V75" s="750">
        <f t="shared" si="47"/>
        <v>302205.79382063268</v>
      </c>
      <c r="W75" s="750">
        <f t="shared" si="47"/>
        <v>152598.96519655711</v>
      </c>
      <c r="X75" s="750">
        <f t="shared" si="47"/>
        <v>2.9103830456733704E-11</v>
      </c>
      <c r="Y75" s="750">
        <f t="shared" si="47"/>
        <v>0</v>
      </c>
      <c r="Z75" s="750">
        <f t="shared" si="47"/>
        <v>0</v>
      </c>
      <c r="AA75" s="750">
        <f t="shared" si="47"/>
        <v>0</v>
      </c>
      <c r="AB75" s="750">
        <f t="shared" si="47"/>
        <v>0</v>
      </c>
      <c r="AC75" s="750">
        <f t="shared" si="47"/>
        <v>0</v>
      </c>
      <c r="AD75" s="750">
        <f t="shared" si="47"/>
        <v>0</v>
      </c>
      <c r="AE75" s="750">
        <f t="shared" si="47"/>
        <v>0</v>
      </c>
      <c r="AF75" s="750">
        <f t="shared" si="47"/>
        <v>0</v>
      </c>
      <c r="AG75" s="750">
        <f t="shared" si="47"/>
        <v>0</v>
      </c>
    </row>
    <row r="76" spans="2:33" x14ac:dyDescent="0.3">
      <c r="B76" s="742"/>
      <c r="C76" s="759"/>
      <c r="D76" s="759"/>
      <c r="E76" s="759"/>
      <c r="F76" s="759"/>
      <c r="G76" s="759"/>
      <c r="H76" s="759"/>
      <c r="I76" s="759"/>
      <c r="J76" s="759"/>
      <c r="K76" s="759"/>
      <c r="L76" s="759"/>
      <c r="M76" s="759"/>
      <c r="N76" s="759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9"/>
      <c r="AB76" s="759"/>
      <c r="AC76" s="759"/>
      <c r="AD76" s="759"/>
      <c r="AE76" s="759"/>
      <c r="AF76" s="759"/>
      <c r="AG76" s="759"/>
    </row>
    <row r="77" spans="2:33" x14ac:dyDescent="0.3">
      <c r="B77" s="751" t="str">
        <f>J4&amp;" Payment Number"</f>
        <v>2023 Payment Number</v>
      </c>
      <c r="C77" s="752" t="str">
        <f>IF(C$27&gt;$J$9+$J$11,"",IF(C$27-$J$9&lt;0,"",C$27-$J$9))</f>
        <v/>
      </c>
      <c r="D77" s="752" t="str">
        <f t="shared" ref="D77:AG77" si="48">IF(D$27&gt;$J$9+$J$11,"",IF(D$27-$J$9&lt;0,"",D$27-$J$9))</f>
        <v/>
      </c>
      <c r="E77" s="752" t="str">
        <f t="shared" si="48"/>
        <v/>
      </c>
      <c r="F77" s="752" t="str">
        <f t="shared" si="48"/>
        <v/>
      </c>
      <c r="G77" s="752" t="str">
        <f t="shared" si="48"/>
        <v/>
      </c>
      <c r="H77" s="752" t="str">
        <f t="shared" si="48"/>
        <v/>
      </c>
      <c r="I77" s="752" t="str">
        <f t="shared" si="48"/>
        <v/>
      </c>
      <c r="J77" s="752">
        <f t="shared" si="48"/>
        <v>0</v>
      </c>
      <c r="K77" s="752">
        <f t="shared" si="48"/>
        <v>1</v>
      </c>
      <c r="L77" s="752">
        <f t="shared" si="48"/>
        <v>2</v>
      </c>
      <c r="M77" s="752">
        <f t="shared" si="48"/>
        <v>3</v>
      </c>
      <c r="N77" s="752">
        <f t="shared" si="48"/>
        <v>4</v>
      </c>
      <c r="O77" s="752">
        <f t="shared" si="48"/>
        <v>5</v>
      </c>
      <c r="P77" s="752">
        <f t="shared" si="48"/>
        <v>6</v>
      </c>
      <c r="Q77" s="752">
        <f t="shared" si="48"/>
        <v>7</v>
      </c>
      <c r="R77" s="752">
        <f t="shared" si="48"/>
        <v>8</v>
      </c>
      <c r="S77" s="752">
        <f t="shared" si="48"/>
        <v>9</v>
      </c>
      <c r="T77" s="752">
        <f t="shared" si="48"/>
        <v>10</v>
      </c>
      <c r="U77" s="752">
        <f t="shared" si="48"/>
        <v>11</v>
      </c>
      <c r="V77" s="752">
        <f t="shared" si="48"/>
        <v>12</v>
      </c>
      <c r="W77" s="752">
        <f t="shared" si="48"/>
        <v>13</v>
      </c>
      <c r="X77" s="752">
        <f t="shared" si="48"/>
        <v>14</v>
      </c>
      <c r="Y77" s="752">
        <f t="shared" si="48"/>
        <v>15</v>
      </c>
      <c r="Z77" s="752" t="str">
        <f t="shared" si="48"/>
        <v/>
      </c>
      <c r="AA77" s="752" t="str">
        <f t="shared" si="48"/>
        <v/>
      </c>
      <c r="AB77" s="752" t="str">
        <f t="shared" si="48"/>
        <v/>
      </c>
      <c r="AC77" s="752" t="str">
        <f t="shared" si="48"/>
        <v/>
      </c>
      <c r="AD77" s="752" t="str">
        <f t="shared" si="48"/>
        <v/>
      </c>
      <c r="AE77" s="752" t="str">
        <f t="shared" si="48"/>
        <v/>
      </c>
      <c r="AF77" s="752" t="str">
        <f t="shared" si="48"/>
        <v/>
      </c>
      <c r="AG77" s="752" t="str">
        <f t="shared" si="48"/>
        <v/>
      </c>
    </row>
    <row r="78" spans="2:33" x14ac:dyDescent="0.3">
      <c r="B78" s="751" t="s">
        <v>34</v>
      </c>
      <c r="C78" s="753">
        <f>IF(OR(C77="",C77=0),0,IF(C77&lt;=$J$11,-PPMT($J$10,C77,$J$11,$J$8)))</f>
        <v>0</v>
      </c>
      <c r="D78" s="753">
        <f t="shared" ref="D78:AG78" si="49">IF(OR(D77="",D77=0),0,IF(D77&lt;=$J$11,-PPMT($J$10,D77,$J$11,$J$8)))</f>
        <v>0</v>
      </c>
      <c r="E78" s="753">
        <f t="shared" si="49"/>
        <v>0</v>
      </c>
      <c r="F78" s="753">
        <f t="shared" si="49"/>
        <v>0</v>
      </c>
      <c r="G78" s="753">
        <f t="shared" si="49"/>
        <v>0</v>
      </c>
      <c r="H78" s="753">
        <f t="shared" si="49"/>
        <v>0</v>
      </c>
      <c r="I78" s="753">
        <f t="shared" si="49"/>
        <v>0</v>
      </c>
      <c r="J78" s="753">
        <f t="shared" si="49"/>
        <v>0</v>
      </c>
      <c r="K78" s="753">
        <f t="shared" si="49"/>
        <v>231301.88900097649</v>
      </c>
      <c r="L78" s="753">
        <f t="shared" si="49"/>
        <v>235927.926780996</v>
      </c>
      <c r="M78" s="753">
        <f t="shared" si="49"/>
        <v>240646.48531661593</v>
      </c>
      <c r="N78" s="753">
        <f t="shared" si="49"/>
        <v>245459.41502294823</v>
      </c>
      <c r="O78" s="753">
        <f t="shared" si="49"/>
        <v>250368.60332340721</v>
      </c>
      <c r="P78" s="753">
        <f t="shared" si="49"/>
        <v>255375.97538987536</v>
      </c>
      <c r="Q78" s="753">
        <f t="shared" si="49"/>
        <v>260483.49489767285</v>
      </c>
      <c r="R78" s="753">
        <f t="shared" si="49"/>
        <v>265693.1647956263</v>
      </c>
      <c r="S78" s="753">
        <f t="shared" si="49"/>
        <v>271007.02809153881</v>
      </c>
      <c r="T78" s="753">
        <f t="shared" si="49"/>
        <v>276427.16865336965</v>
      </c>
      <c r="U78" s="753">
        <f t="shared" si="49"/>
        <v>281955.71202643699</v>
      </c>
      <c r="V78" s="753">
        <f t="shared" si="49"/>
        <v>287594.82626696571</v>
      </c>
      <c r="W78" s="753">
        <f t="shared" si="49"/>
        <v>293346.72279230505</v>
      </c>
      <c r="X78" s="753">
        <f t="shared" si="49"/>
        <v>299213.65724815114</v>
      </c>
      <c r="Y78" s="753">
        <f t="shared" si="49"/>
        <v>305197.93039311416</v>
      </c>
      <c r="Z78" s="753">
        <f t="shared" si="49"/>
        <v>0</v>
      </c>
      <c r="AA78" s="753">
        <f t="shared" si="49"/>
        <v>0</v>
      </c>
      <c r="AB78" s="753">
        <f t="shared" si="49"/>
        <v>0</v>
      </c>
      <c r="AC78" s="753">
        <f t="shared" si="49"/>
        <v>0</v>
      </c>
      <c r="AD78" s="753">
        <f t="shared" si="49"/>
        <v>0</v>
      </c>
      <c r="AE78" s="753">
        <f t="shared" si="49"/>
        <v>0</v>
      </c>
      <c r="AF78" s="753">
        <f t="shared" si="49"/>
        <v>0</v>
      </c>
      <c r="AG78" s="753">
        <f t="shared" si="49"/>
        <v>0</v>
      </c>
    </row>
    <row r="79" spans="2:33" x14ac:dyDescent="0.3">
      <c r="B79" s="751" t="s">
        <v>35</v>
      </c>
      <c r="C79" s="754">
        <f>IF(C77&gt;0,IFERROR(-IPMT($J$10,C77,$J$11,$J$8),0),0)</f>
        <v>0</v>
      </c>
      <c r="D79" s="754">
        <f t="shared" ref="D79:AG79" si="50">IF(D77&gt;0,IFERROR(-IPMT($J$10,D77,$J$11,$J$8),0),0)</f>
        <v>0</v>
      </c>
      <c r="E79" s="754">
        <f t="shared" si="50"/>
        <v>0</v>
      </c>
      <c r="F79" s="754">
        <f t="shared" si="50"/>
        <v>0</v>
      </c>
      <c r="G79" s="754">
        <f t="shared" si="50"/>
        <v>0</v>
      </c>
      <c r="H79" s="754">
        <f t="shared" si="50"/>
        <v>0</v>
      </c>
      <c r="I79" s="754">
        <f t="shared" si="50"/>
        <v>0</v>
      </c>
      <c r="J79" s="754">
        <f t="shared" si="50"/>
        <v>0</v>
      </c>
      <c r="K79" s="754">
        <f t="shared" si="50"/>
        <v>80000</v>
      </c>
      <c r="L79" s="754">
        <f t="shared" si="50"/>
        <v>75373.962219980458</v>
      </c>
      <c r="M79" s="754">
        <f t="shared" si="50"/>
        <v>70655.403684360543</v>
      </c>
      <c r="N79" s="754">
        <f t="shared" si="50"/>
        <v>65842.47397802824</v>
      </c>
      <c r="O79" s="754">
        <f t="shared" si="50"/>
        <v>60933.285677569256</v>
      </c>
      <c r="P79" s="754">
        <f t="shared" si="50"/>
        <v>55925.913611101118</v>
      </c>
      <c r="Q79" s="754">
        <f t="shared" si="50"/>
        <v>50818.39410330361</v>
      </c>
      <c r="R79" s="754">
        <f t="shared" si="50"/>
        <v>45608.724205350147</v>
      </c>
      <c r="S79" s="754">
        <f t="shared" si="50"/>
        <v>40294.860909437637</v>
      </c>
      <c r="T79" s="754">
        <f t="shared" si="50"/>
        <v>34874.720347606853</v>
      </c>
      <c r="U79" s="754">
        <f t="shared" si="50"/>
        <v>29346.176974539459</v>
      </c>
      <c r="V79" s="754">
        <f t="shared" si="50"/>
        <v>23707.062734010724</v>
      </c>
      <c r="W79" s="754">
        <f t="shared" si="50"/>
        <v>17955.16620867141</v>
      </c>
      <c r="X79" s="754">
        <f t="shared" si="50"/>
        <v>12088.231752825308</v>
      </c>
      <c r="Y79" s="754">
        <f t="shared" si="50"/>
        <v>6103.9586078622833</v>
      </c>
      <c r="Z79" s="754">
        <f t="shared" si="50"/>
        <v>0</v>
      </c>
      <c r="AA79" s="754">
        <f t="shared" si="50"/>
        <v>0</v>
      </c>
      <c r="AB79" s="754">
        <f t="shared" si="50"/>
        <v>0</v>
      </c>
      <c r="AC79" s="754">
        <f t="shared" si="50"/>
        <v>0</v>
      </c>
      <c r="AD79" s="754">
        <f t="shared" si="50"/>
        <v>0</v>
      </c>
      <c r="AE79" s="754">
        <f t="shared" si="50"/>
        <v>0</v>
      </c>
      <c r="AF79" s="754">
        <f t="shared" si="50"/>
        <v>0</v>
      </c>
      <c r="AG79" s="754">
        <f t="shared" si="50"/>
        <v>0</v>
      </c>
    </row>
    <row r="80" spans="2:33" x14ac:dyDescent="0.3">
      <c r="B80" s="751" t="s">
        <v>1904</v>
      </c>
      <c r="C80" s="753">
        <f>SUM(C78:C79)</f>
        <v>0</v>
      </c>
      <c r="D80" s="753">
        <f t="shared" ref="D80:AG80" si="51">SUM(D78:D79)</f>
        <v>0</v>
      </c>
      <c r="E80" s="753">
        <f t="shared" si="51"/>
        <v>0</v>
      </c>
      <c r="F80" s="753">
        <f t="shared" si="51"/>
        <v>0</v>
      </c>
      <c r="G80" s="753">
        <f t="shared" si="51"/>
        <v>0</v>
      </c>
      <c r="H80" s="753">
        <f t="shared" si="51"/>
        <v>0</v>
      </c>
      <c r="I80" s="753">
        <f t="shared" si="51"/>
        <v>0</v>
      </c>
      <c r="J80" s="753">
        <f t="shared" si="51"/>
        <v>0</v>
      </c>
      <c r="K80" s="753">
        <f t="shared" si="51"/>
        <v>311301.88900097646</v>
      </c>
      <c r="L80" s="753">
        <f t="shared" si="51"/>
        <v>311301.88900097646</v>
      </c>
      <c r="M80" s="753">
        <f t="shared" si="51"/>
        <v>311301.88900097646</v>
      </c>
      <c r="N80" s="753">
        <f t="shared" si="51"/>
        <v>311301.88900097646</v>
      </c>
      <c r="O80" s="753">
        <f t="shared" si="51"/>
        <v>311301.88900097646</v>
      </c>
      <c r="P80" s="753">
        <f t="shared" si="51"/>
        <v>311301.88900097646</v>
      </c>
      <c r="Q80" s="753">
        <f t="shared" si="51"/>
        <v>311301.88900097646</v>
      </c>
      <c r="R80" s="753">
        <f t="shared" si="51"/>
        <v>311301.88900097646</v>
      </c>
      <c r="S80" s="753">
        <f t="shared" si="51"/>
        <v>311301.88900097646</v>
      </c>
      <c r="T80" s="753">
        <f t="shared" si="51"/>
        <v>311301.88900097652</v>
      </c>
      <c r="U80" s="753">
        <f t="shared" si="51"/>
        <v>311301.88900097646</v>
      </c>
      <c r="V80" s="753">
        <f t="shared" si="51"/>
        <v>311301.88900097646</v>
      </c>
      <c r="W80" s="753">
        <f t="shared" si="51"/>
        <v>311301.88900097646</v>
      </c>
      <c r="X80" s="753">
        <f t="shared" si="51"/>
        <v>311301.88900097646</v>
      </c>
      <c r="Y80" s="753">
        <f t="shared" si="51"/>
        <v>311301.88900097646</v>
      </c>
      <c r="Z80" s="753">
        <f t="shared" si="51"/>
        <v>0</v>
      </c>
      <c r="AA80" s="753">
        <f t="shared" si="51"/>
        <v>0</v>
      </c>
      <c r="AB80" s="753">
        <f t="shared" si="51"/>
        <v>0</v>
      </c>
      <c r="AC80" s="753">
        <f t="shared" si="51"/>
        <v>0</v>
      </c>
      <c r="AD80" s="753">
        <f t="shared" si="51"/>
        <v>0</v>
      </c>
      <c r="AE80" s="753">
        <f t="shared" si="51"/>
        <v>0</v>
      </c>
      <c r="AF80" s="753">
        <f t="shared" si="51"/>
        <v>0</v>
      </c>
      <c r="AG80" s="753">
        <f t="shared" si="51"/>
        <v>0</v>
      </c>
    </row>
    <row r="81" spans="2:33" x14ac:dyDescent="0.3">
      <c r="B81" s="751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  <c r="AA81" s="755"/>
      <c r="AB81" s="755"/>
      <c r="AC81" s="755"/>
      <c r="AD81" s="755"/>
      <c r="AE81" s="755"/>
      <c r="AF81" s="755"/>
      <c r="AG81" s="755"/>
    </row>
    <row r="82" spans="2:33" x14ac:dyDescent="0.3">
      <c r="B82" s="756" t="s">
        <v>36</v>
      </c>
      <c r="C82" s="757">
        <f>IF(C77="",0,IF(C77=0,$J$8,B82-C78))</f>
        <v>0</v>
      </c>
      <c r="D82" s="757">
        <f t="shared" ref="D82:AG82" si="52">IF(D77="",0,IF(D77=0,$J$8,C82-D78))</f>
        <v>0</v>
      </c>
      <c r="E82" s="757">
        <f t="shared" si="52"/>
        <v>0</v>
      </c>
      <c r="F82" s="757">
        <f t="shared" si="52"/>
        <v>0</v>
      </c>
      <c r="G82" s="757">
        <f t="shared" si="52"/>
        <v>0</v>
      </c>
      <c r="H82" s="757">
        <f t="shared" si="52"/>
        <v>0</v>
      </c>
      <c r="I82" s="757">
        <f t="shared" si="52"/>
        <v>0</v>
      </c>
      <c r="J82" s="757">
        <f t="shared" si="52"/>
        <v>4000000</v>
      </c>
      <c r="K82" s="757">
        <f t="shared" si="52"/>
        <v>3768698.1109990235</v>
      </c>
      <c r="L82" s="757">
        <f t="shared" si="52"/>
        <v>3532770.1842180276</v>
      </c>
      <c r="M82" s="757">
        <f t="shared" si="52"/>
        <v>3292123.6989014116</v>
      </c>
      <c r="N82" s="757">
        <f t="shared" si="52"/>
        <v>3046664.2838784633</v>
      </c>
      <c r="O82" s="757">
        <f t="shared" si="52"/>
        <v>2796295.6805550563</v>
      </c>
      <c r="P82" s="757">
        <f t="shared" si="52"/>
        <v>2540919.7051651808</v>
      </c>
      <c r="Q82" s="757">
        <f t="shared" si="52"/>
        <v>2280436.2102675079</v>
      </c>
      <c r="R82" s="757">
        <f t="shared" si="52"/>
        <v>2014743.0454718815</v>
      </c>
      <c r="S82" s="757">
        <f t="shared" si="52"/>
        <v>1743736.0173803428</v>
      </c>
      <c r="T82" s="757">
        <f t="shared" si="52"/>
        <v>1467308.8487269732</v>
      </c>
      <c r="U82" s="757">
        <f t="shared" si="52"/>
        <v>1185353.1367005361</v>
      </c>
      <c r="V82" s="757">
        <f t="shared" si="52"/>
        <v>897758.31043357041</v>
      </c>
      <c r="W82" s="757">
        <f t="shared" si="52"/>
        <v>604411.58764126536</v>
      </c>
      <c r="X82" s="757">
        <f t="shared" si="52"/>
        <v>305197.93039311422</v>
      </c>
      <c r="Y82" s="757">
        <f t="shared" si="52"/>
        <v>5.8207660913467407E-11</v>
      </c>
      <c r="Z82" s="757">
        <f t="shared" si="52"/>
        <v>0</v>
      </c>
      <c r="AA82" s="757">
        <f t="shared" si="52"/>
        <v>0</v>
      </c>
      <c r="AB82" s="757">
        <f t="shared" si="52"/>
        <v>0</v>
      </c>
      <c r="AC82" s="757">
        <f t="shared" si="52"/>
        <v>0</v>
      </c>
      <c r="AD82" s="757">
        <f t="shared" si="52"/>
        <v>0</v>
      </c>
      <c r="AE82" s="757">
        <f t="shared" si="52"/>
        <v>0</v>
      </c>
      <c r="AF82" s="757">
        <f t="shared" si="52"/>
        <v>0</v>
      </c>
      <c r="AG82" s="757">
        <f t="shared" si="52"/>
        <v>0</v>
      </c>
    </row>
    <row r="83" spans="2:33" x14ac:dyDescent="0.3">
      <c r="B83" s="742"/>
      <c r="C83" s="759"/>
      <c r="D83" s="759"/>
      <c r="E83" s="759"/>
      <c r="F83" s="759"/>
      <c r="G83" s="759"/>
      <c r="H83" s="759"/>
      <c r="I83" s="759"/>
      <c r="J83" s="759"/>
      <c r="K83" s="759"/>
      <c r="L83" s="759"/>
      <c r="M83" s="759"/>
      <c r="N83" s="759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9"/>
      <c r="AB83" s="759"/>
      <c r="AC83" s="759"/>
      <c r="AD83" s="759"/>
      <c r="AE83" s="759"/>
      <c r="AF83" s="759"/>
      <c r="AG83" s="759"/>
    </row>
    <row r="84" spans="2:33" x14ac:dyDescent="0.3">
      <c r="B84" s="742" t="str">
        <f>K4&amp;" Payment Number"</f>
        <v>2024 Payment Number</v>
      </c>
      <c r="C84" s="743" t="str">
        <f>IF(C$27&gt;$K$9+$K$11,"",IF(C$27-$K$9&lt;0,"",C$27-$K$9))</f>
        <v/>
      </c>
      <c r="D84" s="743" t="str">
        <f t="shared" ref="D84:AG84" si="53">IF(D$27&gt;$K$9+$K$11,"",IF(D$27-$K$9&lt;0,"",D$27-$K$9))</f>
        <v/>
      </c>
      <c r="E84" s="743" t="str">
        <f t="shared" si="53"/>
        <v/>
      </c>
      <c r="F84" s="743" t="str">
        <f t="shared" si="53"/>
        <v/>
      </c>
      <c r="G84" s="743" t="str">
        <f t="shared" si="53"/>
        <v/>
      </c>
      <c r="H84" s="743" t="str">
        <f t="shared" si="53"/>
        <v/>
      </c>
      <c r="I84" s="743" t="str">
        <f t="shared" si="53"/>
        <v/>
      </c>
      <c r="J84" s="743" t="str">
        <f t="shared" si="53"/>
        <v/>
      </c>
      <c r="K84" s="743">
        <f t="shared" si="53"/>
        <v>0</v>
      </c>
      <c r="L84" s="743">
        <f t="shared" si="53"/>
        <v>1</v>
      </c>
      <c r="M84" s="743">
        <f t="shared" si="53"/>
        <v>2</v>
      </c>
      <c r="N84" s="743">
        <f t="shared" si="53"/>
        <v>3</v>
      </c>
      <c r="O84" s="743">
        <f t="shared" si="53"/>
        <v>4</v>
      </c>
      <c r="P84" s="743">
        <f t="shared" si="53"/>
        <v>5</v>
      </c>
      <c r="Q84" s="743">
        <f t="shared" si="53"/>
        <v>6</v>
      </c>
      <c r="R84" s="743">
        <f t="shared" si="53"/>
        <v>7</v>
      </c>
      <c r="S84" s="743">
        <f t="shared" si="53"/>
        <v>8</v>
      </c>
      <c r="T84" s="743">
        <f t="shared" si="53"/>
        <v>9</v>
      </c>
      <c r="U84" s="743">
        <f t="shared" si="53"/>
        <v>10</v>
      </c>
      <c r="V84" s="743">
        <f t="shared" si="53"/>
        <v>11</v>
      </c>
      <c r="W84" s="743">
        <f t="shared" si="53"/>
        <v>12</v>
      </c>
      <c r="X84" s="743">
        <f t="shared" si="53"/>
        <v>13</v>
      </c>
      <c r="Y84" s="743">
        <f t="shared" si="53"/>
        <v>14</v>
      </c>
      <c r="Z84" s="743">
        <f t="shared" si="53"/>
        <v>15</v>
      </c>
      <c r="AA84" s="743" t="str">
        <f t="shared" si="53"/>
        <v/>
      </c>
      <c r="AB84" s="743" t="str">
        <f t="shared" si="53"/>
        <v/>
      </c>
      <c r="AC84" s="743" t="str">
        <f t="shared" si="53"/>
        <v/>
      </c>
      <c r="AD84" s="743" t="str">
        <f t="shared" si="53"/>
        <v/>
      </c>
      <c r="AE84" s="743" t="str">
        <f t="shared" si="53"/>
        <v/>
      </c>
      <c r="AF84" s="743" t="str">
        <f t="shared" si="53"/>
        <v/>
      </c>
      <c r="AG84" s="743" t="str">
        <f t="shared" si="53"/>
        <v/>
      </c>
    </row>
    <row r="85" spans="2:33" s="739" customFormat="1" x14ac:dyDescent="0.3">
      <c r="B85" s="744" t="s">
        <v>34</v>
      </c>
      <c r="C85" s="745">
        <f>IF(OR(C84="",C84=0),0,IF(C84&lt;=$K$11,-PPMT($K$10,C84,$K$11,$K$8)))</f>
        <v>0</v>
      </c>
      <c r="D85" s="745">
        <f t="shared" ref="D85:AG85" si="54">IF(OR(D84="",D84=0),0,IF(D84&lt;=$K$11,-PPMT($K$10,D84,$K$11,$K$8)))</f>
        <v>0</v>
      </c>
      <c r="E85" s="745">
        <f t="shared" si="54"/>
        <v>0</v>
      </c>
      <c r="F85" s="745">
        <f t="shared" si="54"/>
        <v>0</v>
      </c>
      <c r="G85" s="745">
        <f t="shared" si="54"/>
        <v>0</v>
      </c>
      <c r="H85" s="745">
        <f t="shared" si="54"/>
        <v>0</v>
      </c>
      <c r="I85" s="745">
        <f t="shared" si="54"/>
        <v>0</v>
      </c>
      <c r="J85" s="745">
        <f t="shared" si="54"/>
        <v>0</v>
      </c>
      <c r="K85" s="745">
        <f t="shared" si="54"/>
        <v>0</v>
      </c>
      <c r="L85" s="745">
        <f t="shared" si="54"/>
        <v>115650.94450048824</v>
      </c>
      <c r="M85" s="745">
        <f t="shared" si="54"/>
        <v>117963.963390498</v>
      </c>
      <c r="N85" s="745">
        <f t="shared" si="54"/>
        <v>120323.24265830797</v>
      </c>
      <c r="O85" s="745">
        <f t="shared" si="54"/>
        <v>122729.70751147412</v>
      </c>
      <c r="P85" s="745">
        <f t="shared" si="54"/>
        <v>125184.3016617036</v>
      </c>
      <c r="Q85" s="745">
        <f t="shared" si="54"/>
        <v>127687.98769493768</v>
      </c>
      <c r="R85" s="745">
        <f t="shared" si="54"/>
        <v>130241.74744883642</v>
      </c>
      <c r="S85" s="745">
        <f t="shared" si="54"/>
        <v>132846.58239781315</v>
      </c>
      <c r="T85" s="745">
        <f t="shared" si="54"/>
        <v>135503.51404576941</v>
      </c>
      <c r="U85" s="745">
        <f t="shared" si="54"/>
        <v>138213.58432668482</v>
      </c>
      <c r="V85" s="745">
        <f t="shared" si="54"/>
        <v>140977.85601321849</v>
      </c>
      <c r="W85" s="745">
        <f t="shared" si="54"/>
        <v>143797.41313348286</v>
      </c>
      <c r="X85" s="745">
        <f t="shared" si="54"/>
        <v>146673.36139615253</v>
      </c>
      <c r="Y85" s="745">
        <f t="shared" si="54"/>
        <v>149606.82862407557</v>
      </c>
      <c r="Z85" s="745">
        <f t="shared" si="54"/>
        <v>152598.96519655708</v>
      </c>
      <c r="AA85" s="745">
        <f t="shared" si="54"/>
        <v>0</v>
      </c>
      <c r="AB85" s="745">
        <f t="shared" si="54"/>
        <v>0</v>
      </c>
      <c r="AC85" s="745">
        <f t="shared" si="54"/>
        <v>0</v>
      </c>
      <c r="AD85" s="745">
        <f t="shared" si="54"/>
        <v>0</v>
      </c>
      <c r="AE85" s="745">
        <f t="shared" si="54"/>
        <v>0</v>
      </c>
      <c r="AF85" s="745">
        <f t="shared" si="54"/>
        <v>0</v>
      </c>
      <c r="AG85" s="745">
        <f t="shared" si="54"/>
        <v>0</v>
      </c>
    </row>
    <row r="86" spans="2:33" s="739" customFormat="1" x14ac:dyDescent="0.3">
      <c r="B86" s="744" t="s">
        <v>35</v>
      </c>
      <c r="C86" s="746">
        <f>IF(C84&gt;0,IFERROR(-IPMT($K$10,C84,$K$11,$K$8),0),0)</f>
        <v>0</v>
      </c>
      <c r="D86" s="746">
        <f t="shared" ref="D86:AG86" si="55">IF(D84&gt;0,IFERROR(-IPMT($K$10,D84,$K$11,$K$8),0),0)</f>
        <v>0</v>
      </c>
      <c r="E86" s="746">
        <f t="shared" si="55"/>
        <v>0</v>
      </c>
      <c r="F86" s="746">
        <f t="shared" si="55"/>
        <v>0</v>
      </c>
      <c r="G86" s="746">
        <f t="shared" si="55"/>
        <v>0</v>
      </c>
      <c r="H86" s="746">
        <f t="shared" si="55"/>
        <v>0</v>
      </c>
      <c r="I86" s="746">
        <f t="shared" si="55"/>
        <v>0</v>
      </c>
      <c r="J86" s="746">
        <f t="shared" si="55"/>
        <v>0</v>
      </c>
      <c r="K86" s="746">
        <f t="shared" si="55"/>
        <v>0</v>
      </c>
      <c r="L86" s="746">
        <f t="shared" si="55"/>
        <v>40000</v>
      </c>
      <c r="M86" s="746">
        <f t="shared" si="55"/>
        <v>37686.981109990229</v>
      </c>
      <c r="N86" s="746">
        <f t="shared" si="55"/>
        <v>35327.701842180271</v>
      </c>
      <c r="O86" s="746">
        <f t="shared" si="55"/>
        <v>32921.23698901412</v>
      </c>
      <c r="P86" s="746">
        <f t="shared" si="55"/>
        <v>30466.642838784628</v>
      </c>
      <c r="Q86" s="746">
        <f t="shared" si="55"/>
        <v>27962.956805550559</v>
      </c>
      <c r="R86" s="746">
        <f t="shared" si="55"/>
        <v>25409.197051651805</v>
      </c>
      <c r="S86" s="746">
        <f t="shared" si="55"/>
        <v>22804.362102675073</v>
      </c>
      <c r="T86" s="746">
        <f t="shared" si="55"/>
        <v>20147.430454718819</v>
      </c>
      <c r="U86" s="746">
        <f t="shared" si="55"/>
        <v>17437.360173803427</v>
      </c>
      <c r="V86" s="746">
        <f t="shared" si="55"/>
        <v>14673.08848726973</v>
      </c>
      <c r="W86" s="746">
        <f t="shared" si="55"/>
        <v>11853.531367005362</v>
      </c>
      <c r="X86" s="746">
        <f t="shared" si="55"/>
        <v>8977.5831043357048</v>
      </c>
      <c r="Y86" s="746">
        <f t="shared" si="55"/>
        <v>6044.115876412654</v>
      </c>
      <c r="Z86" s="746">
        <f t="shared" si="55"/>
        <v>3051.9793039311417</v>
      </c>
      <c r="AA86" s="746">
        <f t="shared" si="55"/>
        <v>0</v>
      </c>
      <c r="AB86" s="746">
        <f t="shared" si="55"/>
        <v>0</v>
      </c>
      <c r="AC86" s="746">
        <f t="shared" si="55"/>
        <v>0</v>
      </c>
      <c r="AD86" s="746">
        <f t="shared" si="55"/>
        <v>0</v>
      </c>
      <c r="AE86" s="746">
        <f t="shared" si="55"/>
        <v>0</v>
      </c>
      <c r="AF86" s="746">
        <f t="shared" si="55"/>
        <v>0</v>
      </c>
      <c r="AG86" s="746">
        <f t="shared" si="55"/>
        <v>0</v>
      </c>
    </row>
    <row r="87" spans="2:33" x14ac:dyDescent="0.3">
      <c r="B87" s="742" t="s">
        <v>1904</v>
      </c>
      <c r="C87" s="747">
        <f>SUM(C85:C86)</f>
        <v>0</v>
      </c>
      <c r="D87" s="747">
        <f t="shared" ref="D87:AG87" si="56">SUM(D85:D86)</f>
        <v>0</v>
      </c>
      <c r="E87" s="747">
        <f t="shared" si="56"/>
        <v>0</v>
      </c>
      <c r="F87" s="747">
        <f t="shared" si="56"/>
        <v>0</v>
      </c>
      <c r="G87" s="747">
        <f t="shared" si="56"/>
        <v>0</v>
      </c>
      <c r="H87" s="747">
        <f t="shared" si="56"/>
        <v>0</v>
      </c>
      <c r="I87" s="747">
        <f t="shared" si="56"/>
        <v>0</v>
      </c>
      <c r="J87" s="747">
        <f t="shared" si="56"/>
        <v>0</v>
      </c>
      <c r="K87" s="747">
        <f t="shared" si="56"/>
        <v>0</v>
      </c>
      <c r="L87" s="747">
        <f t="shared" si="56"/>
        <v>155650.94450048823</v>
      </c>
      <c r="M87" s="747">
        <f t="shared" si="56"/>
        <v>155650.94450048823</v>
      </c>
      <c r="N87" s="747">
        <f t="shared" si="56"/>
        <v>155650.94450048823</v>
      </c>
      <c r="O87" s="747">
        <f t="shared" si="56"/>
        <v>155650.94450048823</v>
      </c>
      <c r="P87" s="747">
        <f t="shared" si="56"/>
        <v>155650.94450048823</v>
      </c>
      <c r="Q87" s="747">
        <f t="shared" si="56"/>
        <v>155650.94450048823</v>
      </c>
      <c r="R87" s="747">
        <f t="shared" si="56"/>
        <v>155650.94450048823</v>
      </c>
      <c r="S87" s="747">
        <f t="shared" si="56"/>
        <v>155650.94450048823</v>
      </c>
      <c r="T87" s="747">
        <f t="shared" si="56"/>
        <v>155650.94450048823</v>
      </c>
      <c r="U87" s="747">
        <f t="shared" si="56"/>
        <v>155650.94450048826</v>
      </c>
      <c r="V87" s="747">
        <f t="shared" si="56"/>
        <v>155650.94450048823</v>
      </c>
      <c r="W87" s="747">
        <f t="shared" si="56"/>
        <v>155650.94450048823</v>
      </c>
      <c r="X87" s="747">
        <f t="shared" si="56"/>
        <v>155650.94450048823</v>
      </c>
      <c r="Y87" s="747">
        <f t="shared" si="56"/>
        <v>155650.94450048823</v>
      </c>
      <c r="Z87" s="747">
        <f t="shared" si="56"/>
        <v>155650.94450048823</v>
      </c>
      <c r="AA87" s="747">
        <f t="shared" si="56"/>
        <v>0</v>
      </c>
      <c r="AB87" s="747">
        <f t="shared" si="56"/>
        <v>0</v>
      </c>
      <c r="AC87" s="747">
        <f t="shared" si="56"/>
        <v>0</v>
      </c>
      <c r="AD87" s="747">
        <f t="shared" si="56"/>
        <v>0</v>
      </c>
      <c r="AE87" s="747">
        <f t="shared" si="56"/>
        <v>0</v>
      </c>
      <c r="AF87" s="747">
        <f t="shared" si="56"/>
        <v>0</v>
      </c>
      <c r="AG87" s="747">
        <f t="shared" si="56"/>
        <v>0</v>
      </c>
    </row>
    <row r="88" spans="2:33" x14ac:dyDescent="0.3">
      <c r="B88" s="742"/>
      <c r="C88" s="748"/>
      <c r="D88" s="748"/>
      <c r="E88" s="748"/>
      <c r="F88" s="748"/>
      <c r="G88" s="748"/>
      <c r="H88" s="748"/>
      <c r="I88" s="748"/>
      <c r="J88" s="748"/>
      <c r="K88" s="748"/>
      <c r="L88" s="748"/>
      <c r="M88" s="748"/>
      <c r="N88" s="748"/>
      <c r="O88" s="748"/>
      <c r="P88" s="748"/>
      <c r="Q88" s="748"/>
      <c r="R88" s="748"/>
      <c r="S88" s="748"/>
      <c r="T88" s="748"/>
      <c r="U88" s="748"/>
      <c r="V88" s="748"/>
      <c r="W88" s="748"/>
      <c r="X88" s="748"/>
      <c r="Y88" s="748"/>
      <c r="Z88" s="748"/>
      <c r="AA88" s="748"/>
      <c r="AB88" s="748"/>
      <c r="AC88" s="748"/>
      <c r="AD88" s="748"/>
      <c r="AE88" s="748"/>
      <c r="AF88" s="748"/>
      <c r="AG88" s="748"/>
    </row>
    <row r="89" spans="2:33" x14ac:dyDescent="0.3">
      <c r="B89" s="749" t="s">
        <v>36</v>
      </c>
      <c r="C89" s="750">
        <f>IF(C84="",0,IF(C84=0,$K$8,B89-C85))</f>
        <v>0</v>
      </c>
      <c r="D89" s="750">
        <f t="shared" ref="D89:AG89" si="57">IF(D84="",0,IF(D84=0,$K$8,C89-D85))</f>
        <v>0</v>
      </c>
      <c r="E89" s="750">
        <f t="shared" si="57"/>
        <v>0</v>
      </c>
      <c r="F89" s="750">
        <f t="shared" si="57"/>
        <v>0</v>
      </c>
      <c r="G89" s="750">
        <f t="shared" si="57"/>
        <v>0</v>
      </c>
      <c r="H89" s="750">
        <f t="shared" si="57"/>
        <v>0</v>
      </c>
      <c r="I89" s="750">
        <f t="shared" si="57"/>
        <v>0</v>
      </c>
      <c r="J89" s="750">
        <f t="shared" si="57"/>
        <v>0</v>
      </c>
      <c r="K89" s="750">
        <f t="shared" si="57"/>
        <v>2000000</v>
      </c>
      <c r="L89" s="750">
        <f t="shared" si="57"/>
        <v>1884349.0554995118</v>
      </c>
      <c r="M89" s="750">
        <f t="shared" si="57"/>
        <v>1766385.0921090138</v>
      </c>
      <c r="N89" s="750">
        <f t="shared" si="57"/>
        <v>1646061.8494507058</v>
      </c>
      <c r="O89" s="750">
        <f t="shared" si="57"/>
        <v>1523332.1419392317</v>
      </c>
      <c r="P89" s="750">
        <f t="shared" si="57"/>
        <v>1398147.8402775282</v>
      </c>
      <c r="Q89" s="750">
        <f t="shared" si="57"/>
        <v>1270459.8525825904</v>
      </c>
      <c r="R89" s="750">
        <f t="shared" si="57"/>
        <v>1140218.105133754</v>
      </c>
      <c r="S89" s="750">
        <f t="shared" si="57"/>
        <v>1007371.5227359408</v>
      </c>
      <c r="T89" s="750">
        <f t="shared" si="57"/>
        <v>871868.00869017141</v>
      </c>
      <c r="U89" s="750">
        <f t="shared" si="57"/>
        <v>733654.42436348659</v>
      </c>
      <c r="V89" s="750">
        <f t="shared" si="57"/>
        <v>592676.56835026806</v>
      </c>
      <c r="W89" s="750">
        <f t="shared" si="57"/>
        <v>448879.15521678521</v>
      </c>
      <c r="X89" s="750">
        <f t="shared" si="57"/>
        <v>302205.79382063268</v>
      </c>
      <c r="Y89" s="750">
        <f t="shared" si="57"/>
        <v>152598.96519655711</v>
      </c>
      <c r="Z89" s="750">
        <f t="shared" si="57"/>
        <v>2.9103830456733704E-11</v>
      </c>
      <c r="AA89" s="750">
        <f t="shared" si="57"/>
        <v>0</v>
      </c>
      <c r="AB89" s="750">
        <f t="shared" si="57"/>
        <v>0</v>
      </c>
      <c r="AC89" s="750">
        <f t="shared" si="57"/>
        <v>0</v>
      </c>
      <c r="AD89" s="750">
        <f t="shared" si="57"/>
        <v>0</v>
      </c>
      <c r="AE89" s="750">
        <f t="shared" si="57"/>
        <v>0</v>
      </c>
      <c r="AF89" s="750">
        <f t="shared" si="57"/>
        <v>0</v>
      </c>
      <c r="AG89" s="750">
        <f t="shared" si="57"/>
        <v>0</v>
      </c>
    </row>
    <row r="90" spans="2:33" x14ac:dyDescent="0.3">
      <c r="B90" s="742"/>
      <c r="C90" s="759"/>
      <c r="D90" s="759"/>
      <c r="E90" s="759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59"/>
      <c r="AF90" s="759"/>
      <c r="AG90" s="759"/>
    </row>
    <row r="91" spans="2:33" x14ac:dyDescent="0.3">
      <c r="B91" s="751" t="str">
        <f>L4&amp;" Payment Number"</f>
        <v>2025 Payment Number</v>
      </c>
      <c r="C91" s="752" t="str">
        <f>IF(C$27&gt;$L$9+$L$11,"",IF(C$27-$L$9&lt;0,"",C$27-$L$9))</f>
        <v/>
      </c>
      <c r="D91" s="752" t="str">
        <f t="shared" ref="D91:AG91" si="58">IF(D$27&gt;$L$9+$L$11,"",IF(D$27-$L$9&lt;0,"",D$27-$L$9))</f>
        <v/>
      </c>
      <c r="E91" s="752" t="str">
        <f t="shared" si="58"/>
        <v/>
      </c>
      <c r="F91" s="752" t="str">
        <f t="shared" si="58"/>
        <v/>
      </c>
      <c r="G91" s="752" t="str">
        <f t="shared" si="58"/>
        <v/>
      </c>
      <c r="H91" s="752" t="str">
        <f t="shared" si="58"/>
        <v/>
      </c>
      <c r="I91" s="752" t="str">
        <f t="shared" si="58"/>
        <v/>
      </c>
      <c r="J91" s="752" t="str">
        <f t="shared" si="58"/>
        <v/>
      </c>
      <c r="K91" s="752" t="str">
        <f t="shared" si="58"/>
        <v/>
      </c>
      <c r="L91" s="752">
        <f t="shared" si="58"/>
        <v>0</v>
      </c>
      <c r="M91" s="752">
        <f t="shared" si="58"/>
        <v>1</v>
      </c>
      <c r="N91" s="752">
        <f t="shared" si="58"/>
        <v>2</v>
      </c>
      <c r="O91" s="752">
        <f t="shared" si="58"/>
        <v>3</v>
      </c>
      <c r="P91" s="752">
        <f t="shared" si="58"/>
        <v>4</v>
      </c>
      <c r="Q91" s="752">
        <f t="shared" si="58"/>
        <v>5</v>
      </c>
      <c r="R91" s="752">
        <f t="shared" si="58"/>
        <v>6</v>
      </c>
      <c r="S91" s="752">
        <f t="shared" si="58"/>
        <v>7</v>
      </c>
      <c r="T91" s="752">
        <f t="shared" si="58"/>
        <v>8</v>
      </c>
      <c r="U91" s="752">
        <f t="shared" si="58"/>
        <v>9</v>
      </c>
      <c r="V91" s="752">
        <f t="shared" si="58"/>
        <v>10</v>
      </c>
      <c r="W91" s="752">
        <f t="shared" si="58"/>
        <v>11</v>
      </c>
      <c r="X91" s="752">
        <f t="shared" si="58"/>
        <v>12</v>
      </c>
      <c r="Y91" s="752">
        <f t="shared" si="58"/>
        <v>13</v>
      </c>
      <c r="Z91" s="752">
        <f t="shared" si="58"/>
        <v>14</v>
      </c>
      <c r="AA91" s="752">
        <f t="shared" si="58"/>
        <v>15</v>
      </c>
      <c r="AB91" s="752" t="str">
        <f t="shared" si="58"/>
        <v/>
      </c>
      <c r="AC91" s="752" t="str">
        <f t="shared" si="58"/>
        <v/>
      </c>
      <c r="AD91" s="752" t="str">
        <f t="shared" si="58"/>
        <v/>
      </c>
      <c r="AE91" s="752" t="str">
        <f t="shared" si="58"/>
        <v/>
      </c>
      <c r="AF91" s="752" t="str">
        <f t="shared" si="58"/>
        <v/>
      </c>
      <c r="AG91" s="752" t="str">
        <f t="shared" si="58"/>
        <v/>
      </c>
    </row>
    <row r="92" spans="2:33" x14ac:dyDescent="0.3">
      <c r="B92" s="751" t="s">
        <v>34</v>
      </c>
      <c r="C92" s="753">
        <f>IF(OR(C91="",C91=0),0,IF(C91&lt;=$L$11,-PPMT($L$10,C91,$L$11,$L$8)))</f>
        <v>0</v>
      </c>
      <c r="D92" s="753">
        <f t="shared" ref="D92:AG92" si="59">IF(OR(D91="",D91=0),0,IF(D91&lt;=$L$11,-PPMT($L$10,D91,$L$11,$L$8)))</f>
        <v>0</v>
      </c>
      <c r="E92" s="753">
        <f t="shared" si="59"/>
        <v>0</v>
      </c>
      <c r="F92" s="753">
        <f t="shared" si="59"/>
        <v>0</v>
      </c>
      <c r="G92" s="753">
        <f t="shared" si="59"/>
        <v>0</v>
      </c>
      <c r="H92" s="753">
        <f t="shared" si="59"/>
        <v>0</v>
      </c>
      <c r="I92" s="753">
        <f t="shared" si="59"/>
        <v>0</v>
      </c>
      <c r="J92" s="753">
        <f t="shared" si="59"/>
        <v>0</v>
      </c>
      <c r="K92" s="753">
        <f t="shared" si="59"/>
        <v>0</v>
      </c>
      <c r="L92" s="753">
        <f t="shared" si="59"/>
        <v>0</v>
      </c>
      <c r="M92" s="753">
        <f t="shared" si="59"/>
        <v>115650.94450048824</v>
      </c>
      <c r="N92" s="753">
        <f t="shared" si="59"/>
        <v>117963.963390498</v>
      </c>
      <c r="O92" s="753">
        <f t="shared" si="59"/>
        <v>120323.24265830797</v>
      </c>
      <c r="P92" s="753">
        <f t="shared" si="59"/>
        <v>122729.70751147412</v>
      </c>
      <c r="Q92" s="753">
        <f t="shared" si="59"/>
        <v>125184.3016617036</v>
      </c>
      <c r="R92" s="753">
        <f t="shared" si="59"/>
        <v>127687.98769493768</v>
      </c>
      <c r="S92" s="753">
        <f t="shared" si="59"/>
        <v>130241.74744883642</v>
      </c>
      <c r="T92" s="753">
        <f t="shared" si="59"/>
        <v>132846.58239781315</v>
      </c>
      <c r="U92" s="753">
        <f t="shared" si="59"/>
        <v>135503.51404576941</v>
      </c>
      <c r="V92" s="753">
        <f t="shared" si="59"/>
        <v>138213.58432668482</v>
      </c>
      <c r="W92" s="753">
        <f t="shared" si="59"/>
        <v>140977.85601321849</v>
      </c>
      <c r="X92" s="753">
        <f t="shared" si="59"/>
        <v>143797.41313348286</v>
      </c>
      <c r="Y92" s="753">
        <f t="shared" si="59"/>
        <v>146673.36139615253</v>
      </c>
      <c r="Z92" s="753">
        <f t="shared" si="59"/>
        <v>149606.82862407557</v>
      </c>
      <c r="AA92" s="753">
        <f t="shared" si="59"/>
        <v>152598.96519655708</v>
      </c>
      <c r="AB92" s="753">
        <f t="shared" si="59"/>
        <v>0</v>
      </c>
      <c r="AC92" s="753">
        <f t="shared" si="59"/>
        <v>0</v>
      </c>
      <c r="AD92" s="753">
        <f t="shared" si="59"/>
        <v>0</v>
      </c>
      <c r="AE92" s="753">
        <f t="shared" si="59"/>
        <v>0</v>
      </c>
      <c r="AF92" s="753">
        <f t="shared" si="59"/>
        <v>0</v>
      </c>
      <c r="AG92" s="753">
        <f t="shared" si="59"/>
        <v>0</v>
      </c>
    </row>
    <row r="93" spans="2:33" x14ac:dyDescent="0.3">
      <c r="B93" s="751" t="s">
        <v>35</v>
      </c>
      <c r="C93" s="754">
        <f>IF(C91&gt;0,IFERROR(-IPMT($L$10,C91,$L$11,$L$8),0),0)</f>
        <v>0</v>
      </c>
      <c r="D93" s="754">
        <f t="shared" ref="D93:AG93" si="60">IF(D91&gt;0,IFERROR(-IPMT($L$10,D91,$L$11,$L$8),0),0)</f>
        <v>0</v>
      </c>
      <c r="E93" s="754">
        <f t="shared" si="60"/>
        <v>0</v>
      </c>
      <c r="F93" s="754">
        <f t="shared" si="60"/>
        <v>0</v>
      </c>
      <c r="G93" s="754">
        <f t="shared" si="60"/>
        <v>0</v>
      </c>
      <c r="H93" s="754">
        <f t="shared" si="60"/>
        <v>0</v>
      </c>
      <c r="I93" s="754">
        <f t="shared" si="60"/>
        <v>0</v>
      </c>
      <c r="J93" s="754">
        <f t="shared" si="60"/>
        <v>0</v>
      </c>
      <c r="K93" s="754">
        <f t="shared" si="60"/>
        <v>0</v>
      </c>
      <c r="L93" s="754">
        <f t="shared" si="60"/>
        <v>0</v>
      </c>
      <c r="M93" s="754">
        <f t="shared" si="60"/>
        <v>40000</v>
      </c>
      <c r="N93" s="754">
        <f t="shared" si="60"/>
        <v>37686.981109990229</v>
      </c>
      <c r="O93" s="754">
        <f t="shared" si="60"/>
        <v>35327.701842180271</v>
      </c>
      <c r="P93" s="754">
        <f t="shared" si="60"/>
        <v>32921.23698901412</v>
      </c>
      <c r="Q93" s="754">
        <f t="shared" si="60"/>
        <v>30466.642838784628</v>
      </c>
      <c r="R93" s="754">
        <f t="shared" si="60"/>
        <v>27962.956805550559</v>
      </c>
      <c r="S93" s="754">
        <f t="shared" si="60"/>
        <v>25409.197051651805</v>
      </c>
      <c r="T93" s="754">
        <f t="shared" si="60"/>
        <v>22804.362102675073</v>
      </c>
      <c r="U93" s="754">
        <f t="shared" si="60"/>
        <v>20147.430454718819</v>
      </c>
      <c r="V93" s="754">
        <f t="shared" si="60"/>
        <v>17437.360173803427</v>
      </c>
      <c r="W93" s="754">
        <f t="shared" si="60"/>
        <v>14673.08848726973</v>
      </c>
      <c r="X93" s="754">
        <f t="shared" si="60"/>
        <v>11853.531367005362</v>
      </c>
      <c r="Y93" s="754">
        <f t="shared" si="60"/>
        <v>8977.5831043357048</v>
      </c>
      <c r="Z93" s="754">
        <f t="shared" si="60"/>
        <v>6044.115876412654</v>
      </c>
      <c r="AA93" s="754">
        <f t="shared" si="60"/>
        <v>3051.9793039311417</v>
      </c>
      <c r="AB93" s="754">
        <f t="shared" si="60"/>
        <v>0</v>
      </c>
      <c r="AC93" s="754">
        <f t="shared" si="60"/>
        <v>0</v>
      </c>
      <c r="AD93" s="754">
        <f t="shared" si="60"/>
        <v>0</v>
      </c>
      <c r="AE93" s="754">
        <f t="shared" si="60"/>
        <v>0</v>
      </c>
      <c r="AF93" s="754">
        <f t="shared" si="60"/>
        <v>0</v>
      </c>
      <c r="AG93" s="754">
        <f t="shared" si="60"/>
        <v>0</v>
      </c>
    </row>
    <row r="94" spans="2:33" x14ac:dyDescent="0.3">
      <c r="B94" s="751" t="s">
        <v>1904</v>
      </c>
      <c r="C94" s="753">
        <f>SUM(C92:C93)</f>
        <v>0</v>
      </c>
      <c r="D94" s="753">
        <f t="shared" ref="D94:AG94" si="61">SUM(D92:D93)</f>
        <v>0</v>
      </c>
      <c r="E94" s="753">
        <f t="shared" si="61"/>
        <v>0</v>
      </c>
      <c r="F94" s="753">
        <f t="shared" si="61"/>
        <v>0</v>
      </c>
      <c r="G94" s="753">
        <f t="shared" si="61"/>
        <v>0</v>
      </c>
      <c r="H94" s="753">
        <f t="shared" si="61"/>
        <v>0</v>
      </c>
      <c r="I94" s="753">
        <f t="shared" si="61"/>
        <v>0</v>
      </c>
      <c r="J94" s="753">
        <f t="shared" si="61"/>
        <v>0</v>
      </c>
      <c r="K94" s="753">
        <f t="shared" si="61"/>
        <v>0</v>
      </c>
      <c r="L94" s="753">
        <f t="shared" si="61"/>
        <v>0</v>
      </c>
      <c r="M94" s="753">
        <f t="shared" si="61"/>
        <v>155650.94450048823</v>
      </c>
      <c r="N94" s="753">
        <f t="shared" si="61"/>
        <v>155650.94450048823</v>
      </c>
      <c r="O94" s="753">
        <f t="shared" si="61"/>
        <v>155650.94450048823</v>
      </c>
      <c r="P94" s="753">
        <f t="shared" si="61"/>
        <v>155650.94450048823</v>
      </c>
      <c r="Q94" s="753">
        <f t="shared" si="61"/>
        <v>155650.94450048823</v>
      </c>
      <c r="R94" s="753">
        <f t="shared" si="61"/>
        <v>155650.94450048823</v>
      </c>
      <c r="S94" s="753">
        <f t="shared" si="61"/>
        <v>155650.94450048823</v>
      </c>
      <c r="T94" s="753">
        <f t="shared" si="61"/>
        <v>155650.94450048823</v>
      </c>
      <c r="U94" s="753">
        <f t="shared" si="61"/>
        <v>155650.94450048823</v>
      </c>
      <c r="V94" s="753">
        <f t="shared" si="61"/>
        <v>155650.94450048826</v>
      </c>
      <c r="W94" s="753">
        <f t="shared" si="61"/>
        <v>155650.94450048823</v>
      </c>
      <c r="X94" s="753">
        <f t="shared" si="61"/>
        <v>155650.94450048823</v>
      </c>
      <c r="Y94" s="753">
        <f t="shared" si="61"/>
        <v>155650.94450048823</v>
      </c>
      <c r="Z94" s="753">
        <f t="shared" si="61"/>
        <v>155650.94450048823</v>
      </c>
      <c r="AA94" s="753">
        <f t="shared" si="61"/>
        <v>155650.94450048823</v>
      </c>
      <c r="AB94" s="753">
        <f t="shared" si="61"/>
        <v>0</v>
      </c>
      <c r="AC94" s="753">
        <f t="shared" si="61"/>
        <v>0</v>
      </c>
      <c r="AD94" s="753">
        <f t="shared" si="61"/>
        <v>0</v>
      </c>
      <c r="AE94" s="753">
        <f t="shared" si="61"/>
        <v>0</v>
      </c>
      <c r="AF94" s="753">
        <f t="shared" si="61"/>
        <v>0</v>
      </c>
      <c r="AG94" s="753">
        <f t="shared" si="61"/>
        <v>0</v>
      </c>
    </row>
    <row r="95" spans="2:33" x14ac:dyDescent="0.3">
      <c r="B95" s="751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  <c r="AA95" s="755"/>
      <c r="AB95" s="755"/>
      <c r="AC95" s="755"/>
      <c r="AD95" s="755"/>
      <c r="AE95" s="755"/>
      <c r="AF95" s="755"/>
      <c r="AG95" s="755"/>
    </row>
    <row r="96" spans="2:33" x14ac:dyDescent="0.3">
      <c r="B96" s="756" t="s">
        <v>36</v>
      </c>
      <c r="C96" s="757">
        <f>IF(C91="",0,IF(C91=0,$L$8,B96-C92))</f>
        <v>0</v>
      </c>
      <c r="D96" s="757">
        <f t="shared" ref="D96:AG96" si="62">IF(D91="",0,IF(D91=0,$L$8,C96-D92))</f>
        <v>0</v>
      </c>
      <c r="E96" s="757">
        <f t="shared" si="62"/>
        <v>0</v>
      </c>
      <c r="F96" s="757">
        <f t="shared" si="62"/>
        <v>0</v>
      </c>
      <c r="G96" s="757">
        <f t="shared" si="62"/>
        <v>0</v>
      </c>
      <c r="H96" s="757">
        <f t="shared" si="62"/>
        <v>0</v>
      </c>
      <c r="I96" s="757">
        <f t="shared" si="62"/>
        <v>0</v>
      </c>
      <c r="J96" s="757">
        <f t="shared" si="62"/>
        <v>0</v>
      </c>
      <c r="K96" s="757">
        <f t="shared" si="62"/>
        <v>0</v>
      </c>
      <c r="L96" s="757">
        <f t="shared" si="62"/>
        <v>2000000</v>
      </c>
      <c r="M96" s="757">
        <f t="shared" si="62"/>
        <v>1884349.0554995118</v>
      </c>
      <c r="N96" s="757">
        <f t="shared" si="62"/>
        <v>1766385.0921090138</v>
      </c>
      <c r="O96" s="757">
        <f t="shared" si="62"/>
        <v>1646061.8494507058</v>
      </c>
      <c r="P96" s="757">
        <f t="shared" si="62"/>
        <v>1523332.1419392317</v>
      </c>
      <c r="Q96" s="757">
        <f t="shared" si="62"/>
        <v>1398147.8402775282</v>
      </c>
      <c r="R96" s="757">
        <f t="shared" si="62"/>
        <v>1270459.8525825904</v>
      </c>
      <c r="S96" s="757">
        <f t="shared" si="62"/>
        <v>1140218.105133754</v>
      </c>
      <c r="T96" s="757">
        <f t="shared" si="62"/>
        <v>1007371.5227359408</v>
      </c>
      <c r="U96" s="757">
        <f t="shared" si="62"/>
        <v>871868.00869017141</v>
      </c>
      <c r="V96" s="757">
        <f t="shared" si="62"/>
        <v>733654.42436348659</v>
      </c>
      <c r="W96" s="757">
        <f t="shared" si="62"/>
        <v>592676.56835026806</v>
      </c>
      <c r="X96" s="757">
        <f t="shared" si="62"/>
        <v>448879.15521678521</v>
      </c>
      <c r="Y96" s="757">
        <f t="shared" si="62"/>
        <v>302205.79382063268</v>
      </c>
      <c r="Z96" s="757">
        <f t="shared" si="62"/>
        <v>152598.96519655711</v>
      </c>
      <c r="AA96" s="757">
        <f t="shared" si="62"/>
        <v>2.9103830456733704E-11</v>
      </c>
      <c r="AB96" s="757">
        <f t="shared" si="62"/>
        <v>0</v>
      </c>
      <c r="AC96" s="757">
        <f t="shared" si="62"/>
        <v>0</v>
      </c>
      <c r="AD96" s="757">
        <f t="shared" si="62"/>
        <v>0</v>
      </c>
      <c r="AE96" s="757">
        <f t="shared" si="62"/>
        <v>0</v>
      </c>
      <c r="AF96" s="757">
        <f t="shared" si="62"/>
        <v>0</v>
      </c>
      <c r="AG96" s="757">
        <f t="shared" si="62"/>
        <v>0</v>
      </c>
    </row>
    <row r="97" spans="2:12" s="210" customFormat="1" x14ac:dyDescent="0.3">
      <c r="B97" s="760"/>
      <c r="C97" s="211"/>
      <c r="D97" s="211"/>
      <c r="E97" s="211"/>
      <c r="F97" s="211"/>
      <c r="G97" s="211"/>
      <c r="H97" s="211"/>
      <c r="I97" s="211"/>
      <c r="J97" s="211"/>
      <c r="K97" s="211"/>
      <c r="L97" s="211"/>
    </row>
    <row r="98" spans="2:12" s="214" customFormat="1" x14ac:dyDescent="0.3">
      <c r="L98" s="231"/>
    </row>
  </sheetData>
  <conditionalFormatting sqref="C26:L26">
    <cfRule type="cellIs" dxfId="139" priority="1" operator="equal">
      <formula>FALSE</formula>
    </cfRule>
    <cfRule type="cellIs" dxfId="138" priority="2" operator="equal">
      <formula>TRUE</formula>
    </cfRule>
  </conditionalFormatting>
  <printOptions horizontalCentered="1"/>
  <pageMargins left="0.25" right="0.25" top="0.2" bottom="0.2" header="0.3" footer="0.3"/>
  <pageSetup scale="29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24"/>
  <sheetViews>
    <sheetView showGridLines="0" zoomScale="85" zoomScaleNormal="85" workbookViewId="0">
      <pane ySplit="3" topLeftCell="A85" activePane="bottomLeft" state="frozen"/>
      <selection activeCell="B113" sqref="B113"/>
      <selection pane="bottomLeft" activeCell="E22" sqref="E22"/>
    </sheetView>
  </sheetViews>
  <sheetFormatPr defaultColWidth="9" defaultRowHeight="15.6" x14ac:dyDescent="0.3"/>
  <cols>
    <col min="1" max="1" width="4.09765625" style="18" customWidth="1"/>
    <col min="2" max="2" width="67.3984375" style="18" bestFit="1" customWidth="1"/>
    <col min="3" max="3" width="23.19921875" style="18" bestFit="1" customWidth="1"/>
    <col min="4" max="4" width="12.8984375" style="18" customWidth="1"/>
    <col min="5" max="5" width="16.8984375" style="18" bestFit="1" customWidth="1"/>
    <col min="6" max="6" width="13.09765625" style="18" bestFit="1" customWidth="1"/>
    <col min="7" max="7" width="12.19921875" style="18" customWidth="1"/>
    <col min="8" max="8" width="13" style="18" bestFit="1" customWidth="1"/>
    <col min="9" max="9" width="12.59765625" style="18" bestFit="1" customWidth="1"/>
    <col min="10" max="11" width="13.09765625" style="18" bestFit="1" customWidth="1"/>
    <col min="12" max="16" width="13" style="18" bestFit="1" customWidth="1"/>
    <col min="17" max="17" width="15.09765625" style="18" bestFit="1" customWidth="1"/>
    <col min="18" max="16384" width="9" style="18"/>
  </cols>
  <sheetData>
    <row r="1" spans="1:30" s="6" customFormat="1" ht="15.75" customHeight="1" x14ac:dyDescent="0.3">
      <c r="A1" s="7"/>
      <c r="B1" s="8"/>
      <c r="C1" s="8"/>
      <c r="D1" s="776"/>
      <c r="E1" s="528" t="s">
        <v>1655</v>
      </c>
      <c r="F1" s="9"/>
      <c r="G1" s="9"/>
    </row>
    <row r="2" spans="1:30" s="6" customFormat="1" ht="15.75" customHeight="1" x14ac:dyDescent="0.3">
      <c r="A2" s="7"/>
      <c r="B2" s="8" t="s">
        <v>1953</v>
      </c>
      <c r="C2" s="774"/>
      <c r="D2" s="527" t="s">
        <v>1496</v>
      </c>
      <c r="E2" s="528" t="s">
        <v>19</v>
      </c>
      <c r="F2" s="9"/>
      <c r="G2" s="9"/>
    </row>
    <row r="3" spans="1:30" s="10" customFormat="1" x14ac:dyDescent="0.3">
      <c r="B3" s="11"/>
      <c r="C3" s="775"/>
      <c r="D3" s="527" t="s">
        <v>1497</v>
      </c>
      <c r="E3" s="777" t="s">
        <v>1923</v>
      </c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  <c r="AB3" s="13"/>
      <c r="AC3" s="13"/>
      <c r="AD3" s="13"/>
    </row>
    <row r="4" spans="1:30" s="14" customFormat="1" x14ac:dyDescent="0.3">
      <c r="B4" s="15" t="s">
        <v>16</v>
      </c>
      <c r="C4" s="15" t="s">
        <v>1594</v>
      </c>
      <c r="D4" s="1308" t="s">
        <v>1573</v>
      </c>
      <c r="E4" s="15"/>
      <c r="F4" s="15">
        <v>2015</v>
      </c>
      <c r="G4" s="15">
        <v>2016</v>
      </c>
      <c r="H4" s="15">
        <v>2017</v>
      </c>
      <c r="I4" s="15">
        <v>2018</v>
      </c>
      <c r="J4" s="15">
        <v>2019</v>
      </c>
      <c r="K4" s="15">
        <v>2020</v>
      </c>
      <c r="L4" s="15">
        <v>2021</v>
      </c>
      <c r="M4" s="15">
        <v>2022</v>
      </c>
      <c r="N4" s="15">
        <v>2023</v>
      </c>
      <c r="O4" s="15">
        <v>2024</v>
      </c>
      <c r="P4" s="15">
        <v>2025</v>
      </c>
    </row>
    <row r="5" spans="1:30" s="16" customFormat="1" x14ac:dyDescent="0.3">
      <c r="B5" s="15" t="s">
        <v>17</v>
      </c>
      <c r="C5" s="15" t="s">
        <v>1593</v>
      </c>
      <c r="D5" s="1308"/>
      <c r="E5" s="627" t="s">
        <v>18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30" x14ac:dyDescent="0.3">
      <c r="B6" s="71" t="s">
        <v>318</v>
      </c>
      <c r="C6" s="20" t="s">
        <v>246</v>
      </c>
      <c r="D6" s="20" t="s">
        <v>1497</v>
      </c>
      <c r="E6" s="20" t="s">
        <v>19</v>
      </c>
      <c r="F6" s="21">
        <v>0</v>
      </c>
      <c r="G6" s="21">
        <v>0</v>
      </c>
      <c r="H6" s="21">
        <v>800000</v>
      </c>
      <c r="I6" s="21">
        <v>612500</v>
      </c>
      <c r="J6" s="21">
        <v>1072500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</row>
    <row r="7" spans="1:30" x14ac:dyDescent="0.3">
      <c r="B7" s="71" t="s">
        <v>319</v>
      </c>
      <c r="C7" s="20" t="s">
        <v>246</v>
      </c>
      <c r="D7" s="20" t="s">
        <v>1497</v>
      </c>
      <c r="E7" s="20" t="s">
        <v>1655</v>
      </c>
      <c r="F7" s="21">
        <v>2000000</v>
      </c>
      <c r="G7" s="21">
        <v>0</v>
      </c>
      <c r="H7" s="21">
        <v>1900000</v>
      </c>
      <c r="I7" s="21">
        <v>1900000</v>
      </c>
      <c r="J7" s="21">
        <v>2000000</v>
      </c>
      <c r="K7" s="21">
        <v>2000000</v>
      </c>
      <c r="L7" s="21">
        <v>2000000</v>
      </c>
      <c r="M7" s="21">
        <v>2000000</v>
      </c>
      <c r="N7" s="21">
        <v>2000000</v>
      </c>
      <c r="O7" s="21">
        <v>2000000</v>
      </c>
      <c r="P7" s="21">
        <v>2000000</v>
      </c>
    </row>
    <row r="8" spans="1:30" x14ac:dyDescent="0.3">
      <c r="B8" s="71" t="s">
        <v>328</v>
      </c>
      <c r="C8" s="20" t="s">
        <v>1587</v>
      </c>
      <c r="D8" s="20" t="s">
        <v>1497</v>
      </c>
      <c r="E8" s="20" t="s">
        <v>19</v>
      </c>
      <c r="F8" s="21">
        <v>0</v>
      </c>
      <c r="G8" s="21">
        <v>0</v>
      </c>
      <c r="H8" s="21">
        <v>0</v>
      </c>
      <c r="I8" s="21">
        <v>2500000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</row>
    <row r="9" spans="1:30" x14ac:dyDescent="0.3">
      <c r="B9" s="71" t="s">
        <v>329</v>
      </c>
      <c r="C9" s="20" t="s">
        <v>1587</v>
      </c>
      <c r="D9" s="20" t="s">
        <v>1497</v>
      </c>
      <c r="E9" s="20" t="s">
        <v>19</v>
      </c>
      <c r="F9" s="21">
        <v>0</v>
      </c>
      <c r="G9" s="21">
        <v>0</v>
      </c>
      <c r="H9" s="21">
        <v>200000</v>
      </c>
      <c r="I9" s="21">
        <v>200000</v>
      </c>
      <c r="J9" s="21">
        <v>200000</v>
      </c>
      <c r="K9" s="21">
        <v>200000</v>
      </c>
      <c r="L9" s="21">
        <v>200000</v>
      </c>
      <c r="M9" s="21">
        <v>200000</v>
      </c>
      <c r="N9" s="21">
        <v>200000</v>
      </c>
      <c r="O9" s="21">
        <v>0</v>
      </c>
      <c r="P9" s="21">
        <v>0</v>
      </c>
    </row>
    <row r="10" spans="1:30" x14ac:dyDescent="0.3">
      <c r="B10" s="71" t="s">
        <v>330</v>
      </c>
      <c r="C10" s="20" t="s">
        <v>1518</v>
      </c>
      <c r="D10" s="20" t="s">
        <v>1497</v>
      </c>
      <c r="E10" s="20" t="s">
        <v>19</v>
      </c>
      <c r="F10" s="21">
        <v>60000</v>
      </c>
      <c r="G10" s="21">
        <v>61000</v>
      </c>
      <c r="H10" s="21">
        <v>61000</v>
      </c>
      <c r="I10" s="21">
        <v>0</v>
      </c>
      <c r="J10" s="21">
        <v>0</v>
      </c>
      <c r="K10" s="21">
        <v>65000</v>
      </c>
      <c r="L10" s="21">
        <v>65000</v>
      </c>
      <c r="M10" s="21">
        <v>65000</v>
      </c>
      <c r="N10" s="21">
        <v>0</v>
      </c>
      <c r="O10" s="21">
        <v>0</v>
      </c>
      <c r="P10" s="21">
        <v>70000</v>
      </c>
    </row>
    <row r="11" spans="1:30" x14ac:dyDescent="0.3">
      <c r="B11" s="71" t="s">
        <v>331</v>
      </c>
      <c r="C11" s="20" t="s">
        <v>1518</v>
      </c>
      <c r="D11" s="20" t="s">
        <v>1497</v>
      </c>
      <c r="E11" s="20" t="s">
        <v>19</v>
      </c>
      <c r="F11" s="21">
        <v>70000</v>
      </c>
      <c r="G11" s="21">
        <v>0</v>
      </c>
      <c r="H11" s="21">
        <v>0</v>
      </c>
      <c r="I11" s="21">
        <v>75000</v>
      </c>
      <c r="J11" s="21">
        <v>75000</v>
      </c>
      <c r="K11" s="21">
        <v>75000</v>
      </c>
      <c r="L11" s="21">
        <v>0</v>
      </c>
      <c r="M11" s="21">
        <v>0</v>
      </c>
      <c r="N11" s="21">
        <v>80000</v>
      </c>
      <c r="O11" s="21">
        <v>80000</v>
      </c>
      <c r="P11" s="21">
        <v>80000</v>
      </c>
    </row>
    <row r="12" spans="1:30" x14ac:dyDescent="0.3">
      <c r="B12" s="71" t="s">
        <v>332</v>
      </c>
      <c r="C12" s="20" t="s">
        <v>1518</v>
      </c>
      <c r="D12" s="20" t="s">
        <v>1497</v>
      </c>
      <c r="E12" s="20" t="s">
        <v>19</v>
      </c>
      <c r="F12" s="21">
        <v>0</v>
      </c>
      <c r="G12" s="21">
        <v>70000</v>
      </c>
      <c r="H12" s="21">
        <v>40000</v>
      </c>
      <c r="I12" s="21">
        <v>60000</v>
      </c>
      <c r="J12" s="21">
        <v>70000</v>
      </c>
      <c r="K12" s="21">
        <v>40000</v>
      </c>
      <c r="L12" s="21">
        <v>60000</v>
      </c>
      <c r="M12" s="21">
        <v>70000</v>
      </c>
      <c r="N12" s="21">
        <v>40000</v>
      </c>
      <c r="O12" s="21">
        <v>60000</v>
      </c>
      <c r="P12" s="21">
        <v>70000</v>
      </c>
    </row>
    <row r="13" spans="1:30" x14ac:dyDescent="0.3">
      <c r="B13" s="71" t="s">
        <v>320</v>
      </c>
      <c r="C13" s="20" t="s">
        <v>246</v>
      </c>
      <c r="D13" s="20" t="s">
        <v>1497</v>
      </c>
      <c r="E13" s="20" t="s">
        <v>19</v>
      </c>
      <c r="F13" s="21">
        <v>0</v>
      </c>
      <c r="G13" s="21">
        <v>50000</v>
      </c>
      <c r="H13" s="21">
        <v>50000</v>
      </c>
      <c r="I13" s="21">
        <v>50000</v>
      </c>
      <c r="J13" s="21">
        <v>50000</v>
      </c>
      <c r="K13" s="21">
        <v>50000</v>
      </c>
      <c r="L13" s="21">
        <v>50000</v>
      </c>
      <c r="M13" s="21">
        <v>50000</v>
      </c>
      <c r="N13" s="21">
        <v>50000</v>
      </c>
      <c r="O13" s="21">
        <v>50000</v>
      </c>
      <c r="P13" s="21">
        <v>50000</v>
      </c>
    </row>
    <row r="14" spans="1:30" x14ac:dyDescent="0.3">
      <c r="B14" s="71" t="s">
        <v>335</v>
      </c>
      <c r="C14" s="20" t="s">
        <v>246</v>
      </c>
      <c r="D14" s="20" t="s">
        <v>1497</v>
      </c>
      <c r="E14" s="20" t="s">
        <v>19</v>
      </c>
      <c r="F14" s="21">
        <v>0</v>
      </c>
      <c r="G14" s="21">
        <v>0</v>
      </c>
      <c r="H14" s="21">
        <v>20000</v>
      </c>
      <c r="I14" s="21">
        <v>20000</v>
      </c>
      <c r="J14" s="21">
        <v>20000</v>
      </c>
      <c r="K14" s="21">
        <v>20000</v>
      </c>
      <c r="L14" s="21">
        <v>22000</v>
      </c>
      <c r="M14" s="21">
        <v>22000</v>
      </c>
      <c r="N14" s="21">
        <v>22000</v>
      </c>
      <c r="O14" s="21">
        <v>22000</v>
      </c>
      <c r="P14" s="21">
        <v>22000</v>
      </c>
    </row>
    <row r="15" spans="1:30" x14ac:dyDescent="0.3">
      <c r="B15" s="71" t="s">
        <v>321</v>
      </c>
      <c r="C15" s="20" t="s">
        <v>1518</v>
      </c>
      <c r="D15" s="20" t="s">
        <v>1497</v>
      </c>
      <c r="E15" s="20" t="s">
        <v>19</v>
      </c>
      <c r="F15" s="21">
        <v>100000</v>
      </c>
      <c r="G15" s="21">
        <v>0</v>
      </c>
      <c r="H15" s="21">
        <v>100000</v>
      </c>
      <c r="I15" s="21">
        <v>50000</v>
      </c>
      <c r="J15" s="21">
        <v>50000</v>
      </c>
      <c r="K15" s="21">
        <v>50000</v>
      </c>
      <c r="L15" s="21">
        <v>50000</v>
      </c>
      <c r="M15" s="21">
        <v>0</v>
      </c>
      <c r="N15" s="21"/>
      <c r="O15" s="21">
        <v>100000</v>
      </c>
      <c r="P15" s="21">
        <v>0</v>
      </c>
    </row>
    <row r="16" spans="1:30" x14ac:dyDescent="0.3">
      <c r="B16" s="71" t="s">
        <v>337</v>
      </c>
      <c r="C16" s="20" t="s">
        <v>1587</v>
      </c>
      <c r="D16" s="20" t="s">
        <v>1497</v>
      </c>
      <c r="E16" s="20" t="s">
        <v>19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</row>
    <row r="17" spans="1:16" x14ac:dyDescent="0.3">
      <c r="B17" s="71" t="s">
        <v>1944</v>
      </c>
      <c r="C17" s="20" t="s">
        <v>1586</v>
      </c>
      <c r="D17" s="20" t="s">
        <v>1497</v>
      </c>
      <c r="E17" s="20" t="s">
        <v>19</v>
      </c>
      <c r="F17" s="21">
        <v>0</v>
      </c>
      <c r="G17" s="21">
        <v>60000</v>
      </c>
      <c r="H17" s="21">
        <v>0</v>
      </c>
      <c r="I17" s="21">
        <v>500000</v>
      </c>
      <c r="J17" s="21">
        <v>500000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</row>
    <row r="18" spans="1:16" x14ac:dyDescent="0.3">
      <c r="B18" s="71" t="s">
        <v>338</v>
      </c>
      <c r="C18" s="20" t="s">
        <v>1586</v>
      </c>
      <c r="D18" s="20" t="s">
        <v>1497</v>
      </c>
      <c r="E18" s="20" t="s">
        <v>19</v>
      </c>
      <c r="F18" s="21">
        <v>45000</v>
      </c>
      <c r="G18" s="21">
        <v>45000</v>
      </c>
      <c r="H18" s="21">
        <v>50000</v>
      </c>
      <c r="I18" s="21">
        <v>0</v>
      </c>
      <c r="J18" s="21">
        <v>0</v>
      </c>
      <c r="K18" s="21">
        <v>0</v>
      </c>
      <c r="L18" s="21">
        <v>0</v>
      </c>
      <c r="M18" s="21">
        <v>60000</v>
      </c>
      <c r="N18" s="21">
        <v>60000</v>
      </c>
      <c r="O18" s="21">
        <v>0</v>
      </c>
      <c r="P18" s="21">
        <v>0</v>
      </c>
    </row>
    <row r="19" spans="1:16" x14ac:dyDescent="0.3">
      <c r="B19" s="71" t="s">
        <v>339</v>
      </c>
      <c r="C19" s="20" t="s">
        <v>1518</v>
      </c>
      <c r="D19" s="20" t="s">
        <v>1497</v>
      </c>
      <c r="E19" s="20" t="s">
        <v>19</v>
      </c>
      <c r="F19" s="21">
        <v>150000</v>
      </c>
      <c r="G19" s="21">
        <v>0</v>
      </c>
      <c r="H19" s="21">
        <v>150000</v>
      </c>
      <c r="I19" s="21">
        <v>150000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</row>
    <row r="20" spans="1:16" x14ac:dyDescent="0.3">
      <c r="B20" s="71" t="s">
        <v>340</v>
      </c>
      <c r="C20" s="20" t="s">
        <v>1518</v>
      </c>
      <c r="D20" s="20" t="s">
        <v>1497</v>
      </c>
      <c r="E20" s="20" t="s">
        <v>19</v>
      </c>
      <c r="F20" s="21">
        <v>60000</v>
      </c>
      <c r="G20" s="21">
        <v>40000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</row>
    <row r="21" spans="1:16" x14ac:dyDescent="0.3">
      <c r="B21" s="71" t="s">
        <v>342</v>
      </c>
      <c r="C21" s="20" t="s">
        <v>246</v>
      </c>
      <c r="D21" s="20" t="s">
        <v>1497</v>
      </c>
      <c r="E21" s="20" t="s">
        <v>19</v>
      </c>
      <c r="F21" s="21">
        <v>0</v>
      </c>
      <c r="G21" s="21">
        <v>0</v>
      </c>
      <c r="H21" s="21">
        <v>693000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</row>
    <row r="22" spans="1:16" x14ac:dyDescent="0.3">
      <c r="B22" s="71" t="s">
        <v>1945</v>
      </c>
      <c r="C22" s="20" t="s">
        <v>246</v>
      </c>
      <c r="D22" s="20" t="s">
        <v>1497</v>
      </c>
      <c r="E22" s="20" t="s">
        <v>19</v>
      </c>
      <c r="F22" s="21">
        <v>0</v>
      </c>
      <c r="G22" s="21">
        <v>0</v>
      </c>
      <c r="H22" s="21">
        <v>600000</v>
      </c>
      <c r="I22" s="21">
        <v>1000000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</row>
    <row r="23" spans="1:16" x14ac:dyDescent="0.3">
      <c r="B23" s="71"/>
      <c r="C23" s="20"/>
      <c r="D23" s="20"/>
      <c r="E23" s="20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 x14ac:dyDescent="0.3">
      <c r="B24" s="24" t="s">
        <v>21</v>
      </c>
      <c r="C24" s="24"/>
      <c r="D24" s="24"/>
      <c r="E24" s="25"/>
      <c r="F24" s="26">
        <f t="shared" ref="F24:P24" si="0">SUM(F6:F23)</f>
        <v>2485000</v>
      </c>
      <c r="G24" s="26">
        <f>SUM(G6:G23)</f>
        <v>326000</v>
      </c>
      <c r="H24" s="26">
        <f t="shared" si="0"/>
        <v>4664000</v>
      </c>
      <c r="I24" s="26">
        <f t="shared" si="0"/>
        <v>7117500</v>
      </c>
      <c r="J24" s="26">
        <f t="shared" si="0"/>
        <v>4037500</v>
      </c>
      <c r="K24" s="26">
        <f>SUM(K6:K23)</f>
        <v>2500000</v>
      </c>
      <c r="L24" s="26">
        <f t="shared" si="0"/>
        <v>2447000</v>
      </c>
      <c r="M24" s="26">
        <f t="shared" si="0"/>
        <v>2467000</v>
      </c>
      <c r="N24" s="26">
        <f t="shared" si="0"/>
        <v>2452000</v>
      </c>
      <c r="O24" s="26">
        <f t="shared" si="0"/>
        <v>2312000</v>
      </c>
      <c r="P24" s="26">
        <f t="shared" si="0"/>
        <v>2292000</v>
      </c>
    </row>
    <row r="25" spans="1:16" s="28" customFormat="1" x14ac:dyDescent="0.3">
      <c r="B25" s="24" t="s">
        <v>22</v>
      </c>
      <c r="C25" s="24"/>
      <c r="D25" s="24"/>
      <c r="E25" s="25"/>
      <c r="F25" s="27">
        <f>F24</f>
        <v>2485000</v>
      </c>
      <c r="G25" s="27">
        <f t="shared" ref="G25:P25" si="1">G24</f>
        <v>326000</v>
      </c>
      <c r="H25" s="27">
        <f t="shared" si="1"/>
        <v>4664000</v>
      </c>
      <c r="I25" s="27">
        <f t="shared" si="1"/>
        <v>7117500</v>
      </c>
      <c r="J25" s="27">
        <f t="shared" si="1"/>
        <v>4037500</v>
      </c>
      <c r="K25" s="27">
        <f t="shared" si="1"/>
        <v>2500000</v>
      </c>
      <c r="L25" s="27">
        <f t="shared" si="1"/>
        <v>2447000</v>
      </c>
      <c r="M25" s="27">
        <f t="shared" si="1"/>
        <v>2467000</v>
      </c>
      <c r="N25" s="27">
        <f t="shared" si="1"/>
        <v>2452000</v>
      </c>
      <c r="O25" s="27">
        <f t="shared" si="1"/>
        <v>2312000</v>
      </c>
      <c r="P25" s="27">
        <f t="shared" si="1"/>
        <v>2292000</v>
      </c>
    </row>
    <row r="26" spans="1:16" x14ac:dyDescent="0.3">
      <c r="A26" s="33"/>
      <c r="B26" s="30"/>
      <c r="C26" s="30"/>
      <c r="D26" s="30"/>
      <c r="E26" s="30"/>
      <c r="F26" s="31"/>
      <c r="G26" s="31"/>
      <c r="H26" s="32"/>
      <c r="I26" s="32"/>
      <c r="J26" s="32"/>
      <c r="K26" s="32"/>
      <c r="L26" s="32"/>
      <c r="M26" s="32"/>
      <c r="N26" s="32"/>
      <c r="O26" s="32"/>
      <c r="P26" s="32"/>
    </row>
    <row r="27" spans="1:16" x14ac:dyDescent="0.3">
      <c r="B27" s="1" t="s">
        <v>2130</v>
      </c>
      <c r="C27" s="1"/>
      <c r="D27" s="1"/>
      <c r="E27" s="1"/>
      <c r="F27" s="31"/>
      <c r="G27" s="31"/>
      <c r="H27" s="32"/>
      <c r="I27" s="32"/>
      <c r="J27" s="32"/>
      <c r="K27" s="32"/>
      <c r="L27" s="32"/>
      <c r="M27" s="32"/>
      <c r="N27" s="32"/>
      <c r="O27" s="32"/>
      <c r="P27" s="32"/>
    </row>
    <row r="28" spans="1:16" x14ac:dyDescent="0.3">
      <c r="B28" s="34" t="s">
        <v>1905</v>
      </c>
      <c r="C28" s="34"/>
      <c r="D28" s="34"/>
      <c r="E28" s="34"/>
      <c r="F28" s="35">
        <f>SUMIF($E$6:$E$23,$E$1,F6:F23)</f>
        <v>2000000</v>
      </c>
      <c r="G28" s="35">
        <f t="shared" ref="G28:P28" si="2">SUMIF($E$6:$E$23,$E$1,G6:G23)</f>
        <v>0</v>
      </c>
      <c r="H28" s="35">
        <f>SUMIF($E$6:$E$23,$E$1,H6:H23)</f>
        <v>1900000</v>
      </c>
      <c r="I28" s="35">
        <f>SUMIF($E$6:$E$23,$E$1,I6:I23)</f>
        <v>1900000</v>
      </c>
      <c r="J28" s="35">
        <f t="shared" si="2"/>
        <v>2000000</v>
      </c>
      <c r="K28" s="35">
        <f t="shared" si="2"/>
        <v>2000000</v>
      </c>
      <c r="L28" s="35">
        <f t="shared" si="2"/>
        <v>2000000</v>
      </c>
      <c r="M28" s="35">
        <f t="shared" si="2"/>
        <v>2000000</v>
      </c>
      <c r="N28" s="35">
        <f t="shared" si="2"/>
        <v>2000000</v>
      </c>
      <c r="O28" s="35">
        <f t="shared" si="2"/>
        <v>2000000</v>
      </c>
      <c r="P28" s="35">
        <f t="shared" si="2"/>
        <v>2000000</v>
      </c>
    </row>
    <row r="29" spans="1:16" x14ac:dyDescent="0.3">
      <c r="B29" s="36" t="s">
        <v>23</v>
      </c>
      <c r="C29" s="36"/>
      <c r="D29" s="36"/>
      <c r="E29" s="36"/>
      <c r="F29" s="35">
        <f t="shared" ref="F29:P29" si="3">SUMIF($E$6:$E$23,$E$2,F6:F23)</f>
        <v>485000</v>
      </c>
      <c r="G29" s="35">
        <f t="shared" si="3"/>
        <v>326000</v>
      </c>
      <c r="H29" s="35">
        <f>SUMIF($E$6:$E$23,$E$2,H6:H23)</f>
        <v>2764000</v>
      </c>
      <c r="I29" s="35">
        <f t="shared" si="3"/>
        <v>5217500</v>
      </c>
      <c r="J29" s="35">
        <f t="shared" si="3"/>
        <v>2037500</v>
      </c>
      <c r="K29" s="35">
        <f t="shared" si="3"/>
        <v>500000</v>
      </c>
      <c r="L29" s="35">
        <f t="shared" si="3"/>
        <v>447000</v>
      </c>
      <c r="M29" s="35">
        <f t="shared" si="3"/>
        <v>467000</v>
      </c>
      <c r="N29" s="35">
        <f t="shared" si="3"/>
        <v>452000</v>
      </c>
      <c r="O29" s="35">
        <f t="shared" si="3"/>
        <v>312000</v>
      </c>
      <c r="P29" s="35">
        <f t="shared" si="3"/>
        <v>292000</v>
      </c>
    </row>
    <row r="30" spans="1:16" x14ac:dyDescent="0.3">
      <c r="B30" s="36" t="s">
        <v>1924</v>
      </c>
      <c r="C30" s="36"/>
      <c r="D30" s="36"/>
      <c r="E30" s="36"/>
      <c r="F30" s="32">
        <f t="shared" ref="F30:P30" si="4">SUMIF($E$6:$E$23,$E$3,F6:F23)</f>
        <v>0</v>
      </c>
      <c r="G30" s="32">
        <f t="shared" si="4"/>
        <v>0</v>
      </c>
      <c r="H30" s="32">
        <f t="shared" si="4"/>
        <v>0</v>
      </c>
      <c r="I30" s="32">
        <f t="shared" si="4"/>
        <v>0</v>
      </c>
      <c r="J30" s="32">
        <f t="shared" si="4"/>
        <v>0</v>
      </c>
      <c r="K30" s="32">
        <f t="shared" si="4"/>
        <v>0</v>
      </c>
      <c r="L30" s="32">
        <f t="shared" si="4"/>
        <v>0</v>
      </c>
      <c r="M30" s="32">
        <f t="shared" si="4"/>
        <v>0</v>
      </c>
      <c r="N30" s="32">
        <f t="shared" si="4"/>
        <v>0</v>
      </c>
      <c r="O30" s="32">
        <f t="shared" si="4"/>
        <v>0</v>
      </c>
      <c r="P30" s="32">
        <f t="shared" si="4"/>
        <v>0</v>
      </c>
    </row>
    <row r="31" spans="1:16" x14ac:dyDescent="0.3">
      <c r="B31" s="37" t="s">
        <v>2129</v>
      </c>
      <c r="C31" s="37"/>
      <c r="D31" s="37"/>
      <c r="E31" s="37"/>
      <c r="F31" s="38">
        <f t="shared" ref="F31:P31" si="5">SUM(F28:F30)</f>
        <v>2485000</v>
      </c>
      <c r="G31" s="38">
        <f t="shared" si="5"/>
        <v>326000</v>
      </c>
      <c r="H31" s="38">
        <f t="shared" si="5"/>
        <v>4664000</v>
      </c>
      <c r="I31" s="38">
        <f t="shared" si="5"/>
        <v>7117500</v>
      </c>
      <c r="J31" s="38">
        <f t="shared" si="5"/>
        <v>4037500</v>
      </c>
      <c r="K31" s="38">
        <f t="shared" si="5"/>
        <v>2500000</v>
      </c>
      <c r="L31" s="38">
        <f t="shared" si="5"/>
        <v>2447000</v>
      </c>
      <c r="M31" s="38">
        <f t="shared" si="5"/>
        <v>2467000</v>
      </c>
      <c r="N31" s="38">
        <f t="shared" si="5"/>
        <v>2452000</v>
      </c>
      <c r="O31" s="38">
        <f t="shared" si="5"/>
        <v>2312000</v>
      </c>
      <c r="P31" s="38">
        <f t="shared" si="5"/>
        <v>2292000</v>
      </c>
    </row>
    <row r="32" spans="1:16" x14ac:dyDescent="0.3">
      <c r="B32" s="39"/>
      <c r="C32" s="39"/>
      <c r="D32" s="39"/>
      <c r="E32" s="39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</row>
    <row r="33" spans="1:17" x14ac:dyDescent="0.3">
      <c r="A33" s="41"/>
      <c r="B33" s="42" t="s">
        <v>1906</v>
      </c>
      <c r="C33" s="42"/>
      <c r="D33" s="42"/>
      <c r="E33" s="43"/>
      <c r="F33" s="1" t="s">
        <v>1656</v>
      </c>
      <c r="G33" s="1" t="s">
        <v>1657</v>
      </c>
      <c r="H33" s="1" t="s">
        <v>1658</v>
      </c>
      <c r="I33" s="1" t="s">
        <v>1659</v>
      </c>
      <c r="J33" s="1" t="s">
        <v>1660</v>
      </c>
      <c r="K33" s="1" t="s">
        <v>1661</v>
      </c>
      <c r="L33" s="1" t="s">
        <v>1662</v>
      </c>
      <c r="M33" s="1" t="s">
        <v>1663</v>
      </c>
      <c r="N33" s="1" t="s">
        <v>1664</v>
      </c>
      <c r="O33" s="1" t="s">
        <v>1665</v>
      </c>
    </row>
    <row r="34" spans="1:17" x14ac:dyDescent="0.3">
      <c r="A34" s="44"/>
      <c r="B34" s="45" t="s">
        <v>1907</v>
      </c>
      <c r="C34" s="45"/>
      <c r="D34" s="45"/>
      <c r="E34" s="46"/>
      <c r="F34" s="47">
        <f>F28</f>
        <v>2000000</v>
      </c>
      <c r="G34" s="47">
        <f t="shared" ref="G34:O34" si="6">G28</f>
        <v>0</v>
      </c>
      <c r="H34" s="47">
        <f t="shared" si="6"/>
        <v>1900000</v>
      </c>
      <c r="I34" s="47">
        <f t="shared" si="6"/>
        <v>1900000</v>
      </c>
      <c r="J34" s="47">
        <f t="shared" si="6"/>
        <v>2000000</v>
      </c>
      <c r="K34" s="47">
        <f t="shared" si="6"/>
        <v>2000000</v>
      </c>
      <c r="L34" s="47">
        <f t="shared" si="6"/>
        <v>2000000</v>
      </c>
      <c r="M34" s="47">
        <f t="shared" si="6"/>
        <v>2000000</v>
      </c>
      <c r="N34" s="47">
        <f t="shared" si="6"/>
        <v>2000000</v>
      </c>
      <c r="O34" s="47">
        <f t="shared" si="6"/>
        <v>2000000</v>
      </c>
    </row>
    <row r="35" spans="1:17" x14ac:dyDescent="0.3">
      <c r="B35" s="30"/>
      <c r="C35" s="30"/>
      <c r="D35" s="30"/>
      <c r="E35" s="30"/>
      <c r="F35" s="17"/>
      <c r="G35" s="17"/>
    </row>
    <row r="36" spans="1:17" s="49" customFormat="1" x14ac:dyDescent="0.3">
      <c r="B36" s="11"/>
      <c r="C36" s="11"/>
      <c r="D36" s="11"/>
      <c r="E36" s="11"/>
      <c r="F36" s="48"/>
      <c r="G36" s="48"/>
    </row>
    <row r="37" spans="1:17" s="14" customFormat="1" x14ac:dyDescent="0.3">
      <c r="B37" s="1" t="s">
        <v>24</v>
      </c>
      <c r="C37" s="15" t="s">
        <v>1594</v>
      </c>
      <c r="D37" s="1308" t="s">
        <v>1573</v>
      </c>
      <c r="E37" s="15"/>
      <c r="F37" s="15">
        <v>2015</v>
      </c>
      <c r="G37" s="15">
        <v>2016</v>
      </c>
      <c r="H37" s="15">
        <v>2017</v>
      </c>
      <c r="I37" s="15">
        <v>2018</v>
      </c>
      <c r="J37" s="15">
        <v>2019</v>
      </c>
      <c r="K37" s="15">
        <v>2020</v>
      </c>
      <c r="L37" s="15">
        <v>2021</v>
      </c>
      <c r="M37" s="15">
        <v>2022</v>
      </c>
      <c r="N37" s="15">
        <v>2023</v>
      </c>
      <c r="O37" s="15">
        <v>2024</v>
      </c>
      <c r="P37" s="15">
        <v>2025</v>
      </c>
    </row>
    <row r="38" spans="1:17" x14ac:dyDescent="0.3">
      <c r="B38" s="33"/>
      <c r="C38" s="15" t="s">
        <v>1593</v>
      </c>
      <c r="D38" s="1308"/>
      <c r="E38" s="15" t="s">
        <v>18</v>
      </c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17" x14ac:dyDescent="0.3">
      <c r="B39" s="71" t="s">
        <v>323</v>
      </c>
      <c r="C39" s="20" t="s">
        <v>1591</v>
      </c>
      <c r="D39" s="20" t="s">
        <v>1497</v>
      </c>
      <c r="E39" s="20" t="s">
        <v>19</v>
      </c>
      <c r="F39" s="21">
        <v>100000</v>
      </c>
      <c r="G39" s="21">
        <v>50000</v>
      </c>
      <c r="H39" s="21">
        <v>50000</v>
      </c>
      <c r="I39" s="21">
        <v>50000</v>
      </c>
      <c r="J39" s="21">
        <v>50000</v>
      </c>
      <c r="K39" s="21">
        <v>50000</v>
      </c>
      <c r="L39" s="21">
        <v>50000</v>
      </c>
      <c r="M39" s="21">
        <v>50000</v>
      </c>
      <c r="N39" s="21">
        <v>50000</v>
      </c>
      <c r="O39" s="21">
        <v>50000</v>
      </c>
      <c r="P39" s="21">
        <v>50000</v>
      </c>
    </row>
    <row r="40" spans="1:17" x14ac:dyDescent="0.3">
      <c r="B40" s="71" t="s">
        <v>326</v>
      </c>
      <c r="C40" s="20" t="s">
        <v>1591</v>
      </c>
      <c r="D40" s="20" t="s">
        <v>1497</v>
      </c>
      <c r="E40" s="20" t="s">
        <v>19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20000</v>
      </c>
      <c r="L40" s="21">
        <v>0</v>
      </c>
      <c r="M40" s="21">
        <v>0</v>
      </c>
      <c r="N40" s="21">
        <v>100000</v>
      </c>
      <c r="O40" s="21">
        <v>0</v>
      </c>
      <c r="P40" s="21">
        <v>0</v>
      </c>
    </row>
    <row r="41" spans="1:17" x14ac:dyDescent="0.3">
      <c r="B41" s="71" t="s">
        <v>322</v>
      </c>
      <c r="C41" s="20" t="s">
        <v>1592</v>
      </c>
      <c r="D41" s="20" t="s">
        <v>1497</v>
      </c>
      <c r="E41" s="20" t="s">
        <v>19</v>
      </c>
      <c r="F41" s="21">
        <v>0</v>
      </c>
      <c r="G41" s="21">
        <v>100000</v>
      </c>
      <c r="H41" s="21">
        <v>100000</v>
      </c>
      <c r="I41" s="21">
        <v>100000</v>
      </c>
      <c r="J41" s="21">
        <v>100000</v>
      </c>
      <c r="K41" s="21">
        <v>100000</v>
      </c>
      <c r="L41" s="21">
        <v>100000</v>
      </c>
      <c r="M41" s="21">
        <v>100000</v>
      </c>
      <c r="N41" s="21">
        <v>100000</v>
      </c>
      <c r="O41" s="21">
        <v>100000</v>
      </c>
      <c r="P41" s="21">
        <v>100000</v>
      </c>
    </row>
    <row r="42" spans="1:17" x14ac:dyDescent="0.3">
      <c r="B42" s="71" t="s">
        <v>341</v>
      </c>
      <c r="C42" s="20" t="s">
        <v>1591</v>
      </c>
      <c r="D42" s="20" t="s">
        <v>1497</v>
      </c>
      <c r="E42" s="20" t="s">
        <v>19</v>
      </c>
      <c r="F42" s="21">
        <v>40000</v>
      </c>
      <c r="G42" s="21">
        <v>0</v>
      </c>
      <c r="H42" s="21">
        <v>100000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</row>
    <row r="43" spans="1:17" x14ac:dyDescent="0.3">
      <c r="B43" s="71" t="s">
        <v>336</v>
      </c>
      <c r="C43" s="20" t="s">
        <v>1592</v>
      </c>
      <c r="D43" s="20" t="s">
        <v>1497</v>
      </c>
      <c r="E43" s="20" t="s">
        <v>19</v>
      </c>
      <c r="F43" s="21">
        <v>0</v>
      </c>
      <c r="G43" s="21">
        <v>380000</v>
      </c>
      <c r="H43" s="21">
        <v>500000</v>
      </c>
      <c r="I43" s="21">
        <v>500000</v>
      </c>
      <c r="J43" s="21">
        <v>500000</v>
      </c>
      <c r="K43" s="21">
        <v>500000</v>
      </c>
      <c r="L43" s="21">
        <v>500000</v>
      </c>
      <c r="M43" s="21">
        <v>500000</v>
      </c>
      <c r="N43" s="21">
        <v>500000</v>
      </c>
      <c r="O43" s="21">
        <v>500000</v>
      </c>
      <c r="P43" s="21">
        <v>500000</v>
      </c>
    </row>
    <row r="44" spans="1:17" x14ac:dyDescent="0.3">
      <c r="B44" s="19" t="s">
        <v>2302</v>
      </c>
      <c r="C44" s="20" t="s">
        <v>1591</v>
      </c>
      <c r="D44" s="20" t="s">
        <v>1497</v>
      </c>
      <c r="E44" s="20" t="s">
        <v>19</v>
      </c>
      <c r="F44" s="21"/>
      <c r="G44" s="21"/>
      <c r="H44" s="21"/>
      <c r="I44" s="21"/>
      <c r="J44" s="21"/>
      <c r="K44" s="21"/>
      <c r="L44" s="21"/>
      <c r="M44" s="21">
        <v>50000</v>
      </c>
      <c r="N44" s="23">
        <v>50000</v>
      </c>
      <c r="O44" s="23">
        <v>50000</v>
      </c>
      <c r="P44" s="21">
        <v>50000</v>
      </c>
      <c r="Q44" s="50"/>
    </row>
    <row r="45" spans="1:17" x14ac:dyDescent="0.3">
      <c r="B45" s="22"/>
      <c r="C45" s="20" t="s">
        <v>1592</v>
      </c>
      <c r="D45" s="20" t="s">
        <v>1497</v>
      </c>
      <c r="E45" s="20" t="s">
        <v>19</v>
      </c>
      <c r="F45" s="21"/>
      <c r="G45" s="21"/>
      <c r="H45" s="21"/>
      <c r="I45" s="21"/>
      <c r="J45" s="21"/>
      <c r="K45" s="21"/>
      <c r="L45" s="21"/>
      <c r="M45" s="21"/>
      <c r="N45" s="23"/>
      <c r="O45" s="23"/>
      <c r="P45" s="21"/>
      <c r="Q45" s="50"/>
    </row>
    <row r="46" spans="1:17" x14ac:dyDescent="0.3">
      <c r="B46" s="22"/>
      <c r="C46" s="20" t="s">
        <v>1592</v>
      </c>
      <c r="D46" s="20" t="s">
        <v>1497</v>
      </c>
      <c r="E46" s="20" t="s">
        <v>19</v>
      </c>
      <c r="F46" s="21"/>
      <c r="G46" s="21"/>
      <c r="H46" s="21"/>
      <c r="I46" s="21"/>
      <c r="J46" s="21"/>
      <c r="K46" s="21"/>
      <c r="L46" s="21"/>
      <c r="M46" s="21"/>
      <c r="N46" s="23"/>
      <c r="O46" s="23"/>
      <c r="P46" s="21"/>
      <c r="Q46" s="50"/>
    </row>
    <row r="47" spans="1:17" x14ac:dyDescent="0.3">
      <c r="B47" s="19"/>
      <c r="C47" s="20" t="s">
        <v>1592</v>
      </c>
      <c r="D47" s="20" t="s">
        <v>1497</v>
      </c>
      <c r="E47" s="20" t="s">
        <v>19</v>
      </c>
      <c r="F47" s="21"/>
      <c r="G47" s="21"/>
      <c r="H47" s="21"/>
      <c r="I47" s="21"/>
      <c r="J47" s="21"/>
      <c r="K47" s="21"/>
      <c r="L47" s="21"/>
      <c r="M47" s="21"/>
      <c r="N47" s="23"/>
      <c r="O47" s="23"/>
      <c r="P47" s="21"/>
      <c r="Q47" s="50"/>
    </row>
    <row r="48" spans="1:17" x14ac:dyDescent="0.3">
      <c r="B48" s="19"/>
      <c r="C48" s="20" t="s">
        <v>1592</v>
      </c>
      <c r="D48" s="20" t="s">
        <v>1497</v>
      </c>
      <c r="E48" s="20" t="s">
        <v>19</v>
      </c>
      <c r="F48" s="21"/>
      <c r="G48" s="21"/>
      <c r="H48" s="21"/>
      <c r="I48" s="21"/>
      <c r="J48" s="21"/>
      <c r="K48" s="21"/>
      <c r="L48" s="21"/>
      <c r="M48" s="21"/>
      <c r="N48" s="23"/>
      <c r="O48" s="23"/>
      <c r="P48" s="21"/>
      <c r="Q48" s="50"/>
    </row>
    <row r="49" spans="2:17" x14ac:dyDescent="0.3">
      <c r="B49" s="19"/>
      <c r="C49" s="20" t="s">
        <v>1592</v>
      </c>
      <c r="D49" s="20" t="s">
        <v>1497</v>
      </c>
      <c r="E49" s="20" t="s">
        <v>19</v>
      </c>
      <c r="F49" s="21"/>
      <c r="G49" s="21"/>
      <c r="H49" s="21"/>
      <c r="I49" s="21"/>
      <c r="J49" s="21"/>
      <c r="K49" s="21"/>
      <c r="L49" s="21"/>
      <c r="M49" s="21"/>
      <c r="N49" s="23"/>
      <c r="O49" s="23"/>
      <c r="P49" s="21"/>
      <c r="Q49" s="50"/>
    </row>
    <row r="50" spans="2:17" x14ac:dyDescent="0.3">
      <c r="B50" s="19"/>
      <c r="C50" s="20" t="s">
        <v>1592</v>
      </c>
      <c r="D50" s="20" t="s">
        <v>1497</v>
      </c>
      <c r="E50" s="20" t="s">
        <v>19</v>
      </c>
      <c r="F50" s="21"/>
      <c r="G50" s="21"/>
      <c r="H50" s="21"/>
      <c r="I50" s="21"/>
      <c r="J50" s="21"/>
      <c r="K50" s="21"/>
      <c r="L50" s="21"/>
      <c r="M50" s="21"/>
      <c r="N50" s="23"/>
      <c r="O50" s="23"/>
      <c r="P50" s="21"/>
      <c r="Q50" s="50"/>
    </row>
    <row r="51" spans="2:17" x14ac:dyDescent="0.3">
      <c r="B51" s="19"/>
      <c r="C51" s="20" t="s">
        <v>1592</v>
      </c>
      <c r="D51" s="20" t="s">
        <v>1497</v>
      </c>
      <c r="E51" s="20" t="s">
        <v>19</v>
      </c>
      <c r="F51" s="21"/>
      <c r="G51" s="21"/>
      <c r="H51" s="21"/>
      <c r="I51" s="21"/>
      <c r="J51" s="21"/>
      <c r="K51" s="21"/>
      <c r="L51" s="21"/>
      <c r="M51" s="21"/>
      <c r="N51" s="23"/>
      <c r="O51" s="23"/>
      <c r="P51" s="21"/>
      <c r="Q51" s="50"/>
    </row>
    <row r="52" spans="2:17" x14ac:dyDescent="0.3">
      <c r="B52" s="19"/>
      <c r="C52" s="20" t="s">
        <v>1592</v>
      </c>
      <c r="D52" s="20" t="s">
        <v>1497</v>
      </c>
      <c r="E52" s="20" t="s">
        <v>19</v>
      </c>
      <c r="F52" s="21"/>
      <c r="G52" s="21"/>
      <c r="H52" s="21"/>
      <c r="I52" s="21"/>
      <c r="J52" s="21"/>
      <c r="K52" s="21"/>
      <c r="L52" s="21"/>
      <c r="M52" s="21"/>
      <c r="N52" s="23"/>
      <c r="O52" s="23"/>
      <c r="P52" s="21"/>
      <c r="Q52" s="50"/>
    </row>
    <row r="53" spans="2:17" x14ac:dyDescent="0.3">
      <c r="B53" s="51"/>
      <c r="C53" s="20" t="s">
        <v>1592</v>
      </c>
      <c r="D53" s="20" t="s">
        <v>1497</v>
      </c>
      <c r="E53" s="20" t="s">
        <v>19</v>
      </c>
      <c r="F53" s="21"/>
      <c r="G53" s="21"/>
      <c r="H53" s="21"/>
      <c r="I53" s="21"/>
      <c r="J53" s="21"/>
      <c r="K53" s="21"/>
      <c r="L53" s="21"/>
      <c r="M53" s="21"/>
      <c r="N53" s="23"/>
      <c r="O53" s="23"/>
      <c r="P53" s="21"/>
      <c r="Q53" s="50"/>
    </row>
    <row r="54" spans="2:17" x14ac:dyDescent="0.3">
      <c r="B54" s="51"/>
      <c r="C54" s="20" t="s">
        <v>1592</v>
      </c>
      <c r="D54" s="20" t="s">
        <v>1497</v>
      </c>
      <c r="E54" s="20" t="s">
        <v>19</v>
      </c>
      <c r="F54" s="21"/>
      <c r="G54" s="21"/>
      <c r="H54" s="21"/>
      <c r="I54" s="21"/>
      <c r="J54" s="21"/>
      <c r="K54" s="21"/>
      <c r="L54" s="21"/>
      <c r="M54" s="21"/>
      <c r="N54" s="23"/>
      <c r="O54" s="23"/>
      <c r="P54" s="21"/>
      <c r="Q54" s="50"/>
    </row>
    <row r="55" spans="2:17" x14ac:dyDescent="0.3">
      <c r="B55" s="22"/>
      <c r="C55" s="20" t="s">
        <v>1592</v>
      </c>
      <c r="D55" s="20" t="s">
        <v>1497</v>
      </c>
      <c r="E55" s="20" t="s">
        <v>19</v>
      </c>
      <c r="F55" s="21"/>
      <c r="G55" s="21"/>
      <c r="H55" s="21"/>
      <c r="I55" s="21"/>
      <c r="J55" s="21"/>
      <c r="K55" s="21"/>
      <c r="L55" s="21"/>
      <c r="M55" s="21"/>
      <c r="N55" s="23"/>
      <c r="O55" s="23"/>
      <c r="P55" s="21"/>
      <c r="Q55" s="50"/>
    </row>
    <row r="56" spans="2:17" x14ac:dyDescent="0.3">
      <c r="B56" s="22"/>
      <c r="C56" s="20" t="s">
        <v>1592</v>
      </c>
      <c r="D56" s="20" t="s">
        <v>1497</v>
      </c>
      <c r="E56" s="20" t="s">
        <v>19</v>
      </c>
      <c r="F56" s="21"/>
      <c r="G56" s="21"/>
      <c r="H56" s="21"/>
      <c r="I56" s="21"/>
      <c r="J56" s="21"/>
      <c r="K56" s="21"/>
      <c r="L56" s="21"/>
      <c r="M56" s="21"/>
      <c r="N56" s="23"/>
      <c r="O56" s="23"/>
      <c r="P56" s="21"/>
      <c r="Q56" s="50"/>
    </row>
    <row r="57" spans="2:17" x14ac:dyDescent="0.3">
      <c r="B57" s="22"/>
      <c r="C57" s="20" t="s">
        <v>1592</v>
      </c>
      <c r="D57" s="20" t="s">
        <v>1497</v>
      </c>
      <c r="E57" s="20" t="s">
        <v>19</v>
      </c>
      <c r="F57" s="21"/>
      <c r="G57" s="21"/>
      <c r="H57" s="21"/>
      <c r="I57" s="21"/>
      <c r="J57" s="21"/>
      <c r="K57" s="21"/>
      <c r="L57" s="21"/>
      <c r="M57" s="21"/>
      <c r="N57" s="23"/>
      <c r="O57" s="23"/>
      <c r="P57" s="21"/>
      <c r="Q57" s="50"/>
    </row>
    <row r="58" spans="2:17" s="28" customFormat="1" x14ac:dyDescent="0.3">
      <c r="B58" s="22"/>
      <c r="C58" s="20" t="s">
        <v>1592</v>
      </c>
      <c r="D58" s="20" t="s">
        <v>1497</v>
      </c>
      <c r="E58" s="20" t="s">
        <v>19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0"/>
    </row>
    <row r="59" spans="2:17" x14ac:dyDescent="0.3">
      <c r="B59" s="22"/>
      <c r="C59" s="20" t="s">
        <v>1592</v>
      </c>
      <c r="D59" s="20" t="s">
        <v>1497</v>
      </c>
      <c r="E59" s="20" t="s">
        <v>19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1"/>
      <c r="Q59" s="50"/>
    </row>
    <row r="60" spans="2:17" s="28" customFormat="1" x14ac:dyDescent="0.3">
      <c r="B60" s="24" t="s">
        <v>25</v>
      </c>
      <c r="C60" s="24"/>
      <c r="D60" s="24"/>
      <c r="E60" s="25"/>
      <c r="F60" s="53">
        <f t="shared" ref="F60:P60" si="7">SUM(F39:F59)</f>
        <v>140000</v>
      </c>
      <c r="G60" s="53">
        <f t="shared" si="7"/>
        <v>530000</v>
      </c>
      <c r="H60" s="53">
        <f t="shared" si="7"/>
        <v>750000</v>
      </c>
      <c r="I60" s="53">
        <f t="shared" si="7"/>
        <v>650000</v>
      </c>
      <c r="J60" s="53">
        <f t="shared" si="7"/>
        <v>650000</v>
      </c>
      <c r="K60" s="53">
        <f t="shared" si="7"/>
        <v>670000</v>
      </c>
      <c r="L60" s="53">
        <f t="shared" si="7"/>
        <v>650000</v>
      </c>
      <c r="M60" s="53">
        <f t="shared" si="7"/>
        <v>700000</v>
      </c>
      <c r="N60" s="53">
        <f t="shared" si="7"/>
        <v>800000</v>
      </c>
      <c r="O60" s="53">
        <f t="shared" si="7"/>
        <v>700000</v>
      </c>
      <c r="P60" s="53">
        <f t="shared" si="7"/>
        <v>700000</v>
      </c>
      <c r="Q60" s="50"/>
    </row>
    <row r="61" spans="2:17" s="28" customFormat="1" x14ac:dyDescent="0.3">
      <c r="B61" s="54" t="s">
        <v>26</v>
      </c>
      <c r="C61" s="54"/>
      <c r="D61" s="54"/>
      <c r="E61" s="29"/>
      <c r="F61" s="53">
        <f>F60</f>
        <v>140000</v>
      </c>
      <c r="G61" s="53">
        <f t="shared" ref="G61:P61" si="8">G60</f>
        <v>530000</v>
      </c>
      <c r="H61" s="53">
        <f t="shared" si="8"/>
        <v>750000</v>
      </c>
      <c r="I61" s="53">
        <f t="shared" si="8"/>
        <v>650000</v>
      </c>
      <c r="J61" s="53">
        <f t="shared" si="8"/>
        <v>650000</v>
      </c>
      <c r="K61" s="53">
        <f t="shared" si="8"/>
        <v>670000</v>
      </c>
      <c r="L61" s="53">
        <f t="shared" si="8"/>
        <v>650000</v>
      </c>
      <c r="M61" s="53">
        <f t="shared" si="8"/>
        <v>700000</v>
      </c>
      <c r="N61" s="53">
        <f t="shared" si="8"/>
        <v>800000</v>
      </c>
      <c r="O61" s="53">
        <f t="shared" si="8"/>
        <v>700000</v>
      </c>
      <c r="P61" s="53">
        <f t="shared" si="8"/>
        <v>700000</v>
      </c>
      <c r="Q61" s="50"/>
    </row>
    <row r="62" spans="2:17" x14ac:dyDescent="0.3">
      <c r="B62" s="33"/>
      <c r="C62" s="33"/>
      <c r="D62" s="33"/>
      <c r="E62" s="33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</row>
    <row r="63" spans="2:17" x14ac:dyDescent="0.3">
      <c r="B63" s="1" t="s">
        <v>2131</v>
      </c>
      <c r="C63" s="1"/>
      <c r="D63" s="1"/>
      <c r="E63" s="1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</row>
    <row r="64" spans="2:17" x14ac:dyDescent="0.3">
      <c r="B64" s="34" t="s">
        <v>27</v>
      </c>
      <c r="C64" s="34"/>
      <c r="D64" s="34"/>
      <c r="E64" s="34"/>
      <c r="F64" s="35">
        <f t="shared" ref="F64:P64" si="9">SUMIF($E$39:$E$59,$E$1,F39:F59)</f>
        <v>0</v>
      </c>
      <c r="G64" s="35">
        <f t="shared" si="9"/>
        <v>0</v>
      </c>
      <c r="H64" s="35">
        <f t="shared" si="9"/>
        <v>0</v>
      </c>
      <c r="I64" s="35">
        <f t="shared" si="9"/>
        <v>0</v>
      </c>
      <c r="J64" s="35">
        <f t="shared" si="9"/>
        <v>0</v>
      </c>
      <c r="K64" s="35">
        <f t="shared" si="9"/>
        <v>0</v>
      </c>
      <c r="L64" s="35">
        <f t="shared" si="9"/>
        <v>0</v>
      </c>
      <c r="M64" s="35">
        <f t="shared" si="9"/>
        <v>0</v>
      </c>
      <c r="N64" s="35">
        <f t="shared" si="9"/>
        <v>0</v>
      </c>
      <c r="O64" s="35">
        <f t="shared" si="9"/>
        <v>0</v>
      </c>
      <c r="P64" s="35">
        <f t="shared" si="9"/>
        <v>0</v>
      </c>
    </row>
    <row r="65" spans="1:17" x14ac:dyDescent="0.3">
      <c r="B65" s="36" t="s">
        <v>23</v>
      </c>
      <c r="C65" s="36"/>
      <c r="D65" s="36"/>
      <c r="E65" s="36"/>
      <c r="F65" s="35">
        <f t="shared" ref="F65:P65" si="10">SUMIF($E$39:$E$59,$E$2,F39:F59)</f>
        <v>140000</v>
      </c>
      <c r="G65" s="35">
        <f t="shared" si="10"/>
        <v>530000</v>
      </c>
      <c r="H65" s="35">
        <f t="shared" si="10"/>
        <v>750000</v>
      </c>
      <c r="I65" s="35">
        <f t="shared" si="10"/>
        <v>650000</v>
      </c>
      <c r="J65" s="35">
        <f t="shared" si="10"/>
        <v>650000</v>
      </c>
      <c r="K65" s="35">
        <f t="shared" si="10"/>
        <v>670000</v>
      </c>
      <c r="L65" s="35">
        <f t="shared" si="10"/>
        <v>650000</v>
      </c>
      <c r="M65" s="35">
        <f t="shared" si="10"/>
        <v>700000</v>
      </c>
      <c r="N65" s="35">
        <f t="shared" si="10"/>
        <v>800000</v>
      </c>
      <c r="O65" s="35">
        <f t="shared" si="10"/>
        <v>700000</v>
      </c>
      <c r="P65" s="35">
        <f t="shared" si="10"/>
        <v>700000</v>
      </c>
    </row>
    <row r="66" spans="1:17" x14ac:dyDescent="0.3">
      <c r="B66" s="36" t="s">
        <v>1924</v>
      </c>
      <c r="C66" s="36"/>
      <c r="D66" s="36"/>
      <c r="E66" s="36"/>
      <c r="F66" s="35">
        <f t="shared" ref="F66:P66" si="11">SUMIF($E$39:$E$59,$E$3,F39:F59)</f>
        <v>0</v>
      </c>
      <c r="G66" s="35">
        <f t="shared" si="11"/>
        <v>0</v>
      </c>
      <c r="H66" s="35">
        <f t="shared" si="11"/>
        <v>0</v>
      </c>
      <c r="I66" s="35">
        <f t="shared" si="11"/>
        <v>0</v>
      </c>
      <c r="J66" s="35">
        <f t="shared" si="11"/>
        <v>0</v>
      </c>
      <c r="K66" s="35">
        <f t="shared" si="11"/>
        <v>0</v>
      </c>
      <c r="L66" s="35">
        <f t="shared" si="11"/>
        <v>0</v>
      </c>
      <c r="M66" s="35">
        <f t="shared" si="11"/>
        <v>0</v>
      </c>
      <c r="N66" s="35">
        <f t="shared" si="11"/>
        <v>0</v>
      </c>
      <c r="O66" s="35">
        <f t="shared" si="11"/>
        <v>0</v>
      </c>
      <c r="P66" s="35">
        <f t="shared" si="11"/>
        <v>0</v>
      </c>
    </row>
    <row r="67" spans="1:17" x14ac:dyDescent="0.3">
      <c r="B67" s="37" t="s">
        <v>2132</v>
      </c>
      <c r="C67" s="37"/>
      <c r="D67" s="37"/>
      <c r="E67" s="37"/>
      <c r="F67" s="56">
        <f t="shared" ref="F67:P67" si="12">SUM(F64:F66)</f>
        <v>140000</v>
      </c>
      <c r="G67" s="56">
        <f t="shared" si="12"/>
        <v>530000</v>
      </c>
      <c r="H67" s="56">
        <f t="shared" si="12"/>
        <v>750000</v>
      </c>
      <c r="I67" s="56">
        <f t="shared" si="12"/>
        <v>650000</v>
      </c>
      <c r="J67" s="56">
        <f t="shared" si="12"/>
        <v>650000</v>
      </c>
      <c r="K67" s="56">
        <f t="shared" si="12"/>
        <v>670000</v>
      </c>
      <c r="L67" s="56">
        <f t="shared" si="12"/>
        <v>650000</v>
      </c>
      <c r="M67" s="56">
        <f t="shared" si="12"/>
        <v>700000</v>
      </c>
      <c r="N67" s="56">
        <f t="shared" si="12"/>
        <v>800000</v>
      </c>
      <c r="O67" s="56">
        <f t="shared" si="12"/>
        <v>700000</v>
      </c>
      <c r="P67" s="56">
        <f t="shared" si="12"/>
        <v>700000</v>
      </c>
    </row>
    <row r="68" spans="1:17" x14ac:dyDescent="0.3">
      <c r="A68" s="44"/>
      <c r="B68" s="46"/>
      <c r="C68" s="46"/>
      <c r="D68" s="46"/>
      <c r="E68" s="46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</row>
    <row r="69" spans="1:17" ht="14.25" customHeight="1" x14ac:dyDescent="0.3">
      <c r="A69" s="41"/>
      <c r="B69" s="43"/>
      <c r="C69" s="43"/>
      <c r="D69" s="43"/>
      <c r="E69" s="43"/>
      <c r="F69" s="1" t="s">
        <v>1667</v>
      </c>
      <c r="G69" s="1" t="s">
        <v>1668</v>
      </c>
      <c r="H69" s="1" t="s">
        <v>1669</v>
      </c>
      <c r="I69" s="1" t="s">
        <v>1670</v>
      </c>
      <c r="J69" s="1" t="s">
        <v>1671</v>
      </c>
      <c r="K69" s="1" t="s">
        <v>1672</v>
      </c>
      <c r="L69" s="1" t="s">
        <v>1673</v>
      </c>
      <c r="M69" s="1" t="s">
        <v>1674</v>
      </c>
      <c r="N69" s="1" t="s">
        <v>1675</v>
      </c>
      <c r="O69" s="1" t="s">
        <v>1676</v>
      </c>
      <c r="P69" s="57"/>
    </row>
    <row r="70" spans="1:17" x14ac:dyDescent="0.3">
      <c r="A70" s="44"/>
      <c r="B70" s="45" t="s">
        <v>1908</v>
      </c>
      <c r="C70" s="45"/>
      <c r="D70" s="45"/>
      <c r="E70" s="46"/>
      <c r="F70" s="47">
        <f t="shared" ref="F70:O70" si="13">F64</f>
        <v>0</v>
      </c>
      <c r="G70" s="47">
        <f t="shared" si="13"/>
        <v>0</v>
      </c>
      <c r="H70" s="47">
        <f t="shared" si="13"/>
        <v>0</v>
      </c>
      <c r="I70" s="47">
        <f t="shared" si="13"/>
        <v>0</v>
      </c>
      <c r="J70" s="47">
        <f t="shared" si="13"/>
        <v>0</v>
      </c>
      <c r="K70" s="47">
        <f t="shared" si="13"/>
        <v>0</v>
      </c>
      <c r="L70" s="47">
        <f t="shared" si="13"/>
        <v>0</v>
      </c>
      <c r="M70" s="47">
        <f t="shared" si="13"/>
        <v>0</v>
      </c>
      <c r="N70" s="47">
        <f t="shared" si="13"/>
        <v>0</v>
      </c>
      <c r="O70" s="47">
        <f t="shared" si="13"/>
        <v>0</v>
      </c>
      <c r="P70" s="57"/>
    </row>
    <row r="72" spans="1:17" s="14" customFormat="1" x14ac:dyDescent="0.3">
      <c r="B72" s="1" t="s">
        <v>358</v>
      </c>
      <c r="C72" s="15" t="s">
        <v>1594</v>
      </c>
      <c r="D72" s="1308" t="s">
        <v>1573</v>
      </c>
      <c r="E72" s="15"/>
      <c r="F72" s="15">
        <v>2015</v>
      </c>
      <c r="G72" s="15">
        <v>2016</v>
      </c>
      <c r="H72" s="15">
        <v>2017</v>
      </c>
      <c r="I72" s="15">
        <v>2018</v>
      </c>
      <c r="J72" s="15">
        <v>2019</v>
      </c>
      <c r="K72" s="15">
        <v>2020</v>
      </c>
      <c r="L72" s="15">
        <v>2021</v>
      </c>
      <c r="M72" s="15">
        <v>2022</v>
      </c>
      <c r="N72" s="15">
        <v>2023</v>
      </c>
      <c r="O72" s="15">
        <v>2024</v>
      </c>
      <c r="P72" s="15">
        <v>2025</v>
      </c>
    </row>
    <row r="73" spans="1:17" x14ac:dyDescent="0.3">
      <c r="B73" s="33"/>
      <c r="C73" s="15" t="s">
        <v>1593</v>
      </c>
      <c r="D73" s="1308"/>
      <c r="E73" s="15" t="s">
        <v>18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</row>
    <row r="74" spans="1:17" x14ac:dyDescent="0.3">
      <c r="B74" s="71" t="s">
        <v>324</v>
      </c>
      <c r="C74" s="20" t="s">
        <v>358</v>
      </c>
      <c r="D74" s="20" t="s">
        <v>1497</v>
      </c>
      <c r="E74" s="20" t="s">
        <v>19</v>
      </c>
      <c r="F74" s="21">
        <v>0</v>
      </c>
      <c r="G74" s="21">
        <v>1739127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</row>
    <row r="75" spans="1:17" x14ac:dyDescent="0.3">
      <c r="B75" s="71" t="s">
        <v>327</v>
      </c>
      <c r="C75" s="20" t="s">
        <v>358</v>
      </c>
      <c r="D75" s="20" t="s">
        <v>1497</v>
      </c>
      <c r="E75" s="20" t="s">
        <v>1655</v>
      </c>
      <c r="F75" s="21"/>
      <c r="G75" s="21">
        <v>0</v>
      </c>
      <c r="H75" s="21">
        <v>3245400</v>
      </c>
      <c r="I75" s="21">
        <v>3750000</v>
      </c>
      <c r="J75" s="21">
        <v>1000000</v>
      </c>
      <c r="K75" s="21">
        <v>500000</v>
      </c>
      <c r="L75" s="21">
        <v>600000</v>
      </c>
      <c r="M75" s="21"/>
      <c r="N75" s="21">
        <v>2000000</v>
      </c>
      <c r="O75" s="21">
        <v>0</v>
      </c>
      <c r="P75" s="21">
        <v>0</v>
      </c>
    </row>
    <row r="76" spans="1:17" x14ac:dyDescent="0.3">
      <c r="B76" s="711" t="s">
        <v>334</v>
      </c>
      <c r="C76" s="20" t="s">
        <v>358</v>
      </c>
      <c r="D76" s="20" t="s">
        <v>1497</v>
      </c>
      <c r="E76" s="20" t="s">
        <v>19</v>
      </c>
      <c r="F76" s="21">
        <v>200000</v>
      </c>
      <c r="G76" s="21">
        <v>250000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</row>
    <row r="77" spans="1:17" x14ac:dyDescent="0.3">
      <c r="B77" s="71" t="s">
        <v>333</v>
      </c>
      <c r="C77" s="20" t="s">
        <v>358</v>
      </c>
      <c r="D77" s="20" t="s">
        <v>1497</v>
      </c>
      <c r="E77" s="20" t="s">
        <v>19</v>
      </c>
      <c r="F77" s="21">
        <v>300000</v>
      </c>
      <c r="G77" s="21">
        <v>300000</v>
      </c>
      <c r="H77" s="21">
        <v>500000</v>
      </c>
      <c r="I77" s="21">
        <v>500000</v>
      </c>
      <c r="J77" s="21">
        <v>500000</v>
      </c>
      <c r="K77" s="21">
        <v>500000</v>
      </c>
      <c r="L77" s="21">
        <v>500000</v>
      </c>
      <c r="M77" s="21">
        <v>500000</v>
      </c>
      <c r="N77" s="21">
        <v>500000</v>
      </c>
      <c r="O77" s="21">
        <v>500000</v>
      </c>
      <c r="P77" s="21">
        <v>500000</v>
      </c>
      <c r="Q77" s="50"/>
    </row>
    <row r="78" spans="1:17" x14ac:dyDescent="0.3">
      <c r="B78" s="19" t="s">
        <v>325</v>
      </c>
      <c r="C78" s="20" t="s">
        <v>358</v>
      </c>
      <c r="D78" s="20" t="s">
        <v>1497</v>
      </c>
      <c r="E78" s="20" t="s">
        <v>19</v>
      </c>
      <c r="F78" s="21"/>
      <c r="G78" s="21">
        <v>300000</v>
      </c>
      <c r="H78" s="21"/>
      <c r="I78" s="21"/>
      <c r="J78" s="21"/>
      <c r="K78" s="21"/>
      <c r="L78" s="21"/>
      <c r="M78" s="21"/>
      <c r="N78" s="23"/>
      <c r="O78" s="23"/>
      <c r="P78" s="21"/>
      <c r="Q78" s="50"/>
    </row>
    <row r="79" spans="1:17" x14ac:dyDescent="0.3">
      <c r="B79" s="22"/>
      <c r="C79" s="20" t="s">
        <v>358</v>
      </c>
      <c r="D79" s="20" t="s">
        <v>1497</v>
      </c>
      <c r="E79" s="20" t="s">
        <v>1655</v>
      </c>
      <c r="F79" s="21"/>
      <c r="G79" s="21"/>
      <c r="H79" s="21"/>
      <c r="I79" s="21"/>
      <c r="J79" s="21"/>
      <c r="K79" s="21"/>
      <c r="L79" s="21"/>
      <c r="M79" s="21"/>
      <c r="N79" s="23"/>
      <c r="O79" s="23"/>
      <c r="P79" s="21"/>
      <c r="Q79" s="50"/>
    </row>
    <row r="80" spans="1:17" x14ac:dyDescent="0.3">
      <c r="B80" s="22"/>
      <c r="C80" s="20" t="s">
        <v>358</v>
      </c>
      <c r="D80" s="20" t="s">
        <v>1497</v>
      </c>
      <c r="E80" s="20" t="s">
        <v>19</v>
      </c>
      <c r="F80" s="21"/>
      <c r="G80" s="21"/>
      <c r="H80" s="21"/>
      <c r="I80" s="21"/>
      <c r="J80" s="21"/>
      <c r="K80" s="21"/>
      <c r="L80" s="21"/>
      <c r="M80" s="21"/>
      <c r="N80" s="23"/>
      <c r="O80" s="23"/>
      <c r="P80" s="21"/>
      <c r="Q80" s="50"/>
    </row>
    <row r="81" spans="2:17" x14ac:dyDescent="0.3">
      <c r="B81" s="22"/>
      <c r="C81" s="20" t="s">
        <v>358</v>
      </c>
      <c r="D81" s="20" t="s">
        <v>1497</v>
      </c>
      <c r="E81" s="20" t="s">
        <v>19</v>
      </c>
      <c r="F81" s="21"/>
      <c r="G81" s="21"/>
      <c r="H81" s="21"/>
      <c r="I81" s="21"/>
      <c r="J81" s="21"/>
      <c r="K81" s="21"/>
      <c r="L81" s="21"/>
      <c r="M81" s="21"/>
      <c r="N81" s="23"/>
      <c r="O81" s="23"/>
      <c r="P81" s="21"/>
      <c r="Q81" s="50"/>
    </row>
    <row r="82" spans="2:17" x14ac:dyDescent="0.3">
      <c r="B82" s="19"/>
      <c r="C82" s="20" t="s">
        <v>358</v>
      </c>
      <c r="D82" s="20" t="s">
        <v>1497</v>
      </c>
      <c r="E82" s="20" t="s">
        <v>19</v>
      </c>
      <c r="F82" s="21"/>
      <c r="G82" s="21"/>
      <c r="H82" s="21"/>
      <c r="I82" s="21"/>
      <c r="J82" s="21"/>
      <c r="K82" s="21"/>
      <c r="L82" s="21"/>
      <c r="M82" s="21"/>
      <c r="N82" s="23"/>
      <c r="O82" s="23"/>
      <c r="P82" s="21"/>
      <c r="Q82" s="50"/>
    </row>
    <row r="83" spans="2:17" x14ac:dyDescent="0.3">
      <c r="B83" s="19"/>
      <c r="C83" s="20" t="s">
        <v>358</v>
      </c>
      <c r="D83" s="20" t="s">
        <v>1497</v>
      </c>
      <c r="E83" s="20" t="s">
        <v>19</v>
      </c>
      <c r="F83" s="21"/>
      <c r="G83" s="21"/>
      <c r="H83" s="21"/>
      <c r="I83" s="21"/>
      <c r="J83" s="21"/>
      <c r="K83" s="21"/>
      <c r="L83" s="21"/>
      <c r="M83" s="21"/>
      <c r="N83" s="23"/>
      <c r="O83" s="23"/>
      <c r="P83" s="21"/>
      <c r="Q83" s="50"/>
    </row>
    <row r="84" spans="2:17" x14ac:dyDescent="0.3">
      <c r="B84" s="19"/>
      <c r="C84" s="20" t="s">
        <v>358</v>
      </c>
      <c r="D84" s="20" t="s">
        <v>1497</v>
      </c>
      <c r="E84" s="20" t="s">
        <v>19</v>
      </c>
      <c r="F84" s="21"/>
      <c r="G84" s="21"/>
      <c r="H84" s="21"/>
      <c r="I84" s="21"/>
      <c r="J84" s="21"/>
      <c r="K84" s="21"/>
      <c r="L84" s="21"/>
      <c r="M84" s="21"/>
      <c r="N84" s="23"/>
      <c r="O84" s="23"/>
      <c r="P84" s="21"/>
      <c r="Q84" s="50"/>
    </row>
    <row r="85" spans="2:17" x14ac:dyDescent="0.3">
      <c r="B85" s="19"/>
      <c r="C85" s="20" t="s">
        <v>358</v>
      </c>
      <c r="D85" s="20" t="s">
        <v>1497</v>
      </c>
      <c r="E85" s="20" t="s">
        <v>19</v>
      </c>
      <c r="F85" s="21"/>
      <c r="G85" s="21"/>
      <c r="H85" s="21"/>
      <c r="I85" s="21"/>
      <c r="J85" s="21"/>
      <c r="K85" s="21"/>
      <c r="L85" s="21"/>
      <c r="M85" s="21"/>
      <c r="N85" s="23"/>
      <c r="O85" s="23"/>
      <c r="P85" s="21"/>
      <c r="Q85" s="50"/>
    </row>
    <row r="86" spans="2:17" x14ac:dyDescent="0.3">
      <c r="B86" s="19"/>
      <c r="C86" s="20" t="s">
        <v>358</v>
      </c>
      <c r="D86" s="20" t="s">
        <v>1497</v>
      </c>
      <c r="E86" s="20" t="s">
        <v>19</v>
      </c>
      <c r="F86" s="21"/>
      <c r="G86" s="21"/>
      <c r="H86" s="21"/>
      <c r="I86" s="21"/>
      <c r="J86" s="21"/>
      <c r="K86" s="21"/>
      <c r="L86" s="21"/>
      <c r="M86" s="21"/>
      <c r="N86" s="23"/>
      <c r="O86" s="23"/>
      <c r="P86" s="21"/>
      <c r="Q86" s="50"/>
    </row>
    <row r="87" spans="2:17" x14ac:dyDescent="0.3">
      <c r="B87" s="19"/>
      <c r="C87" s="20" t="s">
        <v>358</v>
      </c>
      <c r="D87" s="20" t="s">
        <v>1497</v>
      </c>
      <c r="E87" s="20" t="s">
        <v>19</v>
      </c>
      <c r="F87" s="21"/>
      <c r="G87" s="21"/>
      <c r="H87" s="21"/>
      <c r="I87" s="21"/>
      <c r="J87" s="21"/>
      <c r="K87" s="21"/>
      <c r="L87" s="21"/>
      <c r="M87" s="21"/>
      <c r="N87" s="23"/>
      <c r="O87" s="23"/>
      <c r="P87" s="21"/>
      <c r="Q87" s="50"/>
    </row>
    <row r="88" spans="2:17" x14ac:dyDescent="0.3">
      <c r="B88" s="51"/>
      <c r="C88" s="20" t="s">
        <v>358</v>
      </c>
      <c r="D88" s="20" t="s">
        <v>1497</v>
      </c>
      <c r="E88" s="20" t="s">
        <v>19</v>
      </c>
      <c r="F88" s="21"/>
      <c r="G88" s="21"/>
      <c r="H88" s="21"/>
      <c r="I88" s="21"/>
      <c r="J88" s="21"/>
      <c r="K88" s="21"/>
      <c r="L88" s="21"/>
      <c r="M88" s="21"/>
      <c r="N88" s="23"/>
      <c r="O88" s="23"/>
      <c r="P88" s="21"/>
      <c r="Q88" s="50"/>
    </row>
    <row r="89" spans="2:17" x14ac:dyDescent="0.3">
      <c r="B89" s="51"/>
      <c r="C89" s="20" t="s">
        <v>358</v>
      </c>
      <c r="D89" s="20" t="s">
        <v>1497</v>
      </c>
      <c r="E89" s="20" t="s">
        <v>19</v>
      </c>
      <c r="F89" s="21"/>
      <c r="G89" s="21"/>
      <c r="H89" s="21"/>
      <c r="I89" s="21"/>
      <c r="J89" s="21"/>
      <c r="K89" s="21"/>
      <c r="L89" s="21"/>
      <c r="M89" s="21"/>
      <c r="N89" s="23"/>
      <c r="O89" s="23"/>
      <c r="P89" s="21"/>
      <c r="Q89" s="50"/>
    </row>
    <row r="90" spans="2:17" x14ac:dyDescent="0.3">
      <c r="B90" s="22"/>
      <c r="C90" s="20" t="s">
        <v>358</v>
      </c>
      <c r="D90" s="20" t="s">
        <v>1497</v>
      </c>
      <c r="E90" s="20" t="s">
        <v>19</v>
      </c>
      <c r="F90" s="21"/>
      <c r="G90" s="21"/>
      <c r="H90" s="21"/>
      <c r="I90" s="21"/>
      <c r="J90" s="21"/>
      <c r="K90" s="21"/>
      <c r="L90" s="21"/>
      <c r="M90" s="21"/>
      <c r="N90" s="23"/>
      <c r="O90" s="23"/>
      <c r="P90" s="21"/>
      <c r="Q90" s="50"/>
    </row>
    <row r="91" spans="2:17" x14ac:dyDescent="0.3">
      <c r="B91" s="22"/>
      <c r="C91" s="20" t="s">
        <v>358</v>
      </c>
      <c r="D91" s="20" t="s">
        <v>1497</v>
      </c>
      <c r="E91" s="20" t="s">
        <v>19</v>
      </c>
      <c r="F91" s="21"/>
      <c r="G91" s="21"/>
      <c r="H91" s="21"/>
      <c r="I91" s="21"/>
      <c r="J91" s="21"/>
      <c r="K91" s="21"/>
      <c r="L91" s="21"/>
      <c r="M91" s="21"/>
      <c r="N91" s="23"/>
      <c r="O91" s="23"/>
      <c r="P91" s="21"/>
      <c r="Q91" s="50"/>
    </row>
    <row r="92" spans="2:17" x14ac:dyDescent="0.3">
      <c r="B92" s="22"/>
      <c r="C92" s="20" t="s">
        <v>358</v>
      </c>
      <c r="D92" s="20" t="s">
        <v>1497</v>
      </c>
      <c r="E92" s="20" t="s">
        <v>19</v>
      </c>
      <c r="F92" s="21"/>
      <c r="G92" s="21"/>
      <c r="H92" s="21"/>
      <c r="I92" s="21"/>
      <c r="J92" s="21"/>
      <c r="K92" s="21"/>
      <c r="L92" s="21"/>
      <c r="M92" s="21"/>
      <c r="N92" s="23"/>
      <c r="O92" s="23"/>
      <c r="P92" s="21"/>
      <c r="Q92" s="50"/>
    </row>
    <row r="93" spans="2:17" s="28" customFormat="1" x14ac:dyDescent="0.3">
      <c r="B93" s="22"/>
      <c r="C93" s="20" t="s">
        <v>358</v>
      </c>
      <c r="D93" s="20" t="s">
        <v>1497</v>
      </c>
      <c r="E93" s="20" t="s">
        <v>19</v>
      </c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0"/>
    </row>
    <row r="94" spans="2:17" x14ac:dyDescent="0.3">
      <c r="B94" s="22"/>
      <c r="C94" s="20" t="s">
        <v>358</v>
      </c>
      <c r="D94" s="20" t="s">
        <v>1497</v>
      </c>
      <c r="E94" s="20" t="s">
        <v>19</v>
      </c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1"/>
      <c r="Q94" s="50"/>
    </row>
    <row r="95" spans="2:17" s="28" customFormat="1" x14ac:dyDescent="0.3">
      <c r="B95" s="866" t="s">
        <v>2017</v>
      </c>
      <c r="C95" s="24"/>
      <c r="D95" s="24"/>
      <c r="E95" s="25"/>
      <c r="F95" s="53">
        <f t="shared" ref="F95:P95" si="14">SUM(F74:F94)</f>
        <v>500000</v>
      </c>
      <c r="G95" s="53">
        <f t="shared" si="14"/>
        <v>2589127</v>
      </c>
      <c r="H95" s="53">
        <f t="shared" si="14"/>
        <v>3745400</v>
      </c>
      <c r="I95" s="53">
        <f t="shared" si="14"/>
        <v>4250000</v>
      </c>
      <c r="J95" s="53">
        <f t="shared" si="14"/>
        <v>1500000</v>
      </c>
      <c r="K95" s="53">
        <f t="shared" si="14"/>
        <v>1000000</v>
      </c>
      <c r="L95" s="53">
        <f t="shared" si="14"/>
        <v>1100000</v>
      </c>
      <c r="M95" s="53">
        <f t="shared" si="14"/>
        <v>500000</v>
      </c>
      <c r="N95" s="53">
        <f t="shared" si="14"/>
        <v>2500000</v>
      </c>
      <c r="O95" s="53">
        <f t="shared" si="14"/>
        <v>500000</v>
      </c>
      <c r="P95" s="53">
        <f t="shared" si="14"/>
        <v>500000</v>
      </c>
      <c r="Q95" s="50"/>
    </row>
    <row r="96" spans="2:17" s="28" customFormat="1" x14ac:dyDescent="0.3">
      <c r="B96" s="867" t="s">
        <v>2018</v>
      </c>
      <c r="C96" s="54"/>
      <c r="D96" s="54"/>
      <c r="E96" s="29"/>
      <c r="F96" s="53">
        <f>F95</f>
        <v>500000</v>
      </c>
      <c r="G96" s="53">
        <f t="shared" ref="G96:P96" si="15">G95</f>
        <v>2589127</v>
      </c>
      <c r="H96" s="53">
        <f t="shared" si="15"/>
        <v>3745400</v>
      </c>
      <c r="I96" s="53">
        <f t="shared" si="15"/>
        <v>4250000</v>
      </c>
      <c r="J96" s="53">
        <f t="shared" si="15"/>
        <v>1500000</v>
      </c>
      <c r="K96" s="53">
        <f t="shared" si="15"/>
        <v>1000000</v>
      </c>
      <c r="L96" s="53">
        <f t="shared" si="15"/>
        <v>1100000</v>
      </c>
      <c r="M96" s="53">
        <f t="shared" si="15"/>
        <v>500000</v>
      </c>
      <c r="N96" s="53">
        <f t="shared" si="15"/>
        <v>2500000</v>
      </c>
      <c r="O96" s="53">
        <f t="shared" si="15"/>
        <v>500000</v>
      </c>
      <c r="P96" s="53">
        <f t="shared" si="15"/>
        <v>500000</v>
      </c>
      <c r="Q96" s="50"/>
    </row>
    <row r="97" spans="1:16" x14ac:dyDescent="0.3">
      <c r="B97" s="33"/>
      <c r="C97" s="33"/>
      <c r="D97" s="33"/>
      <c r="E97" s="33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</row>
    <row r="98" spans="1:16" x14ac:dyDescent="0.3">
      <c r="B98" s="1" t="s">
        <v>2133</v>
      </c>
      <c r="C98" s="1"/>
      <c r="D98" s="1"/>
      <c r="E98" s="1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</row>
    <row r="99" spans="1:16" x14ac:dyDescent="0.3">
      <c r="B99" s="34" t="s">
        <v>27</v>
      </c>
      <c r="C99" s="34"/>
      <c r="D99" s="34"/>
      <c r="E99" s="34"/>
      <c r="F99" s="35">
        <f t="shared" ref="F99:P99" si="16">SUMIF($E$74:$E$94,$E$1,F74:F94)</f>
        <v>0</v>
      </c>
      <c r="G99" s="35">
        <f t="shared" si="16"/>
        <v>0</v>
      </c>
      <c r="H99" s="35">
        <f t="shared" si="16"/>
        <v>3245400</v>
      </c>
      <c r="I99" s="35">
        <f t="shared" si="16"/>
        <v>3750000</v>
      </c>
      <c r="J99" s="35">
        <f t="shared" si="16"/>
        <v>1000000</v>
      </c>
      <c r="K99" s="35">
        <f t="shared" si="16"/>
        <v>500000</v>
      </c>
      <c r="L99" s="35">
        <f t="shared" si="16"/>
        <v>600000</v>
      </c>
      <c r="M99" s="35">
        <f t="shared" si="16"/>
        <v>0</v>
      </c>
      <c r="N99" s="35">
        <f t="shared" si="16"/>
        <v>2000000</v>
      </c>
      <c r="O99" s="35">
        <f t="shared" si="16"/>
        <v>0</v>
      </c>
      <c r="P99" s="35">
        <f t="shared" si="16"/>
        <v>0</v>
      </c>
    </row>
    <row r="100" spans="1:16" x14ac:dyDescent="0.3">
      <c r="B100" s="36" t="s">
        <v>23</v>
      </c>
      <c r="C100" s="36"/>
      <c r="D100" s="36"/>
      <c r="E100" s="36"/>
      <c r="F100" s="35">
        <f t="shared" ref="F100:P100" si="17">SUMIF($E$74:$E$94,$E$2,F74:F94)</f>
        <v>500000</v>
      </c>
      <c r="G100" s="35">
        <f t="shared" si="17"/>
        <v>2589127</v>
      </c>
      <c r="H100" s="35">
        <f t="shared" si="17"/>
        <v>500000</v>
      </c>
      <c r="I100" s="35">
        <f t="shared" si="17"/>
        <v>500000</v>
      </c>
      <c r="J100" s="35">
        <f t="shared" si="17"/>
        <v>500000</v>
      </c>
      <c r="K100" s="35">
        <f t="shared" si="17"/>
        <v>500000</v>
      </c>
      <c r="L100" s="35">
        <f t="shared" si="17"/>
        <v>500000</v>
      </c>
      <c r="M100" s="35">
        <f t="shared" si="17"/>
        <v>500000</v>
      </c>
      <c r="N100" s="35">
        <f t="shared" si="17"/>
        <v>500000</v>
      </c>
      <c r="O100" s="35">
        <f t="shared" si="17"/>
        <v>500000</v>
      </c>
      <c r="P100" s="35">
        <f t="shared" si="17"/>
        <v>500000</v>
      </c>
    </row>
    <row r="101" spans="1:16" x14ac:dyDescent="0.3">
      <c r="B101" s="36" t="s">
        <v>1924</v>
      </c>
      <c r="C101" s="36"/>
      <c r="D101" s="36"/>
      <c r="E101" s="36"/>
      <c r="F101" s="35">
        <f t="shared" ref="F101:P101" si="18">SUMIF($E$74:$E$94,$E$3,F74:F94)</f>
        <v>0</v>
      </c>
      <c r="G101" s="35">
        <f t="shared" si="18"/>
        <v>0</v>
      </c>
      <c r="H101" s="35">
        <f t="shared" si="18"/>
        <v>0</v>
      </c>
      <c r="I101" s="35">
        <f t="shared" si="18"/>
        <v>0</v>
      </c>
      <c r="J101" s="35">
        <f t="shared" si="18"/>
        <v>0</v>
      </c>
      <c r="K101" s="35">
        <f t="shared" si="18"/>
        <v>0</v>
      </c>
      <c r="L101" s="35">
        <f t="shared" si="18"/>
        <v>0</v>
      </c>
      <c r="M101" s="35">
        <f t="shared" si="18"/>
        <v>0</v>
      </c>
      <c r="N101" s="35">
        <f t="shared" si="18"/>
        <v>0</v>
      </c>
      <c r="O101" s="35">
        <f t="shared" si="18"/>
        <v>0</v>
      </c>
      <c r="P101" s="35">
        <f t="shared" si="18"/>
        <v>0</v>
      </c>
    </row>
    <row r="102" spans="1:16" x14ac:dyDescent="0.3">
      <c r="B102" s="37" t="s">
        <v>2134</v>
      </c>
      <c r="C102" s="37"/>
      <c r="D102" s="37"/>
      <c r="E102" s="37"/>
      <c r="F102" s="56">
        <f t="shared" ref="F102:P102" si="19">SUM(F99:F101)</f>
        <v>500000</v>
      </c>
      <c r="G102" s="56">
        <f t="shared" si="19"/>
        <v>2589127</v>
      </c>
      <c r="H102" s="56">
        <f t="shared" si="19"/>
        <v>3745400</v>
      </c>
      <c r="I102" s="56">
        <f t="shared" si="19"/>
        <v>4250000</v>
      </c>
      <c r="J102" s="56">
        <f t="shared" si="19"/>
        <v>1500000</v>
      </c>
      <c r="K102" s="56">
        <f t="shared" si="19"/>
        <v>1000000</v>
      </c>
      <c r="L102" s="56">
        <f t="shared" si="19"/>
        <v>1100000</v>
      </c>
      <c r="M102" s="56">
        <f t="shared" si="19"/>
        <v>500000</v>
      </c>
      <c r="N102" s="56">
        <f t="shared" si="19"/>
        <v>2500000</v>
      </c>
      <c r="O102" s="56">
        <f t="shared" si="19"/>
        <v>500000</v>
      </c>
      <c r="P102" s="56">
        <f t="shared" si="19"/>
        <v>500000</v>
      </c>
    </row>
    <row r="103" spans="1:16" x14ac:dyDescent="0.3">
      <c r="A103" s="44"/>
      <c r="B103" s="46"/>
      <c r="C103" s="46"/>
      <c r="D103" s="46"/>
      <c r="E103" s="46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</row>
    <row r="104" spans="1:16" ht="14.25" customHeight="1" x14ac:dyDescent="0.3">
      <c r="A104" s="41"/>
      <c r="B104" s="43"/>
      <c r="C104" s="43"/>
      <c r="D104" s="43"/>
      <c r="E104" s="43"/>
      <c r="F104" s="1" t="s">
        <v>1677</v>
      </c>
      <c r="G104" s="1" t="s">
        <v>1678</v>
      </c>
      <c r="H104" s="1" t="s">
        <v>1679</v>
      </c>
      <c r="I104" s="1" t="s">
        <v>1680</v>
      </c>
      <c r="J104" s="1" t="s">
        <v>1681</v>
      </c>
      <c r="K104" s="1" t="s">
        <v>1682</v>
      </c>
      <c r="L104" s="1" t="s">
        <v>1683</v>
      </c>
      <c r="M104" s="1" t="s">
        <v>1684</v>
      </c>
      <c r="N104" s="1" t="s">
        <v>1685</v>
      </c>
      <c r="O104" s="1" t="s">
        <v>1686</v>
      </c>
      <c r="P104" s="57"/>
    </row>
    <row r="105" spans="1:16" x14ac:dyDescent="0.3">
      <c r="A105" s="44"/>
      <c r="B105" s="45" t="s">
        <v>2135</v>
      </c>
      <c r="C105" s="45"/>
      <c r="D105" s="45"/>
      <c r="E105" s="46"/>
      <c r="F105" s="47">
        <f t="shared" ref="F105:O105" si="20">F99</f>
        <v>0</v>
      </c>
      <c r="G105" s="47">
        <f t="shared" si="20"/>
        <v>0</v>
      </c>
      <c r="H105" s="47">
        <f t="shared" si="20"/>
        <v>3245400</v>
      </c>
      <c r="I105" s="47">
        <f t="shared" si="20"/>
        <v>3750000</v>
      </c>
      <c r="J105" s="47">
        <f t="shared" si="20"/>
        <v>1000000</v>
      </c>
      <c r="K105" s="47">
        <f t="shared" si="20"/>
        <v>500000</v>
      </c>
      <c r="L105" s="47">
        <f t="shared" si="20"/>
        <v>600000</v>
      </c>
      <c r="M105" s="47">
        <f t="shared" si="20"/>
        <v>0</v>
      </c>
      <c r="N105" s="47">
        <f t="shared" si="20"/>
        <v>2000000</v>
      </c>
      <c r="O105" s="47">
        <f t="shared" si="20"/>
        <v>0</v>
      </c>
      <c r="P105" s="57"/>
    </row>
    <row r="107" spans="1:16" x14ac:dyDescent="0.3">
      <c r="A107" s="44"/>
      <c r="C107" s="46"/>
      <c r="D107" s="46"/>
      <c r="E107" s="952" t="s">
        <v>2234</v>
      </c>
      <c r="F107" s="57"/>
      <c r="G107" s="57">
        <f>G29+G65+G100</f>
        <v>3445127</v>
      </c>
      <c r="H107" s="57">
        <f t="shared" ref="H107:P107" si="21">H100+H65+H29</f>
        <v>4014000</v>
      </c>
      <c r="I107" s="57">
        <f t="shared" si="21"/>
        <v>6367500</v>
      </c>
      <c r="J107" s="57">
        <f t="shared" si="21"/>
        <v>3187500</v>
      </c>
      <c r="K107" s="57">
        <f t="shared" si="21"/>
        <v>1670000</v>
      </c>
      <c r="L107" s="57">
        <f t="shared" si="21"/>
        <v>1597000</v>
      </c>
      <c r="M107" s="57">
        <f t="shared" si="21"/>
        <v>1667000</v>
      </c>
      <c r="N107" s="57">
        <f t="shared" si="21"/>
        <v>1752000</v>
      </c>
      <c r="O107" s="57">
        <f t="shared" si="21"/>
        <v>1512000</v>
      </c>
      <c r="P107" s="57">
        <f t="shared" si="21"/>
        <v>1492000</v>
      </c>
    </row>
    <row r="108" spans="1:16" x14ac:dyDescent="0.3">
      <c r="A108" s="44"/>
      <c r="B108" s="46"/>
      <c r="C108" s="46"/>
      <c r="D108" s="46"/>
      <c r="E108" s="952" t="s">
        <v>2233</v>
      </c>
      <c r="F108" s="57"/>
      <c r="G108" s="57">
        <f>G99+G64+G28</f>
        <v>0</v>
      </c>
      <c r="H108" s="57">
        <f>H99+H64+H28+10000000</f>
        <v>15145400</v>
      </c>
      <c r="I108" s="57">
        <f t="shared" ref="I108:P108" si="22">I99+I64+I28</f>
        <v>5650000</v>
      </c>
      <c r="J108" s="57">
        <f t="shared" si="22"/>
        <v>3000000</v>
      </c>
      <c r="K108" s="57">
        <f t="shared" si="22"/>
        <v>2500000</v>
      </c>
      <c r="L108" s="57">
        <f t="shared" si="22"/>
        <v>2600000</v>
      </c>
      <c r="M108" s="57">
        <f t="shared" si="22"/>
        <v>2000000</v>
      </c>
      <c r="N108" s="57">
        <f t="shared" si="22"/>
        <v>4000000</v>
      </c>
      <c r="O108" s="57">
        <f t="shared" si="22"/>
        <v>2000000</v>
      </c>
      <c r="P108" s="57">
        <f t="shared" si="22"/>
        <v>2000000</v>
      </c>
    </row>
    <row r="109" spans="1:16" x14ac:dyDescent="0.3">
      <c r="A109" s="44"/>
      <c r="B109" s="46"/>
      <c r="C109" s="46"/>
      <c r="D109" s="46"/>
      <c r="E109" s="952" t="s">
        <v>2235</v>
      </c>
      <c r="F109" s="57"/>
      <c r="G109" s="57">
        <f t="shared" ref="G109:P109" si="23">G30+G66+G101</f>
        <v>0</v>
      </c>
      <c r="H109" s="57">
        <f t="shared" si="23"/>
        <v>0</v>
      </c>
      <c r="I109" s="57">
        <f t="shared" si="23"/>
        <v>0</v>
      </c>
      <c r="J109" s="57">
        <f t="shared" si="23"/>
        <v>0</v>
      </c>
      <c r="K109" s="57">
        <f t="shared" si="23"/>
        <v>0</v>
      </c>
      <c r="L109" s="57">
        <f t="shared" si="23"/>
        <v>0</v>
      </c>
      <c r="M109" s="57">
        <f t="shared" si="23"/>
        <v>0</v>
      </c>
      <c r="N109" s="57">
        <f t="shared" si="23"/>
        <v>0</v>
      </c>
      <c r="O109" s="57">
        <f t="shared" si="23"/>
        <v>0</v>
      </c>
      <c r="P109" s="57">
        <f t="shared" si="23"/>
        <v>0</v>
      </c>
    </row>
    <row r="110" spans="1:16" x14ac:dyDescent="0.3">
      <c r="A110" s="44"/>
      <c r="B110" s="46"/>
      <c r="C110" s="46"/>
      <c r="D110" s="46"/>
      <c r="E110" s="46"/>
      <c r="F110" s="1037" t="s">
        <v>1957</v>
      </c>
      <c r="G110" s="57" t="b">
        <f>G107='Revenue Requirements'!F92</f>
        <v>1</v>
      </c>
      <c r="H110" s="57" t="b">
        <f>H107='Revenue Requirements'!G92</f>
        <v>1</v>
      </c>
      <c r="I110" s="57" t="b">
        <f>I107='Revenue Requirements'!H92</f>
        <v>1</v>
      </c>
      <c r="J110" s="57" t="b">
        <f>J107='Revenue Requirements'!I92</f>
        <v>1</v>
      </c>
      <c r="K110" s="57" t="b">
        <f>K107='Revenue Requirements'!J92</f>
        <v>1</v>
      </c>
      <c r="L110" s="57" t="b">
        <f>L107='Revenue Requirements'!K92</f>
        <v>1</v>
      </c>
      <c r="M110" s="57" t="b">
        <f>M107='Revenue Requirements'!L92</f>
        <v>1</v>
      </c>
      <c r="N110" s="57" t="b">
        <f>N107='Revenue Requirements'!M92</f>
        <v>1</v>
      </c>
      <c r="O110" s="57" t="b">
        <f>O107='Revenue Requirements'!N92</f>
        <v>1</v>
      </c>
      <c r="P110" s="57" t="b">
        <f>P107='Revenue Requirements'!O92</f>
        <v>1</v>
      </c>
    </row>
    <row r="111" spans="1:16" x14ac:dyDescent="0.3">
      <c r="A111" s="44"/>
      <c r="B111" s="46"/>
      <c r="C111" s="46"/>
      <c r="D111" s="46"/>
      <c r="E111" s="46"/>
      <c r="F111" s="1037" t="s">
        <v>2227</v>
      </c>
      <c r="G111" s="57" t="b">
        <f>SUM(G107:G109)='Asset Replacement'!D94</f>
        <v>1</v>
      </c>
      <c r="H111" s="57" t="b">
        <f>SUM(H107:H109)-10000000='Asset Replacement'!E94</f>
        <v>1</v>
      </c>
      <c r="I111" s="57" t="b">
        <f>SUM(I107:I109)='Asset Replacement'!F94</f>
        <v>1</v>
      </c>
      <c r="J111" s="57" t="b">
        <f>SUM(J107:J109)='Asset Replacement'!G94</f>
        <v>1</v>
      </c>
      <c r="K111" s="57" t="b">
        <f>SUM(K107:K109)='Asset Replacement'!H94</f>
        <v>1</v>
      </c>
      <c r="L111" s="57" t="b">
        <f>SUM(L107:L109)='Asset Replacement'!I94</f>
        <v>1</v>
      </c>
      <c r="M111" s="57" t="b">
        <f>SUM(M107:M109)='Asset Replacement'!J94</f>
        <v>1</v>
      </c>
      <c r="N111" s="57" t="b">
        <f>SUM(N107:N109)='Asset Replacement'!K94</f>
        <v>1</v>
      </c>
      <c r="O111" s="57" t="b">
        <f>SUM(O107:O109)='Asset Replacement'!L94</f>
        <v>1</v>
      </c>
      <c r="P111" s="57" t="b">
        <f>SUM(P107:P109)='Asset Replacement'!M94</f>
        <v>1</v>
      </c>
    </row>
    <row r="112" spans="1:16" x14ac:dyDescent="0.3">
      <c r="F112" s="18" t="s">
        <v>2232</v>
      </c>
      <c r="G112" s="18" t="b">
        <f>G108='Projected Debt'!C8</f>
        <v>1</v>
      </c>
      <c r="H112" s="18" t="b">
        <f>H108='Projected Debt'!D8</f>
        <v>1</v>
      </c>
      <c r="I112" s="18" t="b">
        <f>I108='Projected Debt'!E8</f>
        <v>1</v>
      </c>
      <c r="J112" s="18" t="b">
        <f>J108='Projected Debt'!F8</f>
        <v>1</v>
      </c>
      <c r="K112" s="18" t="b">
        <f>K108='Projected Debt'!G8</f>
        <v>1</v>
      </c>
      <c r="L112" s="18" t="b">
        <f>L108='Projected Debt'!H8</f>
        <v>1</v>
      </c>
      <c r="M112" s="18" t="b">
        <f>M108='Projected Debt'!I8</f>
        <v>1</v>
      </c>
      <c r="N112" s="18" t="b">
        <f>N108='Projected Debt'!J8</f>
        <v>1</v>
      </c>
      <c r="O112" s="18" t="b">
        <f>O108='Projected Debt'!K8</f>
        <v>1</v>
      </c>
      <c r="P112" s="18" t="b">
        <f>P108='Projected Debt'!L8</f>
        <v>1</v>
      </c>
    </row>
    <row r="114" spans="2:12" x14ac:dyDescent="0.3">
      <c r="B114" s="18" t="s">
        <v>343</v>
      </c>
      <c r="L114" s="1269">
        <f>SUM(H108:K108)-10000000</f>
        <v>16295400</v>
      </c>
    </row>
    <row r="117" spans="2:12" x14ac:dyDescent="0.3">
      <c r="B117" s="18" t="s">
        <v>1516</v>
      </c>
      <c r="C117" s="278" t="s">
        <v>1586</v>
      </c>
    </row>
    <row r="118" spans="2:12" x14ac:dyDescent="0.3">
      <c r="B118" s="18" t="s">
        <v>1516</v>
      </c>
      <c r="C118" s="278" t="s">
        <v>1587</v>
      </c>
    </row>
    <row r="119" spans="2:12" x14ac:dyDescent="0.3">
      <c r="B119" s="18" t="s">
        <v>1516</v>
      </c>
      <c r="C119" s="278" t="s">
        <v>246</v>
      </c>
    </row>
    <row r="120" spans="2:12" x14ac:dyDescent="0.3">
      <c r="B120" s="18" t="s">
        <v>1516</v>
      </c>
      <c r="C120" s="278" t="s">
        <v>1518</v>
      </c>
    </row>
    <row r="121" spans="2:12" x14ac:dyDescent="0.3">
      <c r="B121" s="18" t="s">
        <v>1517</v>
      </c>
      <c r="C121" s="278" t="s">
        <v>1591</v>
      </c>
    </row>
    <row r="122" spans="2:12" x14ac:dyDescent="0.3">
      <c r="B122" s="18" t="s">
        <v>1517</v>
      </c>
      <c r="C122" s="278" t="s">
        <v>1592</v>
      </c>
    </row>
    <row r="123" spans="2:12" x14ac:dyDescent="0.3">
      <c r="B123" s="18" t="s">
        <v>1517</v>
      </c>
      <c r="C123" s="278" t="s">
        <v>1518</v>
      </c>
    </row>
    <row r="124" spans="2:12" x14ac:dyDescent="0.3">
      <c r="B124" s="18" t="s">
        <v>1572</v>
      </c>
      <c r="C124" s="278" t="s">
        <v>358</v>
      </c>
    </row>
  </sheetData>
  <mergeCells count="3">
    <mergeCell ref="D4:D5"/>
    <mergeCell ref="D37:D38"/>
    <mergeCell ref="D72:D73"/>
  </mergeCells>
  <conditionalFormatting sqref="F59:P59 N47:P57 I18:P23 G18:G23 N44:P45 G6:G7 I6:P7 I9:P16 G9:G16">
    <cfRule type="expression" dxfId="137" priority="92">
      <formula>#REF!=RateYear</formula>
    </cfRule>
  </conditionalFormatting>
  <conditionalFormatting sqref="H16">
    <cfRule type="expression" dxfId="136" priority="84">
      <formula>#REF!=RateYear</formula>
    </cfRule>
  </conditionalFormatting>
  <conditionalFormatting sqref="N46:P46">
    <cfRule type="expression" dxfId="135" priority="83">
      <formula>#REF!=RateYear</formula>
    </cfRule>
  </conditionalFormatting>
  <conditionalFormatting sqref="F58:P58 N78:P80">
    <cfRule type="expression" dxfId="134" priority="75">
      <formula>#REF!=RateYear</formula>
    </cfRule>
  </conditionalFormatting>
  <conditionalFormatting sqref="H6">
    <cfRule type="expression" dxfId="133" priority="70">
      <formula>#REF!=RateYear</formula>
    </cfRule>
  </conditionalFormatting>
  <conditionalFormatting sqref="H12">
    <cfRule type="expression" dxfId="132" priority="67">
      <formula>#REF!=RateYear</formula>
    </cfRule>
  </conditionalFormatting>
  <conditionalFormatting sqref="I16">
    <cfRule type="expression" dxfId="131" priority="65">
      <formula>#REF!=RateYear</formula>
    </cfRule>
  </conditionalFormatting>
  <conditionalFormatting sqref="J16">
    <cfRule type="expression" dxfId="130" priority="63">
      <formula>#REF!=RateYear</formula>
    </cfRule>
  </conditionalFormatting>
  <conditionalFormatting sqref="K16">
    <cfRule type="expression" dxfId="129" priority="61">
      <formula>#REF!=RateYear</formula>
    </cfRule>
  </conditionalFormatting>
  <conditionalFormatting sqref="F94:P94 N82:P92">
    <cfRule type="expression" dxfId="128" priority="58">
      <formula>#REF!=RateYear</formula>
    </cfRule>
  </conditionalFormatting>
  <conditionalFormatting sqref="N81:P81">
    <cfRule type="expression" dxfId="127" priority="52">
      <formula>#REF!=RateYear</formula>
    </cfRule>
  </conditionalFormatting>
  <conditionalFormatting sqref="F93:P93">
    <cfRule type="expression" dxfId="126" priority="46">
      <formula>#REF!=RateYear</formula>
    </cfRule>
  </conditionalFormatting>
  <conditionalFormatting sqref="G17 I17:P17">
    <cfRule type="expression" dxfId="125" priority="41">
      <formula>#REF!=RateYear</formula>
    </cfRule>
  </conditionalFormatting>
  <conditionalFormatting sqref="I74:P74 G74:G78">
    <cfRule type="expression" dxfId="124" priority="38">
      <formula>#REF!=RateYear</formula>
    </cfRule>
  </conditionalFormatting>
  <conditionalFormatting sqref="G39 I39:P39">
    <cfRule type="expression" dxfId="123" priority="35">
      <formula>#REF!=RateYear</formula>
    </cfRule>
  </conditionalFormatting>
  <conditionalFormatting sqref="F39">
    <cfRule type="expression" dxfId="122" priority="34">
      <formula>#REF!=RateYear</formula>
    </cfRule>
  </conditionalFormatting>
  <conditionalFormatting sqref="H39">
    <cfRule type="expression" dxfId="121" priority="33">
      <formula>#REF!=RateYear</formula>
    </cfRule>
  </conditionalFormatting>
  <conditionalFormatting sqref="G40 I40:P40">
    <cfRule type="expression" dxfId="120" priority="30">
      <formula>#REF!=RateYear</formula>
    </cfRule>
  </conditionalFormatting>
  <conditionalFormatting sqref="J75:P75">
    <cfRule type="expression" dxfId="119" priority="27">
      <formula>#REF!=RateYear</formula>
    </cfRule>
  </conditionalFormatting>
  <conditionalFormatting sqref="G41 I41:P41">
    <cfRule type="expression" dxfId="118" priority="23">
      <formula>#REF!=RateYear</formula>
    </cfRule>
  </conditionalFormatting>
  <conditionalFormatting sqref="G76 I76:P76">
    <cfRule type="expression" dxfId="117" priority="25">
      <formula>#REF!=RateYear</formula>
    </cfRule>
  </conditionalFormatting>
  <conditionalFormatting sqref="G42 I42:P42">
    <cfRule type="expression" dxfId="116" priority="21">
      <formula>#REF!=RateYear</formula>
    </cfRule>
  </conditionalFormatting>
  <conditionalFormatting sqref="G43 I43:P43">
    <cfRule type="expression" dxfId="115" priority="18">
      <formula>#REF!=RateYear</formula>
    </cfRule>
  </conditionalFormatting>
  <conditionalFormatting sqref="G75 I75">
    <cfRule type="expression" dxfId="114" priority="13">
      <formula>#REF!=RateYear</formula>
    </cfRule>
  </conditionalFormatting>
  <conditionalFormatting sqref="G77 I77:P77">
    <cfRule type="expression" dxfId="113" priority="11">
      <formula>#REF!=RateYear</formula>
    </cfRule>
  </conditionalFormatting>
  <conditionalFormatting sqref="G108:P112">
    <cfRule type="cellIs" dxfId="112" priority="4" operator="equal">
      <formula>FALSE</formula>
    </cfRule>
    <cfRule type="cellIs" dxfId="111" priority="5" operator="equal">
      <formula>TRUE</formula>
    </cfRule>
  </conditionalFormatting>
  <conditionalFormatting sqref="G8 I8:P8">
    <cfRule type="expression" dxfId="110" priority="2">
      <formula>#REF!=RateYear</formula>
    </cfRule>
  </conditionalFormatting>
  <conditionalFormatting sqref="G39">
    <cfRule type="expression" dxfId="109" priority="1">
      <formula>#REF!=RateYear</formula>
    </cfRule>
  </conditionalFormatting>
  <dataValidations count="6">
    <dataValidation type="list" allowBlank="1" showInputMessage="1" showErrorMessage="1" sqref="E24">
      <formula1>#REF!</formula1>
    </dataValidation>
    <dataValidation type="list" allowBlank="1" showInputMessage="1" showErrorMessage="1" sqref="D39:D59 D6:D23 D74:D94">
      <formula1>$D$2:$D$3</formula1>
    </dataValidation>
    <dataValidation type="list" allowBlank="1" showInputMessage="1" showErrorMessage="1" sqref="E39:E59 E6:E23 E74:E94">
      <formula1>$E$1:$E$3</formula1>
    </dataValidation>
    <dataValidation type="list" allowBlank="1" showInputMessage="1" showErrorMessage="1" sqref="C39:C59">
      <formula1>$C$121:$C$123</formula1>
    </dataValidation>
    <dataValidation type="list" allowBlank="1" showInputMessage="1" showErrorMessage="1" sqref="C6:C23">
      <formula1>$C$117:$C$120</formula1>
    </dataValidation>
    <dataValidation type="list" allowBlank="1" showInputMessage="1" showErrorMessage="1" sqref="C74:C94">
      <formula1>$C$124</formula1>
    </dataValidation>
  </dataValidations>
  <printOptions horizontalCentered="1"/>
  <pageMargins left="0.2" right="0.2" top="0.2" bottom="0.2" header="0.3" footer="0.3"/>
  <pageSetup scale="5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1" id="{D5DC7652-2795-40EC-9CD4-EC184ACC08F1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N45:P45 N47:P57 F62:P63 F59:P60</xm:sqref>
        </x14:conditionalFormatting>
        <x14:conditionalFormatting xmlns:xm="http://schemas.microsoft.com/office/excel/2006/main">
          <x14:cfRule type="expression" priority="89" id="{8306F102-E1AF-4C91-A358-5B8E8DA52BE7}">
            <xm:f>N$37='\\ftovhserver\finance\Users\ecallocchia\Dropbox\City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N44:P44</xm:sqref>
        </x14:conditionalFormatting>
        <x14:conditionalFormatting xmlns:xm="http://schemas.microsoft.com/office/excel/2006/main">
          <x14:cfRule type="expression" priority="88" id="{FAA77865-6CB2-43F0-9361-3BE2B7F968BB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N80:P80 F94:P95 N82:P92 F97:P98 F28:P29 F102:P102</xm:sqref>
        </x14:conditionalFormatting>
        <x14:conditionalFormatting xmlns:xm="http://schemas.microsoft.com/office/excel/2006/main">
          <x14:cfRule type="expression" priority="82" id="{8D3E86DC-6FFC-442F-8B16-79F5B0A32524}">
            <xm:f>N$37='\\ftovhserver\finance\Users\ecallocchia\Dropbox\City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N46:P46</xm:sqref>
        </x14:conditionalFormatting>
        <x14:conditionalFormatting xmlns:xm="http://schemas.microsoft.com/office/excel/2006/main">
          <x14:cfRule type="expression" priority="74" id="{F3395710-2277-4476-ADE3-66177D1ABCB7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F58:P58</xm:sqref>
        </x14:conditionalFormatting>
        <x14:conditionalFormatting xmlns:xm="http://schemas.microsoft.com/office/excel/2006/main">
          <x14:cfRule type="expression" priority="55" id="{DA4B8A2A-01C7-402E-AEEB-D12C453B2015}">
            <xm:f>N$37='\\ftovhserver\finance\Users\ecallocchia\Dropbox\City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N78:P79</xm:sqref>
        </x14:conditionalFormatting>
        <x14:conditionalFormatting xmlns:xm="http://schemas.microsoft.com/office/excel/2006/main">
          <x14:cfRule type="expression" priority="51" id="{8FBFE03F-4369-4124-943C-ABC8F01A3C62}">
            <xm:f>N$37='\\ftovhserver\finance\Users\ecallocchia\Dropbox\City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N81:P81</xm:sqref>
        </x14:conditionalFormatting>
        <x14:conditionalFormatting xmlns:xm="http://schemas.microsoft.com/office/excel/2006/main">
          <x14:cfRule type="expression" priority="45" id="{3E4D7B48-F29D-4EB0-A921-891D92792A80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F93:P93</xm:sqref>
        </x14:conditionalFormatting>
        <x14:conditionalFormatting xmlns:xm="http://schemas.microsoft.com/office/excel/2006/main">
          <x14:cfRule type="expression" priority="17" id="{496CD7CA-FEFB-4D2E-9544-4F0E6DEF1B51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F64:P65</xm:sqref>
        </x14:conditionalFormatting>
        <x14:conditionalFormatting xmlns:xm="http://schemas.microsoft.com/office/excel/2006/main">
          <x14:cfRule type="expression" priority="16" id="{695F4200-A25D-4027-98B7-484B2EEFD40A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F99:P100</xm:sqref>
        </x14:conditionalFormatting>
        <x14:conditionalFormatting xmlns:xm="http://schemas.microsoft.com/office/excel/2006/main">
          <x14:cfRule type="expression" priority="10" id="{CA71E965-0CD4-44E5-A1F0-F9050558F020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F66:P66</xm:sqref>
        </x14:conditionalFormatting>
        <x14:conditionalFormatting xmlns:xm="http://schemas.microsoft.com/office/excel/2006/main">
          <x14:cfRule type="expression" priority="9" id="{2F6447D1-4A05-4CE3-BD7F-63C166D90301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F101:P101</xm:sqref>
        </x14:conditionalFormatting>
        <x14:conditionalFormatting xmlns:xm="http://schemas.microsoft.com/office/excel/2006/main">
          <x14:cfRule type="expression" priority="8" id="{7CEE09A1-D789-45FB-B3AB-0FCFA1488429}">
            <xm:f>F$37='\\ftovhserver\finance\Users\ecallocchia\Dropbox\City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F67:P67</xm:sqref>
        </x14:conditionalFormatting>
        <x14:conditionalFormatting xmlns:xm="http://schemas.microsoft.com/office/excel/2006/main">
          <x14:cfRule type="expression" priority="97" id="{852020F8-9357-4F45-8FC5-FBE3EAFA5FDE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F25:P27 F21:M23 F44:M57 F30:P31 F6:P22</xm:sqref>
        </x14:conditionalFormatting>
        <x14:conditionalFormatting xmlns:xm="http://schemas.microsoft.com/office/excel/2006/main">
          <x14:cfRule type="expression" priority="107" id="{FE5C480F-4B93-4B49-AF62-79CD8A83EC3E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F5:P5 F74:P94</xm:sqref>
        </x14:conditionalFormatting>
        <x14:conditionalFormatting xmlns:xm="http://schemas.microsoft.com/office/excel/2006/main">
          <x14:cfRule type="expression" priority="108" id="{49BEE96B-5A9C-4DA4-9937-94A174769728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F24:P24 F61:P61</xm:sqref>
        </x14:conditionalFormatting>
        <x14:conditionalFormatting xmlns:xm="http://schemas.microsoft.com/office/excel/2006/main">
          <x14:cfRule type="expression" priority="110" id="{9A26BE6D-9067-42A8-89D7-7D67B28B6EEE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F21:P23 F9:P15</xm:sqref>
        </x14:conditionalFormatting>
        <x14:conditionalFormatting xmlns:xm="http://schemas.microsoft.com/office/excel/2006/main">
          <x14:cfRule type="expression" priority="112" id="{8B6F35DA-DE2A-43FA-8B79-9D62233FBB0E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N44:P57 F58:P59 H16:K16 F96:P96 F17:P17 F39:P43</xm:sqref>
        </x14:conditionalFormatting>
        <x14:conditionalFormatting xmlns:xm="http://schemas.microsoft.com/office/excel/2006/main">
          <x14:cfRule type="expression" priority="3" id="{76B95F97-8AA0-40A9-9335-FA967D98F928}">
            <xm:f>F$4='\\ftovhserver\finance\Users\ecallocchia\Dropbox\City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F8:P8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18"/>
  <sheetViews>
    <sheetView showGridLines="0" zoomScale="85" zoomScaleNormal="85" zoomScaleSheetLayoutView="75" workbookViewId="0">
      <pane xSplit="3" ySplit="3" topLeftCell="D91" activePane="bottomRight" state="frozen"/>
      <selection activeCell="B113" sqref="B113"/>
      <selection pane="topRight" activeCell="B113" sqref="B113"/>
      <selection pane="bottomLeft" activeCell="B113" sqref="B113"/>
      <selection pane="bottomRight" activeCell="D113" sqref="D113"/>
    </sheetView>
  </sheetViews>
  <sheetFormatPr defaultColWidth="19.19921875" defaultRowHeight="15.6" outlineLevelCol="1" x14ac:dyDescent="0.3"/>
  <cols>
    <col min="1" max="1" width="3.59765625" style="424" customWidth="1"/>
    <col min="2" max="2" width="59.8984375" style="419" bestFit="1" customWidth="1"/>
    <col min="3" max="3" width="12.59765625" style="419" bestFit="1" customWidth="1"/>
    <col min="4" max="4" width="13.69921875" style="419" bestFit="1" customWidth="1"/>
    <col min="5" max="5" width="15.3984375" style="419" customWidth="1"/>
    <col min="6" max="13" width="13.69921875" style="419" bestFit="1" customWidth="1"/>
    <col min="14" max="54" width="13.69921875" style="419" bestFit="1" customWidth="1" outlineLevel="1"/>
    <col min="55" max="16384" width="19.19921875" style="419"/>
  </cols>
  <sheetData>
    <row r="1" spans="1:54" s="411" customFormat="1" x14ac:dyDescent="0.3">
      <c r="A1" s="412"/>
      <c r="B1" s="413"/>
    </row>
    <row r="2" spans="1:54" s="411" customFormat="1" x14ac:dyDescent="0.3">
      <c r="A2" s="414"/>
      <c r="B2" s="415" t="s">
        <v>1955</v>
      </c>
    </row>
    <row r="3" spans="1:54" x14ac:dyDescent="0.3">
      <c r="A3" s="416"/>
      <c r="B3" s="417"/>
      <c r="C3" s="417"/>
      <c r="D3" s="418">
        <v>2016</v>
      </c>
      <c r="E3" s="418">
        <v>2017</v>
      </c>
      <c r="F3" s="418">
        <v>2018</v>
      </c>
      <c r="G3" s="418">
        <v>2019</v>
      </c>
      <c r="H3" s="418">
        <v>2020</v>
      </c>
      <c r="I3" s="418">
        <v>2021</v>
      </c>
      <c r="J3" s="418">
        <v>2022</v>
      </c>
      <c r="K3" s="418">
        <v>2023</v>
      </c>
      <c r="L3" s="418">
        <v>2024</v>
      </c>
      <c r="M3" s="418">
        <v>2025</v>
      </c>
      <c r="N3" s="418">
        <v>2026</v>
      </c>
      <c r="O3" s="418">
        <v>2027</v>
      </c>
      <c r="P3" s="418">
        <v>2028</v>
      </c>
      <c r="Q3" s="418">
        <v>2029</v>
      </c>
      <c r="R3" s="418">
        <v>2030</v>
      </c>
      <c r="S3" s="418">
        <v>2031</v>
      </c>
      <c r="T3" s="418">
        <v>2032</v>
      </c>
      <c r="U3" s="418">
        <v>2033</v>
      </c>
      <c r="V3" s="418">
        <v>2034</v>
      </c>
      <c r="W3" s="418">
        <v>2035</v>
      </c>
      <c r="X3" s="418">
        <v>2036</v>
      </c>
      <c r="Y3" s="418">
        <v>2037</v>
      </c>
      <c r="Z3" s="418">
        <v>2038</v>
      </c>
      <c r="AA3" s="418">
        <v>2039</v>
      </c>
      <c r="AB3" s="418">
        <v>2040</v>
      </c>
      <c r="AC3" s="418">
        <v>2041</v>
      </c>
      <c r="AD3" s="418">
        <v>2042</v>
      </c>
      <c r="AE3" s="418">
        <v>2043</v>
      </c>
      <c r="AF3" s="418">
        <v>2044</v>
      </c>
      <c r="AG3" s="418">
        <v>2045</v>
      </c>
      <c r="AH3" s="418">
        <v>2046</v>
      </c>
      <c r="AI3" s="418">
        <v>2047</v>
      </c>
      <c r="AJ3" s="418">
        <v>2048</v>
      </c>
      <c r="AK3" s="418">
        <v>2049</v>
      </c>
      <c r="AL3" s="418">
        <v>2050</v>
      </c>
      <c r="AM3" s="418">
        <v>2051</v>
      </c>
      <c r="AN3" s="418">
        <v>2052</v>
      </c>
      <c r="AO3" s="418">
        <v>2053</v>
      </c>
      <c r="AP3" s="418">
        <v>2054</v>
      </c>
      <c r="AQ3" s="418">
        <v>2055</v>
      </c>
      <c r="AR3" s="418">
        <v>2056</v>
      </c>
      <c r="AS3" s="418">
        <v>2057</v>
      </c>
      <c r="AT3" s="418">
        <v>2058</v>
      </c>
      <c r="AU3" s="418">
        <v>2059</v>
      </c>
      <c r="AV3" s="418">
        <v>2060</v>
      </c>
      <c r="AW3" s="418">
        <v>2061</v>
      </c>
      <c r="AX3" s="418">
        <v>2062</v>
      </c>
      <c r="AY3" s="418">
        <v>2063</v>
      </c>
      <c r="AZ3" s="418">
        <v>2064</v>
      </c>
      <c r="BA3" s="418">
        <v>2065</v>
      </c>
      <c r="BB3" s="418">
        <v>2066</v>
      </c>
    </row>
    <row r="4" spans="1:54" x14ac:dyDescent="0.3">
      <c r="A4" s="416"/>
      <c r="B4" s="417"/>
      <c r="C4" s="417" t="s">
        <v>1804</v>
      </c>
      <c r="D4" s="421">
        <v>1</v>
      </c>
      <c r="E4" s="652">
        <f>D4*(1+'Fixed Assets'!$Q$4)</f>
        <v>1.0289323849772132</v>
      </c>
      <c r="F4" s="652">
        <f>E4*(1+'Fixed Assets'!$Q$4)</f>
        <v>1.0587018528548959</v>
      </c>
      <c r="G4" s="652">
        <f>F4*(1+'Fixed Assets'!$Q$4)</f>
        <v>1.0893326224377826</v>
      </c>
      <c r="H4" s="652">
        <f>G4*(1+'Fixed Assets'!$Q$4)</f>
        <v>1.1208496132383898</v>
      </c>
      <c r="I4" s="652">
        <f>H4*(1+'Fixed Assets'!$Q$4)</f>
        <v>1.1532784657501634</v>
      </c>
      <c r="J4" s="652">
        <f>I4*(1+'Fixed Assets'!$Q$4)</f>
        <v>1.1866455623071768</v>
      </c>
      <c r="K4" s="652">
        <f>J4*(1+'Fixed Assets'!$Q$4)</f>
        <v>1.2209780485473496</v>
      </c>
      <c r="L4" s="652">
        <f>K4*(1+'Fixed Assets'!$Q$4)</f>
        <v>1.2563038554966479</v>
      </c>
      <c r="M4" s="652">
        <f>L4*(1+'Fixed Assets'!$Q$4)</f>
        <v>1.292651722292234</v>
      </c>
      <c r="N4" s="652">
        <f>M4*(1+'Fixed Assets'!$Q$4)</f>
        <v>1.3300512195630505</v>
      </c>
      <c r="O4" s="652">
        <f>N4*(1+'Fixed Assets'!$Q$4)</f>
        <v>1.3685327734868606</v>
      </c>
      <c r="P4" s="652">
        <f>O4*(1+'Fixed Assets'!$Q$4)</f>
        <v>1.4081276905433158</v>
      </c>
      <c r="Q4" s="652">
        <f>P4*(1+'Fixed Assets'!$Q$4)</f>
        <v>1.4488681829831891</v>
      </c>
      <c r="R4" s="652">
        <f>Q4*(1+'Fixed Assets'!$Q$4)</f>
        <v>1.4907873950344941</v>
      </c>
      <c r="S4" s="652">
        <f>R4*(1+'Fixed Assets'!$Q$4)</f>
        <v>1.5339194298668088</v>
      </c>
      <c r="T4" s="652">
        <f>S4*(1+'Fixed Assets'!$Q$4)</f>
        <v>1.5782993773357428</v>
      </c>
      <c r="U4" s="652">
        <f>T4*(1+'Fixed Assets'!$Q$4)</f>
        <v>1.6239633425301163</v>
      </c>
      <c r="V4" s="652">
        <f>U4*(1+'Fixed Assets'!$Q$4)</f>
        <v>1.6709484751450796</v>
      </c>
      <c r="W4" s="652">
        <f>V4*(1+'Fixed Assets'!$Q$4)</f>
        <v>1.7192929997050643</v>
      </c>
      <c r="X4" s="652">
        <f>W4*(1+'Fixed Assets'!$Q$4)</f>
        <v>1.7690362466611589</v>
      </c>
      <c r="Y4" s="652">
        <f>X4*(1+'Fixed Assets'!$Q$4)</f>
        <v>1.8202186843882038</v>
      </c>
      <c r="Z4" s="652">
        <f>Y4*(1+'Fixed Assets'!$Q$4)</f>
        <v>1.8728819521076399</v>
      </c>
      <c r="AA4" s="652">
        <f>Z4*(1+'Fixed Assets'!$Q$4)</f>
        <v>1.9270688937628926</v>
      </c>
      <c r="AB4" s="652">
        <f>AA4*(1+'Fixed Assets'!$Q$4)</f>
        <v>1.982823592874853</v>
      </c>
      <c r="AC4" s="652">
        <f>AB4*(1+'Fixed Assets'!$Q$4)</f>
        <v>2.0401914084058093</v>
      </c>
      <c r="AD4" s="652">
        <f>AC4*(1+'Fixed Assets'!$Q$4)</f>
        <v>2.0992190116610088</v>
      </c>
      <c r="AE4" s="652">
        <f>AD4*(1+'Fixed Assets'!$Q$4)</f>
        <v>2.1599544242578701</v>
      </c>
      <c r="AF4" s="652">
        <f>AE4*(1+'Fixed Assets'!$Q$4)</f>
        <v>2.2224470571937336</v>
      </c>
      <c r="AG4" s="652">
        <f>AF4*(1+'Fixed Assets'!$Q$4)</f>
        <v>2.2867477510439373</v>
      </c>
      <c r="AH4" s="652">
        <f>AG4*(1+'Fixed Assets'!$Q$4)</f>
        <v>2.3529088173229171</v>
      </c>
      <c r="AI4" s="652">
        <f>AH4*(1+'Fixed Assets'!$Q$4)</f>
        <v>2.4209840810419831</v>
      </c>
      <c r="AJ4" s="652">
        <f>AI4*(1+'Fixed Assets'!$Q$4)</f>
        <v>2.4910289244983943</v>
      </c>
      <c r="AK4" s="652">
        <f>AJ4*(1+'Fixed Assets'!$Q$4)</f>
        <v>2.5631003323313553</v>
      </c>
      <c r="AL4" s="652">
        <f>AK4*(1+'Fixed Assets'!$Q$4)</f>
        <v>2.6372569378815891</v>
      </c>
      <c r="AM4" s="652">
        <f>AL4*(1+'Fixed Assets'!$Q$4)</f>
        <v>2.7135590708922055</v>
      </c>
      <c r="AN4" s="652">
        <f>AM4*(1+'Fixed Assets'!$Q$4)</f>
        <v>2.7920688065896675</v>
      </c>
      <c r="AO4" s="652">
        <f>AN4*(1+'Fixed Assets'!$Q$4)</f>
        <v>2.8728500161847879</v>
      </c>
      <c r="AP4" s="652">
        <f>AO4*(1+'Fixed Assets'!$Q$4)</f>
        <v>2.9559684188348392</v>
      </c>
      <c r="AQ4" s="652">
        <f>AP4*(1+'Fixed Assets'!$Q$4)</f>
        <v>3.0414916351090531</v>
      </c>
      <c r="AR4" s="652">
        <f>AQ4*(1+'Fixed Assets'!$Q$4)</f>
        <v>3.1294892420010019</v>
      </c>
      <c r="AS4" s="652">
        <f>AR4*(1+'Fixed Assets'!$Q$4)</f>
        <v>3.2200328295326219</v>
      </c>
      <c r="AT4" s="652">
        <f>AS4*(1+'Fixed Assets'!$Q$4)</f>
        <v>3.3131960589959246</v>
      </c>
      <c r="AU4" s="652">
        <f>AT4*(1+'Fixed Assets'!$Q$4)</f>
        <v>3.4090547228797803</v>
      </c>
      <c r="AV4" s="652">
        <f>AU4*(1+'Fixed Assets'!$Q$4)</f>
        <v>3.5076868065305247</v>
      </c>
      <c r="AW4" s="652">
        <f>AV4*(1+'Fixed Assets'!$Q$4)</f>
        <v>3.6091725515965574</v>
      </c>
      <c r="AX4" s="652">
        <f>AW4*(1+'Fixed Assets'!$Q$4)</f>
        <v>3.71359452130854</v>
      </c>
      <c r="AY4" s="652">
        <f>AX4*(1+'Fixed Assets'!$Q$4)</f>
        <v>3.8210376676483082</v>
      </c>
      <c r="AZ4" s="652">
        <f>AY4*(1+'Fixed Assets'!$Q$4)</f>
        <v>3.9315894004611418</v>
      </c>
      <c r="BA4" s="652">
        <f>AZ4*(1+'Fixed Assets'!$Q$4)</f>
        <v>4.045339658567614</v>
      </c>
      <c r="BB4" s="652">
        <f>BA4*(1+'Fixed Assets'!$Q$4)</f>
        <v>4.1623809829328806</v>
      </c>
    </row>
    <row r="5" spans="1:54" x14ac:dyDescent="0.3">
      <c r="A5" s="416"/>
      <c r="B5" s="1052" t="s">
        <v>1575</v>
      </c>
      <c r="C5" s="1048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</row>
    <row r="6" spans="1:54" s="51" customFormat="1" x14ac:dyDescent="0.3">
      <c r="A6" s="416"/>
      <c r="B6" s="420"/>
      <c r="C6" s="422"/>
      <c r="D6" s="423"/>
      <c r="E6" s="423"/>
      <c r="F6" s="423"/>
      <c r="G6" s="423"/>
      <c r="H6" s="423"/>
      <c r="I6" s="423"/>
      <c r="J6" s="423"/>
      <c r="K6" s="423"/>
      <c r="L6" s="423"/>
      <c r="M6" s="423"/>
    </row>
    <row r="7" spans="1:54" s="427" customFormat="1" x14ac:dyDescent="0.3">
      <c r="B7" s="426" t="s">
        <v>1576</v>
      </c>
      <c r="C7" s="428"/>
      <c r="D7" s="430">
        <f>'Capital Improvement Plan'!G25</f>
        <v>326000</v>
      </c>
      <c r="E7" s="430">
        <f>'Capital Improvement Plan'!H25</f>
        <v>4664000</v>
      </c>
      <c r="F7" s="430">
        <f>'Capital Improvement Plan'!I25</f>
        <v>7117500</v>
      </c>
      <c r="G7" s="430">
        <f>'Capital Improvement Plan'!J25</f>
        <v>4037500</v>
      </c>
      <c r="H7" s="430">
        <f>'Capital Improvement Plan'!K25</f>
        <v>2500000</v>
      </c>
      <c r="I7" s="430">
        <f>'Capital Improvement Plan'!L25</f>
        <v>2447000</v>
      </c>
      <c r="J7" s="430">
        <f>'Capital Improvement Plan'!M25</f>
        <v>2467000</v>
      </c>
      <c r="K7" s="430">
        <f>'Capital Improvement Plan'!N25</f>
        <v>2452000</v>
      </c>
      <c r="L7" s="430">
        <f>'Capital Improvement Plan'!O25</f>
        <v>2312000</v>
      </c>
      <c r="M7" s="430">
        <f>'Capital Improvement Plan'!P25</f>
        <v>2292000</v>
      </c>
      <c r="N7" s="430">
        <f>'Capital Improvement Plan'!Q25</f>
        <v>0</v>
      </c>
      <c r="O7" s="430">
        <f>'Capital Improvement Plan'!Q25</f>
        <v>0</v>
      </c>
      <c r="P7" s="430">
        <f>'Capital Improvement Plan'!R25</f>
        <v>0</v>
      </c>
      <c r="Q7" s="430">
        <f>'Capital Improvement Plan'!S25</f>
        <v>0</v>
      </c>
      <c r="R7" s="430">
        <f>'Capital Improvement Plan'!T25</f>
        <v>0</v>
      </c>
      <c r="S7" s="430">
        <f>'Capital Improvement Plan'!U25</f>
        <v>0</v>
      </c>
      <c r="T7" s="430">
        <f>'Capital Improvement Plan'!V25</f>
        <v>0</v>
      </c>
      <c r="U7" s="430">
        <f>'Capital Improvement Plan'!W25</f>
        <v>0</v>
      </c>
      <c r="V7" s="430">
        <f>'Capital Improvement Plan'!X25</f>
        <v>0</v>
      </c>
      <c r="W7" s="430">
        <f>'Capital Improvement Plan'!Y25</f>
        <v>0</v>
      </c>
      <c r="X7" s="430">
        <f>'Capital Improvement Plan'!Z25</f>
        <v>0</v>
      </c>
      <c r="Y7" s="430">
        <f>'Capital Improvement Plan'!AA25</f>
        <v>0</v>
      </c>
      <c r="Z7" s="430">
        <f>'Capital Improvement Plan'!AB25</f>
        <v>0</v>
      </c>
      <c r="AA7" s="430">
        <f>'Capital Improvement Plan'!AC25</f>
        <v>0</v>
      </c>
      <c r="AB7" s="430">
        <f>'Capital Improvement Plan'!AD25</f>
        <v>0</v>
      </c>
      <c r="AC7" s="430">
        <f>'Capital Improvement Plan'!AE25</f>
        <v>0</v>
      </c>
      <c r="AD7" s="430">
        <f>'Capital Improvement Plan'!AF25</f>
        <v>0</v>
      </c>
      <c r="AE7" s="430">
        <f>'Capital Improvement Plan'!AG25</f>
        <v>0</v>
      </c>
      <c r="AF7" s="430">
        <f>'Capital Improvement Plan'!AH25</f>
        <v>0</v>
      </c>
      <c r="AG7" s="430">
        <f>'Capital Improvement Plan'!AI25</f>
        <v>0</v>
      </c>
      <c r="AH7" s="430">
        <f>'Capital Improvement Plan'!AJ25</f>
        <v>0</v>
      </c>
      <c r="AI7" s="430">
        <f>'Capital Improvement Plan'!AK25</f>
        <v>0</v>
      </c>
      <c r="AJ7" s="430">
        <f>'Capital Improvement Plan'!AL25</f>
        <v>0</v>
      </c>
      <c r="AK7" s="430">
        <f>'Capital Improvement Plan'!AM25</f>
        <v>0</v>
      </c>
      <c r="AL7" s="430">
        <f>'Capital Improvement Plan'!AN25</f>
        <v>0</v>
      </c>
      <c r="AM7" s="430">
        <f>'Capital Improvement Plan'!AO25</f>
        <v>0</v>
      </c>
      <c r="AN7" s="430">
        <f>'Capital Improvement Plan'!AP25</f>
        <v>0</v>
      </c>
      <c r="AO7" s="430">
        <f>'Capital Improvement Plan'!AQ25</f>
        <v>0</v>
      </c>
      <c r="AP7" s="430">
        <f>'Capital Improvement Plan'!AR25</f>
        <v>0</v>
      </c>
      <c r="AQ7" s="430">
        <f>'Capital Improvement Plan'!AS25</f>
        <v>0</v>
      </c>
      <c r="AR7" s="430">
        <f>'Capital Improvement Plan'!AT25</f>
        <v>0</v>
      </c>
      <c r="AS7" s="430">
        <f>'Capital Improvement Plan'!AU25</f>
        <v>0</v>
      </c>
      <c r="AT7" s="430">
        <f>'Capital Improvement Plan'!AV25</f>
        <v>0</v>
      </c>
      <c r="AU7" s="430">
        <f>'Capital Improvement Plan'!AW25</f>
        <v>0</v>
      </c>
      <c r="AV7" s="430">
        <f>'Capital Improvement Plan'!AX25</f>
        <v>0</v>
      </c>
      <c r="AW7" s="430">
        <f>'Capital Improvement Plan'!AY25</f>
        <v>0</v>
      </c>
      <c r="AX7" s="430">
        <f>'Capital Improvement Plan'!AZ25</f>
        <v>0</v>
      </c>
      <c r="AY7" s="430">
        <f>'Capital Improvement Plan'!BA25</f>
        <v>0</v>
      </c>
      <c r="AZ7" s="430">
        <f>'Capital Improvement Plan'!BB25</f>
        <v>0</v>
      </c>
      <c r="BA7" s="430">
        <f>'Capital Improvement Plan'!BC25</f>
        <v>0</v>
      </c>
      <c r="BB7" s="430">
        <f>'Capital Improvement Plan'!BD25</f>
        <v>0</v>
      </c>
    </row>
    <row r="8" spans="1:54" s="427" customFormat="1" x14ac:dyDescent="0.3">
      <c r="B8" s="431"/>
      <c r="C8" s="432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</row>
    <row r="9" spans="1:54" s="427" customFormat="1" x14ac:dyDescent="0.3">
      <c r="B9" s="426" t="s">
        <v>1577</v>
      </c>
      <c r="C9" s="433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</row>
    <row r="10" spans="1:54" s="427" customFormat="1" x14ac:dyDescent="0.3">
      <c r="B10" s="434" t="s">
        <v>1578</v>
      </c>
      <c r="C10" s="672">
        <v>2016</v>
      </c>
      <c r="D10" s="670" t="s">
        <v>1861</v>
      </c>
      <c r="E10" s="669" t="s">
        <v>1862</v>
      </c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</row>
    <row r="11" spans="1:54" s="427" customFormat="1" x14ac:dyDescent="0.3">
      <c r="B11" s="434" t="str">
        <f>"Total Replacement Cost in Arrears ("&amp;C10&amp;" Dollars)"</f>
        <v>Total Replacement Cost in Arrears (2016 Dollars)</v>
      </c>
      <c r="C11" s="435">
        <f>SUMPRODUCT(('Fixed Assets'!$B$6:$B$597)*('Fixed Assets'!$P$6:$P$597&lt;2016)*('Fixed Assets'!$R$6:$R$597))</f>
        <v>11547401.598675156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</row>
    <row r="12" spans="1:54" s="427" customFormat="1" x14ac:dyDescent="0.3">
      <c r="B12" s="434" t="s">
        <v>1859</v>
      </c>
      <c r="C12" s="435">
        <f>SUMIF('Assets in Arrears Calculation'!$B$3:$B$106,"&lt;"&amp;'Asset Replacement'!C10-20,'Assets in Arrears Calculation'!$D$3:$D$106)</f>
        <v>27226.375926982313</v>
      </c>
      <c r="D12" s="913">
        <v>1</v>
      </c>
      <c r="E12" s="1177">
        <f>C12/D12</f>
        <v>27226.375926982313</v>
      </c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421"/>
      <c r="AT12" s="421"/>
      <c r="AU12" s="421"/>
      <c r="AV12" s="421"/>
      <c r="AW12" s="421"/>
      <c r="AX12" s="421"/>
      <c r="AY12" s="421"/>
      <c r="AZ12" s="421"/>
      <c r="BA12" s="421"/>
      <c r="BB12" s="421"/>
    </row>
    <row r="13" spans="1:54" s="427" customFormat="1" x14ac:dyDescent="0.3">
      <c r="B13" s="434" t="s">
        <v>1858</v>
      </c>
      <c r="C13" s="435">
        <f>SUMIF('Assets in Arrears Calculation'!$B$3:$B$106,"&lt;"&amp;'Asset Replacement'!C10-10,'Assets in Arrears Calculation'!$D$3:$D$106)-C12</f>
        <v>331017.56122763717</v>
      </c>
      <c r="D13" s="913">
        <v>5</v>
      </c>
      <c r="E13" s="446">
        <f t="shared" ref="E13:E14" si="0">C13/D13</f>
        <v>66203.51224552744</v>
      </c>
      <c r="F13" s="421"/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21"/>
      <c r="AT13" s="421"/>
      <c r="AU13" s="421"/>
      <c r="AV13" s="421"/>
      <c r="AW13" s="421"/>
      <c r="AX13" s="421"/>
      <c r="AY13" s="421"/>
      <c r="AZ13" s="421"/>
      <c r="BA13" s="421"/>
      <c r="BB13" s="421"/>
    </row>
    <row r="14" spans="1:54" s="427" customFormat="1" x14ac:dyDescent="0.3">
      <c r="B14" s="434" t="s">
        <v>1860</v>
      </c>
      <c r="C14" s="435">
        <f>SUMIF('Assets in Arrears Calculation'!$B$3:$B$106,"&lt;"&amp;'Asset Replacement'!C10,'Assets in Arrears Calculation'!$D$3:$D$106)-C13-C12</f>
        <v>11189157.661520543</v>
      </c>
      <c r="D14" s="913">
        <v>10</v>
      </c>
      <c r="E14" s="446">
        <f t="shared" si="0"/>
        <v>1118915.7661520543</v>
      </c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1"/>
      <c r="AS14" s="421"/>
      <c r="AT14" s="421"/>
      <c r="AU14" s="421"/>
      <c r="AV14" s="421"/>
      <c r="AW14" s="421"/>
      <c r="AX14" s="421"/>
      <c r="AY14" s="421"/>
      <c r="AZ14" s="421"/>
      <c r="BA14" s="421"/>
      <c r="BB14" s="421"/>
    </row>
    <row r="15" spans="1:54" s="427" customFormat="1" x14ac:dyDescent="0.3">
      <c r="B15" s="434"/>
      <c r="C15" s="435"/>
      <c r="D15" s="446"/>
      <c r="E15" s="446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  <c r="AY15" s="421"/>
      <c r="AZ15" s="421"/>
      <c r="BA15" s="421"/>
      <c r="BB15" s="421"/>
    </row>
    <row r="16" spans="1:54" s="427" customFormat="1" x14ac:dyDescent="0.3">
      <c r="B16" s="434" t="str">
        <f>"Replacement Cost of Assets in Arrears"</f>
        <v>Replacement Cost of Assets in Arrears</v>
      </c>
      <c r="C16" s="436"/>
      <c r="D16" s="437">
        <f>IF(D3&lt;$C$10+$D$12,$E$12,0)+IF(D3&lt;$C$10+$D$13,$E$13,0)+IF(D3&lt;$C$10+$D$14,$E$14,0)</f>
        <v>1212345.6543245642</v>
      </c>
      <c r="E16" s="437">
        <f t="shared" ref="E16:AI16" si="1">IF(E3&lt;$C$10+$D$12,$E$12,0)+IF(E3&lt;$C$10+$D$13,$E$13,0)+IF(E3&lt;$C$10+$D$14,$E$14,0)</f>
        <v>1185119.2783975818</v>
      </c>
      <c r="F16" s="437">
        <f t="shared" si="1"/>
        <v>1185119.2783975818</v>
      </c>
      <c r="G16" s="437">
        <f t="shared" si="1"/>
        <v>1185119.2783975818</v>
      </c>
      <c r="H16" s="437">
        <f t="shared" si="1"/>
        <v>1185119.2783975818</v>
      </c>
      <c r="I16" s="437">
        <f t="shared" si="1"/>
        <v>1118915.7661520543</v>
      </c>
      <c r="J16" s="437">
        <f t="shared" si="1"/>
        <v>1118915.7661520543</v>
      </c>
      <c r="K16" s="437">
        <f t="shared" si="1"/>
        <v>1118915.7661520543</v>
      </c>
      <c r="L16" s="437">
        <f t="shared" si="1"/>
        <v>1118915.7661520543</v>
      </c>
      <c r="M16" s="437">
        <f t="shared" si="1"/>
        <v>1118915.7661520543</v>
      </c>
      <c r="N16" s="437">
        <f t="shared" si="1"/>
        <v>0</v>
      </c>
      <c r="O16" s="437">
        <f t="shared" si="1"/>
        <v>0</v>
      </c>
      <c r="P16" s="437">
        <f t="shared" si="1"/>
        <v>0</v>
      </c>
      <c r="Q16" s="437">
        <f t="shared" si="1"/>
        <v>0</v>
      </c>
      <c r="R16" s="437">
        <f t="shared" si="1"/>
        <v>0</v>
      </c>
      <c r="S16" s="437">
        <f t="shared" si="1"/>
        <v>0</v>
      </c>
      <c r="T16" s="437">
        <f t="shared" si="1"/>
        <v>0</v>
      </c>
      <c r="U16" s="437">
        <f t="shared" si="1"/>
        <v>0</v>
      </c>
      <c r="V16" s="437">
        <f t="shared" si="1"/>
        <v>0</v>
      </c>
      <c r="W16" s="437">
        <f t="shared" si="1"/>
        <v>0</v>
      </c>
      <c r="X16" s="437">
        <f t="shared" si="1"/>
        <v>0</v>
      </c>
      <c r="Y16" s="437">
        <f t="shared" si="1"/>
        <v>0</v>
      </c>
      <c r="Z16" s="437">
        <f t="shared" si="1"/>
        <v>0</v>
      </c>
      <c r="AA16" s="437">
        <f t="shared" si="1"/>
        <v>0</v>
      </c>
      <c r="AB16" s="437">
        <f t="shared" si="1"/>
        <v>0</v>
      </c>
      <c r="AC16" s="437">
        <f t="shared" si="1"/>
        <v>0</v>
      </c>
      <c r="AD16" s="437">
        <f t="shared" si="1"/>
        <v>0</v>
      </c>
      <c r="AE16" s="437">
        <f t="shared" si="1"/>
        <v>0</v>
      </c>
      <c r="AF16" s="437">
        <f t="shared" si="1"/>
        <v>0</v>
      </c>
      <c r="AG16" s="437">
        <f t="shared" si="1"/>
        <v>0</v>
      </c>
      <c r="AH16" s="437">
        <f t="shared" si="1"/>
        <v>0</v>
      </c>
      <c r="AI16" s="437">
        <f t="shared" si="1"/>
        <v>0</v>
      </c>
      <c r="AJ16" s="437">
        <f t="shared" ref="AJ16:BB16" si="2">IF(AJ3&lt;$C$10+$D$12,$E$12,0)+IF(AJ3&lt;$C$10+$D$13,$E$13,0)+IF(AJ3&lt;$C$10+$D$14,$E$14,0)</f>
        <v>0</v>
      </c>
      <c r="AK16" s="437">
        <f t="shared" si="2"/>
        <v>0</v>
      </c>
      <c r="AL16" s="437">
        <f t="shared" si="2"/>
        <v>0</v>
      </c>
      <c r="AM16" s="437">
        <f t="shared" si="2"/>
        <v>0</v>
      </c>
      <c r="AN16" s="437">
        <f t="shared" si="2"/>
        <v>0</v>
      </c>
      <c r="AO16" s="437">
        <f t="shared" si="2"/>
        <v>0</v>
      </c>
      <c r="AP16" s="437">
        <f t="shared" si="2"/>
        <v>0</v>
      </c>
      <c r="AQ16" s="437">
        <f t="shared" si="2"/>
        <v>0</v>
      </c>
      <c r="AR16" s="437">
        <f t="shared" si="2"/>
        <v>0</v>
      </c>
      <c r="AS16" s="437">
        <f t="shared" si="2"/>
        <v>0</v>
      </c>
      <c r="AT16" s="437">
        <f t="shared" si="2"/>
        <v>0</v>
      </c>
      <c r="AU16" s="437">
        <f t="shared" si="2"/>
        <v>0</v>
      </c>
      <c r="AV16" s="437">
        <f t="shared" si="2"/>
        <v>0</v>
      </c>
      <c r="AW16" s="437">
        <f t="shared" si="2"/>
        <v>0</v>
      </c>
      <c r="AX16" s="437">
        <f t="shared" si="2"/>
        <v>0</v>
      </c>
      <c r="AY16" s="437">
        <f t="shared" si="2"/>
        <v>0</v>
      </c>
      <c r="AZ16" s="437">
        <f t="shared" si="2"/>
        <v>0</v>
      </c>
      <c r="BA16" s="437">
        <f t="shared" si="2"/>
        <v>0</v>
      </c>
      <c r="BB16" s="437">
        <f t="shared" si="2"/>
        <v>0</v>
      </c>
    </row>
    <row r="17" spans="2:55" s="427" customFormat="1" x14ac:dyDescent="0.3">
      <c r="B17" s="434" t="s">
        <v>1579</v>
      </c>
      <c r="C17" s="436"/>
      <c r="D17" s="437">
        <f>SUMPRODUCT(('Fixed Assets'!$B$6:$B$597)*('Fixed Assets'!$P$6:$P$597='Asset Replacement'!D3)*('Fixed Assets'!$S$6:$S$597))</f>
        <v>83688.041809149378</v>
      </c>
      <c r="E17" s="437">
        <f>SUMPRODUCT(('Fixed Assets'!$B$6:$B$597)*('Fixed Assets'!$P$6:$P$597='Asset Replacement'!E3)*('Fixed Assets'!$S$6:$S$597))</f>
        <v>62084.215033610846</v>
      </c>
      <c r="F17" s="437">
        <f>SUMPRODUCT(('Fixed Assets'!$B$6:$B$597)*('Fixed Assets'!$P$6:$P$597='Asset Replacement'!F3)*('Fixed Assets'!$S$6:$S$597))</f>
        <v>918033.787074466</v>
      </c>
      <c r="G17" s="437">
        <f>SUMPRODUCT(('Fixed Assets'!$B$6:$B$597)*('Fixed Assets'!$P$6:$P$597='Asset Replacement'!G3)*('Fixed Assets'!$S$6:$S$597))</f>
        <v>11118784.667161468</v>
      </c>
      <c r="H17" s="437">
        <f>SUMPRODUCT(('Fixed Assets'!$B$6:$B$597)*('Fixed Assets'!$P$6:$P$597='Asset Replacement'!H3)*('Fixed Assets'!$S$6:$S$597))</f>
        <v>46825.11230194314</v>
      </c>
      <c r="I17" s="437">
        <f>SUMPRODUCT(('Fixed Assets'!$B$6:$B$597)*('Fixed Assets'!$P$6:$P$597='Asset Replacement'!I3)*('Fixed Assets'!$S$6:$S$597))</f>
        <v>66456.002096738608</v>
      </c>
      <c r="J17" s="437">
        <f>SUMPRODUCT(('Fixed Assets'!$B$6:$B$597)*('Fixed Assets'!$P$6:$P$597='Asset Replacement'!J3)*('Fixed Assets'!$S$6:$S$597))</f>
        <v>220220.49032025595</v>
      </c>
      <c r="K17" s="437">
        <f>SUMPRODUCT(('Fixed Assets'!$B$6:$B$597)*('Fixed Assets'!$P$6:$P$597='Asset Replacement'!K3)*('Fixed Assets'!$S$6:$S$597))</f>
        <v>7472021.6661631055</v>
      </c>
      <c r="L17" s="437">
        <f>SUMPRODUCT(('Fixed Assets'!$B$6:$B$597)*('Fixed Assets'!$P$6:$P$597='Asset Replacement'!L3)*('Fixed Assets'!$S$6:$S$597))</f>
        <v>2104985.1511907852</v>
      </c>
      <c r="M17" s="437">
        <f>SUMPRODUCT(('Fixed Assets'!$B$6:$B$597)*('Fixed Assets'!$P$6:$P$597='Asset Replacement'!M3)*('Fixed Assets'!$S$6:$S$597))</f>
        <v>5752741.2375916308</v>
      </c>
      <c r="N17" s="437">
        <f>SUMPRODUCT(('Fixed Assets'!$B$6:$B$597)*('Fixed Assets'!$P$6:$P$597='Asset Replacement'!N3)*('Fixed Assets'!$S$6:$S$597))</f>
        <v>3365708.3343154835</v>
      </c>
      <c r="O17" s="437">
        <f>SUMPRODUCT(('Fixed Assets'!$B$6:$B$597)*('Fixed Assets'!$P$6:$P$597='Asset Replacement'!O3)*('Fixed Assets'!$S$6:$S$597))</f>
        <v>602601.88629076071</v>
      </c>
      <c r="P17" s="437">
        <f>SUMPRODUCT(('Fixed Assets'!$B$6:$B$597)*('Fixed Assets'!$P$6:$P$597='Asset Replacement'!P3)*('Fixed Assets'!$S$6:$S$597))</f>
        <v>5673908.9174337564</v>
      </c>
      <c r="Q17" s="437">
        <f>SUMPRODUCT(('Fixed Assets'!$B$6:$B$597)*('Fixed Assets'!$P$6:$P$597='Asset Replacement'!Q3)*('Fixed Assets'!$S$6:$S$597))</f>
        <v>2612127.2654008344</v>
      </c>
      <c r="R17" s="437">
        <f>SUMPRODUCT(('Fixed Assets'!$B$6:$B$597)*('Fixed Assets'!$P$6:$P$597='Asset Replacement'!R3)*('Fixed Assets'!$S$6:$S$597))</f>
        <v>3242990.8353360859</v>
      </c>
      <c r="S17" s="437">
        <f>SUMPRODUCT(('Fixed Assets'!$B$6:$B$597)*('Fixed Assets'!$P$6:$P$597='Asset Replacement'!S3)*('Fixed Assets'!$S$6:$S$597))</f>
        <v>979102.84782626643</v>
      </c>
      <c r="T17" s="437">
        <f>SUMPRODUCT(('Fixed Assets'!$B$6:$B$597)*('Fixed Assets'!$P$6:$P$597='Asset Replacement'!T3)*('Fixed Assets'!$S$6:$S$597))</f>
        <v>1272097.8939606913</v>
      </c>
      <c r="U17" s="437">
        <f>SUMPRODUCT(('Fixed Assets'!$B$6:$B$597)*('Fixed Assets'!$P$6:$P$597='Asset Replacement'!U3)*('Fixed Assets'!$S$6:$S$597))</f>
        <v>2355551.3303030436</v>
      </c>
      <c r="V17" s="437">
        <f>SUMPRODUCT(('Fixed Assets'!$B$6:$B$597)*('Fixed Assets'!$P$6:$P$597='Asset Replacement'!V3)*('Fixed Assets'!$S$6:$S$597))</f>
        <v>47703715.151516929</v>
      </c>
      <c r="W17" s="437">
        <f>SUMPRODUCT(('Fixed Assets'!$B$6:$B$597)*('Fixed Assets'!$P$6:$P$597='Asset Replacement'!W3)*('Fixed Assets'!$S$6:$S$597))</f>
        <v>1727493.880867915</v>
      </c>
      <c r="X17" s="437">
        <f>SUMPRODUCT(('Fixed Assets'!$B$6:$B$597)*('Fixed Assets'!$P$6:$P$597='Asset Replacement'!X3)*('Fixed Assets'!$S$6:$S$597))</f>
        <v>11975868.560543809</v>
      </c>
      <c r="Y17" s="437">
        <f>SUMPRODUCT(('Fixed Assets'!$B$6:$B$597)*('Fixed Assets'!$P$6:$P$597='Asset Replacement'!Y3)*('Fixed Assets'!$S$6:$S$597))</f>
        <v>17593454.457425576</v>
      </c>
      <c r="Z17" s="437">
        <f>SUMPRODUCT(('Fixed Assets'!$B$6:$B$597)*('Fixed Assets'!$P$6:$P$597='Asset Replacement'!Z3)*('Fixed Assets'!$S$6:$S$597))</f>
        <v>5002331.7057461599</v>
      </c>
      <c r="AA17" s="437">
        <f>SUMPRODUCT(('Fixed Assets'!$B$6:$B$597)*('Fixed Assets'!$P$6:$P$597='Asset Replacement'!AA3)*('Fixed Assets'!$S$6:$S$597))</f>
        <v>6537714.1789244264</v>
      </c>
      <c r="AB17" s="437">
        <f>SUMPRODUCT(('Fixed Assets'!$B$6:$B$597)*('Fixed Assets'!$P$6:$P$597='Asset Replacement'!AB3)*('Fixed Assets'!$S$6:$S$597))</f>
        <v>7930116.0579976859</v>
      </c>
      <c r="AC17" s="437">
        <f>SUMPRODUCT(('Fixed Assets'!$B$6:$B$597)*('Fixed Assets'!$P$6:$P$597='Asset Replacement'!AC3)*('Fixed Assets'!$S$6:$S$597))</f>
        <v>3758986.8942083693</v>
      </c>
      <c r="AD17" s="437">
        <f>SUMPRODUCT(('Fixed Assets'!$B$6:$B$597)*('Fixed Assets'!$P$6:$P$597='Asset Replacement'!AD3)*('Fixed Assets'!$S$6:$S$597))</f>
        <v>3200738.1497147367</v>
      </c>
      <c r="AE17" s="437">
        <f>SUMPRODUCT(('Fixed Assets'!$B$6:$B$597)*('Fixed Assets'!$P$6:$P$597='Asset Replacement'!AE3)*('Fixed Assets'!$S$6:$S$597))</f>
        <v>3263805.9514250811</v>
      </c>
      <c r="AF17" s="437">
        <f>SUMPRODUCT(('Fixed Assets'!$B$6:$B$597)*('Fixed Assets'!$P$6:$P$597='Asset Replacement'!AF3)*('Fixed Assets'!$S$6:$S$597))</f>
        <v>6406721.9730597921</v>
      </c>
      <c r="AG17" s="437">
        <f>SUMPRODUCT(('Fixed Assets'!$B$6:$B$597)*('Fixed Assets'!$P$6:$P$597='Asset Replacement'!AG3)*('Fixed Assets'!$S$6:$S$597))</f>
        <v>5993689.7185187135</v>
      </c>
      <c r="AH17" s="437">
        <f>SUMPRODUCT(('Fixed Assets'!$B$6:$B$597)*('Fixed Assets'!$P$6:$P$597='Asset Replacement'!AH3)*('Fixed Assets'!$S$6:$S$597))</f>
        <v>6000983.6435272871</v>
      </c>
      <c r="AI17" s="437">
        <f>SUMPRODUCT(('Fixed Assets'!$B$6:$B$597)*('Fixed Assets'!$P$6:$P$597='Asset Replacement'!AI3)*('Fixed Assets'!$S$6:$S$597))</f>
        <v>5342901.1628302746</v>
      </c>
      <c r="AJ17" s="437">
        <f>SUMPRODUCT(('Fixed Assets'!$B$6:$B$597)*('Fixed Assets'!$P$6:$P$597='Asset Replacement'!AJ3)*('Fixed Assets'!$S$6:$S$597))</f>
        <v>2378195.3696758887</v>
      </c>
      <c r="AK17" s="437">
        <f>SUMPRODUCT(('Fixed Assets'!$B$6:$B$597)*('Fixed Assets'!$P$6:$P$597='Asset Replacement'!AK3)*('Fixed Assets'!$S$6:$S$597))</f>
        <v>2896802.8324240176</v>
      </c>
      <c r="AL17" s="437">
        <f>SUMPRODUCT(('Fixed Assets'!$B$6:$B$597)*('Fixed Assets'!$P$6:$P$597='Asset Replacement'!AL3)*('Fixed Assets'!$S$6:$S$597))</f>
        <v>11777825.447840005</v>
      </c>
      <c r="AM17" s="437">
        <f>SUMPRODUCT(('Fixed Assets'!$B$6:$B$597)*('Fixed Assets'!$P$6:$P$597='Asset Replacement'!AM3)*('Fixed Assets'!$S$6:$S$597))</f>
        <v>4797595.9848113041</v>
      </c>
      <c r="AN17" s="437">
        <f>SUMPRODUCT(('Fixed Assets'!$B$6:$B$597)*('Fixed Assets'!$P$6:$P$597='Asset Replacement'!AN3)*('Fixed Assets'!$S$6:$S$597))</f>
        <v>4449450.4482916081</v>
      </c>
      <c r="AO17" s="437">
        <f>SUMPRODUCT(('Fixed Assets'!$B$6:$B$597)*('Fixed Assets'!$P$6:$P$597='Asset Replacement'!AO3)*('Fixed Assets'!$S$6:$S$597))</f>
        <v>6106754.5027410304</v>
      </c>
      <c r="AP17" s="437">
        <f>SUMPRODUCT(('Fixed Assets'!$B$6:$B$597)*('Fixed Assets'!$P$6:$P$597='Asset Replacement'!AP3)*('Fixed Assets'!$S$6:$S$597))</f>
        <v>4119638.0239155246</v>
      </c>
      <c r="AQ17" s="437">
        <f>SUMPRODUCT(('Fixed Assets'!$B$6:$B$597)*('Fixed Assets'!$P$6:$P$597='Asset Replacement'!AQ3)*('Fixed Assets'!$S$6:$S$597))</f>
        <v>7335461.8999516331</v>
      </c>
      <c r="AR17" s="437">
        <f>SUMPRODUCT(('Fixed Assets'!$B$6:$B$597)*('Fixed Assets'!$P$6:$P$597='Asset Replacement'!AR3)*('Fixed Assets'!$S$6:$S$597))</f>
        <v>33582379.847145066</v>
      </c>
      <c r="AS17" s="437">
        <f>SUMPRODUCT(('Fixed Assets'!$B$6:$B$597)*('Fixed Assets'!$P$6:$P$597='Asset Replacement'!AS3)*('Fixed Assets'!$S$6:$S$597))</f>
        <v>12154931.620305976</v>
      </c>
      <c r="AT17" s="437">
        <f>SUMPRODUCT(('Fixed Assets'!$B$6:$B$597)*('Fixed Assets'!$P$6:$P$597='Asset Replacement'!AT3)*('Fixed Assets'!$S$6:$S$597))</f>
        <v>16498302.175779613</v>
      </c>
      <c r="AU17" s="437">
        <f>SUMPRODUCT(('Fixed Assets'!$B$6:$B$597)*('Fixed Assets'!$P$6:$P$597='Asset Replacement'!AU3)*('Fixed Assets'!$S$6:$S$597))</f>
        <v>44610793.233746298</v>
      </c>
      <c r="AV17" s="437">
        <f>SUMPRODUCT(('Fixed Assets'!$B$6:$B$597)*('Fixed Assets'!$P$6:$P$597='Asset Replacement'!AV3)*('Fixed Assets'!$S$6:$S$597))</f>
        <v>16416877.837236628</v>
      </c>
      <c r="AW17" s="437">
        <f>SUMPRODUCT(('Fixed Assets'!$B$6:$B$597)*('Fixed Assets'!$P$6:$P$597='Asset Replacement'!AW3)*('Fixed Assets'!$S$6:$S$597))</f>
        <v>3949676.1419267044</v>
      </c>
      <c r="AX17" s="437">
        <f>SUMPRODUCT(('Fixed Assets'!$B$6:$B$597)*('Fixed Assets'!$P$6:$P$597='Asset Replacement'!AX3)*('Fixed Assets'!$S$6:$S$597))</f>
        <v>4018163.819081868</v>
      </c>
      <c r="AY17" s="437">
        <f>SUMPRODUCT(('Fixed Assets'!$B$6:$B$597)*('Fixed Assets'!$P$6:$P$597='Asset Replacement'!AY3)*('Fixed Assets'!$S$6:$S$597))</f>
        <v>21373280.163067471</v>
      </c>
      <c r="AZ17" s="437">
        <f>SUMPRODUCT(('Fixed Assets'!$B$6:$B$597)*('Fixed Assets'!$P$6:$P$597='Asset Replacement'!AZ3)*('Fixed Assets'!$S$6:$S$597))</f>
        <v>873816.88905562693</v>
      </c>
      <c r="BA17" s="437">
        <f>SUMPRODUCT(('Fixed Assets'!$B$6:$B$597)*('Fixed Assets'!$P$6:$P$597='Asset Replacement'!BA3)*('Fixed Assets'!$S$6:$S$597))</f>
        <v>0</v>
      </c>
      <c r="BB17" s="437">
        <f>SUMPRODUCT(('Fixed Assets'!$B$6:$B$597)*('Fixed Assets'!$P$6:$P$597='Asset Replacement'!BB3)*('Fixed Assets'!$S$6:$S$597))</f>
        <v>0</v>
      </c>
    </row>
    <row r="18" spans="2:55" s="438" customFormat="1" x14ac:dyDescent="0.3">
      <c r="B18" s="429" t="s">
        <v>1580</v>
      </c>
      <c r="C18" s="439"/>
      <c r="D18" s="440">
        <f>D16+D17</f>
        <v>1296033.6961337135</v>
      </c>
      <c r="E18" s="440">
        <f>E16+E17</f>
        <v>1247203.4934311926</v>
      </c>
      <c r="F18" s="440">
        <f t="shared" ref="F18:AZ18" si="3">F16+F17</f>
        <v>2103153.0654720478</v>
      </c>
      <c r="G18" s="440">
        <f t="shared" si="3"/>
        <v>12303903.945559051</v>
      </c>
      <c r="H18" s="440">
        <f t="shared" si="3"/>
        <v>1231944.3906995249</v>
      </c>
      <c r="I18" s="440">
        <f t="shared" si="3"/>
        <v>1185371.768248793</v>
      </c>
      <c r="J18" s="440">
        <f t="shared" si="3"/>
        <v>1339136.2564723103</v>
      </c>
      <c r="K18" s="440">
        <f t="shared" si="3"/>
        <v>8590937.4323151596</v>
      </c>
      <c r="L18" s="440">
        <f t="shared" si="3"/>
        <v>3223900.9173428398</v>
      </c>
      <c r="M18" s="440">
        <f t="shared" si="3"/>
        <v>6871657.0037436849</v>
      </c>
      <c r="N18" s="440">
        <f t="shared" si="3"/>
        <v>3365708.3343154835</v>
      </c>
      <c r="O18" s="440">
        <f t="shared" si="3"/>
        <v>602601.88629076071</v>
      </c>
      <c r="P18" s="440">
        <f t="shared" si="3"/>
        <v>5673908.9174337564</v>
      </c>
      <c r="Q18" s="440">
        <f t="shared" si="3"/>
        <v>2612127.2654008344</v>
      </c>
      <c r="R18" s="440">
        <f t="shared" si="3"/>
        <v>3242990.8353360859</v>
      </c>
      <c r="S18" s="440">
        <f t="shared" si="3"/>
        <v>979102.84782626643</v>
      </c>
      <c r="T18" s="440">
        <f t="shared" si="3"/>
        <v>1272097.8939606913</v>
      </c>
      <c r="U18" s="440">
        <f t="shared" si="3"/>
        <v>2355551.3303030436</v>
      </c>
      <c r="V18" s="440">
        <f t="shared" si="3"/>
        <v>47703715.151516929</v>
      </c>
      <c r="W18" s="440">
        <f t="shared" si="3"/>
        <v>1727493.880867915</v>
      </c>
      <c r="X18" s="440">
        <f t="shared" si="3"/>
        <v>11975868.560543809</v>
      </c>
      <c r="Y18" s="440">
        <f t="shared" si="3"/>
        <v>17593454.457425576</v>
      </c>
      <c r="Z18" s="440">
        <f t="shared" si="3"/>
        <v>5002331.7057461599</v>
      </c>
      <c r="AA18" s="440">
        <f t="shared" si="3"/>
        <v>6537714.1789244264</v>
      </c>
      <c r="AB18" s="440">
        <f t="shared" si="3"/>
        <v>7930116.0579976859</v>
      </c>
      <c r="AC18" s="440">
        <f t="shared" si="3"/>
        <v>3758986.8942083693</v>
      </c>
      <c r="AD18" s="440">
        <f t="shared" si="3"/>
        <v>3200738.1497147367</v>
      </c>
      <c r="AE18" s="440">
        <f t="shared" si="3"/>
        <v>3263805.9514250811</v>
      </c>
      <c r="AF18" s="440">
        <f t="shared" si="3"/>
        <v>6406721.9730597921</v>
      </c>
      <c r="AG18" s="440">
        <f t="shared" si="3"/>
        <v>5993689.7185187135</v>
      </c>
      <c r="AH18" s="440">
        <f t="shared" si="3"/>
        <v>6000983.6435272871</v>
      </c>
      <c r="AI18" s="440">
        <f t="shared" si="3"/>
        <v>5342901.1628302746</v>
      </c>
      <c r="AJ18" s="440">
        <f t="shared" si="3"/>
        <v>2378195.3696758887</v>
      </c>
      <c r="AK18" s="440">
        <f t="shared" si="3"/>
        <v>2896802.8324240176</v>
      </c>
      <c r="AL18" s="440">
        <f t="shared" si="3"/>
        <v>11777825.447840005</v>
      </c>
      <c r="AM18" s="440">
        <f t="shared" si="3"/>
        <v>4797595.9848113041</v>
      </c>
      <c r="AN18" s="440">
        <f t="shared" si="3"/>
        <v>4449450.4482916081</v>
      </c>
      <c r="AO18" s="440">
        <f t="shared" si="3"/>
        <v>6106754.5027410304</v>
      </c>
      <c r="AP18" s="440">
        <f t="shared" si="3"/>
        <v>4119638.0239155246</v>
      </c>
      <c r="AQ18" s="440">
        <f t="shared" si="3"/>
        <v>7335461.8999516331</v>
      </c>
      <c r="AR18" s="440">
        <f t="shared" si="3"/>
        <v>33582379.847145066</v>
      </c>
      <c r="AS18" s="440">
        <f t="shared" si="3"/>
        <v>12154931.620305976</v>
      </c>
      <c r="AT18" s="440">
        <f t="shared" si="3"/>
        <v>16498302.175779613</v>
      </c>
      <c r="AU18" s="440">
        <f t="shared" si="3"/>
        <v>44610793.233746298</v>
      </c>
      <c r="AV18" s="440">
        <f t="shared" si="3"/>
        <v>16416877.837236628</v>
      </c>
      <c r="AW18" s="440">
        <f t="shared" si="3"/>
        <v>3949676.1419267044</v>
      </c>
      <c r="AX18" s="440">
        <f t="shared" si="3"/>
        <v>4018163.819081868</v>
      </c>
      <c r="AY18" s="440">
        <f t="shared" si="3"/>
        <v>21373280.163067471</v>
      </c>
      <c r="AZ18" s="440">
        <f t="shared" si="3"/>
        <v>873816.88905562693</v>
      </c>
      <c r="BA18" s="440">
        <f>BA16+BA17</f>
        <v>0</v>
      </c>
      <c r="BB18" s="440">
        <f>BB16+BB17</f>
        <v>0</v>
      </c>
    </row>
    <row r="19" spans="2:55" s="438" customFormat="1" x14ac:dyDescent="0.3">
      <c r="B19" s="429"/>
      <c r="C19" s="439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  <c r="AQ19" s="441"/>
      <c r="AR19" s="441"/>
      <c r="AS19" s="441"/>
      <c r="AT19" s="441"/>
      <c r="AU19" s="441"/>
      <c r="AV19" s="441"/>
      <c r="AW19" s="441"/>
      <c r="AX19" s="441"/>
      <c r="AY19" s="441"/>
      <c r="AZ19" s="441"/>
      <c r="BA19" s="441"/>
      <c r="BB19" s="441"/>
    </row>
    <row r="20" spans="2:55" s="438" customFormat="1" x14ac:dyDescent="0.3">
      <c r="B20" s="429" t="s">
        <v>1581</v>
      </c>
      <c r="C20" s="439"/>
      <c r="D20" s="654">
        <f>D18-D7</f>
        <v>970033.69613371347</v>
      </c>
      <c r="E20" s="441">
        <f t="shared" ref="E20:AI20" si="4">E18-E7</f>
        <v>-3416796.5065688072</v>
      </c>
      <c r="F20" s="441">
        <f>F18-F7</f>
        <v>-5014346.9345279522</v>
      </c>
      <c r="G20" s="441">
        <f t="shared" si="4"/>
        <v>8266403.9455590509</v>
      </c>
      <c r="H20" s="441">
        <f t="shared" si="4"/>
        <v>-1268055.6093004751</v>
      </c>
      <c r="I20" s="441">
        <f t="shared" si="4"/>
        <v>-1261628.231751207</v>
      </c>
      <c r="J20" s="441">
        <f t="shared" si="4"/>
        <v>-1127863.7435276897</v>
      </c>
      <c r="K20" s="441">
        <f t="shared" si="4"/>
        <v>6138937.4323151596</v>
      </c>
      <c r="L20" s="441">
        <f t="shared" si="4"/>
        <v>911900.91734283976</v>
      </c>
      <c r="M20" s="441">
        <f t="shared" si="4"/>
        <v>4579657.0037436849</v>
      </c>
      <c r="N20" s="441">
        <f t="shared" si="4"/>
        <v>3365708.3343154835</v>
      </c>
      <c r="O20" s="441">
        <f t="shared" si="4"/>
        <v>602601.88629076071</v>
      </c>
      <c r="P20" s="441">
        <f t="shared" si="4"/>
        <v>5673908.9174337564</v>
      </c>
      <c r="Q20" s="441">
        <f t="shared" si="4"/>
        <v>2612127.2654008344</v>
      </c>
      <c r="R20" s="441">
        <f t="shared" si="4"/>
        <v>3242990.8353360859</v>
      </c>
      <c r="S20" s="441">
        <f t="shared" si="4"/>
        <v>979102.84782626643</v>
      </c>
      <c r="T20" s="441">
        <f t="shared" si="4"/>
        <v>1272097.8939606913</v>
      </c>
      <c r="U20" s="441">
        <f t="shared" si="4"/>
        <v>2355551.3303030436</v>
      </c>
      <c r="V20" s="441">
        <f t="shared" si="4"/>
        <v>47703715.151516929</v>
      </c>
      <c r="W20" s="441">
        <f t="shared" si="4"/>
        <v>1727493.880867915</v>
      </c>
      <c r="X20" s="441">
        <f t="shared" si="4"/>
        <v>11975868.560543809</v>
      </c>
      <c r="Y20" s="441">
        <f t="shared" si="4"/>
        <v>17593454.457425576</v>
      </c>
      <c r="Z20" s="441">
        <f t="shared" si="4"/>
        <v>5002331.7057461599</v>
      </c>
      <c r="AA20" s="441">
        <f t="shared" si="4"/>
        <v>6537714.1789244264</v>
      </c>
      <c r="AB20" s="441">
        <f t="shared" si="4"/>
        <v>7930116.0579976859</v>
      </c>
      <c r="AC20" s="441">
        <f t="shared" si="4"/>
        <v>3758986.8942083693</v>
      </c>
      <c r="AD20" s="441">
        <f t="shared" si="4"/>
        <v>3200738.1497147367</v>
      </c>
      <c r="AE20" s="441">
        <f t="shared" si="4"/>
        <v>3263805.9514250811</v>
      </c>
      <c r="AF20" s="441">
        <f t="shared" si="4"/>
        <v>6406721.9730597921</v>
      </c>
      <c r="AG20" s="441">
        <f t="shared" si="4"/>
        <v>5993689.7185187135</v>
      </c>
      <c r="AH20" s="441">
        <f t="shared" si="4"/>
        <v>6000983.6435272871</v>
      </c>
      <c r="AI20" s="441">
        <f t="shared" si="4"/>
        <v>5342901.1628302746</v>
      </c>
      <c r="AJ20" s="441">
        <f t="shared" ref="AJ20:BB20" si="5">AJ18-AJ7</f>
        <v>2378195.3696758887</v>
      </c>
      <c r="AK20" s="441">
        <f t="shared" si="5"/>
        <v>2896802.8324240176</v>
      </c>
      <c r="AL20" s="441">
        <f t="shared" si="5"/>
        <v>11777825.447840005</v>
      </c>
      <c r="AM20" s="441">
        <f t="shared" si="5"/>
        <v>4797595.9848113041</v>
      </c>
      <c r="AN20" s="441">
        <f t="shared" si="5"/>
        <v>4449450.4482916081</v>
      </c>
      <c r="AO20" s="441">
        <f t="shared" si="5"/>
        <v>6106754.5027410304</v>
      </c>
      <c r="AP20" s="441">
        <f t="shared" si="5"/>
        <v>4119638.0239155246</v>
      </c>
      <c r="AQ20" s="441">
        <f t="shared" si="5"/>
        <v>7335461.8999516331</v>
      </c>
      <c r="AR20" s="441">
        <f t="shared" si="5"/>
        <v>33582379.847145066</v>
      </c>
      <c r="AS20" s="441">
        <f t="shared" si="5"/>
        <v>12154931.620305976</v>
      </c>
      <c r="AT20" s="441">
        <f t="shared" si="5"/>
        <v>16498302.175779613</v>
      </c>
      <c r="AU20" s="441">
        <f t="shared" si="5"/>
        <v>44610793.233746298</v>
      </c>
      <c r="AV20" s="441">
        <f t="shared" si="5"/>
        <v>16416877.837236628</v>
      </c>
      <c r="AW20" s="441">
        <f t="shared" si="5"/>
        <v>3949676.1419267044</v>
      </c>
      <c r="AX20" s="441">
        <f t="shared" si="5"/>
        <v>4018163.819081868</v>
      </c>
      <c r="AY20" s="441">
        <f t="shared" si="5"/>
        <v>21373280.163067471</v>
      </c>
      <c r="AZ20" s="441">
        <f t="shared" si="5"/>
        <v>873816.88905562693</v>
      </c>
      <c r="BA20" s="441">
        <f t="shared" si="5"/>
        <v>0</v>
      </c>
      <c r="BB20" s="441">
        <f t="shared" si="5"/>
        <v>0</v>
      </c>
    </row>
    <row r="21" spans="2:55" s="438" customFormat="1" x14ac:dyDescent="0.3">
      <c r="B21" s="429"/>
      <c r="C21" s="439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A21" s="441"/>
      <c r="BB21" s="441"/>
    </row>
    <row r="22" spans="2:55" s="438" customFormat="1" x14ac:dyDescent="0.3">
      <c r="B22" s="429" t="s">
        <v>1582</v>
      </c>
      <c r="C22" s="439"/>
      <c r="D22" s="441">
        <f t="shared" ref="D22:AI22" si="6">AVERAGE(D20:M20)</f>
        <v>877824.19694183173</v>
      </c>
      <c r="E22" s="441">
        <f t="shared" si="6"/>
        <v>1117391.6607600085</v>
      </c>
      <c r="F22" s="441">
        <f>AVERAGE(F20:O20)</f>
        <v>1519331.5000459654</v>
      </c>
      <c r="G22" s="441">
        <f>AVERAGE(G20:P20)</f>
        <v>2588157.0852421364</v>
      </c>
      <c r="H22" s="441">
        <f t="shared" si="6"/>
        <v>2022729.4172263145</v>
      </c>
      <c r="I22" s="441">
        <f t="shared" si="6"/>
        <v>2473834.0616899705</v>
      </c>
      <c r="J22" s="441">
        <f t="shared" si="6"/>
        <v>2697907.1696477178</v>
      </c>
      <c r="K22" s="441">
        <f t="shared" si="6"/>
        <v>2937903.3333965559</v>
      </c>
      <c r="L22" s="441">
        <f t="shared" si="6"/>
        <v>2559564.7231953447</v>
      </c>
      <c r="M22" s="441">
        <f t="shared" si="6"/>
        <v>7238746.1466127532</v>
      </c>
      <c r="N22" s="441">
        <f t="shared" si="6"/>
        <v>6953529.8343251767</v>
      </c>
      <c r="O22" s="441">
        <f t="shared" si="6"/>
        <v>7814545.8569480088</v>
      </c>
      <c r="P22" s="441">
        <f t="shared" si="6"/>
        <v>9513631.1140614916</v>
      </c>
      <c r="Q22" s="441">
        <f t="shared" si="6"/>
        <v>9446473.3928927314</v>
      </c>
      <c r="R22" s="441">
        <f t="shared" si="6"/>
        <v>9839032.0842450894</v>
      </c>
      <c r="S22" s="441">
        <f t="shared" si="6"/>
        <v>10307744.60651125</v>
      </c>
      <c r="T22" s="441">
        <f t="shared" si="6"/>
        <v>10585733.011149462</v>
      </c>
      <c r="U22" s="441">
        <f t="shared" si="6"/>
        <v>10778597.036724865</v>
      </c>
      <c r="V22" s="441">
        <f t="shared" si="6"/>
        <v>10869422.498837069</v>
      </c>
      <c r="W22" s="441">
        <f t="shared" si="6"/>
        <v>6739723.1809913563</v>
      </c>
      <c r="X22" s="441">
        <f t="shared" si="6"/>
        <v>7166342.7647564365</v>
      </c>
      <c r="Y22" s="441">
        <f t="shared" si="6"/>
        <v>6568854.2730547823</v>
      </c>
      <c r="Z22" s="441">
        <f t="shared" si="6"/>
        <v>5343798.9435952511</v>
      </c>
      <c r="AA22" s="441">
        <f t="shared" si="6"/>
        <v>5081385.3099882258</v>
      </c>
      <c r="AB22" s="441">
        <f t="shared" si="6"/>
        <v>4717294.1753381845</v>
      </c>
      <c r="AC22" s="441">
        <f t="shared" si="6"/>
        <v>5102065.1143224165</v>
      </c>
      <c r="AD22" s="441">
        <f t="shared" si="6"/>
        <v>5205926.0233827103</v>
      </c>
      <c r="AE22" s="441">
        <f t="shared" si="6"/>
        <v>5330797.2532403972</v>
      </c>
      <c r="AF22" s="441">
        <f t="shared" si="6"/>
        <v>5615092.1083719926</v>
      </c>
      <c r="AG22" s="441">
        <f t="shared" si="6"/>
        <v>5386383.7134575658</v>
      </c>
      <c r="AH22" s="441">
        <f t="shared" si="6"/>
        <v>5520560.9316008566</v>
      </c>
      <c r="AI22" s="441">
        <f t="shared" si="6"/>
        <v>8278700.5519626345</v>
      </c>
      <c r="AJ22" s="441">
        <f t="shared" ref="AJ22:BB22" si="7">AVERAGE(AJ20:AS20)</f>
        <v>8959903.5977102034</v>
      </c>
      <c r="AK22" s="441">
        <f t="shared" si="7"/>
        <v>10371914.278320577</v>
      </c>
      <c r="AL22" s="441">
        <f t="shared" si="7"/>
        <v>14543313.318452805</v>
      </c>
      <c r="AM22" s="441">
        <f t="shared" si="7"/>
        <v>15007218.557392467</v>
      </c>
      <c r="AN22" s="441">
        <f t="shared" si="7"/>
        <v>14922426.573104005</v>
      </c>
      <c r="AO22" s="441">
        <f t="shared" si="7"/>
        <v>14879297.910183033</v>
      </c>
      <c r="AP22" s="441">
        <f t="shared" si="7"/>
        <v>16405950.476215675</v>
      </c>
      <c r="AQ22" s="441">
        <f t="shared" si="7"/>
        <v>16081368.362729689</v>
      </c>
      <c r="AR22" s="441">
        <f t="shared" si="7"/>
        <v>15347822.172734525</v>
      </c>
      <c r="AS22" s="441">
        <f t="shared" si="7"/>
        <v>11989584.188020019</v>
      </c>
      <c r="AT22" s="441">
        <f t="shared" si="7"/>
        <v>11971212.251099357</v>
      </c>
      <c r="AU22" s="441">
        <f t="shared" si="7"/>
        <v>11405326.010514325</v>
      </c>
      <c r="AV22" s="441">
        <f t="shared" si="7"/>
        <v>6661687.8357668994</v>
      </c>
      <c r="AW22" s="441">
        <f t="shared" si="7"/>
        <v>5035822.8355219457</v>
      </c>
      <c r="AX22" s="441">
        <f t="shared" si="7"/>
        <v>5253052.1742409933</v>
      </c>
      <c r="AY22" s="441">
        <f t="shared" si="7"/>
        <v>5561774.2630307749</v>
      </c>
      <c r="AZ22" s="441">
        <f t="shared" si="7"/>
        <v>291272.29635187564</v>
      </c>
      <c r="BA22" s="441">
        <f t="shared" si="7"/>
        <v>0</v>
      </c>
      <c r="BB22" s="441">
        <f t="shared" si="7"/>
        <v>0</v>
      </c>
    </row>
    <row r="23" spans="2:55" s="425" customFormat="1" x14ac:dyDescent="0.3">
      <c r="B23" s="655" t="s">
        <v>2229</v>
      </c>
      <c r="C23" s="443"/>
      <c r="D23" s="944">
        <v>0.2</v>
      </c>
      <c r="E23" s="944">
        <v>0.2</v>
      </c>
      <c r="F23" s="944">
        <v>0.2</v>
      </c>
      <c r="G23" s="944">
        <v>0.2</v>
      </c>
      <c r="H23" s="944">
        <v>0.2</v>
      </c>
      <c r="I23" s="944">
        <v>0.2</v>
      </c>
      <c r="J23" s="944">
        <v>0.2</v>
      </c>
      <c r="K23" s="944">
        <v>0.2</v>
      </c>
      <c r="L23" s="944">
        <v>0.2</v>
      </c>
      <c r="M23" s="944">
        <v>0.2</v>
      </c>
      <c r="N23" s="944">
        <v>0.05</v>
      </c>
      <c r="O23" s="944">
        <v>0.05</v>
      </c>
      <c r="P23" s="944">
        <v>0.05</v>
      </c>
      <c r="Q23" s="944">
        <v>0.05</v>
      </c>
      <c r="R23" s="944">
        <v>0.05</v>
      </c>
      <c r="S23" s="944">
        <v>0.05</v>
      </c>
      <c r="T23" s="944">
        <v>0.05</v>
      </c>
      <c r="U23" s="944">
        <v>0.05</v>
      </c>
      <c r="V23" s="944">
        <v>0.05</v>
      </c>
      <c r="W23" s="944">
        <v>0.05</v>
      </c>
      <c r="X23" s="944">
        <v>0.05</v>
      </c>
      <c r="Y23" s="944">
        <v>0.05</v>
      </c>
      <c r="Z23" s="944">
        <v>0.05</v>
      </c>
      <c r="AA23" s="944">
        <v>0.05</v>
      </c>
      <c r="AB23" s="944">
        <v>0.05</v>
      </c>
      <c r="AC23" s="944">
        <v>0.05</v>
      </c>
      <c r="AD23" s="944">
        <v>0.05</v>
      </c>
      <c r="AE23" s="944">
        <v>0.05</v>
      </c>
      <c r="AF23" s="944">
        <v>0.05</v>
      </c>
      <c r="AG23" s="944">
        <v>0.05</v>
      </c>
      <c r="AH23" s="944">
        <v>0.05</v>
      </c>
      <c r="AI23" s="944">
        <v>0.05</v>
      </c>
      <c r="AJ23" s="944">
        <v>0.05</v>
      </c>
      <c r="AK23" s="944">
        <v>0.05</v>
      </c>
      <c r="AL23" s="944">
        <v>0.05</v>
      </c>
      <c r="AM23" s="944">
        <v>0.05</v>
      </c>
      <c r="AN23" s="944">
        <v>0.02</v>
      </c>
      <c r="AO23" s="944">
        <v>0.02</v>
      </c>
      <c r="AP23" s="944">
        <v>0.02</v>
      </c>
      <c r="AQ23" s="944">
        <v>0.02</v>
      </c>
      <c r="AR23" s="944">
        <v>0.02</v>
      </c>
      <c r="AS23" s="944">
        <v>0.02</v>
      </c>
      <c r="AT23" s="944">
        <v>0.02</v>
      </c>
      <c r="AU23" s="944">
        <v>0.03</v>
      </c>
      <c r="AV23" s="944">
        <v>0.05</v>
      </c>
      <c r="AW23" s="944">
        <v>0.06</v>
      </c>
      <c r="AX23" s="944">
        <v>0.05</v>
      </c>
      <c r="AY23" s="944">
        <v>0.05</v>
      </c>
      <c r="AZ23" s="944">
        <v>0.05</v>
      </c>
      <c r="BA23" s="944">
        <v>0.05</v>
      </c>
      <c r="BB23" s="944">
        <v>0.05</v>
      </c>
      <c r="BC23" s="438"/>
    </row>
    <row r="24" spans="2:55" s="425" customFormat="1" x14ac:dyDescent="0.3">
      <c r="B24" s="595" t="s">
        <v>1747</v>
      </c>
      <c r="C24" s="443"/>
      <c r="D24" s="1178">
        <f>D22*D23</f>
        <v>175564.83938836635</v>
      </c>
      <c r="E24" s="1178">
        <f>E22*E23</f>
        <v>223478.33215200171</v>
      </c>
      <c r="F24" s="596">
        <f t="shared" ref="F24:BB24" si="8">F22*F23</f>
        <v>303866.30000919307</v>
      </c>
      <c r="G24" s="596">
        <f t="shared" si="8"/>
        <v>517631.41704842728</v>
      </c>
      <c r="H24" s="596">
        <f t="shared" si="8"/>
        <v>404545.88344526291</v>
      </c>
      <c r="I24" s="596">
        <f t="shared" si="8"/>
        <v>494766.81233799411</v>
      </c>
      <c r="J24" s="596">
        <f t="shared" si="8"/>
        <v>539581.43392954359</v>
      </c>
      <c r="K24" s="596">
        <f t="shared" si="8"/>
        <v>587580.66667931119</v>
      </c>
      <c r="L24" s="596">
        <f t="shared" si="8"/>
        <v>511912.94463906897</v>
      </c>
      <c r="M24" s="596">
        <f t="shared" si="8"/>
        <v>1447749.2293225508</v>
      </c>
      <c r="N24" s="596">
        <f t="shared" si="8"/>
        <v>347676.49171625887</v>
      </c>
      <c r="O24" s="596">
        <f t="shared" si="8"/>
        <v>390727.29284740047</v>
      </c>
      <c r="P24" s="596">
        <f t="shared" si="8"/>
        <v>475681.55570307461</v>
      </c>
      <c r="Q24" s="596">
        <f t="shared" si="8"/>
        <v>472323.66964463657</v>
      </c>
      <c r="R24" s="596">
        <f t="shared" si="8"/>
        <v>491951.60421225452</v>
      </c>
      <c r="S24" s="596">
        <f t="shared" si="8"/>
        <v>515387.23032556253</v>
      </c>
      <c r="T24" s="596">
        <f t="shared" si="8"/>
        <v>529286.65055747319</v>
      </c>
      <c r="U24" s="596">
        <f t="shared" si="8"/>
        <v>538929.8518362433</v>
      </c>
      <c r="V24" s="596">
        <f t="shared" si="8"/>
        <v>543471.12494185346</v>
      </c>
      <c r="W24" s="596">
        <f t="shared" si="8"/>
        <v>336986.15904956782</v>
      </c>
      <c r="X24" s="596">
        <f t="shared" si="8"/>
        <v>358317.13823782187</v>
      </c>
      <c r="Y24" s="596">
        <f t="shared" si="8"/>
        <v>328442.71365273913</v>
      </c>
      <c r="Z24" s="596">
        <f t="shared" si="8"/>
        <v>267189.94717976259</v>
      </c>
      <c r="AA24" s="596">
        <f t="shared" si="8"/>
        <v>254069.2654994113</v>
      </c>
      <c r="AB24" s="596">
        <f t="shared" si="8"/>
        <v>235864.70876690923</v>
      </c>
      <c r="AC24" s="596">
        <f t="shared" si="8"/>
        <v>255103.25571612082</v>
      </c>
      <c r="AD24" s="596">
        <f t="shared" si="8"/>
        <v>260296.30116913552</v>
      </c>
      <c r="AE24" s="596">
        <f t="shared" si="8"/>
        <v>266539.86266201985</v>
      </c>
      <c r="AF24" s="596">
        <f t="shared" si="8"/>
        <v>280754.60541859962</v>
      </c>
      <c r="AG24" s="596">
        <f t="shared" si="8"/>
        <v>269319.18567287829</v>
      </c>
      <c r="AH24" s="596">
        <f t="shared" si="8"/>
        <v>276028.04658004286</v>
      </c>
      <c r="AI24" s="596">
        <f t="shared" si="8"/>
        <v>413935.02759813174</v>
      </c>
      <c r="AJ24" s="596">
        <f t="shared" si="8"/>
        <v>447995.17988551018</v>
      </c>
      <c r="AK24" s="596">
        <f t="shared" si="8"/>
        <v>518595.71391602885</v>
      </c>
      <c r="AL24" s="596">
        <f t="shared" si="8"/>
        <v>727165.66592264036</v>
      </c>
      <c r="AM24" s="596">
        <f t="shared" si="8"/>
        <v>750360.92786962341</v>
      </c>
      <c r="AN24" s="596">
        <f t="shared" si="8"/>
        <v>298448.53146208014</v>
      </c>
      <c r="AO24" s="596">
        <f t="shared" si="8"/>
        <v>297585.95820366067</v>
      </c>
      <c r="AP24" s="596">
        <f t="shared" si="8"/>
        <v>328119.0095243135</v>
      </c>
      <c r="AQ24" s="596">
        <f t="shared" si="8"/>
        <v>321627.36725459382</v>
      </c>
      <c r="AR24" s="596">
        <f t="shared" si="8"/>
        <v>306956.44345469051</v>
      </c>
      <c r="AS24" s="596">
        <f t="shared" si="8"/>
        <v>239791.6837604004</v>
      </c>
      <c r="AT24" s="596">
        <f t="shared" si="8"/>
        <v>239424.24502198715</v>
      </c>
      <c r="AU24" s="596">
        <f t="shared" si="8"/>
        <v>342159.78031542973</v>
      </c>
      <c r="AV24" s="596">
        <f t="shared" si="8"/>
        <v>333084.391788345</v>
      </c>
      <c r="AW24" s="596">
        <f t="shared" si="8"/>
        <v>302149.37013131671</v>
      </c>
      <c r="AX24" s="596">
        <f t="shared" si="8"/>
        <v>262652.60871204967</v>
      </c>
      <c r="AY24" s="596">
        <f t="shared" si="8"/>
        <v>278088.71315153874</v>
      </c>
      <c r="AZ24" s="596">
        <f t="shared" si="8"/>
        <v>14563.614817593783</v>
      </c>
      <c r="BA24" s="596">
        <f t="shared" si="8"/>
        <v>0</v>
      </c>
      <c r="BB24" s="596">
        <f t="shared" si="8"/>
        <v>0</v>
      </c>
    </row>
    <row r="25" spans="2:55" s="425" customFormat="1" x14ac:dyDescent="0.3">
      <c r="B25" s="595"/>
      <c r="C25" s="443"/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596"/>
      <c r="O25" s="596"/>
      <c r="P25" s="596"/>
      <c r="Q25" s="596"/>
      <c r="R25" s="596"/>
      <c r="S25" s="596"/>
      <c r="T25" s="596"/>
      <c r="U25" s="596"/>
      <c r="V25" s="596"/>
      <c r="W25" s="596"/>
      <c r="X25" s="596"/>
      <c r="Y25" s="596"/>
      <c r="Z25" s="596"/>
      <c r="AA25" s="596"/>
      <c r="AB25" s="596"/>
      <c r="AC25" s="596"/>
      <c r="AD25" s="596"/>
      <c r="AE25" s="596"/>
      <c r="AF25" s="596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596"/>
      <c r="AS25" s="596"/>
      <c r="AT25" s="596"/>
      <c r="AU25" s="596"/>
      <c r="AV25" s="596"/>
      <c r="AW25" s="596"/>
      <c r="AX25" s="596"/>
      <c r="AY25" s="596"/>
      <c r="AZ25" s="596"/>
      <c r="BA25" s="596"/>
      <c r="BB25" s="596"/>
    </row>
    <row r="26" spans="2:55" s="425" customFormat="1" x14ac:dyDescent="0.3">
      <c r="B26" s="595" t="s">
        <v>1793</v>
      </c>
      <c r="C26" s="443"/>
      <c r="D26" s="671">
        <f>2191747*'Fixed Assets'!R625</f>
        <v>1098335.5757516234</v>
      </c>
      <c r="E26" s="596">
        <f>D28</f>
        <v>1273900.4151399897</v>
      </c>
      <c r="F26" s="596">
        <f t="shared" ref="F26:BB26" si="9">E28</f>
        <v>1497378.7472919915</v>
      </c>
      <c r="G26" s="596">
        <f t="shared" si="9"/>
        <v>1801245.0473011846</v>
      </c>
      <c r="H26" s="596">
        <f t="shared" si="9"/>
        <v>2318876.4643496117</v>
      </c>
      <c r="I26" s="596">
        <f t="shared" si="9"/>
        <v>2723422.3477948746</v>
      </c>
      <c r="J26" s="596">
        <f t="shared" si="9"/>
        <v>3218189.1601328687</v>
      </c>
      <c r="K26" s="596">
        <f t="shared" si="9"/>
        <v>3757770.5940624122</v>
      </c>
      <c r="L26" s="596">
        <f t="shared" si="9"/>
        <v>4345351.2607417237</v>
      </c>
      <c r="M26" s="596">
        <f t="shared" si="9"/>
        <v>4857264.2053807927</v>
      </c>
      <c r="N26" s="596">
        <f t="shared" si="9"/>
        <v>6305013.4347033435</v>
      </c>
      <c r="O26" s="596">
        <f t="shared" si="9"/>
        <v>6652689.9264196027</v>
      </c>
      <c r="P26" s="596">
        <f t="shared" si="9"/>
        <v>7043417.2192670032</v>
      </c>
      <c r="Q26" s="596">
        <f t="shared" si="9"/>
        <v>7519098.7749700779</v>
      </c>
      <c r="R26" s="596">
        <f t="shared" si="9"/>
        <v>7991422.444614714</v>
      </c>
      <c r="S26" s="596">
        <f t="shared" si="9"/>
        <v>8483374.0488269683</v>
      </c>
      <c r="T26" s="596">
        <f t="shared" si="9"/>
        <v>8998761.2791525312</v>
      </c>
      <c r="U26" s="596">
        <f t="shared" si="9"/>
        <v>9528047.9297100045</v>
      </c>
      <c r="V26" s="596">
        <f t="shared" si="9"/>
        <v>10066977.781546248</v>
      </c>
      <c r="W26" s="596">
        <f t="shared" si="9"/>
        <v>10610448.906488102</v>
      </c>
      <c r="X26" s="596">
        <f t="shared" si="9"/>
        <v>10947435.065537671</v>
      </c>
      <c r="Y26" s="596">
        <f t="shared" si="9"/>
        <v>11305752.203775492</v>
      </c>
      <c r="Z26" s="596">
        <f t="shared" si="9"/>
        <v>11634194.917428231</v>
      </c>
      <c r="AA26" s="596">
        <f t="shared" si="9"/>
        <v>11901384.864607994</v>
      </c>
      <c r="AB26" s="596">
        <f t="shared" si="9"/>
        <v>12155454.130107405</v>
      </c>
      <c r="AC26" s="596">
        <f t="shared" si="9"/>
        <v>12391318.838874314</v>
      </c>
      <c r="AD26" s="596">
        <f t="shared" si="9"/>
        <v>12646422.094590435</v>
      </c>
      <c r="AE26" s="596">
        <f t="shared" si="9"/>
        <v>12906718.395759569</v>
      </c>
      <c r="AF26" s="596">
        <f t="shared" si="9"/>
        <v>13173258.258421589</v>
      </c>
      <c r="AG26" s="596">
        <f t="shared" si="9"/>
        <v>13454012.863840189</v>
      </c>
      <c r="AH26" s="596">
        <f t="shared" si="9"/>
        <v>13723332.049513068</v>
      </c>
      <c r="AI26" s="596">
        <f t="shared" si="9"/>
        <v>13999360.096093111</v>
      </c>
      <c r="AJ26" s="596">
        <f t="shared" si="9"/>
        <v>14413295.123691242</v>
      </c>
      <c r="AK26" s="596">
        <f t="shared" si="9"/>
        <v>14861290.303576753</v>
      </c>
      <c r="AL26" s="596">
        <f t="shared" si="9"/>
        <v>15379886.017492782</v>
      </c>
      <c r="AM26" s="596">
        <f t="shared" si="9"/>
        <v>16107051.683415422</v>
      </c>
      <c r="AN26" s="596">
        <f t="shared" si="9"/>
        <v>16857412.611285046</v>
      </c>
      <c r="AO26" s="596">
        <f t="shared" si="9"/>
        <v>17155861.142747127</v>
      </c>
      <c r="AP26" s="596">
        <f t="shared" si="9"/>
        <v>17453447.100950789</v>
      </c>
      <c r="AQ26" s="596">
        <f t="shared" si="9"/>
        <v>17781566.110475101</v>
      </c>
      <c r="AR26" s="596">
        <f t="shared" si="9"/>
        <v>18103193.477729693</v>
      </c>
      <c r="AS26" s="596">
        <f t="shared" si="9"/>
        <v>18410149.921184383</v>
      </c>
      <c r="AT26" s="596">
        <f t="shared" si="9"/>
        <v>18649941.604944784</v>
      </c>
      <c r="AU26" s="596">
        <f t="shared" si="9"/>
        <v>18889365.849966772</v>
      </c>
      <c r="AV26" s="596">
        <f t="shared" si="9"/>
        <v>19231525.630282201</v>
      </c>
      <c r="AW26" s="596">
        <f t="shared" si="9"/>
        <v>19564610.022070546</v>
      </c>
      <c r="AX26" s="596">
        <f t="shared" si="9"/>
        <v>19866759.392201863</v>
      </c>
      <c r="AY26" s="596">
        <f t="shared" si="9"/>
        <v>20129412.000913914</v>
      </c>
      <c r="AZ26" s="596">
        <f t="shared" si="9"/>
        <v>20407500.714065455</v>
      </c>
      <c r="BA26" s="596">
        <f t="shared" si="9"/>
        <v>20422064.328883048</v>
      </c>
      <c r="BB26" s="596">
        <f t="shared" si="9"/>
        <v>20422064.328883048</v>
      </c>
    </row>
    <row r="27" spans="2:55" s="425" customFormat="1" x14ac:dyDescent="0.3">
      <c r="B27" s="986" t="s">
        <v>1980</v>
      </c>
      <c r="C27" s="987"/>
      <c r="D27" s="988">
        <f>'Capital Improvement Plan'!G30*-1</f>
        <v>0</v>
      </c>
      <c r="E27" s="988">
        <f>'Capital Improvement Plan'!H30*-1</f>
        <v>0</v>
      </c>
      <c r="F27" s="988">
        <f>'Capital Improvement Plan'!I30*-1</f>
        <v>0</v>
      </c>
      <c r="G27" s="988">
        <f>'Capital Improvement Plan'!J30*-1</f>
        <v>0</v>
      </c>
      <c r="H27" s="988">
        <f>'Capital Improvement Plan'!K30*-1</f>
        <v>0</v>
      </c>
      <c r="I27" s="988">
        <f>'Capital Improvement Plan'!L30*-1</f>
        <v>0</v>
      </c>
      <c r="J27" s="988">
        <f>'Capital Improvement Plan'!M30*-1</f>
        <v>0</v>
      </c>
      <c r="K27" s="988">
        <f>'Capital Improvement Plan'!N30*-1</f>
        <v>0</v>
      </c>
      <c r="L27" s="988">
        <f>'Capital Improvement Plan'!O30*-1</f>
        <v>0</v>
      </c>
      <c r="M27" s="988">
        <f>'Capital Improvement Plan'!P30*-1</f>
        <v>0</v>
      </c>
      <c r="N27" s="984">
        <f>'Capital Improvement Plan'!Q30*-1</f>
        <v>0</v>
      </c>
      <c r="O27" s="984">
        <f>'Capital Improvement Plan'!R30*-1</f>
        <v>0</v>
      </c>
      <c r="P27" s="984">
        <f>'Capital Improvement Plan'!S30*-1</f>
        <v>0</v>
      </c>
      <c r="Q27" s="984">
        <f>'Capital Improvement Plan'!T30*-1</f>
        <v>0</v>
      </c>
      <c r="R27" s="984">
        <f>'Capital Improvement Plan'!U30*-1</f>
        <v>0</v>
      </c>
      <c r="S27" s="984">
        <f>'Capital Improvement Plan'!V30*-1</f>
        <v>0</v>
      </c>
      <c r="T27" s="984">
        <f>'Capital Improvement Plan'!W30*-1</f>
        <v>0</v>
      </c>
      <c r="U27" s="984">
        <f>'Capital Improvement Plan'!X30*-1</f>
        <v>0</v>
      </c>
      <c r="V27" s="984">
        <f>'Capital Improvement Plan'!Y30*-1</f>
        <v>0</v>
      </c>
      <c r="W27" s="984">
        <f>'Capital Improvement Plan'!Z30*-1</f>
        <v>0</v>
      </c>
      <c r="X27" s="984">
        <f>'Capital Improvement Plan'!AA30*-1</f>
        <v>0</v>
      </c>
      <c r="Y27" s="984">
        <f>'Capital Improvement Plan'!AB30*-1</f>
        <v>0</v>
      </c>
      <c r="Z27" s="984">
        <f>'Capital Improvement Plan'!AC30*-1</f>
        <v>0</v>
      </c>
      <c r="AA27" s="984">
        <f>'Capital Improvement Plan'!AD30*-1</f>
        <v>0</v>
      </c>
      <c r="AB27" s="984">
        <f>'Capital Improvement Plan'!AE30*-1</f>
        <v>0</v>
      </c>
      <c r="AC27" s="984">
        <f>'Capital Improvement Plan'!AF30*-1</f>
        <v>0</v>
      </c>
      <c r="AD27" s="984">
        <f>'Capital Improvement Plan'!AG30*-1</f>
        <v>0</v>
      </c>
      <c r="AE27" s="984">
        <f>'Capital Improvement Plan'!AH30*-1</f>
        <v>0</v>
      </c>
      <c r="AF27" s="984">
        <f>'Capital Improvement Plan'!AI30*-1</f>
        <v>0</v>
      </c>
      <c r="AG27" s="984">
        <f>'Capital Improvement Plan'!AJ30*-1</f>
        <v>0</v>
      </c>
      <c r="AH27" s="984">
        <f>'Capital Improvement Plan'!AK30*-1</f>
        <v>0</v>
      </c>
      <c r="AI27" s="984">
        <f>'Capital Improvement Plan'!AL30*-1</f>
        <v>0</v>
      </c>
      <c r="AJ27" s="984">
        <f>'Capital Improvement Plan'!AM30*-1</f>
        <v>0</v>
      </c>
      <c r="AK27" s="984">
        <f>'Capital Improvement Plan'!AN30*-1</f>
        <v>0</v>
      </c>
      <c r="AL27" s="984">
        <f>'Capital Improvement Plan'!AO30*-1</f>
        <v>0</v>
      </c>
      <c r="AM27" s="984">
        <f>'Capital Improvement Plan'!AP30*-1</f>
        <v>0</v>
      </c>
      <c r="AN27" s="984">
        <f>'Capital Improvement Plan'!AQ30*-1</f>
        <v>0</v>
      </c>
      <c r="AO27" s="984">
        <f>'Capital Improvement Plan'!AR30*-1</f>
        <v>0</v>
      </c>
      <c r="AP27" s="984">
        <f>'Capital Improvement Plan'!AS30*-1</f>
        <v>0</v>
      </c>
      <c r="AQ27" s="984">
        <f>'Capital Improvement Plan'!AT30*-1</f>
        <v>0</v>
      </c>
      <c r="AR27" s="984">
        <f>'Capital Improvement Plan'!AU30*-1</f>
        <v>0</v>
      </c>
      <c r="AS27" s="984">
        <f>'Capital Improvement Plan'!AV30*-1</f>
        <v>0</v>
      </c>
      <c r="AT27" s="984">
        <f>'Capital Improvement Plan'!AW30*-1</f>
        <v>0</v>
      </c>
      <c r="AU27" s="984">
        <f>'Capital Improvement Plan'!AX30*-1</f>
        <v>0</v>
      </c>
      <c r="AV27" s="984">
        <f>'Capital Improvement Plan'!AY30*-1</f>
        <v>0</v>
      </c>
      <c r="AW27" s="984">
        <f>'Capital Improvement Plan'!AZ30*-1</f>
        <v>0</v>
      </c>
      <c r="AX27" s="984">
        <f>'Capital Improvement Plan'!BA30*-1</f>
        <v>0</v>
      </c>
      <c r="AY27" s="984">
        <f>'Capital Improvement Plan'!BB30*-1</f>
        <v>0</v>
      </c>
      <c r="AZ27" s="984">
        <f>'Capital Improvement Plan'!BC30*-1</f>
        <v>0</v>
      </c>
      <c r="BA27" s="984">
        <f>'Capital Improvement Plan'!BD30*-1</f>
        <v>0</v>
      </c>
      <c r="BB27" s="984">
        <f>'Capital Improvement Plan'!BE30*-1</f>
        <v>0</v>
      </c>
    </row>
    <row r="28" spans="2:55" s="425" customFormat="1" x14ac:dyDescent="0.3">
      <c r="B28" s="595" t="s">
        <v>1794</v>
      </c>
      <c r="C28" s="443"/>
      <c r="D28" s="596">
        <f>D26+D24+D27</f>
        <v>1273900.4151399897</v>
      </c>
      <c r="E28" s="596">
        <f>E26+E24+E27</f>
        <v>1497378.7472919915</v>
      </c>
      <c r="F28" s="596">
        <f t="shared" ref="F28:BB28" si="10">F26+F24+F27</f>
        <v>1801245.0473011846</v>
      </c>
      <c r="G28" s="596">
        <f t="shared" si="10"/>
        <v>2318876.4643496117</v>
      </c>
      <c r="H28" s="596">
        <f t="shared" si="10"/>
        <v>2723422.3477948746</v>
      </c>
      <c r="I28" s="596">
        <f t="shared" si="10"/>
        <v>3218189.1601328687</v>
      </c>
      <c r="J28" s="596">
        <f t="shared" si="10"/>
        <v>3757770.5940624122</v>
      </c>
      <c r="K28" s="596">
        <f t="shared" si="10"/>
        <v>4345351.2607417237</v>
      </c>
      <c r="L28" s="596">
        <f t="shared" si="10"/>
        <v>4857264.2053807927</v>
      </c>
      <c r="M28" s="596">
        <f t="shared" si="10"/>
        <v>6305013.4347033435</v>
      </c>
      <c r="N28" s="596">
        <f t="shared" si="10"/>
        <v>6652689.9264196027</v>
      </c>
      <c r="O28" s="596">
        <f t="shared" si="10"/>
        <v>7043417.2192670032</v>
      </c>
      <c r="P28" s="596">
        <f t="shared" si="10"/>
        <v>7519098.7749700779</v>
      </c>
      <c r="Q28" s="596">
        <f t="shared" si="10"/>
        <v>7991422.444614714</v>
      </c>
      <c r="R28" s="596">
        <f t="shared" si="10"/>
        <v>8483374.0488269683</v>
      </c>
      <c r="S28" s="596">
        <f t="shared" si="10"/>
        <v>8998761.2791525312</v>
      </c>
      <c r="T28" s="596">
        <f t="shared" si="10"/>
        <v>9528047.9297100045</v>
      </c>
      <c r="U28" s="596">
        <f t="shared" si="10"/>
        <v>10066977.781546248</v>
      </c>
      <c r="V28" s="596">
        <f t="shared" si="10"/>
        <v>10610448.906488102</v>
      </c>
      <c r="W28" s="596">
        <f t="shared" si="10"/>
        <v>10947435.065537671</v>
      </c>
      <c r="X28" s="596">
        <f t="shared" si="10"/>
        <v>11305752.203775492</v>
      </c>
      <c r="Y28" s="596">
        <f t="shared" si="10"/>
        <v>11634194.917428231</v>
      </c>
      <c r="Z28" s="596">
        <f t="shared" si="10"/>
        <v>11901384.864607994</v>
      </c>
      <c r="AA28" s="596">
        <f t="shared" si="10"/>
        <v>12155454.130107405</v>
      </c>
      <c r="AB28" s="596">
        <f t="shared" si="10"/>
        <v>12391318.838874314</v>
      </c>
      <c r="AC28" s="596">
        <f t="shared" si="10"/>
        <v>12646422.094590435</v>
      </c>
      <c r="AD28" s="596">
        <f t="shared" si="10"/>
        <v>12906718.395759569</v>
      </c>
      <c r="AE28" s="596">
        <f t="shared" si="10"/>
        <v>13173258.258421589</v>
      </c>
      <c r="AF28" s="596">
        <f t="shared" si="10"/>
        <v>13454012.863840189</v>
      </c>
      <c r="AG28" s="596">
        <f t="shared" si="10"/>
        <v>13723332.049513068</v>
      </c>
      <c r="AH28" s="596">
        <f t="shared" si="10"/>
        <v>13999360.096093111</v>
      </c>
      <c r="AI28" s="596">
        <f t="shared" si="10"/>
        <v>14413295.123691242</v>
      </c>
      <c r="AJ28" s="596">
        <f t="shared" si="10"/>
        <v>14861290.303576753</v>
      </c>
      <c r="AK28" s="596">
        <f t="shared" si="10"/>
        <v>15379886.017492782</v>
      </c>
      <c r="AL28" s="596">
        <f t="shared" si="10"/>
        <v>16107051.683415422</v>
      </c>
      <c r="AM28" s="596">
        <f t="shared" si="10"/>
        <v>16857412.611285046</v>
      </c>
      <c r="AN28" s="596">
        <f t="shared" si="10"/>
        <v>17155861.142747127</v>
      </c>
      <c r="AO28" s="596">
        <f t="shared" si="10"/>
        <v>17453447.100950789</v>
      </c>
      <c r="AP28" s="596">
        <f t="shared" si="10"/>
        <v>17781566.110475101</v>
      </c>
      <c r="AQ28" s="596">
        <f t="shared" si="10"/>
        <v>18103193.477729693</v>
      </c>
      <c r="AR28" s="596">
        <f t="shared" si="10"/>
        <v>18410149.921184383</v>
      </c>
      <c r="AS28" s="596">
        <f t="shared" si="10"/>
        <v>18649941.604944784</v>
      </c>
      <c r="AT28" s="596">
        <f t="shared" si="10"/>
        <v>18889365.849966772</v>
      </c>
      <c r="AU28" s="596">
        <f t="shared" si="10"/>
        <v>19231525.630282201</v>
      </c>
      <c r="AV28" s="596">
        <f t="shared" si="10"/>
        <v>19564610.022070546</v>
      </c>
      <c r="AW28" s="596">
        <f t="shared" si="10"/>
        <v>19866759.392201863</v>
      </c>
      <c r="AX28" s="596">
        <f t="shared" si="10"/>
        <v>20129412.000913914</v>
      </c>
      <c r="AY28" s="596">
        <f t="shared" si="10"/>
        <v>20407500.714065455</v>
      </c>
      <c r="AZ28" s="596">
        <f t="shared" si="10"/>
        <v>20422064.328883048</v>
      </c>
      <c r="BA28" s="596">
        <f t="shared" si="10"/>
        <v>20422064.328883048</v>
      </c>
      <c r="BB28" s="596">
        <f t="shared" si="10"/>
        <v>20422064.328883048</v>
      </c>
    </row>
    <row r="29" spans="2:55" s="425" customFormat="1" x14ac:dyDescent="0.3">
      <c r="B29" s="595"/>
      <c r="C29" s="443"/>
      <c r="D29" s="596"/>
      <c r="E29" s="596"/>
      <c r="F29" s="596"/>
      <c r="G29" s="596"/>
      <c r="H29" s="596"/>
      <c r="I29" s="596"/>
      <c r="J29" s="596"/>
      <c r="K29" s="596"/>
      <c r="L29" s="596"/>
      <c r="M29" s="596"/>
      <c r="N29" s="596"/>
      <c r="O29" s="596"/>
      <c r="P29" s="596"/>
      <c r="Q29" s="596"/>
      <c r="R29" s="596"/>
      <c r="S29" s="596"/>
      <c r="T29" s="596"/>
      <c r="U29" s="596"/>
      <c r="V29" s="596"/>
      <c r="W29" s="596"/>
      <c r="X29" s="596"/>
      <c r="Y29" s="596"/>
      <c r="Z29" s="596"/>
      <c r="AA29" s="596"/>
      <c r="AB29" s="596"/>
      <c r="AC29" s="596"/>
      <c r="AD29" s="596"/>
      <c r="AE29" s="596"/>
      <c r="AF29" s="596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596"/>
      <c r="AS29" s="596"/>
      <c r="AT29" s="596"/>
      <c r="AU29" s="596"/>
      <c r="AV29" s="596"/>
      <c r="AW29" s="596"/>
      <c r="AX29" s="596"/>
      <c r="AY29" s="596"/>
      <c r="AZ29" s="596"/>
      <c r="BA29" s="596"/>
      <c r="BB29" s="596"/>
    </row>
    <row r="30" spans="2:55" s="425" customFormat="1" x14ac:dyDescent="0.3">
      <c r="B30" s="595" t="s">
        <v>1805</v>
      </c>
      <c r="C30" s="443"/>
      <c r="D30" s="596">
        <f>'Fixed Assets'!R624</f>
        <v>193319948.36886689</v>
      </c>
      <c r="E30" s="596">
        <f>$D$30*E$4</f>
        <v>198913155.53884992</v>
      </c>
      <c r="F30" s="596">
        <f t="shared" ref="F30:AJ30" si="11">$D$30*F$4</f>
        <v>204668187.5319322</v>
      </c>
      <c r="G30" s="596">
        <f t="shared" si="11"/>
        <v>210589726.32619449</v>
      </c>
      <c r="H30" s="596">
        <f t="shared" si="11"/>
        <v>216682589.36050993</v>
      </c>
      <c r="I30" s="596">
        <f t="shared" si="11"/>
        <v>222951733.4537476</v>
      </c>
      <c r="J30" s="596">
        <f t="shared" si="11"/>
        <v>229402258.83736843</v>
      </c>
      <c r="K30" s="596">
        <f t="shared" si="11"/>
        <v>236039413.30469346</v>
      </c>
      <c r="L30" s="596">
        <f t="shared" si="11"/>
        <v>242868596.48022038</v>
      </c>
      <c r="M30" s="596">
        <f t="shared" si="11"/>
        <v>249895364.21246153</v>
      </c>
      <c r="N30" s="596">
        <f t="shared" si="11"/>
        <v>257125433.09387738</v>
      </c>
      <c r="O30" s="596">
        <f t="shared" si="11"/>
        <v>264564685.1115821</v>
      </c>
      <c r="P30" s="596">
        <f t="shared" si="11"/>
        <v>272219172.43260556</v>
      </c>
      <c r="Q30" s="596">
        <f t="shared" si="11"/>
        <v>280095122.32760412</v>
      </c>
      <c r="R30" s="596">
        <f t="shared" si="11"/>
        <v>288198942.23702598</v>
      </c>
      <c r="S30" s="596">
        <f t="shared" si="11"/>
        <v>296537224.98385322</v>
      </c>
      <c r="T30" s="596">
        <f t="shared" si="11"/>
        <v>305116754.13716054</v>
      </c>
      <c r="U30" s="596">
        <f t="shared" si="11"/>
        <v>313944509.53085458</v>
      </c>
      <c r="V30" s="596">
        <f t="shared" si="11"/>
        <v>323027672.94208366</v>
      </c>
      <c r="W30" s="596">
        <f t="shared" si="11"/>
        <v>332373633.93393731</v>
      </c>
      <c r="X30" s="596">
        <f t="shared" si="11"/>
        <v>341989995.86718929</v>
      </c>
      <c r="Y30" s="596">
        <f t="shared" si="11"/>
        <v>351884582.0859744</v>
      </c>
      <c r="Z30" s="596">
        <f t="shared" si="11"/>
        <v>362065442.28243154</v>
      </c>
      <c r="AA30" s="596">
        <f t="shared" si="11"/>
        <v>372540859.04549181</v>
      </c>
      <c r="AB30" s="596">
        <f t="shared" si="11"/>
        <v>383319354.59913772</v>
      </c>
      <c r="AC30" s="596">
        <f t="shared" si="11"/>
        <v>394409697.73561686</v>
      </c>
      <c r="AD30" s="596">
        <f t="shared" si="11"/>
        <v>405820910.94924998</v>
      </c>
      <c r="AE30" s="596">
        <f t="shared" si="11"/>
        <v>417562277.77663708</v>
      </c>
      <c r="AF30" s="596">
        <f t="shared" si="11"/>
        <v>429643350.34923273</v>
      </c>
      <c r="AG30" s="596">
        <f t="shared" si="11"/>
        <v>442073957.16443646</v>
      </c>
      <c r="AH30" s="596">
        <f t="shared" si="11"/>
        <v>454864211.08151799</v>
      </c>
      <c r="AI30" s="596">
        <f t="shared" si="11"/>
        <v>468024517.54888481</v>
      </c>
      <c r="AJ30" s="596">
        <f t="shared" si="11"/>
        <v>481565583.06938362</v>
      </c>
      <c r="AK30" s="596">
        <f t="shared" ref="AK30:BB30" si="12">$D$30*AK$4</f>
        <v>495498423.91052318</v>
      </c>
      <c r="AL30" s="596">
        <f t="shared" si="12"/>
        <v>509834375.06670481</v>
      </c>
      <c r="AM30" s="596">
        <f t="shared" si="12"/>
        <v>524585099.48075157</v>
      </c>
      <c r="AN30" s="596">
        <f t="shared" si="12"/>
        <v>539762597.53223836</v>
      </c>
      <c r="AO30" s="596">
        <f t="shared" si="12"/>
        <v>555379216.80034161</v>
      </c>
      <c r="AP30" s="596">
        <f t="shared" si="12"/>
        <v>571447662.1091522</v>
      </c>
      <c r="AQ30" s="596">
        <f t="shared" si="12"/>
        <v>587981005.86362267</v>
      </c>
      <c r="AR30" s="596">
        <f t="shared" si="12"/>
        <v>604992698.68455803</v>
      </c>
      <c r="AS30" s="596">
        <f t="shared" si="12"/>
        <v>622496580.35130286</v>
      </c>
      <c r="AT30" s="596">
        <f t="shared" si="12"/>
        <v>640506891.06102538</v>
      </c>
      <c r="AU30" s="596">
        <f t="shared" si="12"/>
        <v>659038283.01376092</v>
      </c>
      <c r="AV30" s="596">
        <f t="shared" si="12"/>
        <v>678105832.33263659</v>
      </c>
      <c r="AW30" s="596">
        <f t="shared" si="12"/>
        <v>697725051.32897806</v>
      </c>
      <c r="AX30" s="596">
        <f t="shared" si="12"/>
        <v>717911901.12227392</v>
      </c>
      <c r="AY30" s="596">
        <f t="shared" si="12"/>
        <v>738682804.62526655</v>
      </c>
      <c r="AZ30" s="596">
        <f t="shared" si="12"/>
        <v>760054659.90473223</v>
      </c>
      <c r="BA30" s="596">
        <f t="shared" si="12"/>
        <v>782044853.92882073</v>
      </c>
      <c r="BB30" s="596">
        <f t="shared" si="12"/>
        <v>804671276.71213794</v>
      </c>
    </row>
    <row r="31" spans="2:55" s="425" customFormat="1" x14ac:dyDescent="0.3">
      <c r="B31" s="595" t="s">
        <v>1806</v>
      </c>
      <c r="C31" s="443"/>
      <c r="D31" s="649">
        <v>0.02</v>
      </c>
      <c r="E31" s="649">
        <v>0.02</v>
      </c>
      <c r="F31" s="649">
        <v>0.02</v>
      </c>
      <c r="G31" s="649">
        <v>0.02</v>
      </c>
      <c r="H31" s="649">
        <v>0.02</v>
      </c>
      <c r="I31" s="649">
        <v>0.02</v>
      </c>
      <c r="J31" s="649">
        <v>0.02</v>
      </c>
      <c r="K31" s="649">
        <v>0.02</v>
      </c>
      <c r="L31" s="649">
        <v>0.02</v>
      </c>
      <c r="M31" s="649">
        <v>0.02</v>
      </c>
      <c r="N31" s="649">
        <v>0.02</v>
      </c>
      <c r="O31" s="649">
        <v>0.02</v>
      </c>
      <c r="P31" s="649">
        <v>0.02</v>
      </c>
      <c r="Q31" s="649">
        <v>0.02</v>
      </c>
      <c r="R31" s="649">
        <v>0.02</v>
      </c>
      <c r="S31" s="649">
        <v>0.02</v>
      </c>
      <c r="T31" s="649">
        <v>0.02</v>
      </c>
      <c r="U31" s="649">
        <v>0.02</v>
      </c>
      <c r="V31" s="649">
        <v>0.02</v>
      </c>
      <c r="W31" s="649">
        <v>0.02</v>
      </c>
      <c r="X31" s="649">
        <v>0.02</v>
      </c>
      <c r="Y31" s="649">
        <v>0.02</v>
      </c>
      <c r="Z31" s="649">
        <v>0.02</v>
      </c>
      <c r="AA31" s="649">
        <v>0.02</v>
      </c>
      <c r="AB31" s="649">
        <v>0.02</v>
      </c>
      <c r="AC31" s="649">
        <v>0.02</v>
      </c>
      <c r="AD31" s="649">
        <v>0.02</v>
      </c>
      <c r="AE31" s="649">
        <v>0.02</v>
      </c>
      <c r="AF31" s="649">
        <v>0.02</v>
      </c>
      <c r="AG31" s="649">
        <v>0.02</v>
      </c>
      <c r="AH31" s="649">
        <v>0.02</v>
      </c>
      <c r="AI31" s="649">
        <v>0.02</v>
      </c>
      <c r="AJ31" s="649">
        <v>0.02</v>
      </c>
      <c r="AK31" s="649">
        <v>0.02</v>
      </c>
      <c r="AL31" s="649">
        <v>0.02</v>
      </c>
      <c r="AM31" s="649">
        <v>0.02</v>
      </c>
      <c r="AN31" s="649">
        <v>0.02</v>
      </c>
      <c r="AO31" s="649">
        <v>0.02</v>
      </c>
      <c r="AP31" s="649">
        <v>0.02</v>
      </c>
      <c r="AQ31" s="649">
        <v>0.02</v>
      </c>
      <c r="AR31" s="649">
        <v>0.02</v>
      </c>
      <c r="AS31" s="649">
        <v>0.02</v>
      </c>
      <c r="AT31" s="649">
        <v>0.02</v>
      </c>
      <c r="AU31" s="649">
        <v>0.02</v>
      </c>
      <c r="AV31" s="649">
        <v>0.02</v>
      </c>
      <c r="AW31" s="649">
        <v>0.02</v>
      </c>
      <c r="AX31" s="649">
        <v>0.02</v>
      </c>
      <c r="AY31" s="649">
        <v>0.02</v>
      </c>
      <c r="AZ31" s="649">
        <v>0.02</v>
      </c>
      <c r="BA31" s="649">
        <v>0.02</v>
      </c>
      <c r="BB31" s="649">
        <v>0.02</v>
      </c>
    </row>
    <row r="32" spans="2:55" s="425" customFormat="1" x14ac:dyDescent="0.3">
      <c r="B32" s="595" t="s">
        <v>1801</v>
      </c>
      <c r="C32" s="443"/>
      <c r="D32" s="649">
        <f t="shared" ref="D32:AI32" si="13">D28/D30</f>
        <v>6.5895962930287242E-3</v>
      </c>
      <c r="E32" s="649">
        <f t="shared" si="13"/>
        <v>7.5278014831931866E-3</v>
      </c>
      <c r="F32" s="649">
        <f t="shared" si="13"/>
        <v>8.800806168375119E-3</v>
      </c>
      <c r="G32" s="649">
        <f t="shared" si="13"/>
        <v>1.1011346587524271E-2</v>
      </c>
      <c r="H32" s="649">
        <f t="shared" si="13"/>
        <v>1.2568717938217578E-2</v>
      </c>
      <c r="I32" s="649">
        <f t="shared" si="13"/>
        <v>1.4434465748616829E-2</v>
      </c>
      <c r="J32" s="649">
        <f t="shared" si="13"/>
        <v>1.6380704414625802E-2</v>
      </c>
      <c r="K32" s="649">
        <f t="shared" si="13"/>
        <v>1.8409430865397425E-2</v>
      </c>
      <c r="L32" s="649">
        <f t="shared" si="13"/>
        <v>1.9999556450586136E-2</v>
      </c>
      <c r="M32" s="649">
        <f t="shared" si="13"/>
        <v>2.5230613839410037E-2</v>
      </c>
      <c r="N32" s="649">
        <f t="shared" si="13"/>
        <v>2.5873325117514466E-2</v>
      </c>
      <c r="O32" s="649">
        <f t="shared" si="13"/>
        <v>2.66226658947183E-2</v>
      </c>
      <c r="P32" s="649">
        <f t="shared" si="13"/>
        <v>2.7621488625425943E-2</v>
      </c>
      <c r="Q32" s="649">
        <f t="shared" si="13"/>
        <v>2.853110178501362E-2</v>
      </c>
      <c r="R32" s="649">
        <f t="shared" si="13"/>
        <v>2.943582645716275E-2</v>
      </c>
      <c r="S32" s="649">
        <f t="shared" si="13"/>
        <v>3.0346143826099823E-2</v>
      </c>
      <c r="T32" s="649">
        <f t="shared" si="13"/>
        <v>3.1227547489662982E-2</v>
      </c>
      <c r="U32" s="649">
        <f t="shared" si="13"/>
        <v>3.2066105556647302E-2</v>
      </c>
      <c r="V32" s="649">
        <f t="shared" si="13"/>
        <v>3.2846872869589948E-2</v>
      </c>
      <c r="W32" s="649">
        <f t="shared" si="13"/>
        <v>3.2937134441035673E-2</v>
      </c>
      <c r="X32" s="649">
        <f t="shared" si="13"/>
        <v>3.3058722010587828E-2</v>
      </c>
      <c r="Y32" s="649">
        <f t="shared" si="13"/>
        <v>3.3062531039185175E-2</v>
      </c>
      <c r="Z32" s="649">
        <f t="shared" si="13"/>
        <v>3.2870811391395478E-2</v>
      </c>
      <c r="AA32" s="649">
        <f t="shared" si="13"/>
        <v>3.2628512644899105E-2</v>
      </c>
      <c r="AB32" s="649">
        <f t="shared" si="13"/>
        <v>3.2326358401163262E-2</v>
      </c>
      <c r="AC32" s="649">
        <f t="shared" si="13"/>
        <v>3.206417633033877E-2</v>
      </c>
      <c r="AD32" s="649">
        <f t="shared" si="13"/>
        <v>3.180397571325156E-2</v>
      </c>
      <c r="AE32" s="649">
        <f t="shared" si="13"/>
        <v>3.1548008427782943E-2</v>
      </c>
      <c r="AF32" s="649">
        <f t="shared" si="13"/>
        <v>3.1314374708474327E-2</v>
      </c>
      <c r="AG32" s="649">
        <f t="shared" si="13"/>
        <v>3.1043068308157441E-2</v>
      </c>
      <c r="AH32" s="649">
        <f t="shared" si="13"/>
        <v>3.0777009391016324E-2</v>
      </c>
      <c r="AI32" s="649">
        <f t="shared" si="13"/>
        <v>3.079602581329681E-2</v>
      </c>
      <c r="AJ32" s="649">
        <f t="shared" ref="AJ32:BB32" si="14">AJ28/AJ30</f>
        <v>3.0860366326128312E-2</v>
      </c>
      <c r="AK32" s="649">
        <f t="shared" si="14"/>
        <v>3.1039222882109658E-2</v>
      </c>
      <c r="AL32" s="649">
        <f t="shared" si="14"/>
        <v>3.159271416586619E-2</v>
      </c>
      <c r="AM32" s="649">
        <f t="shared" si="14"/>
        <v>3.2134753022857426E-2</v>
      </c>
      <c r="AN32" s="649">
        <f t="shared" si="14"/>
        <v>3.1784086598780049E-2</v>
      </c>
      <c r="AO32" s="649">
        <f t="shared" si="14"/>
        <v>3.1426179757866754E-2</v>
      </c>
      <c r="AP32" s="649">
        <f t="shared" si="14"/>
        <v>3.111670112507809E-2</v>
      </c>
      <c r="AQ32" s="649">
        <f t="shared" si="14"/>
        <v>3.0788738576920254E-2</v>
      </c>
      <c r="AR32" s="649">
        <f t="shared" si="14"/>
        <v>3.0430367112220965E-2</v>
      </c>
      <c r="AS32" s="649">
        <f t="shared" si="14"/>
        <v>2.9959910132228811E-2</v>
      </c>
      <c r="AT32" s="649">
        <f t="shared" si="14"/>
        <v>2.949127653986014E-2</v>
      </c>
      <c r="AU32" s="649">
        <f t="shared" si="14"/>
        <v>2.9181196488824671E-2</v>
      </c>
      <c r="AV32" s="649">
        <f t="shared" si="14"/>
        <v>2.8851853337951181E-2</v>
      </c>
      <c r="AW32" s="649">
        <f t="shared" si="14"/>
        <v>2.8473622029710766E-2</v>
      </c>
      <c r="AX32" s="649">
        <f t="shared" si="14"/>
        <v>2.8038833134604209E-2</v>
      </c>
      <c r="AY32" s="649">
        <f t="shared" si="14"/>
        <v>2.7626879340203636E-2</v>
      </c>
      <c r="AZ32" s="649">
        <f t="shared" si="14"/>
        <v>2.6869204816720442E-2</v>
      </c>
      <c r="BA32" s="649">
        <f t="shared" si="14"/>
        <v>2.6113673948862531E-2</v>
      </c>
      <c r="BB32" s="649">
        <f t="shared" si="14"/>
        <v>2.5379387732499877E-2</v>
      </c>
    </row>
    <row r="33" spans="1:54" x14ac:dyDescent="0.3">
      <c r="D33" s="444"/>
      <c r="E33" s="444"/>
      <c r="F33" s="444"/>
      <c r="G33" s="444"/>
      <c r="H33" s="444"/>
      <c r="I33" s="444"/>
      <c r="J33" s="444"/>
      <c r="K33" s="444"/>
      <c r="L33" s="444"/>
      <c r="M33" s="444"/>
      <c r="N33" s="445"/>
      <c r="O33" s="445"/>
    </row>
    <row r="34" spans="1:54" x14ac:dyDescent="0.3">
      <c r="A34" s="416"/>
      <c r="B34" s="1042" t="s">
        <v>1583</v>
      </c>
      <c r="C34" s="1043"/>
      <c r="D34" s="1044"/>
      <c r="E34" s="1044"/>
      <c r="F34" s="1044"/>
      <c r="G34" s="1044"/>
      <c r="H34" s="1044"/>
      <c r="I34" s="1044"/>
      <c r="J34" s="1044"/>
      <c r="K34" s="1044"/>
      <c r="L34" s="1044"/>
      <c r="M34" s="1044"/>
      <c r="N34" s="1045"/>
      <c r="O34" s="1045"/>
      <c r="P34" s="1045"/>
      <c r="Q34" s="1045"/>
      <c r="R34" s="1045"/>
      <c r="S34" s="1045"/>
      <c r="T34" s="1045"/>
      <c r="U34" s="1045"/>
      <c r="V34" s="1045"/>
      <c r="W34" s="1045"/>
      <c r="X34" s="1045"/>
      <c r="Y34" s="1045"/>
      <c r="Z34" s="1045"/>
      <c r="AA34" s="1045"/>
      <c r="AB34" s="1045"/>
      <c r="AC34" s="1045"/>
      <c r="AD34" s="1045"/>
      <c r="AE34" s="1045"/>
      <c r="AF34" s="1045"/>
      <c r="AG34" s="1045"/>
      <c r="AH34" s="1045"/>
      <c r="AI34" s="1045"/>
      <c r="AJ34" s="1045"/>
      <c r="AK34" s="1045"/>
      <c r="AL34" s="1045"/>
      <c r="AM34" s="1045"/>
      <c r="AN34" s="1045"/>
      <c r="AO34" s="1045"/>
      <c r="AP34" s="1045"/>
      <c r="AQ34" s="1045"/>
      <c r="AR34" s="1045"/>
      <c r="AS34" s="1045"/>
      <c r="AT34" s="1045"/>
      <c r="AU34" s="1045"/>
      <c r="AV34" s="1045"/>
      <c r="AW34" s="1045"/>
      <c r="AX34" s="1045"/>
      <c r="AY34" s="1045"/>
      <c r="AZ34" s="1045"/>
      <c r="BA34" s="1045"/>
      <c r="BB34" s="1045"/>
    </row>
    <row r="35" spans="1:54" x14ac:dyDescent="0.3">
      <c r="D35" s="421"/>
      <c r="E35" s="421"/>
      <c r="F35" s="421"/>
      <c r="G35" s="421"/>
      <c r="H35" s="421"/>
      <c r="I35" s="421"/>
      <c r="J35" s="421"/>
      <c r="K35" s="421"/>
      <c r="L35" s="421"/>
      <c r="M35" s="421"/>
    </row>
    <row r="36" spans="1:54" s="427" customFormat="1" x14ac:dyDescent="0.3">
      <c r="B36" s="426" t="s">
        <v>1576</v>
      </c>
      <c r="C36" s="428"/>
      <c r="D36" s="430">
        <f>'Capital Improvement Plan'!G61</f>
        <v>530000</v>
      </c>
      <c r="E36" s="430">
        <f>'Capital Improvement Plan'!H61</f>
        <v>750000</v>
      </c>
      <c r="F36" s="430">
        <f>'Capital Improvement Plan'!I61</f>
        <v>650000</v>
      </c>
      <c r="G36" s="430">
        <f>'Capital Improvement Plan'!J61</f>
        <v>650000</v>
      </c>
      <c r="H36" s="430">
        <f>'Capital Improvement Plan'!K61</f>
        <v>670000</v>
      </c>
      <c r="I36" s="430">
        <f>'Capital Improvement Plan'!L61</f>
        <v>650000</v>
      </c>
      <c r="J36" s="430">
        <f>'Capital Improvement Plan'!M61</f>
        <v>700000</v>
      </c>
      <c r="K36" s="430">
        <f>'Capital Improvement Plan'!N61</f>
        <v>800000</v>
      </c>
      <c r="L36" s="430">
        <f>'Capital Improvement Plan'!O61</f>
        <v>700000</v>
      </c>
      <c r="M36" s="430">
        <f>'Capital Improvement Plan'!P61</f>
        <v>700000</v>
      </c>
      <c r="N36" s="430">
        <f>'Capital Improvement Plan'!Q61</f>
        <v>0</v>
      </c>
      <c r="O36" s="430">
        <f>'Capital Improvement Plan'!Q61</f>
        <v>0</v>
      </c>
      <c r="P36" s="430">
        <f>'Capital Improvement Plan'!R61</f>
        <v>0</v>
      </c>
      <c r="Q36" s="430">
        <f>'Capital Improvement Plan'!S61</f>
        <v>0</v>
      </c>
      <c r="R36" s="430">
        <f>'Capital Improvement Plan'!T61</f>
        <v>0</v>
      </c>
      <c r="S36" s="430">
        <f>'Capital Improvement Plan'!U61</f>
        <v>0</v>
      </c>
      <c r="T36" s="430">
        <f>'Capital Improvement Plan'!V61</f>
        <v>0</v>
      </c>
      <c r="U36" s="430">
        <f>'Capital Improvement Plan'!W61</f>
        <v>0</v>
      </c>
      <c r="V36" s="430">
        <f>'Capital Improvement Plan'!X61</f>
        <v>0</v>
      </c>
      <c r="W36" s="430">
        <f>'Capital Improvement Plan'!Y61</f>
        <v>0</v>
      </c>
      <c r="X36" s="430">
        <f>'Capital Improvement Plan'!Z61</f>
        <v>0</v>
      </c>
      <c r="Y36" s="430">
        <f>'Capital Improvement Plan'!AA61</f>
        <v>0</v>
      </c>
      <c r="Z36" s="430">
        <f>'Capital Improvement Plan'!AB61</f>
        <v>0</v>
      </c>
      <c r="AA36" s="430">
        <f>'Capital Improvement Plan'!AC61</f>
        <v>0</v>
      </c>
      <c r="AB36" s="430">
        <f>'Capital Improvement Plan'!AD61</f>
        <v>0</v>
      </c>
      <c r="AC36" s="430">
        <f>'Capital Improvement Plan'!AE61</f>
        <v>0</v>
      </c>
      <c r="AD36" s="430">
        <f>'Capital Improvement Plan'!AF61</f>
        <v>0</v>
      </c>
      <c r="AE36" s="430">
        <f>'Capital Improvement Plan'!AG61</f>
        <v>0</v>
      </c>
      <c r="AF36" s="430">
        <f>'Capital Improvement Plan'!AH61</f>
        <v>0</v>
      </c>
      <c r="AG36" s="430">
        <f>'Capital Improvement Plan'!AI61</f>
        <v>0</v>
      </c>
      <c r="AH36" s="430">
        <f>'Capital Improvement Plan'!AJ61</f>
        <v>0</v>
      </c>
      <c r="AI36" s="430">
        <f>'Capital Improvement Plan'!AK61</f>
        <v>0</v>
      </c>
      <c r="AJ36" s="430">
        <f>'Capital Improvement Plan'!AL61</f>
        <v>0</v>
      </c>
      <c r="AK36" s="430">
        <f>'Capital Improvement Plan'!AM61</f>
        <v>0</v>
      </c>
      <c r="AL36" s="430">
        <f>'Capital Improvement Plan'!AN61</f>
        <v>0</v>
      </c>
      <c r="AM36" s="430">
        <f>'Capital Improvement Plan'!AO61</f>
        <v>0</v>
      </c>
      <c r="AN36" s="430">
        <f>'Capital Improvement Plan'!AP61</f>
        <v>0</v>
      </c>
      <c r="AO36" s="430">
        <f>'Capital Improvement Plan'!AQ61</f>
        <v>0</v>
      </c>
      <c r="AP36" s="430">
        <f>'Capital Improvement Plan'!AR61</f>
        <v>0</v>
      </c>
      <c r="AQ36" s="430">
        <f>'Capital Improvement Plan'!AS61</f>
        <v>0</v>
      </c>
      <c r="AR36" s="430">
        <f>'Capital Improvement Plan'!AT61</f>
        <v>0</v>
      </c>
      <c r="AS36" s="430">
        <f>'Capital Improvement Plan'!AU61</f>
        <v>0</v>
      </c>
      <c r="AT36" s="430">
        <f>'Capital Improvement Plan'!AV61</f>
        <v>0</v>
      </c>
      <c r="AU36" s="430">
        <f>'Capital Improvement Plan'!AW61</f>
        <v>0</v>
      </c>
      <c r="AV36" s="430">
        <f>'Capital Improvement Plan'!AX61</f>
        <v>0</v>
      </c>
      <c r="AW36" s="430">
        <f>'Capital Improvement Plan'!AY61</f>
        <v>0</v>
      </c>
      <c r="AX36" s="430">
        <f>'Capital Improvement Plan'!AZ61</f>
        <v>0</v>
      </c>
      <c r="AY36" s="430">
        <f>'Capital Improvement Plan'!BA61</f>
        <v>0</v>
      </c>
      <c r="AZ36" s="430">
        <f>'Capital Improvement Plan'!BB61</f>
        <v>0</v>
      </c>
      <c r="BA36" s="430">
        <f>'Capital Improvement Plan'!BC61</f>
        <v>0</v>
      </c>
      <c r="BB36" s="430">
        <f>'Capital Improvement Plan'!BD61</f>
        <v>0</v>
      </c>
    </row>
    <row r="37" spans="1:54" s="427" customFormat="1" x14ac:dyDescent="0.3">
      <c r="B37" s="431"/>
      <c r="C37" s="432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  <c r="AY37" s="421"/>
      <c r="AZ37" s="421"/>
      <c r="BA37" s="421"/>
      <c r="BB37" s="421"/>
    </row>
    <row r="38" spans="1:54" s="427" customFormat="1" x14ac:dyDescent="0.3">
      <c r="B38" s="426" t="s">
        <v>1584</v>
      </c>
      <c r="C38" s="433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  <c r="AY38" s="421"/>
      <c r="AZ38" s="421"/>
      <c r="BA38" s="421"/>
      <c r="BB38" s="421"/>
    </row>
    <row r="39" spans="1:54" s="427" customFormat="1" x14ac:dyDescent="0.3">
      <c r="B39" s="434" t="s">
        <v>1578</v>
      </c>
      <c r="C39" s="674">
        <v>2016</v>
      </c>
      <c r="D39" s="670" t="s">
        <v>1861</v>
      </c>
      <c r="E39" s="669" t="s">
        <v>1862</v>
      </c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  <c r="AY39" s="421"/>
      <c r="AZ39" s="421"/>
      <c r="BA39" s="421"/>
      <c r="BB39" s="421"/>
    </row>
    <row r="40" spans="1:54" s="427" customFormat="1" x14ac:dyDescent="0.3">
      <c r="B40" s="434" t="str">
        <f>"Total Replacement Cost in Arrears ("&amp;C39&amp;" Dollars)"</f>
        <v>Total Replacement Cost in Arrears (2016 Dollars)</v>
      </c>
      <c r="C40" s="435">
        <f>SUMPRODUCT(('Fixed Assets'!$C$6:$C$597)*('Fixed Assets'!$P$6:$P$597&lt;2016)*('Fixed Assets'!$R$6:$R$597))</f>
        <v>14255883.410504201</v>
      </c>
      <c r="D40" s="421"/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1"/>
      <c r="AS40" s="421"/>
      <c r="AT40" s="421"/>
      <c r="AU40" s="421"/>
      <c r="AV40" s="421"/>
      <c r="AW40" s="421"/>
      <c r="AX40" s="421"/>
      <c r="AY40" s="421"/>
      <c r="AZ40" s="421"/>
      <c r="BA40" s="421"/>
      <c r="BB40" s="421"/>
    </row>
    <row r="41" spans="1:54" s="427" customFormat="1" x14ac:dyDescent="0.3">
      <c r="B41" s="434" t="s">
        <v>1859</v>
      </c>
      <c r="C41" s="435">
        <f>SUMIF('Assets in Arrears Calculation'!$B$3:$B$106,"&lt;"&amp;'Asset Replacement'!C39-20,'Assets in Arrears Calculation'!$E$3:$E$106)</f>
        <v>0</v>
      </c>
      <c r="D41" s="675">
        <f>D12</f>
        <v>1</v>
      </c>
      <c r="E41" s="446">
        <f>C41/D41</f>
        <v>0</v>
      </c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  <c r="AY41" s="421"/>
      <c r="AZ41" s="421"/>
      <c r="BA41" s="421"/>
      <c r="BB41" s="421"/>
    </row>
    <row r="42" spans="1:54" s="427" customFormat="1" x14ac:dyDescent="0.3">
      <c r="B42" s="434" t="s">
        <v>1858</v>
      </c>
      <c r="C42" s="435">
        <f>SUMIF('Assets in Arrears Calculation'!$B$3:$B$106,"&lt;"&amp;'Asset Replacement'!C39-10,'Assets in Arrears Calculation'!$E$3:$E$106)-C41</f>
        <v>925878.67343313643</v>
      </c>
      <c r="D42" s="675">
        <f>D13</f>
        <v>5</v>
      </c>
      <c r="E42" s="446">
        <f t="shared" ref="E42:E43" si="15">C42/D42</f>
        <v>185175.73468662729</v>
      </c>
      <c r="F42" s="421"/>
      <c r="G42" s="421"/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</row>
    <row r="43" spans="1:54" s="427" customFormat="1" x14ac:dyDescent="0.3">
      <c r="B43" s="434" t="s">
        <v>1860</v>
      </c>
      <c r="C43" s="435">
        <f>SUMIF('Assets in Arrears Calculation'!$B$3:$B$106,"&lt;"&amp;'Asset Replacement'!C39,'Assets in Arrears Calculation'!$E$3:$E$106)-C42-C41</f>
        <v>13330004.737071075</v>
      </c>
      <c r="D43" s="675">
        <f>D14</f>
        <v>10</v>
      </c>
      <c r="E43" s="446">
        <f t="shared" si="15"/>
        <v>1333000.4737071074</v>
      </c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</row>
    <row r="44" spans="1:54" s="427" customFormat="1" x14ac:dyDescent="0.3">
      <c r="B44" s="434"/>
      <c r="C44" s="435"/>
      <c r="D44" s="446"/>
      <c r="E44" s="446"/>
      <c r="F44" s="421"/>
      <c r="G44" s="421"/>
      <c r="H44" s="421"/>
      <c r="I44" s="421"/>
      <c r="J44" s="421"/>
      <c r="K44" s="421"/>
      <c r="L44" s="42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</row>
    <row r="45" spans="1:54" s="427" customFormat="1" x14ac:dyDescent="0.3">
      <c r="B45" s="434" t="str">
        <f>"Replacement Cost of Assets in Arrears"</f>
        <v>Replacement Cost of Assets in Arrears</v>
      </c>
      <c r="C45" s="436"/>
      <c r="D45" s="437">
        <f t="shared" ref="D45:AI45" si="16">IF(D3&lt;$C$39+$D$41,$E$41,0)+IF(D3&lt;$C$39+$D$42,$E$42,0)+IF(D3&lt;$C$39+$D$43,$E$43,0)</f>
        <v>1518176.2083937346</v>
      </c>
      <c r="E45" s="437">
        <f t="shared" si="16"/>
        <v>1518176.2083937346</v>
      </c>
      <c r="F45" s="437">
        <f t="shared" si="16"/>
        <v>1518176.2083937346</v>
      </c>
      <c r="G45" s="437">
        <f t="shared" si="16"/>
        <v>1518176.2083937346</v>
      </c>
      <c r="H45" s="437">
        <f t="shared" si="16"/>
        <v>1518176.2083937346</v>
      </c>
      <c r="I45" s="437">
        <f t="shared" si="16"/>
        <v>1333000.4737071074</v>
      </c>
      <c r="J45" s="437">
        <f t="shared" si="16"/>
        <v>1333000.4737071074</v>
      </c>
      <c r="K45" s="437">
        <f t="shared" si="16"/>
        <v>1333000.4737071074</v>
      </c>
      <c r="L45" s="437">
        <f t="shared" si="16"/>
        <v>1333000.4737071074</v>
      </c>
      <c r="M45" s="437">
        <f t="shared" si="16"/>
        <v>1333000.4737071074</v>
      </c>
      <c r="N45" s="437">
        <f t="shared" si="16"/>
        <v>0</v>
      </c>
      <c r="O45" s="437">
        <f t="shared" si="16"/>
        <v>0</v>
      </c>
      <c r="P45" s="437">
        <f t="shared" si="16"/>
        <v>0</v>
      </c>
      <c r="Q45" s="437">
        <f t="shared" si="16"/>
        <v>0</v>
      </c>
      <c r="R45" s="437">
        <f t="shared" si="16"/>
        <v>0</v>
      </c>
      <c r="S45" s="437">
        <f t="shared" si="16"/>
        <v>0</v>
      </c>
      <c r="T45" s="437">
        <f t="shared" si="16"/>
        <v>0</v>
      </c>
      <c r="U45" s="437">
        <f t="shared" si="16"/>
        <v>0</v>
      </c>
      <c r="V45" s="437">
        <f t="shared" si="16"/>
        <v>0</v>
      </c>
      <c r="W45" s="437">
        <f t="shared" si="16"/>
        <v>0</v>
      </c>
      <c r="X45" s="437">
        <f t="shared" si="16"/>
        <v>0</v>
      </c>
      <c r="Y45" s="437">
        <f t="shared" si="16"/>
        <v>0</v>
      </c>
      <c r="Z45" s="437">
        <f t="shared" si="16"/>
        <v>0</v>
      </c>
      <c r="AA45" s="437">
        <f t="shared" si="16"/>
        <v>0</v>
      </c>
      <c r="AB45" s="437">
        <f t="shared" si="16"/>
        <v>0</v>
      </c>
      <c r="AC45" s="437">
        <f t="shared" si="16"/>
        <v>0</v>
      </c>
      <c r="AD45" s="437">
        <f t="shared" si="16"/>
        <v>0</v>
      </c>
      <c r="AE45" s="437">
        <f t="shared" si="16"/>
        <v>0</v>
      </c>
      <c r="AF45" s="437">
        <f t="shared" si="16"/>
        <v>0</v>
      </c>
      <c r="AG45" s="437">
        <f t="shared" si="16"/>
        <v>0</v>
      </c>
      <c r="AH45" s="437">
        <f t="shared" si="16"/>
        <v>0</v>
      </c>
      <c r="AI45" s="437">
        <f t="shared" si="16"/>
        <v>0</v>
      </c>
      <c r="AJ45" s="437">
        <f t="shared" ref="AJ45:BB45" si="17">IF(AJ3&lt;$C$39+$D$41,$E$41,0)+IF(AJ3&lt;$C$39+$D$42,$E$42,0)+IF(AJ3&lt;$C$39+$D$43,$E$43,0)</f>
        <v>0</v>
      </c>
      <c r="AK45" s="437">
        <f t="shared" si="17"/>
        <v>0</v>
      </c>
      <c r="AL45" s="437">
        <f t="shared" si="17"/>
        <v>0</v>
      </c>
      <c r="AM45" s="437">
        <f t="shared" si="17"/>
        <v>0</v>
      </c>
      <c r="AN45" s="437">
        <f t="shared" si="17"/>
        <v>0</v>
      </c>
      <c r="AO45" s="437">
        <f t="shared" si="17"/>
        <v>0</v>
      </c>
      <c r="AP45" s="437">
        <f t="shared" si="17"/>
        <v>0</v>
      </c>
      <c r="AQ45" s="437">
        <f t="shared" si="17"/>
        <v>0</v>
      </c>
      <c r="AR45" s="437">
        <f t="shared" si="17"/>
        <v>0</v>
      </c>
      <c r="AS45" s="437">
        <f t="shared" si="17"/>
        <v>0</v>
      </c>
      <c r="AT45" s="437">
        <f t="shared" si="17"/>
        <v>0</v>
      </c>
      <c r="AU45" s="437">
        <f t="shared" si="17"/>
        <v>0</v>
      </c>
      <c r="AV45" s="437">
        <f t="shared" si="17"/>
        <v>0</v>
      </c>
      <c r="AW45" s="437">
        <f t="shared" si="17"/>
        <v>0</v>
      </c>
      <c r="AX45" s="437">
        <f t="shared" si="17"/>
        <v>0</v>
      </c>
      <c r="AY45" s="437">
        <f t="shared" si="17"/>
        <v>0</v>
      </c>
      <c r="AZ45" s="437">
        <f t="shared" si="17"/>
        <v>0</v>
      </c>
      <c r="BA45" s="437">
        <f t="shared" si="17"/>
        <v>0</v>
      </c>
      <c r="BB45" s="437">
        <f t="shared" si="17"/>
        <v>0</v>
      </c>
    </row>
    <row r="46" spans="1:54" s="427" customFormat="1" x14ac:dyDescent="0.3">
      <c r="B46" s="434" t="s">
        <v>1579</v>
      </c>
      <c r="C46" s="436"/>
      <c r="D46" s="437">
        <f>SUMPRODUCT(('Fixed Assets'!$C$6:$C$597)*('Fixed Assets'!$P$6:$P$597='Asset Replacement'!D$3)*('Fixed Assets'!$S$6:$S$597))</f>
        <v>142853.49537092139</v>
      </c>
      <c r="E46" s="437">
        <f>SUMPRODUCT(('Fixed Assets'!$C$6:$C$597)*('Fixed Assets'!$P$6:$P$597='Asset Replacement'!E$3)*('Fixed Assets'!$S$6:$S$597))</f>
        <v>62084.215033610846</v>
      </c>
      <c r="F46" s="437">
        <f>SUMPRODUCT(('Fixed Assets'!$C$6:$C$597)*('Fixed Assets'!$P$6:$P$597='Asset Replacement'!F$3)*('Fixed Assets'!$S$6:$S$597))</f>
        <v>558979.8449044876</v>
      </c>
      <c r="G46" s="437">
        <f>SUMPRODUCT(('Fixed Assets'!$C$6:$C$597)*('Fixed Assets'!$P$6:$P$597='Asset Replacement'!G$3)*('Fixed Assets'!$S$6:$S$597))</f>
        <v>7535609.9874396091</v>
      </c>
      <c r="H46" s="437">
        <f>SUMPRODUCT(('Fixed Assets'!$C$6:$C$597)*('Fixed Assets'!$P$6:$P$597='Asset Replacement'!H$3)*('Fixed Assets'!$S$6:$S$597))</f>
        <v>1547765.6785510995</v>
      </c>
      <c r="I46" s="437">
        <f>SUMPRODUCT(('Fixed Assets'!$C$6:$C$597)*('Fixed Assets'!$P$6:$P$597='Asset Replacement'!I$3)*('Fixed Assets'!$S$6:$S$597))</f>
        <v>235965.05570824794</v>
      </c>
      <c r="J46" s="437">
        <f>SUMPRODUCT(('Fixed Assets'!$C$6:$C$597)*('Fixed Assets'!$P$6:$P$597='Asset Replacement'!J$3)*('Fixed Assets'!$S$6:$S$597))</f>
        <v>0</v>
      </c>
      <c r="K46" s="437">
        <f>SUMPRODUCT(('Fixed Assets'!$C$6:$C$597)*('Fixed Assets'!$P$6:$P$597='Asset Replacement'!K$3)*('Fixed Assets'!$S$6:$S$597))</f>
        <v>6119967.9232699564</v>
      </c>
      <c r="L46" s="437">
        <f>SUMPRODUCT(('Fixed Assets'!$C$6:$C$597)*('Fixed Assets'!$P$6:$P$597='Asset Replacement'!L$3)*('Fixed Assets'!$S$6:$S$597))</f>
        <v>1599580.1182833645</v>
      </c>
      <c r="M46" s="437">
        <f>SUMPRODUCT(('Fixed Assets'!$C$6:$C$597)*('Fixed Assets'!$P$6:$P$597='Asset Replacement'!M$3)*('Fixed Assets'!$S$6:$S$597))</f>
        <v>1760136.303800317</v>
      </c>
      <c r="N46" s="437">
        <f>SUMPRODUCT(('Fixed Assets'!$C$6:$C$597)*('Fixed Assets'!$P$6:$P$597='Asset Replacement'!N$3)*('Fixed Assets'!$S$6:$S$597))</f>
        <v>7335243.0206324859</v>
      </c>
      <c r="O46" s="437">
        <f>SUMPRODUCT(('Fixed Assets'!$C$6:$C$597)*('Fixed Assets'!$P$6:$P$597='Asset Replacement'!O$3)*('Fixed Assets'!$S$6:$S$597))</f>
        <v>637236.62558330712</v>
      </c>
      <c r="P46" s="437">
        <f>SUMPRODUCT(('Fixed Assets'!$C$6:$C$597)*('Fixed Assets'!$P$6:$P$597='Asset Replacement'!P$3)*('Fixed Assets'!$S$6:$S$597))</f>
        <v>3117369.9007723304</v>
      </c>
      <c r="Q46" s="437">
        <f>SUMPRODUCT(('Fixed Assets'!$C$6:$C$597)*('Fixed Assets'!$P$6:$P$597='Asset Replacement'!Q$3)*('Fixed Assets'!$S$6:$S$597))</f>
        <v>1346760.3091749847</v>
      </c>
      <c r="R46" s="437">
        <f>SUMPRODUCT(('Fixed Assets'!$C$6:$C$597)*('Fixed Assets'!$P$6:$P$597='Asset Replacement'!R$3)*('Fixed Assets'!$S$6:$S$597))</f>
        <v>3284361.0716153597</v>
      </c>
      <c r="S46" s="437">
        <f>SUMPRODUCT(('Fixed Assets'!$C$6:$C$597)*('Fixed Assets'!$P$6:$P$597='Asset Replacement'!S$3)*('Fixed Assets'!$S$6:$S$597))</f>
        <v>873726.73560551112</v>
      </c>
      <c r="T46" s="437">
        <f>SUMPRODUCT(('Fixed Assets'!$C$6:$C$597)*('Fixed Assets'!$P$6:$P$597='Asset Replacement'!T$3)*('Fixed Assets'!$S$6:$S$597))</f>
        <v>2399923.6883290745</v>
      </c>
      <c r="U46" s="437">
        <f>SUMPRODUCT(('Fixed Assets'!$C$6:$C$597)*('Fixed Assets'!$P$6:$P$597='Asset Replacement'!U$3)*('Fixed Assets'!$S$6:$S$597))</f>
        <v>3251409.7851304291</v>
      </c>
      <c r="V46" s="437">
        <f>SUMPRODUCT(('Fixed Assets'!$C$6:$C$597)*('Fixed Assets'!$P$6:$P$597='Asset Replacement'!V$3)*('Fixed Assets'!$S$6:$S$597))</f>
        <v>3594331.3846509904</v>
      </c>
      <c r="W46" s="437">
        <f>SUMPRODUCT(('Fixed Assets'!$C$6:$C$597)*('Fixed Assets'!$P$6:$P$597='Asset Replacement'!W$3)*('Fixed Assets'!$S$6:$S$597))</f>
        <v>4438865.7759172386</v>
      </c>
      <c r="X46" s="437">
        <f>SUMPRODUCT(('Fixed Assets'!$C$6:$C$597)*('Fixed Assets'!$P$6:$P$597='Asset Replacement'!X$3)*('Fixed Assets'!$S$6:$S$597))</f>
        <v>6588547.3738576537</v>
      </c>
      <c r="Y46" s="437">
        <f>SUMPRODUCT(('Fixed Assets'!$C$6:$C$597)*('Fixed Assets'!$P$6:$P$597='Asset Replacement'!Y$3)*('Fixed Assets'!$S$6:$S$597))</f>
        <v>11336251.201631848</v>
      </c>
      <c r="Z46" s="437">
        <f>SUMPRODUCT(('Fixed Assets'!$C$6:$C$597)*('Fixed Assets'!$P$6:$P$597='Asset Replacement'!Z$3)*('Fixed Assets'!$S$6:$S$597))</f>
        <v>7042999.9883527281</v>
      </c>
      <c r="AA46" s="437">
        <f>SUMPRODUCT(('Fixed Assets'!$C$6:$C$597)*('Fixed Assets'!$P$6:$P$597='Asset Replacement'!AA$3)*('Fixed Assets'!$S$6:$S$597))</f>
        <v>9207605.0047164056</v>
      </c>
      <c r="AB46" s="437">
        <f>SUMPRODUCT(('Fixed Assets'!$C$6:$C$597)*('Fixed Assets'!$P$6:$P$597='Asset Replacement'!AB$3)*('Fixed Assets'!$S$6:$S$597))</f>
        <v>7138294.5430140104</v>
      </c>
      <c r="AC46" s="437">
        <f>SUMPRODUCT(('Fixed Assets'!$C$6:$C$597)*('Fixed Assets'!$P$6:$P$597='Asset Replacement'!AC$3)*('Fixed Assets'!$S$6:$S$597))</f>
        <v>533901.49112669029</v>
      </c>
      <c r="AD46" s="437">
        <f>SUMPRODUCT(('Fixed Assets'!$C$6:$C$597)*('Fixed Assets'!$P$6:$P$597='Asset Replacement'!AD$3)*('Fixed Assets'!$S$6:$S$597))</f>
        <v>2346720.2959594866</v>
      </c>
      <c r="AE46" s="437">
        <f>SUMPRODUCT(('Fixed Assets'!$C$6:$C$597)*('Fixed Assets'!$P$6:$P$597='Asset Replacement'!AE$3)*('Fixed Assets'!$S$6:$S$597))</f>
        <v>2354756.6692760675</v>
      </c>
      <c r="AF46" s="437">
        <f>SUMPRODUCT(('Fixed Assets'!$C$6:$C$597)*('Fixed Assets'!$P$6:$P$597='Asset Replacement'!AF$3)*('Fixed Assets'!$S$6:$S$597))</f>
        <v>5901904.2689506095</v>
      </c>
      <c r="AG46" s="437">
        <f>SUMPRODUCT(('Fixed Assets'!$C$6:$C$597)*('Fixed Assets'!$P$6:$P$597='Asset Replacement'!AG$3)*('Fixed Assets'!$S$6:$S$597))</f>
        <v>3916654.9392061429</v>
      </c>
      <c r="AH46" s="437">
        <f>SUMPRODUCT(('Fixed Assets'!$C$6:$C$597)*('Fixed Assets'!$P$6:$P$597='Asset Replacement'!AH$3)*('Fixed Assets'!$S$6:$S$597))</f>
        <v>7146210.5737068271</v>
      </c>
      <c r="AI46" s="437">
        <f>SUMPRODUCT(('Fixed Assets'!$C$6:$C$597)*('Fixed Assets'!$P$6:$P$597='Asset Replacement'!AI$3)*('Fixed Assets'!$S$6:$S$597))</f>
        <v>2491433.6542304889</v>
      </c>
      <c r="AJ46" s="437">
        <f>SUMPRODUCT(('Fixed Assets'!$C$6:$C$597)*('Fixed Assets'!$P$6:$P$597='Asset Replacement'!AJ$3)*('Fixed Assets'!$S$6:$S$597))</f>
        <v>1038183.2312705785</v>
      </c>
      <c r="AK46" s="437">
        <f>SUMPRODUCT(('Fixed Assets'!$C$6:$C$597)*('Fixed Assets'!$P$6:$P$597='Asset Replacement'!AK$3)*('Fixed Assets'!$S$6:$S$597))</f>
        <v>1945983.8785964912</v>
      </c>
      <c r="AL46" s="437">
        <f>SUMPRODUCT(('Fixed Assets'!$C$6:$C$597)*('Fixed Assets'!$P$6:$P$597='Asset Replacement'!AL$3)*('Fixed Assets'!$S$6:$S$597))</f>
        <v>7343935.7877151687</v>
      </c>
      <c r="AM46" s="437">
        <f>SUMPRODUCT(('Fixed Assets'!$C$6:$C$597)*('Fixed Assets'!$P$6:$P$597='Asset Replacement'!AM$3)*('Fixed Assets'!$S$6:$S$597))</f>
        <v>2495980.136290614</v>
      </c>
      <c r="AN46" s="437">
        <f>SUMPRODUCT(('Fixed Assets'!$C$6:$C$597)*('Fixed Assets'!$P$6:$P$597='Asset Replacement'!AN$3)*('Fixed Assets'!$S$6:$S$597))</f>
        <v>3750452.4604783747</v>
      </c>
      <c r="AO46" s="437">
        <f>SUMPRODUCT(('Fixed Assets'!$C$6:$C$597)*('Fixed Assets'!$P$6:$P$597='Asset Replacement'!AO$3)*('Fixed Assets'!$S$6:$S$597))</f>
        <v>3001649.3598765093</v>
      </c>
      <c r="AP46" s="437">
        <f>SUMPRODUCT(('Fixed Assets'!$C$6:$C$597)*('Fixed Assets'!$P$6:$P$597='Asset Replacement'!AP$3)*('Fixed Assets'!$S$6:$S$597))</f>
        <v>3185566.2025502273</v>
      </c>
      <c r="AQ46" s="437">
        <f>SUMPRODUCT(('Fixed Assets'!$C$6:$C$597)*('Fixed Assets'!$P$6:$P$597='Asset Replacement'!AQ$3)*('Fixed Assets'!$S$6:$S$597))</f>
        <v>4421516.7210691022</v>
      </c>
      <c r="AR46" s="437">
        <f>SUMPRODUCT(('Fixed Assets'!$C$6:$C$597)*('Fixed Assets'!$P$6:$P$597='Asset Replacement'!AR$3)*('Fixed Assets'!$S$6:$S$597))</f>
        <v>3769389.4519677903</v>
      </c>
      <c r="AS46" s="437">
        <f>SUMPRODUCT(('Fixed Assets'!$C$6:$C$597)*('Fixed Assets'!$P$6:$P$597='Asset Replacement'!AS$3)*('Fixed Assets'!$S$6:$S$597))</f>
        <v>4465301.3234828673</v>
      </c>
      <c r="AT46" s="437">
        <f>SUMPRODUCT(('Fixed Assets'!$C$6:$C$597)*('Fixed Assets'!$P$6:$P$597='Asset Replacement'!AT$3)*('Fixed Assets'!$S$6:$S$597))</f>
        <v>2872532.8736993764</v>
      </c>
      <c r="AU46" s="437">
        <f>SUMPRODUCT(('Fixed Assets'!$C$6:$C$597)*('Fixed Assets'!$P$6:$P$597='Asset Replacement'!AU$3)*('Fixed Assets'!$S$6:$S$597))</f>
        <v>441431.59662566852</v>
      </c>
      <c r="AV46" s="437">
        <f>SUMPRODUCT(('Fixed Assets'!$C$6:$C$597)*('Fixed Assets'!$P$6:$P$597='Asset Replacement'!AV$3)*('Fixed Assets'!$S$6:$S$597))</f>
        <v>123515.3483381691</v>
      </c>
      <c r="AW46" s="437">
        <f>SUMPRODUCT(('Fixed Assets'!$C$6:$C$597)*('Fixed Assets'!$P$6:$P$597='Asset Replacement'!AW$3)*('Fixed Assets'!$S$6:$S$597))</f>
        <v>1641828.3689462016</v>
      </c>
      <c r="AX46" s="437">
        <f>SUMPRODUCT(('Fixed Assets'!$C$6:$C$597)*('Fixed Assets'!$P$6:$P$597='Asset Replacement'!AX$3)*('Fixed Assets'!$S$6:$S$597))</f>
        <v>1591706.9323017318</v>
      </c>
      <c r="AY46" s="437">
        <f>SUMPRODUCT(('Fixed Assets'!$C$6:$C$597)*('Fixed Assets'!$P$6:$P$597='Asset Replacement'!AY$3)*('Fixed Assets'!$S$6:$S$597))</f>
        <v>261455.72630215687</v>
      </c>
      <c r="AZ46" s="437">
        <f>SUMPRODUCT(('Fixed Assets'!$C$6:$C$597)*('Fixed Assets'!$P$6:$P$597='Asset Replacement'!AZ$3)*('Fixed Assets'!$S$6:$S$597))</f>
        <v>387355.26317054982</v>
      </c>
      <c r="BA46" s="437">
        <f>SUMPRODUCT(('Fixed Assets'!$C$6:$C$597)*('Fixed Assets'!$P$6:$P$597='Asset Replacement'!BA$3)*('Fixed Assets'!$S$6:$S$597))</f>
        <v>0</v>
      </c>
      <c r="BB46" s="437">
        <f>SUMPRODUCT(('Fixed Assets'!$C$6:$C$597)*('Fixed Assets'!$P$6:$P$597='Asset Replacement'!BB$3)*('Fixed Assets'!$S$6:$S$597))</f>
        <v>0</v>
      </c>
    </row>
    <row r="47" spans="1:54" s="438" customFormat="1" x14ac:dyDescent="0.3">
      <c r="B47" s="429" t="s">
        <v>1580</v>
      </c>
      <c r="C47" s="439"/>
      <c r="D47" s="440">
        <f t="shared" ref="D47:BB47" si="18">D45+D46</f>
        <v>1661029.7037646561</v>
      </c>
      <c r="E47" s="440">
        <f t="shared" si="18"/>
        <v>1580260.4234273455</v>
      </c>
      <c r="F47" s="440">
        <f t="shared" si="18"/>
        <v>2077156.0532982224</v>
      </c>
      <c r="G47" s="440">
        <f t="shared" si="18"/>
        <v>9053786.195833344</v>
      </c>
      <c r="H47" s="440">
        <f t="shared" si="18"/>
        <v>3065941.8869448341</v>
      </c>
      <c r="I47" s="440">
        <f t="shared" si="18"/>
        <v>1568965.5294153553</v>
      </c>
      <c r="J47" s="440">
        <f t="shared" si="18"/>
        <v>1333000.4737071074</v>
      </c>
      <c r="K47" s="440">
        <f t="shared" si="18"/>
        <v>7452968.3969770633</v>
      </c>
      <c r="L47" s="440">
        <f t="shared" si="18"/>
        <v>2932580.5919904718</v>
      </c>
      <c r="M47" s="440">
        <f t="shared" si="18"/>
        <v>3093136.7775074244</v>
      </c>
      <c r="N47" s="440">
        <f t="shared" si="18"/>
        <v>7335243.0206324859</v>
      </c>
      <c r="O47" s="440">
        <f t="shared" si="18"/>
        <v>637236.62558330712</v>
      </c>
      <c r="P47" s="440">
        <f t="shared" si="18"/>
        <v>3117369.9007723304</v>
      </c>
      <c r="Q47" s="440">
        <f t="shared" si="18"/>
        <v>1346760.3091749847</v>
      </c>
      <c r="R47" s="440">
        <f t="shared" si="18"/>
        <v>3284361.0716153597</v>
      </c>
      <c r="S47" s="440">
        <f t="shared" si="18"/>
        <v>873726.73560551112</v>
      </c>
      <c r="T47" s="440">
        <f t="shared" si="18"/>
        <v>2399923.6883290745</v>
      </c>
      <c r="U47" s="440">
        <f t="shared" si="18"/>
        <v>3251409.7851304291</v>
      </c>
      <c r="V47" s="440">
        <f t="shared" si="18"/>
        <v>3594331.3846509904</v>
      </c>
      <c r="W47" s="440">
        <f t="shared" si="18"/>
        <v>4438865.7759172386</v>
      </c>
      <c r="X47" s="440">
        <f t="shared" si="18"/>
        <v>6588547.3738576537</v>
      </c>
      <c r="Y47" s="440">
        <f t="shared" si="18"/>
        <v>11336251.201631848</v>
      </c>
      <c r="Z47" s="440">
        <f t="shared" si="18"/>
        <v>7042999.9883527281</v>
      </c>
      <c r="AA47" s="440">
        <f t="shared" si="18"/>
        <v>9207605.0047164056</v>
      </c>
      <c r="AB47" s="440">
        <f t="shared" si="18"/>
        <v>7138294.5430140104</v>
      </c>
      <c r="AC47" s="440">
        <f t="shared" si="18"/>
        <v>533901.49112669029</v>
      </c>
      <c r="AD47" s="440">
        <f t="shared" si="18"/>
        <v>2346720.2959594866</v>
      </c>
      <c r="AE47" s="440">
        <f t="shared" si="18"/>
        <v>2354756.6692760675</v>
      </c>
      <c r="AF47" s="440">
        <f t="shared" si="18"/>
        <v>5901904.2689506095</v>
      </c>
      <c r="AG47" s="440">
        <f t="shared" si="18"/>
        <v>3916654.9392061429</v>
      </c>
      <c r="AH47" s="440">
        <f t="shared" si="18"/>
        <v>7146210.5737068271</v>
      </c>
      <c r="AI47" s="440">
        <f t="shared" si="18"/>
        <v>2491433.6542304889</v>
      </c>
      <c r="AJ47" s="440">
        <f t="shared" si="18"/>
        <v>1038183.2312705785</v>
      </c>
      <c r="AK47" s="440">
        <f t="shared" si="18"/>
        <v>1945983.8785964912</v>
      </c>
      <c r="AL47" s="440">
        <f t="shared" si="18"/>
        <v>7343935.7877151687</v>
      </c>
      <c r="AM47" s="440">
        <f t="shared" si="18"/>
        <v>2495980.136290614</v>
      </c>
      <c r="AN47" s="440">
        <f t="shared" si="18"/>
        <v>3750452.4604783747</v>
      </c>
      <c r="AO47" s="440">
        <f t="shared" si="18"/>
        <v>3001649.3598765093</v>
      </c>
      <c r="AP47" s="440">
        <f t="shared" si="18"/>
        <v>3185566.2025502273</v>
      </c>
      <c r="AQ47" s="440">
        <f t="shared" si="18"/>
        <v>4421516.7210691022</v>
      </c>
      <c r="AR47" s="440">
        <f t="shared" si="18"/>
        <v>3769389.4519677903</v>
      </c>
      <c r="AS47" s="440">
        <f t="shared" si="18"/>
        <v>4465301.3234828673</v>
      </c>
      <c r="AT47" s="440">
        <f t="shared" si="18"/>
        <v>2872532.8736993764</v>
      </c>
      <c r="AU47" s="440">
        <f t="shared" si="18"/>
        <v>441431.59662566852</v>
      </c>
      <c r="AV47" s="440">
        <f t="shared" si="18"/>
        <v>123515.3483381691</v>
      </c>
      <c r="AW47" s="440">
        <f t="shared" si="18"/>
        <v>1641828.3689462016</v>
      </c>
      <c r="AX47" s="440">
        <f t="shared" si="18"/>
        <v>1591706.9323017318</v>
      </c>
      <c r="AY47" s="440">
        <f t="shared" si="18"/>
        <v>261455.72630215687</v>
      </c>
      <c r="AZ47" s="440">
        <f t="shared" si="18"/>
        <v>387355.26317054982</v>
      </c>
      <c r="BA47" s="440">
        <f t="shared" si="18"/>
        <v>0</v>
      </c>
      <c r="BB47" s="440">
        <f t="shared" si="18"/>
        <v>0</v>
      </c>
    </row>
    <row r="48" spans="1:54" s="425" customFormat="1" x14ac:dyDescent="0.3">
      <c r="B48" s="442"/>
      <c r="C48" s="443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</row>
    <row r="49" spans="2:54" s="634" customFormat="1" x14ac:dyDescent="0.3">
      <c r="B49" s="429" t="s">
        <v>1581</v>
      </c>
      <c r="C49" s="632"/>
      <c r="D49" s="633">
        <f t="shared" ref="D49:AI49" si="19">D47-D36</f>
        <v>1131029.7037646561</v>
      </c>
      <c r="E49" s="633">
        <f t="shared" si="19"/>
        <v>830260.42342734546</v>
      </c>
      <c r="F49" s="633">
        <f t="shared" si="19"/>
        <v>1427156.0532982224</v>
      </c>
      <c r="G49" s="633">
        <f t="shared" si="19"/>
        <v>8403786.195833344</v>
      </c>
      <c r="H49" s="633">
        <f t="shared" si="19"/>
        <v>2395941.8869448341</v>
      </c>
      <c r="I49" s="633">
        <f t="shared" si="19"/>
        <v>918965.5294153553</v>
      </c>
      <c r="J49" s="633">
        <f t="shared" si="19"/>
        <v>633000.47370710736</v>
      </c>
      <c r="K49" s="633">
        <f t="shared" si="19"/>
        <v>6652968.3969770633</v>
      </c>
      <c r="L49" s="633">
        <f t="shared" si="19"/>
        <v>2232580.5919904718</v>
      </c>
      <c r="M49" s="633">
        <f t="shared" si="19"/>
        <v>2393136.7775074244</v>
      </c>
      <c r="N49" s="633">
        <f t="shared" si="19"/>
        <v>7335243.0206324859</v>
      </c>
      <c r="O49" s="633">
        <f t="shared" si="19"/>
        <v>637236.62558330712</v>
      </c>
      <c r="P49" s="633">
        <f t="shared" si="19"/>
        <v>3117369.9007723304</v>
      </c>
      <c r="Q49" s="633">
        <f t="shared" si="19"/>
        <v>1346760.3091749847</v>
      </c>
      <c r="R49" s="633">
        <f t="shared" si="19"/>
        <v>3284361.0716153597</v>
      </c>
      <c r="S49" s="633">
        <f t="shared" si="19"/>
        <v>873726.73560551112</v>
      </c>
      <c r="T49" s="633">
        <f t="shared" si="19"/>
        <v>2399923.6883290745</v>
      </c>
      <c r="U49" s="633">
        <f t="shared" si="19"/>
        <v>3251409.7851304291</v>
      </c>
      <c r="V49" s="633">
        <f t="shared" si="19"/>
        <v>3594331.3846509904</v>
      </c>
      <c r="W49" s="633">
        <f t="shared" si="19"/>
        <v>4438865.7759172386</v>
      </c>
      <c r="X49" s="633">
        <f t="shared" si="19"/>
        <v>6588547.3738576537</v>
      </c>
      <c r="Y49" s="633">
        <f t="shared" si="19"/>
        <v>11336251.201631848</v>
      </c>
      <c r="Z49" s="633">
        <f t="shared" si="19"/>
        <v>7042999.9883527281</v>
      </c>
      <c r="AA49" s="633">
        <f t="shared" si="19"/>
        <v>9207605.0047164056</v>
      </c>
      <c r="AB49" s="633">
        <f t="shared" si="19"/>
        <v>7138294.5430140104</v>
      </c>
      <c r="AC49" s="633">
        <f t="shared" si="19"/>
        <v>533901.49112669029</v>
      </c>
      <c r="AD49" s="633">
        <f t="shared" si="19"/>
        <v>2346720.2959594866</v>
      </c>
      <c r="AE49" s="633">
        <f t="shared" si="19"/>
        <v>2354756.6692760675</v>
      </c>
      <c r="AF49" s="633">
        <f t="shared" si="19"/>
        <v>5901904.2689506095</v>
      </c>
      <c r="AG49" s="633">
        <f t="shared" si="19"/>
        <v>3916654.9392061429</v>
      </c>
      <c r="AH49" s="633">
        <f t="shared" si="19"/>
        <v>7146210.5737068271</v>
      </c>
      <c r="AI49" s="633">
        <f t="shared" si="19"/>
        <v>2491433.6542304889</v>
      </c>
      <c r="AJ49" s="633">
        <f t="shared" ref="AJ49:BB49" si="20">AJ47-AJ36</f>
        <v>1038183.2312705785</v>
      </c>
      <c r="AK49" s="633">
        <f t="shared" si="20"/>
        <v>1945983.8785964912</v>
      </c>
      <c r="AL49" s="633">
        <f t="shared" si="20"/>
        <v>7343935.7877151687</v>
      </c>
      <c r="AM49" s="633">
        <f t="shared" si="20"/>
        <v>2495980.136290614</v>
      </c>
      <c r="AN49" s="633">
        <f t="shared" si="20"/>
        <v>3750452.4604783747</v>
      </c>
      <c r="AO49" s="633">
        <f t="shared" si="20"/>
        <v>3001649.3598765093</v>
      </c>
      <c r="AP49" s="633">
        <f t="shared" si="20"/>
        <v>3185566.2025502273</v>
      </c>
      <c r="AQ49" s="633">
        <f t="shared" si="20"/>
        <v>4421516.7210691022</v>
      </c>
      <c r="AR49" s="633">
        <f t="shared" si="20"/>
        <v>3769389.4519677903</v>
      </c>
      <c r="AS49" s="633">
        <f t="shared" si="20"/>
        <v>4465301.3234828673</v>
      </c>
      <c r="AT49" s="633">
        <f t="shared" si="20"/>
        <v>2872532.8736993764</v>
      </c>
      <c r="AU49" s="633">
        <f t="shared" si="20"/>
        <v>441431.59662566852</v>
      </c>
      <c r="AV49" s="633">
        <f t="shared" si="20"/>
        <v>123515.3483381691</v>
      </c>
      <c r="AW49" s="633">
        <f t="shared" si="20"/>
        <v>1641828.3689462016</v>
      </c>
      <c r="AX49" s="633">
        <f t="shared" si="20"/>
        <v>1591706.9323017318</v>
      </c>
      <c r="AY49" s="633">
        <f t="shared" si="20"/>
        <v>261455.72630215687</v>
      </c>
      <c r="AZ49" s="633">
        <f t="shared" si="20"/>
        <v>387355.26317054982</v>
      </c>
      <c r="BA49" s="633">
        <f t="shared" si="20"/>
        <v>0</v>
      </c>
      <c r="BB49" s="633">
        <f t="shared" si="20"/>
        <v>0</v>
      </c>
    </row>
    <row r="50" spans="2:54" s="425" customFormat="1" x14ac:dyDescent="0.3">
      <c r="B50" s="442"/>
      <c r="C50" s="443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</row>
    <row r="51" spans="2:54" s="438" customFormat="1" x14ac:dyDescent="0.3">
      <c r="B51" s="429" t="s">
        <v>1585</v>
      </c>
      <c r="C51" s="439"/>
      <c r="D51" s="441">
        <f>AVERAGE(D49:M49)</f>
        <v>2701882.603286582</v>
      </c>
      <c r="E51" s="441">
        <f t="shared" ref="E51:BB51" si="21">AVERAGE(E49:N49)</f>
        <v>3322303.9349733656</v>
      </c>
      <c r="F51" s="441">
        <f t="shared" si="21"/>
        <v>3303001.5551889618</v>
      </c>
      <c r="G51" s="441">
        <f t="shared" si="21"/>
        <v>3472022.9399363725</v>
      </c>
      <c r="H51" s="441">
        <f t="shared" si="21"/>
        <v>2766320.3512705364</v>
      </c>
      <c r="I51" s="441">
        <f t="shared" si="21"/>
        <v>2855162.2697375892</v>
      </c>
      <c r="J51" s="441">
        <f t="shared" si="21"/>
        <v>2850638.3903566049</v>
      </c>
      <c r="K51" s="441">
        <f t="shared" si="21"/>
        <v>3027330.7118188012</v>
      </c>
      <c r="L51" s="441">
        <f t="shared" si="21"/>
        <v>2687174.8506341381</v>
      </c>
      <c r="M51" s="441">
        <f t="shared" si="21"/>
        <v>2823349.9299001903</v>
      </c>
      <c r="N51" s="441">
        <f t="shared" si="21"/>
        <v>3027922.8297411716</v>
      </c>
      <c r="O51" s="441">
        <f t="shared" si="21"/>
        <v>2953253.2650636882</v>
      </c>
      <c r="P51" s="441">
        <f t="shared" si="21"/>
        <v>4023154.7226685421</v>
      </c>
      <c r="Q51" s="441">
        <f t="shared" si="21"/>
        <v>4415717.7314265817</v>
      </c>
      <c r="R51" s="441">
        <f t="shared" si="21"/>
        <v>5201802.2009807238</v>
      </c>
      <c r="S51" s="441">
        <f t="shared" si="21"/>
        <v>5587195.548120589</v>
      </c>
      <c r="T51" s="441">
        <f t="shared" si="21"/>
        <v>5553213.0236727074</v>
      </c>
      <c r="U51" s="441">
        <f t="shared" si="21"/>
        <v>5547892.6844357485</v>
      </c>
      <c r="V51" s="441">
        <f t="shared" si="21"/>
        <v>5458227.3728503119</v>
      </c>
      <c r="W51" s="441">
        <f t="shared" si="21"/>
        <v>5688984.6612802744</v>
      </c>
      <c r="X51" s="441">
        <f t="shared" si="21"/>
        <v>5636763.5776091646</v>
      </c>
      <c r="Y51" s="441">
        <f t="shared" si="21"/>
        <v>5692529.8975940822</v>
      </c>
      <c r="Z51" s="441">
        <f t="shared" si="21"/>
        <v>4808048.1428539464</v>
      </c>
      <c r="AA51" s="441">
        <f t="shared" si="21"/>
        <v>4207566.4671457307</v>
      </c>
      <c r="AB51" s="441">
        <f t="shared" si="21"/>
        <v>3481404.3545337394</v>
      </c>
      <c r="AC51" s="441">
        <f t="shared" si="21"/>
        <v>3501968.4790038555</v>
      </c>
      <c r="AD51" s="441">
        <f t="shared" si="21"/>
        <v>3698176.3435202478</v>
      </c>
      <c r="AE51" s="441">
        <f t="shared" si="21"/>
        <v>3838549.5599721363</v>
      </c>
      <c r="AF51" s="441">
        <f t="shared" si="21"/>
        <v>3903238.8290321804</v>
      </c>
      <c r="AG51" s="441">
        <f t="shared" si="21"/>
        <v>3631605.0223921426</v>
      </c>
      <c r="AH51" s="441">
        <f t="shared" si="21"/>
        <v>3682091.2005784386</v>
      </c>
      <c r="AI51" s="441">
        <f t="shared" si="21"/>
        <v>3344409.0884045344</v>
      </c>
      <c r="AJ51" s="441">
        <f t="shared" si="21"/>
        <v>3541795.8553297729</v>
      </c>
      <c r="AK51" s="441">
        <f t="shared" si="21"/>
        <v>3725230.8195726522</v>
      </c>
      <c r="AL51" s="441">
        <f t="shared" si="21"/>
        <v>3574775.5913755698</v>
      </c>
      <c r="AM51" s="441">
        <f t="shared" si="21"/>
        <v>2852733.5474378699</v>
      </c>
      <c r="AN51" s="441">
        <f t="shared" si="21"/>
        <v>2767318.3707034281</v>
      </c>
      <c r="AO51" s="441">
        <f t="shared" si="21"/>
        <v>2551443.8178857639</v>
      </c>
      <c r="AP51" s="441">
        <f t="shared" si="21"/>
        <v>2277424.454528329</v>
      </c>
      <c r="AQ51" s="441">
        <f t="shared" si="21"/>
        <v>1997603.3605903618</v>
      </c>
      <c r="AR51" s="441">
        <f t="shared" si="21"/>
        <v>1555451.6884834513</v>
      </c>
      <c r="AS51" s="441">
        <f t="shared" si="21"/>
        <v>1178512.743286672</v>
      </c>
      <c r="AT51" s="441">
        <f t="shared" si="21"/>
        <v>813314.01215376158</v>
      </c>
      <c r="AU51" s="441">
        <f t="shared" si="21"/>
        <v>555911.65446055972</v>
      </c>
      <c r="AV51" s="441">
        <f t="shared" si="21"/>
        <v>572265.94843697269</v>
      </c>
      <c r="AW51" s="441">
        <f t="shared" si="21"/>
        <v>647057.71512010659</v>
      </c>
      <c r="AX51" s="441">
        <f t="shared" si="21"/>
        <v>448103.58435488772</v>
      </c>
      <c r="AY51" s="441">
        <f t="shared" si="21"/>
        <v>162202.74736817667</v>
      </c>
      <c r="AZ51" s="441">
        <f t="shared" si="21"/>
        <v>129118.42105684994</v>
      </c>
      <c r="BA51" s="441">
        <f t="shared" si="21"/>
        <v>0</v>
      </c>
      <c r="BB51" s="441">
        <f t="shared" si="21"/>
        <v>0</v>
      </c>
    </row>
    <row r="52" spans="2:54" s="425" customFormat="1" x14ac:dyDescent="0.3">
      <c r="B52" s="655" t="s">
        <v>2229</v>
      </c>
      <c r="C52" s="443"/>
      <c r="D52" s="944">
        <v>0.2</v>
      </c>
      <c r="E52" s="944">
        <v>0.05</v>
      </c>
      <c r="F52" s="944">
        <v>7.0000000000000007E-2</v>
      </c>
      <c r="G52" s="944">
        <v>7.0000000000000007E-2</v>
      </c>
      <c r="H52" s="944">
        <v>7.0000000000000007E-2</v>
      </c>
      <c r="I52" s="944">
        <v>7.0000000000000007E-2</v>
      </c>
      <c r="J52" s="944">
        <v>7.0000000000000007E-2</v>
      </c>
      <c r="K52" s="944">
        <v>7.0000000000000007E-2</v>
      </c>
      <c r="L52" s="944">
        <v>7.0000000000000007E-2</v>
      </c>
      <c r="M52" s="944">
        <v>0.05</v>
      </c>
      <c r="N52" s="944">
        <v>0.02</v>
      </c>
      <c r="O52" s="944">
        <v>0.03</v>
      </c>
      <c r="P52" s="944">
        <v>0.03</v>
      </c>
      <c r="Q52" s="944">
        <v>0.02</v>
      </c>
      <c r="R52" s="944">
        <v>0.02</v>
      </c>
      <c r="S52" s="944">
        <v>0.02</v>
      </c>
      <c r="T52" s="944">
        <v>0.02</v>
      </c>
      <c r="U52" s="944">
        <v>0.02</v>
      </c>
      <c r="V52" s="944">
        <v>0.02</v>
      </c>
      <c r="W52" s="944">
        <v>0.02</v>
      </c>
      <c r="X52" s="944">
        <v>0.02</v>
      </c>
      <c r="Y52" s="944">
        <v>0.02</v>
      </c>
      <c r="Z52" s="944">
        <v>0.02</v>
      </c>
      <c r="AA52" s="944">
        <v>0.02</v>
      </c>
      <c r="AB52" s="944">
        <v>0.02</v>
      </c>
      <c r="AC52" s="944">
        <v>0.02</v>
      </c>
      <c r="AD52" s="944">
        <v>0.02</v>
      </c>
      <c r="AE52" s="944">
        <v>0.02</v>
      </c>
      <c r="AF52" s="944">
        <v>0.02</v>
      </c>
      <c r="AG52" s="944">
        <v>0.02</v>
      </c>
      <c r="AH52" s="944">
        <v>0.02</v>
      </c>
      <c r="AI52" s="944">
        <v>0.02</v>
      </c>
      <c r="AJ52" s="944">
        <v>0.02</v>
      </c>
      <c r="AK52" s="944">
        <v>0.02</v>
      </c>
      <c r="AL52" s="944">
        <v>0.02</v>
      </c>
      <c r="AM52" s="944">
        <v>0.02</v>
      </c>
      <c r="AN52" s="944">
        <v>0.05</v>
      </c>
      <c r="AO52" s="944">
        <v>0.05</v>
      </c>
      <c r="AP52" s="944">
        <v>0.05</v>
      </c>
      <c r="AQ52" s="944">
        <v>0.05</v>
      </c>
      <c r="AR52" s="944">
        <v>0.05</v>
      </c>
      <c r="AS52" s="944">
        <v>0.05</v>
      </c>
      <c r="AT52" s="944">
        <v>0.05</v>
      </c>
      <c r="AU52" s="944">
        <v>0.05</v>
      </c>
      <c r="AV52" s="944">
        <v>0.05</v>
      </c>
      <c r="AW52" s="944">
        <v>0.05</v>
      </c>
      <c r="AX52" s="944">
        <v>0.05</v>
      </c>
      <c r="AY52" s="944">
        <v>0.05</v>
      </c>
      <c r="AZ52" s="944">
        <v>0.05</v>
      </c>
      <c r="BA52" s="944">
        <v>0.05</v>
      </c>
      <c r="BB52" s="944">
        <v>0.05</v>
      </c>
    </row>
    <row r="53" spans="2:54" s="425" customFormat="1" x14ac:dyDescent="0.3">
      <c r="B53" s="595" t="s">
        <v>1748</v>
      </c>
      <c r="C53" s="443"/>
      <c r="D53" s="596">
        <f>D51*D52</f>
        <v>540376.52065731643</v>
      </c>
      <c r="E53" s="596">
        <f t="shared" ref="E53" si="22">E51*E52</f>
        <v>166115.1967486683</v>
      </c>
      <c r="F53" s="596">
        <f t="shared" ref="F53" si="23">F51*F52</f>
        <v>231210.10886322736</v>
      </c>
      <c r="G53" s="596">
        <f t="shared" ref="G53" si="24">G51*G52</f>
        <v>243041.60579554609</v>
      </c>
      <c r="H53" s="596">
        <f t="shared" ref="H53" si="25">H51*H52</f>
        <v>193642.42458893757</v>
      </c>
      <c r="I53" s="596">
        <f t="shared" ref="I53" si="26">I51*I52</f>
        <v>199861.35888163125</v>
      </c>
      <c r="J53" s="596">
        <f t="shared" ref="J53" si="27">J51*J52</f>
        <v>199544.68732496237</v>
      </c>
      <c r="K53" s="596">
        <f t="shared" ref="K53" si="28">K51*K52</f>
        <v>211913.14982731611</v>
      </c>
      <c r="L53" s="596">
        <f t="shared" ref="L53" si="29">L51*L52</f>
        <v>188102.23954438968</v>
      </c>
      <c r="M53" s="596">
        <f t="shared" ref="M53" si="30">M51*M52</f>
        <v>141167.49649500952</v>
      </c>
      <c r="N53" s="596">
        <f t="shared" ref="N53" si="31">N51*N52</f>
        <v>60558.45659482343</v>
      </c>
      <c r="O53" s="596">
        <f t="shared" ref="O53" si="32">O51*O52</f>
        <v>88597.597951910648</v>
      </c>
      <c r="P53" s="596">
        <f t="shared" ref="P53" si="33">P51*P52</f>
        <v>120694.64168005626</v>
      </c>
      <c r="Q53" s="596">
        <f t="shared" ref="Q53" si="34">Q51*Q52</f>
        <v>88314.354628531641</v>
      </c>
      <c r="R53" s="596">
        <f t="shared" ref="R53" si="35">R51*R52</f>
        <v>104036.04401961448</v>
      </c>
      <c r="S53" s="596">
        <f t="shared" ref="S53" si="36">S51*S52</f>
        <v>111743.91096241178</v>
      </c>
      <c r="T53" s="596">
        <f t="shared" ref="T53" si="37">T51*T52</f>
        <v>111064.26047345415</v>
      </c>
      <c r="U53" s="596">
        <f t="shared" ref="U53" si="38">U51*U52</f>
        <v>110957.85368871497</v>
      </c>
      <c r="V53" s="596">
        <f t="shared" ref="V53" si="39">V51*V52</f>
        <v>109164.54745700624</v>
      </c>
      <c r="W53" s="596">
        <f t="shared" ref="W53" si="40">W51*W52</f>
        <v>113779.69322560549</v>
      </c>
      <c r="X53" s="596">
        <f t="shared" ref="X53" si="41">X51*X52</f>
        <v>112735.2715521833</v>
      </c>
      <c r="Y53" s="596">
        <f t="shared" ref="Y53" si="42">Y51*Y52</f>
        <v>113850.59795188165</v>
      </c>
      <c r="Z53" s="596">
        <f t="shared" ref="Z53" si="43">Z51*Z52</f>
        <v>96160.962857078935</v>
      </c>
      <c r="AA53" s="596">
        <f t="shared" ref="AA53" si="44">AA51*AA52</f>
        <v>84151.329342914614</v>
      </c>
      <c r="AB53" s="596">
        <f t="shared" ref="AB53" si="45">AB51*AB52</f>
        <v>69628.087090674788</v>
      </c>
      <c r="AC53" s="596">
        <f t="shared" ref="AC53" si="46">AC51*AC52</f>
        <v>70039.369580077109</v>
      </c>
      <c r="AD53" s="596">
        <f t="shared" ref="AD53" si="47">AD51*AD52</f>
        <v>73963.526870404952</v>
      </c>
      <c r="AE53" s="596">
        <f t="shared" ref="AE53" si="48">AE51*AE52</f>
        <v>76770.991199442724</v>
      </c>
      <c r="AF53" s="596">
        <f t="shared" ref="AF53" si="49">AF51*AF52</f>
        <v>78064.776580643607</v>
      </c>
      <c r="AG53" s="596">
        <f t="shared" ref="AG53" si="50">AG51*AG52</f>
        <v>72632.100447842851</v>
      </c>
      <c r="AH53" s="596">
        <f t="shared" ref="AH53" si="51">AH51*AH52</f>
        <v>73641.82401156878</v>
      </c>
      <c r="AI53" s="596">
        <f t="shared" ref="AI53" si="52">AI51*AI52</f>
        <v>66888.181768090682</v>
      </c>
      <c r="AJ53" s="596">
        <f t="shared" ref="AJ53" si="53">AJ51*AJ52</f>
        <v>70835.917106595458</v>
      </c>
      <c r="AK53" s="596">
        <f t="shared" ref="AK53" si="54">AK51*AK52</f>
        <v>74504.616391453048</v>
      </c>
      <c r="AL53" s="596">
        <f t="shared" ref="AL53" si="55">AL51*AL52</f>
        <v>71495.511827511393</v>
      </c>
      <c r="AM53" s="596">
        <f t="shared" ref="AM53" si="56">AM51*AM52</f>
        <v>57054.670948757397</v>
      </c>
      <c r="AN53" s="596">
        <f t="shared" ref="AN53" si="57">AN51*AN52</f>
        <v>138365.9185351714</v>
      </c>
      <c r="AO53" s="596">
        <f t="shared" ref="AO53" si="58">AO51*AO52</f>
        <v>127572.1908942882</v>
      </c>
      <c r="AP53" s="596">
        <f t="shared" ref="AP53" si="59">AP51*AP52</f>
        <v>113871.22272641645</v>
      </c>
      <c r="AQ53" s="596">
        <f t="shared" ref="AQ53" si="60">AQ51*AQ52</f>
        <v>99880.1680295181</v>
      </c>
      <c r="AR53" s="596">
        <f t="shared" ref="AR53" si="61">AR51*AR52</f>
        <v>77772.584424172572</v>
      </c>
      <c r="AS53" s="596">
        <f t="shared" ref="AS53" si="62">AS51*AS52</f>
        <v>58925.637164333602</v>
      </c>
      <c r="AT53" s="596">
        <f t="shared" ref="AT53" si="63">AT51*AT52</f>
        <v>40665.700607688079</v>
      </c>
      <c r="AU53" s="596">
        <f t="shared" ref="AU53" si="64">AU51*AU52</f>
        <v>27795.582723027987</v>
      </c>
      <c r="AV53" s="596">
        <f t="shared" ref="AV53" si="65">AV51*AV52</f>
        <v>28613.297421848634</v>
      </c>
      <c r="AW53" s="596">
        <f t="shared" ref="AW53" si="66">AW51*AW52</f>
        <v>32352.885756005329</v>
      </c>
      <c r="AX53" s="596">
        <f t="shared" ref="AX53" si="67">AX51*AX52</f>
        <v>22405.179217744386</v>
      </c>
      <c r="AY53" s="596">
        <f t="shared" ref="AY53" si="68">AY51*AY52</f>
        <v>8110.1373684088339</v>
      </c>
      <c r="AZ53" s="596">
        <f t="shared" ref="AZ53" si="69">AZ51*AZ52</f>
        <v>6455.9210528424974</v>
      </c>
      <c r="BA53" s="596">
        <f t="shared" ref="BA53" si="70">BA51*BA52</f>
        <v>0</v>
      </c>
      <c r="BB53" s="596">
        <f t="shared" ref="BB53" si="71">BB51*BB52</f>
        <v>0</v>
      </c>
    </row>
    <row r="54" spans="2:54" s="425" customFormat="1" x14ac:dyDescent="0.3">
      <c r="B54" s="442"/>
      <c r="C54" s="443"/>
      <c r="D54" s="596"/>
      <c r="E54" s="596"/>
      <c r="F54" s="596"/>
      <c r="G54" s="596"/>
      <c r="H54" s="596"/>
      <c r="I54" s="596"/>
      <c r="J54" s="596"/>
      <c r="K54" s="596"/>
      <c r="L54" s="596"/>
      <c r="M54" s="596"/>
      <c r="N54" s="596"/>
      <c r="O54" s="596"/>
      <c r="P54" s="596"/>
      <c r="Q54" s="596"/>
      <c r="R54" s="596"/>
      <c r="S54" s="596"/>
      <c r="T54" s="596"/>
      <c r="U54" s="596"/>
      <c r="V54" s="596"/>
      <c r="W54" s="596"/>
      <c r="X54" s="596"/>
      <c r="Y54" s="596"/>
      <c r="Z54" s="596"/>
      <c r="AA54" s="596"/>
      <c r="AB54" s="596"/>
      <c r="AC54" s="596"/>
      <c r="AD54" s="596"/>
      <c r="AE54" s="596"/>
      <c r="AF54" s="596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596"/>
      <c r="AS54" s="596"/>
      <c r="AT54" s="596"/>
      <c r="AU54" s="596"/>
      <c r="AV54" s="596"/>
      <c r="AW54" s="596"/>
      <c r="AX54" s="596"/>
      <c r="AY54" s="596"/>
      <c r="AZ54" s="596"/>
      <c r="BA54" s="596"/>
      <c r="BB54" s="596"/>
    </row>
    <row r="55" spans="2:54" s="425" customFormat="1" x14ac:dyDescent="0.3">
      <c r="B55" s="595" t="s">
        <v>1795</v>
      </c>
      <c r="C55" s="443"/>
      <c r="D55" s="671">
        <f>2191747*'Fixed Assets'!R647</f>
        <v>547590.47277056705</v>
      </c>
      <c r="E55" s="596">
        <f>D57</f>
        <v>1087966.9934278834</v>
      </c>
      <c r="F55" s="596">
        <f t="shared" ref="F55:BB55" si="72">E57</f>
        <v>1254082.1901765517</v>
      </c>
      <c r="G55" s="596">
        <f t="shared" si="72"/>
        <v>1485292.299039779</v>
      </c>
      <c r="H55" s="596">
        <f t="shared" si="72"/>
        <v>1728333.9048353252</v>
      </c>
      <c r="I55" s="596">
        <f t="shared" si="72"/>
        <v>1921976.3294242627</v>
      </c>
      <c r="J55" s="596">
        <f t="shared" si="72"/>
        <v>2121837.6883058939</v>
      </c>
      <c r="K55" s="596">
        <f t="shared" si="72"/>
        <v>2321382.3756308565</v>
      </c>
      <c r="L55" s="596">
        <f t="shared" si="72"/>
        <v>2533295.5254581724</v>
      </c>
      <c r="M55" s="596">
        <f t="shared" si="72"/>
        <v>2721397.7650025622</v>
      </c>
      <c r="N55" s="596">
        <f t="shared" si="72"/>
        <v>2862565.2614975716</v>
      </c>
      <c r="O55" s="596">
        <f t="shared" si="72"/>
        <v>2923123.718092395</v>
      </c>
      <c r="P55" s="596">
        <f t="shared" si="72"/>
        <v>3011721.3160443055</v>
      </c>
      <c r="Q55" s="596">
        <f t="shared" si="72"/>
        <v>3132415.9577243617</v>
      </c>
      <c r="R55" s="596">
        <f t="shared" si="72"/>
        <v>3220730.3123528934</v>
      </c>
      <c r="S55" s="596">
        <f t="shared" si="72"/>
        <v>3324766.3563725078</v>
      </c>
      <c r="T55" s="596">
        <f t="shared" si="72"/>
        <v>3436510.2673349194</v>
      </c>
      <c r="U55" s="596">
        <f t="shared" si="72"/>
        <v>3547574.5278083738</v>
      </c>
      <c r="V55" s="596">
        <f t="shared" si="72"/>
        <v>3658532.3814970888</v>
      </c>
      <c r="W55" s="596">
        <f t="shared" si="72"/>
        <v>3767696.9289540951</v>
      </c>
      <c r="X55" s="596">
        <f t="shared" si="72"/>
        <v>3881476.6221797005</v>
      </c>
      <c r="Y55" s="596">
        <f t="shared" si="72"/>
        <v>3994211.8937318837</v>
      </c>
      <c r="Z55" s="596">
        <f t="shared" si="72"/>
        <v>4108062.4916837653</v>
      </c>
      <c r="AA55" s="596">
        <f t="shared" si="72"/>
        <v>4204223.4545408441</v>
      </c>
      <c r="AB55" s="596">
        <f t="shared" si="72"/>
        <v>4288374.7838837588</v>
      </c>
      <c r="AC55" s="596">
        <f t="shared" si="72"/>
        <v>4358002.8709744336</v>
      </c>
      <c r="AD55" s="596">
        <f t="shared" si="72"/>
        <v>4428042.2405545106</v>
      </c>
      <c r="AE55" s="596">
        <f t="shared" si="72"/>
        <v>4502005.7674249159</v>
      </c>
      <c r="AF55" s="596">
        <f t="shared" si="72"/>
        <v>4578776.758624359</v>
      </c>
      <c r="AG55" s="596">
        <f t="shared" si="72"/>
        <v>4656841.5352050029</v>
      </c>
      <c r="AH55" s="596">
        <f t="shared" si="72"/>
        <v>4729473.6356528457</v>
      </c>
      <c r="AI55" s="596">
        <f t="shared" si="72"/>
        <v>4803115.4596644146</v>
      </c>
      <c r="AJ55" s="596">
        <f t="shared" si="72"/>
        <v>4870003.6414325051</v>
      </c>
      <c r="AK55" s="596">
        <f t="shared" si="72"/>
        <v>4940839.5585391009</v>
      </c>
      <c r="AL55" s="596">
        <f t="shared" si="72"/>
        <v>5015344.1749305539</v>
      </c>
      <c r="AM55" s="596">
        <f t="shared" si="72"/>
        <v>5086839.6867580656</v>
      </c>
      <c r="AN55" s="596">
        <f t="shared" si="72"/>
        <v>5143894.3577068234</v>
      </c>
      <c r="AO55" s="596">
        <f t="shared" si="72"/>
        <v>5282260.2762419945</v>
      </c>
      <c r="AP55" s="596">
        <f t="shared" si="72"/>
        <v>5409832.4671362825</v>
      </c>
      <c r="AQ55" s="596">
        <f t="shared" si="72"/>
        <v>5523703.6898626992</v>
      </c>
      <c r="AR55" s="596">
        <f t="shared" si="72"/>
        <v>5623583.8578922171</v>
      </c>
      <c r="AS55" s="596">
        <f t="shared" si="72"/>
        <v>5701356.4423163896</v>
      </c>
      <c r="AT55" s="596">
        <f t="shared" si="72"/>
        <v>5760282.0794807235</v>
      </c>
      <c r="AU55" s="596">
        <f t="shared" si="72"/>
        <v>5800947.7800884116</v>
      </c>
      <c r="AV55" s="596">
        <f t="shared" si="72"/>
        <v>5828743.3628114397</v>
      </c>
      <c r="AW55" s="596">
        <f t="shared" si="72"/>
        <v>5857356.6602332881</v>
      </c>
      <c r="AX55" s="596">
        <f t="shared" si="72"/>
        <v>5889709.5459892936</v>
      </c>
      <c r="AY55" s="596">
        <f t="shared" si="72"/>
        <v>5912114.7252070382</v>
      </c>
      <c r="AZ55" s="596">
        <f t="shared" si="72"/>
        <v>5920224.8625754472</v>
      </c>
      <c r="BA55" s="596">
        <f t="shared" si="72"/>
        <v>5926680.7836282896</v>
      </c>
      <c r="BB55" s="596">
        <f t="shared" si="72"/>
        <v>5926680.7836282896</v>
      </c>
    </row>
    <row r="56" spans="2:54" s="425" customFormat="1" x14ac:dyDescent="0.3">
      <c r="B56" s="986" t="s">
        <v>2224</v>
      </c>
      <c r="C56" s="987"/>
      <c r="D56" s="988">
        <f>'Capital Improvement Plan'!G66*-1</f>
        <v>0</v>
      </c>
      <c r="E56" s="988">
        <f>'Capital Improvement Plan'!H66*-1</f>
        <v>0</v>
      </c>
      <c r="F56" s="988">
        <f>'Capital Improvement Plan'!I66*-1</f>
        <v>0</v>
      </c>
      <c r="G56" s="988">
        <f>'Capital Improvement Plan'!J66*-1</f>
        <v>0</v>
      </c>
      <c r="H56" s="988">
        <f>'Capital Improvement Plan'!K66*-1</f>
        <v>0</v>
      </c>
      <c r="I56" s="988">
        <f>'Capital Improvement Plan'!L66*-1</f>
        <v>0</v>
      </c>
      <c r="J56" s="988">
        <f>'Capital Improvement Plan'!M66*-1</f>
        <v>0</v>
      </c>
      <c r="K56" s="988">
        <f>'Capital Improvement Plan'!N66*-1</f>
        <v>0</v>
      </c>
      <c r="L56" s="988">
        <f>'Capital Improvement Plan'!O66*-1</f>
        <v>0</v>
      </c>
      <c r="M56" s="988">
        <f>'Capital Improvement Plan'!P66*-1</f>
        <v>0</v>
      </c>
      <c r="N56" s="984">
        <f>'Capital Improvement Plan'!Q66*-1</f>
        <v>0</v>
      </c>
      <c r="O56" s="984">
        <f>'Capital Improvement Plan'!R66*-1</f>
        <v>0</v>
      </c>
      <c r="P56" s="984">
        <f>'Capital Improvement Plan'!S66*-1</f>
        <v>0</v>
      </c>
      <c r="Q56" s="984">
        <f>'Capital Improvement Plan'!T66*-1</f>
        <v>0</v>
      </c>
      <c r="R56" s="984">
        <f>'Capital Improvement Plan'!U66*-1</f>
        <v>0</v>
      </c>
      <c r="S56" s="984">
        <f>'Capital Improvement Plan'!V66*-1</f>
        <v>0</v>
      </c>
      <c r="T56" s="984">
        <f>'Capital Improvement Plan'!W66*-1</f>
        <v>0</v>
      </c>
      <c r="U56" s="984">
        <f>'Capital Improvement Plan'!X66*-1</f>
        <v>0</v>
      </c>
      <c r="V56" s="984">
        <f>'Capital Improvement Plan'!Y66*-1</f>
        <v>0</v>
      </c>
      <c r="W56" s="984">
        <f>'Capital Improvement Plan'!Z66*-1</f>
        <v>0</v>
      </c>
      <c r="X56" s="984">
        <f>'Capital Improvement Plan'!AA66*-1</f>
        <v>0</v>
      </c>
      <c r="Y56" s="984">
        <f>'Capital Improvement Plan'!AB66*-1</f>
        <v>0</v>
      </c>
      <c r="Z56" s="984">
        <f>'Capital Improvement Plan'!AC66*-1</f>
        <v>0</v>
      </c>
      <c r="AA56" s="984">
        <f>'Capital Improvement Plan'!AD66*-1</f>
        <v>0</v>
      </c>
      <c r="AB56" s="984">
        <f>'Capital Improvement Plan'!AE66*-1</f>
        <v>0</v>
      </c>
      <c r="AC56" s="984">
        <f>'Capital Improvement Plan'!AF66*-1</f>
        <v>0</v>
      </c>
      <c r="AD56" s="984">
        <f>'Capital Improvement Plan'!AG66*-1</f>
        <v>0</v>
      </c>
      <c r="AE56" s="984">
        <f>'Capital Improvement Plan'!AH66*-1</f>
        <v>0</v>
      </c>
      <c r="AF56" s="984">
        <f>'Capital Improvement Plan'!AI66*-1</f>
        <v>0</v>
      </c>
      <c r="AG56" s="984">
        <f>'Capital Improvement Plan'!AJ66*-1</f>
        <v>0</v>
      </c>
      <c r="AH56" s="984">
        <f>'Capital Improvement Plan'!AK66*-1</f>
        <v>0</v>
      </c>
      <c r="AI56" s="984">
        <f>'Capital Improvement Plan'!AL66*-1</f>
        <v>0</v>
      </c>
      <c r="AJ56" s="984">
        <f>'Capital Improvement Plan'!AM66*-1</f>
        <v>0</v>
      </c>
      <c r="AK56" s="984">
        <f>'Capital Improvement Plan'!AN66*-1</f>
        <v>0</v>
      </c>
      <c r="AL56" s="984">
        <f>'Capital Improvement Plan'!AO66*-1</f>
        <v>0</v>
      </c>
      <c r="AM56" s="984">
        <f>'Capital Improvement Plan'!AP66*-1</f>
        <v>0</v>
      </c>
      <c r="AN56" s="984">
        <f>'Capital Improvement Plan'!AQ66*-1</f>
        <v>0</v>
      </c>
      <c r="AO56" s="984">
        <f>'Capital Improvement Plan'!AR66*-1</f>
        <v>0</v>
      </c>
      <c r="AP56" s="984">
        <f>'Capital Improvement Plan'!AS66*-1</f>
        <v>0</v>
      </c>
      <c r="AQ56" s="984">
        <f>'Capital Improvement Plan'!AT66*-1</f>
        <v>0</v>
      </c>
      <c r="AR56" s="984">
        <f>'Capital Improvement Plan'!AU66*-1</f>
        <v>0</v>
      </c>
      <c r="AS56" s="984">
        <f>'Capital Improvement Plan'!AV66*-1</f>
        <v>0</v>
      </c>
      <c r="AT56" s="984">
        <f>'Capital Improvement Plan'!AW66*-1</f>
        <v>0</v>
      </c>
      <c r="AU56" s="984">
        <f>'Capital Improvement Plan'!AX66*-1</f>
        <v>0</v>
      </c>
      <c r="AV56" s="984">
        <f>'Capital Improvement Plan'!AY66*-1</f>
        <v>0</v>
      </c>
      <c r="AW56" s="984">
        <f>'Capital Improvement Plan'!AZ66*-1</f>
        <v>0</v>
      </c>
      <c r="AX56" s="984">
        <f>'Capital Improvement Plan'!BA66*-1</f>
        <v>0</v>
      </c>
      <c r="AY56" s="984">
        <f>'Capital Improvement Plan'!BB66*-1</f>
        <v>0</v>
      </c>
      <c r="AZ56" s="984">
        <f>'Capital Improvement Plan'!BC66*-1</f>
        <v>0</v>
      </c>
      <c r="BA56" s="984">
        <f>'Capital Improvement Plan'!BD66*-1</f>
        <v>0</v>
      </c>
      <c r="BB56" s="984">
        <f>'Capital Improvement Plan'!BE66*-1</f>
        <v>0</v>
      </c>
    </row>
    <row r="57" spans="2:54" s="425" customFormat="1" x14ac:dyDescent="0.3">
      <c r="B57" s="595" t="s">
        <v>1796</v>
      </c>
      <c r="C57" s="443"/>
      <c r="D57" s="596">
        <f>D55+D53+D56</f>
        <v>1087966.9934278834</v>
      </c>
      <c r="E57" s="596">
        <f t="shared" ref="E57:BB57" si="73">E55+E53+E56</f>
        <v>1254082.1901765517</v>
      </c>
      <c r="F57" s="596">
        <f t="shared" si="73"/>
        <v>1485292.299039779</v>
      </c>
      <c r="G57" s="596">
        <f t="shared" si="73"/>
        <v>1728333.9048353252</v>
      </c>
      <c r="H57" s="596">
        <f t="shared" si="73"/>
        <v>1921976.3294242627</v>
      </c>
      <c r="I57" s="596">
        <f t="shared" si="73"/>
        <v>2121837.6883058939</v>
      </c>
      <c r="J57" s="596">
        <f t="shared" si="73"/>
        <v>2321382.3756308565</v>
      </c>
      <c r="K57" s="596">
        <f t="shared" si="73"/>
        <v>2533295.5254581724</v>
      </c>
      <c r="L57" s="596">
        <f t="shared" si="73"/>
        <v>2721397.7650025622</v>
      </c>
      <c r="M57" s="596">
        <f t="shared" si="73"/>
        <v>2862565.2614975716</v>
      </c>
      <c r="N57" s="596">
        <f t="shared" si="73"/>
        <v>2923123.718092395</v>
      </c>
      <c r="O57" s="596">
        <f t="shared" si="73"/>
        <v>3011721.3160443055</v>
      </c>
      <c r="P57" s="596">
        <f t="shared" si="73"/>
        <v>3132415.9577243617</v>
      </c>
      <c r="Q57" s="596">
        <f t="shared" si="73"/>
        <v>3220730.3123528934</v>
      </c>
      <c r="R57" s="596">
        <f t="shared" si="73"/>
        <v>3324766.3563725078</v>
      </c>
      <c r="S57" s="596">
        <f t="shared" si="73"/>
        <v>3436510.2673349194</v>
      </c>
      <c r="T57" s="596">
        <f t="shared" si="73"/>
        <v>3547574.5278083738</v>
      </c>
      <c r="U57" s="596">
        <f t="shared" si="73"/>
        <v>3658532.3814970888</v>
      </c>
      <c r="V57" s="596">
        <f t="shared" si="73"/>
        <v>3767696.9289540951</v>
      </c>
      <c r="W57" s="596">
        <f t="shared" si="73"/>
        <v>3881476.6221797005</v>
      </c>
      <c r="X57" s="596">
        <f t="shared" si="73"/>
        <v>3994211.8937318837</v>
      </c>
      <c r="Y57" s="596">
        <f t="shared" si="73"/>
        <v>4108062.4916837653</v>
      </c>
      <c r="Z57" s="596">
        <f t="shared" si="73"/>
        <v>4204223.4545408441</v>
      </c>
      <c r="AA57" s="596">
        <f t="shared" si="73"/>
        <v>4288374.7838837588</v>
      </c>
      <c r="AB57" s="596">
        <f t="shared" si="73"/>
        <v>4358002.8709744336</v>
      </c>
      <c r="AC57" s="596">
        <f t="shared" si="73"/>
        <v>4428042.2405545106</v>
      </c>
      <c r="AD57" s="596">
        <f t="shared" si="73"/>
        <v>4502005.7674249159</v>
      </c>
      <c r="AE57" s="596">
        <f t="shared" si="73"/>
        <v>4578776.758624359</v>
      </c>
      <c r="AF57" s="596">
        <f t="shared" si="73"/>
        <v>4656841.5352050029</v>
      </c>
      <c r="AG57" s="596">
        <f t="shared" si="73"/>
        <v>4729473.6356528457</v>
      </c>
      <c r="AH57" s="596">
        <f t="shared" si="73"/>
        <v>4803115.4596644146</v>
      </c>
      <c r="AI57" s="596">
        <f t="shared" si="73"/>
        <v>4870003.6414325051</v>
      </c>
      <c r="AJ57" s="596">
        <f t="shared" si="73"/>
        <v>4940839.5585391009</v>
      </c>
      <c r="AK57" s="596">
        <f t="shared" si="73"/>
        <v>5015344.1749305539</v>
      </c>
      <c r="AL57" s="596">
        <f t="shared" si="73"/>
        <v>5086839.6867580656</v>
      </c>
      <c r="AM57" s="596">
        <f t="shared" si="73"/>
        <v>5143894.3577068234</v>
      </c>
      <c r="AN57" s="596">
        <f t="shared" si="73"/>
        <v>5282260.2762419945</v>
      </c>
      <c r="AO57" s="596">
        <f t="shared" si="73"/>
        <v>5409832.4671362825</v>
      </c>
      <c r="AP57" s="596">
        <f t="shared" si="73"/>
        <v>5523703.6898626992</v>
      </c>
      <c r="AQ57" s="596">
        <f t="shared" si="73"/>
        <v>5623583.8578922171</v>
      </c>
      <c r="AR57" s="596">
        <f t="shared" si="73"/>
        <v>5701356.4423163896</v>
      </c>
      <c r="AS57" s="596">
        <f t="shared" si="73"/>
        <v>5760282.0794807235</v>
      </c>
      <c r="AT57" s="596">
        <f t="shared" si="73"/>
        <v>5800947.7800884116</v>
      </c>
      <c r="AU57" s="596">
        <f t="shared" si="73"/>
        <v>5828743.3628114397</v>
      </c>
      <c r="AV57" s="596">
        <f t="shared" si="73"/>
        <v>5857356.6602332881</v>
      </c>
      <c r="AW57" s="596">
        <f t="shared" si="73"/>
        <v>5889709.5459892936</v>
      </c>
      <c r="AX57" s="596">
        <f t="shared" si="73"/>
        <v>5912114.7252070382</v>
      </c>
      <c r="AY57" s="596">
        <f t="shared" si="73"/>
        <v>5920224.8625754472</v>
      </c>
      <c r="AZ57" s="596">
        <f t="shared" si="73"/>
        <v>5926680.7836282896</v>
      </c>
      <c r="BA57" s="596">
        <f t="shared" si="73"/>
        <v>5926680.7836282896</v>
      </c>
      <c r="BB57" s="596">
        <f t="shared" si="73"/>
        <v>5926680.7836282896</v>
      </c>
    </row>
    <row r="58" spans="2:54" s="425" customFormat="1" x14ac:dyDescent="0.3">
      <c r="B58" s="595"/>
      <c r="C58" s="443"/>
      <c r="D58" s="596"/>
      <c r="E58" s="596"/>
      <c r="F58" s="596"/>
      <c r="G58" s="596"/>
      <c r="H58" s="596"/>
      <c r="I58" s="596"/>
      <c r="J58" s="596"/>
      <c r="K58" s="596"/>
      <c r="L58" s="596"/>
      <c r="M58" s="596"/>
      <c r="N58" s="596"/>
      <c r="O58" s="596"/>
      <c r="P58" s="596"/>
      <c r="Q58" s="596"/>
      <c r="R58" s="596"/>
      <c r="S58" s="596"/>
      <c r="T58" s="596"/>
      <c r="U58" s="596"/>
      <c r="V58" s="596"/>
      <c r="W58" s="596"/>
      <c r="X58" s="596"/>
      <c r="Y58" s="596"/>
      <c r="Z58" s="596"/>
      <c r="AA58" s="596"/>
      <c r="AB58" s="596"/>
      <c r="AC58" s="596"/>
      <c r="AD58" s="596"/>
      <c r="AE58" s="596"/>
      <c r="AF58" s="596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596"/>
      <c r="AS58" s="596"/>
      <c r="AT58" s="596"/>
      <c r="AU58" s="596"/>
      <c r="AV58" s="596"/>
      <c r="AW58" s="596"/>
      <c r="AX58" s="596"/>
      <c r="AY58" s="596"/>
      <c r="AZ58" s="596"/>
      <c r="BA58" s="596"/>
      <c r="BB58" s="596"/>
    </row>
    <row r="59" spans="2:54" x14ac:dyDescent="0.3">
      <c r="B59" s="595" t="s">
        <v>1807</v>
      </c>
      <c r="D59" s="596">
        <f>'Fixed Assets'!$R$646</f>
        <v>96382348.218891308</v>
      </c>
      <c r="E59" s="596">
        <f t="shared" ref="E59:AJ59" si="74">$D$59*E$4</f>
        <v>99170919.422568083</v>
      </c>
      <c r="F59" s="596">
        <f t="shared" si="74"/>
        <v>102040170.641846</v>
      </c>
      <c r="G59" s="596">
        <f t="shared" si="74"/>
        <v>104992436.14199641</v>
      </c>
      <c r="H59" s="596">
        <f t="shared" si="74"/>
        <v>108030117.72415213</v>
      </c>
      <c r="I59" s="596">
        <f t="shared" si="74"/>
        <v>111155686.67928095</v>
      </c>
      <c r="J59" s="596">
        <f t="shared" si="74"/>
        <v>114371685.79869239</v>
      </c>
      <c r="K59" s="596">
        <f t="shared" si="74"/>
        <v>117680731.44271302</v>
      </c>
      <c r="L59" s="596">
        <f t="shared" si="74"/>
        <v>121085515.66921362</v>
      </c>
      <c r="M59" s="596">
        <f t="shared" si="74"/>
        <v>124588808.42371969</v>
      </c>
      <c r="N59" s="596">
        <f t="shared" si="74"/>
        <v>128193459.79288699</v>
      </c>
      <c r="O59" s="596">
        <f t="shared" si="74"/>
        <v>131902402.3231757</v>
      </c>
      <c r="P59" s="596">
        <f t="shared" si="74"/>
        <v>135718653.40660909</v>
      </c>
      <c r="Q59" s="596">
        <f t="shared" si="74"/>
        <v>139645317.73555806</v>
      </c>
      <c r="R59" s="596">
        <f t="shared" si="74"/>
        <v>143685589.82854849</v>
      </c>
      <c r="S59" s="596">
        <f t="shared" si="74"/>
        <v>147842756.62914598</v>
      </c>
      <c r="T59" s="596">
        <f t="shared" si="74"/>
        <v>152120200.18003288</v>
      </c>
      <c r="U59" s="596">
        <f t="shared" si="74"/>
        <v>156521400.37445232</v>
      </c>
      <c r="V59" s="596">
        <f t="shared" si="74"/>
        <v>161049937.78725851</v>
      </c>
      <c r="W59" s="596">
        <f t="shared" si="74"/>
        <v>165709496.58787569</v>
      </c>
      <c r="X59" s="596">
        <f t="shared" si="74"/>
        <v>170503867.53753632</v>
      </c>
      <c r="Y59" s="596">
        <f t="shared" si="74"/>
        <v>175436951.07323608</v>
      </c>
      <c r="Z59" s="596">
        <f t="shared" si="74"/>
        <v>180512760.48091546</v>
      </c>
      <c r="AA59" s="596">
        <f t="shared" si="74"/>
        <v>185735425.16044876</v>
      </c>
      <c r="AB59" s="596">
        <f t="shared" si="74"/>
        <v>191109193.98509726</v>
      </c>
      <c r="AC59" s="596">
        <f t="shared" si="74"/>
        <v>196638438.75815901</v>
      </c>
      <c r="AD59" s="596">
        <f t="shared" si="74"/>
        <v>202327657.7696282</v>
      </c>
      <c r="AE59" s="596">
        <f t="shared" si="74"/>
        <v>208181479.45575693</v>
      </c>
      <c r="AF59" s="596">
        <f t="shared" si="74"/>
        <v>214204666.16449669</v>
      </c>
      <c r="AG59" s="596">
        <f t="shared" si="74"/>
        <v>220402118.02988333</v>
      </c>
      <c r="AH59" s="596">
        <f t="shared" si="74"/>
        <v>226778876.9585171</v>
      </c>
      <c r="AI59" s="596">
        <f t="shared" si="74"/>
        <v>233340130.731381</v>
      </c>
      <c r="AJ59" s="596">
        <f t="shared" si="74"/>
        <v>240091217.22433454</v>
      </c>
      <c r="AK59" s="596">
        <f t="shared" ref="AK59:BB59" si="75">$D$59*AK$4</f>
        <v>247037628.75071672</v>
      </c>
      <c r="AL59" s="596">
        <f t="shared" si="75"/>
        <v>254185016.52959034</v>
      </c>
      <c r="AM59" s="596">
        <f t="shared" si="75"/>
        <v>261539195.28326371</v>
      </c>
      <c r="AN59" s="596">
        <f t="shared" si="75"/>
        <v>269106147.96782964</v>
      </c>
      <c r="AO59" s="596">
        <f t="shared" si="75"/>
        <v>276892030.64056975</v>
      </c>
      <c r="AP59" s="596">
        <f t="shared" si="75"/>
        <v>284903177.46818501</v>
      </c>
      <c r="AQ59" s="596">
        <f t="shared" si="75"/>
        <v>293146105.87992585</v>
      </c>
      <c r="AR59" s="596">
        <f t="shared" si="75"/>
        <v>301627521.86981475</v>
      </c>
      <c r="AS59" s="596">
        <f t="shared" si="75"/>
        <v>310354325.45227504</v>
      </c>
      <c r="AT59" s="596">
        <f t="shared" si="75"/>
        <v>319333616.27560353</v>
      </c>
      <c r="AU59" s="596">
        <f t="shared" si="75"/>
        <v>328572699.39785498</v>
      </c>
      <c r="AV59" s="596">
        <f t="shared" si="75"/>
        <v>338079091.22983587</v>
      </c>
      <c r="AW59" s="596">
        <f t="shared" si="75"/>
        <v>347860525.65004385</v>
      </c>
      <c r="AX59" s="596">
        <f t="shared" si="75"/>
        <v>357924960.29652667</v>
      </c>
      <c r="AY59" s="596">
        <f t="shared" si="75"/>
        <v>368280583.04077953</v>
      </c>
      <c r="AZ59" s="596">
        <f t="shared" si="75"/>
        <v>378935818.64894789</v>
      </c>
      <c r="BA59" s="596">
        <f t="shared" si="75"/>
        <v>389899335.63575464</v>
      </c>
      <c r="BB59" s="596">
        <f t="shared" si="75"/>
        <v>401180053.316728</v>
      </c>
    </row>
    <row r="60" spans="2:54" s="425" customFormat="1" x14ac:dyDescent="0.3">
      <c r="B60" s="595" t="s">
        <v>1806</v>
      </c>
      <c r="C60" s="443"/>
      <c r="D60" s="649">
        <f>D31</f>
        <v>0.02</v>
      </c>
      <c r="E60" s="649">
        <f t="shared" ref="E60:BB60" si="76">E31</f>
        <v>0.02</v>
      </c>
      <c r="F60" s="649">
        <f t="shared" si="76"/>
        <v>0.02</v>
      </c>
      <c r="G60" s="649">
        <f t="shared" si="76"/>
        <v>0.02</v>
      </c>
      <c r="H60" s="649">
        <f t="shared" si="76"/>
        <v>0.02</v>
      </c>
      <c r="I60" s="649">
        <f t="shared" si="76"/>
        <v>0.02</v>
      </c>
      <c r="J60" s="649">
        <f t="shared" si="76"/>
        <v>0.02</v>
      </c>
      <c r="K60" s="649">
        <f t="shared" si="76"/>
        <v>0.02</v>
      </c>
      <c r="L60" s="649">
        <f t="shared" si="76"/>
        <v>0.02</v>
      </c>
      <c r="M60" s="649">
        <f t="shared" si="76"/>
        <v>0.02</v>
      </c>
      <c r="N60" s="649">
        <f t="shared" si="76"/>
        <v>0.02</v>
      </c>
      <c r="O60" s="649">
        <f t="shared" si="76"/>
        <v>0.02</v>
      </c>
      <c r="P60" s="649">
        <f t="shared" si="76"/>
        <v>0.02</v>
      </c>
      <c r="Q60" s="649">
        <f t="shared" si="76"/>
        <v>0.02</v>
      </c>
      <c r="R60" s="649">
        <f t="shared" si="76"/>
        <v>0.02</v>
      </c>
      <c r="S60" s="649">
        <f t="shared" si="76"/>
        <v>0.02</v>
      </c>
      <c r="T60" s="649">
        <f t="shared" si="76"/>
        <v>0.02</v>
      </c>
      <c r="U60" s="649">
        <f t="shared" si="76"/>
        <v>0.02</v>
      </c>
      <c r="V60" s="649">
        <f t="shared" si="76"/>
        <v>0.02</v>
      </c>
      <c r="W60" s="649">
        <f t="shared" si="76"/>
        <v>0.02</v>
      </c>
      <c r="X60" s="649">
        <f t="shared" si="76"/>
        <v>0.02</v>
      </c>
      <c r="Y60" s="649">
        <f t="shared" si="76"/>
        <v>0.02</v>
      </c>
      <c r="Z60" s="649">
        <f t="shared" si="76"/>
        <v>0.02</v>
      </c>
      <c r="AA60" s="649">
        <f t="shared" si="76"/>
        <v>0.02</v>
      </c>
      <c r="AB60" s="649">
        <f t="shared" si="76"/>
        <v>0.02</v>
      </c>
      <c r="AC60" s="649">
        <f t="shared" si="76"/>
        <v>0.02</v>
      </c>
      <c r="AD60" s="649">
        <f t="shared" si="76"/>
        <v>0.02</v>
      </c>
      <c r="AE60" s="649">
        <f t="shared" si="76"/>
        <v>0.02</v>
      </c>
      <c r="AF60" s="649">
        <f t="shared" si="76"/>
        <v>0.02</v>
      </c>
      <c r="AG60" s="649">
        <f t="shared" si="76"/>
        <v>0.02</v>
      </c>
      <c r="AH60" s="649">
        <f t="shared" si="76"/>
        <v>0.02</v>
      </c>
      <c r="AI60" s="649">
        <f t="shared" si="76"/>
        <v>0.02</v>
      </c>
      <c r="AJ60" s="649">
        <f t="shared" si="76"/>
        <v>0.02</v>
      </c>
      <c r="AK60" s="649">
        <f t="shared" si="76"/>
        <v>0.02</v>
      </c>
      <c r="AL60" s="649">
        <f t="shared" si="76"/>
        <v>0.02</v>
      </c>
      <c r="AM60" s="649">
        <f t="shared" si="76"/>
        <v>0.02</v>
      </c>
      <c r="AN60" s="649">
        <f t="shared" si="76"/>
        <v>0.02</v>
      </c>
      <c r="AO60" s="649">
        <f t="shared" si="76"/>
        <v>0.02</v>
      </c>
      <c r="AP60" s="649">
        <f t="shared" si="76"/>
        <v>0.02</v>
      </c>
      <c r="AQ60" s="649">
        <f t="shared" si="76"/>
        <v>0.02</v>
      </c>
      <c r="AR60" s="649">
        <f t="shared" si="76"/>
        <v>0.02</v>
      </c>
      <c r="AS60" s="649">
        <f t="shared" si="76"/>
        <v>0.02</v>
      </c>
      <c r="AT60" s="649">
        <f t="shared" si="76"/>
        <v>0.02</v>
      </c>
      <c r="AU60" s="649">
        <f t="shared" si="76"/>
        <v>0.02</v>
      </c>
      <c r="AV60" s="649">
        <f t="shared" si="76"/>
        <v>0.02</v>
      </c>
      <c r="AW60" s="649">
        <f t="shared" si="76"/>
        <v>0.02</v>
      </c>
      <c r="AX60" s="649">
        <f t="shared" si="76"/>
        <v>0.02</v>
      </c>
      <c r="AY60" s="649">
        <f t="shared" si="76"/>
        <v>0.02</v>
      </c>
      <c r="AZ60" s="649">
        <f t="shared" si="76"/>
        <v>0.02</v>
      </c>
      <c r="BA60" s="649">
        <f t="shared" si="76"/>
        <v>0.02</v>
      </c>
      <c r="BB60" s="649">
        <f t="shared" si="76"/>
        <v>0.02</v>
      </c>
    </row>
    <row r="61" spans="2:54" s="425" customFormat="1" x14ac:dyDescent="0.3">
      <c r="B61" s="595" t="s">
        <v>2231</v>
      </c>
      <c r="C61" s="443"/>
      <c r="D61" s="650">
        <f>D57/D59</f>
        <v>1.128803161090277E-2</v>
      </c>
      <c r="E61" s="650">
        <f t="shared" ref="E61:M61" si="77">E57/E59</f>
        <v>1.2645664651276423E-2</v>
      </c>
      <c r="F61" s="650">
        <f t="shared" si="77"/>
        <v>1.4555956636460881E-2</v>
      </c>
      <c r="G61" s="650">
        <f t="shared" si="77"/>
        <v>1.646150873666604E-2</v>
      </c>
      <c r="H61" s="650">
        <f t="shared" si="77"/>
        <v>1.7791115754700038E-2</v>
      </c>
      <c r="I61" s="650">
        <f t="shared" si="77"/>
        <v>1.9088881115260092E-2</v>
      </c>
      <c r="J61" s="650">
        <f t="shared" si="77"/>
        <v>2.0296827483305285E-2</v>
      </c>
      <c r="K61" s="650">
        <f t="shared" si="77"/>
        <v>2.1526850610130519E-2</v>
      </c>
      <c r="L61" s="650">
        <f t="shared" si="77"/>
        <v>2.247500660968392E-2</v>
      </c>
      <c r="M61" s="650">
        <f t="shared" si="77"/>
        <v>2.2976102731171042E-2</v>
      </c>
      <c r="N61" s="650">
        <f t="shared" ref="N61:BB61" si="78">N57/N59</f>
        <v>2.2802440333657248E-2</v>
      </c>
      <c r="O61" s="650">
        <f t="shared" si="78"/>
        <v>2.2832952721097907E-2</v>
      </c>
      <c r="P61" s="650">
        <f t="shared" si="78"/>
        <v>2.3080216897965643E-2</v>
      </c>
      <c r="Q61" s="650">
        <f t="shared" si="78"/>
        <v>2.3063646992102442E-2</v>
      </c>
      <c r="R61" s="650">
        <f t="shared" si="78"/>
        <v>2.3139177424401115E-2</v>
      </c>
      <c r="S61" s="650">
        <f t="shared" si="78"/>
        <v>2.3244360059892444E-2</v>
      </c>
      <c r="T61" s="650">
        <f t="shared" si="78"/>
        <v>2.3320864182467888E-2</v>
      </c>
      <c r="U61" s="650">
        <f t="shared" si="78"/>
        <v>2.3374007469551369E-2</v>
      </c>
      <c r="V61" s="650">
        <f t="shared" si="78"/>
        <v>2.3394587919252068E-2</v>
      </c>
      <c r="W61" s="650">
        <f t="shared" si="78"/>
        <v>2.3423380687909789E-2</v>
      </c>
      <c r="X61" s="650">
        <f t="shared" si="78"/>
        <v>2.3425931337613563E-2</v>
      </c>
      <c r="Y61" s="650">
        <f t="shared" si="78"/>
        <v>2.341617582016035E-2</v>
      </c>
      <c r="Z61" s="650">
        <f t="shared" si="78"/>
        <v>2.3290450178370253E-2</v>
      </c>
      <c r="AA61" s="650">
        <f t="shared" si="78"/>
        <v>2.3088620709696164E-2</v>
      </c>
      <c r="AB61" s="650">
        <f t="shared" si="78"/>
        <v>2.280373214966451E-2</v>
      </c>
      <c r="AC61" s="650">
        <f t="shared" si="78"/>
        <v>2.2518701168088788E-2</v>
      </c>
      <c r="AD61" s="650">
        <f t="shared" si="78"/>
        <v>2.2251064521049978E-2</v>
      </c>
      <c r="AE61" s="650">
        <f t="shared" si="78"/>
        <v>2.1994159954067616E-2</v>
      </c>
      <c r="AF61" s="650">
        <f t="shared" si="78"/>
        <v>2.1740149823014688E-2</v>
      </c>
      <c r="AG61" s="650">
        <f t="shared" si="78"/>
        <v>2.1458385599595724E-2</v>
      </c>
      <c r="AH61" s="650">
        <f t="shared" si="78"/>
        <v>2.1179730335039147E-2</v>
      </c>
      <c r="AI61" s="650">
        <f t="shared" si="78"/>
        <v>2.087083617450617E-2</v>
      </c>
      <c r="AJ61" s="650">
        <f t="shared" si="78"/>
        <v>2.0579009993199868E-2</v>
      </c>
      <c r="AK61" s="650">
        <f t="shared" si="78"/>
        <v>2.0301944283927245E-2</v>
      </c>
      <c r="AL61" s="650">
        <f t="shared" si="78"/>
        <v>2.0012350673572821E-2</v>
      </c>
      <c r="AM61" s="650">
        <f t="shared" si="78"/>
        <v>1.9667776189858106E-2</v>
      </c>
      <c r="AN61" s="650">
        <f t="shared" si="78"/>
        <v>1.9628909692815579E-2</v>
      </c>
      <c r="AO61" s="650">
        <f t="shared" si="78"/>
        <v>1.9537696533269755E-2</v>
      </c>
      <c r="AP61" s="650">
        <f t="shared" si="78"/>
        <v>1.9388003106702901E-2</v>
      </c>
      <c r="AQ61" s="650">
        <f t="shared" si="78"/>
        <v>1.9183552996592308E-2</v>
      </c>
      <c r="AR61" s="650">
        <f t="shared" si="78"/>
        <v>1.8901976871915381E-2</v>
      </c>
      <c r="AS61" s="650">
        <f t="shared" si="78"/>
        <v>1.8560340897734694E-2</v>
      </c>
      <c r="AT61" s="650">
        <f t="shared" si="78"/>
        <v>1.8165791148908844E-2</v>
      </c>
      <c r="AU61" s="650">
        <f t="shared" si="78"/>
        <v>1.773958510093274E-2</v>
      </c>
      <c r="AV61" s="650">
        <f t="shared" si="78"/>
        <v>1.7325403469720311E-2</v>
      </c>
      <c r="AW61" s="650">
        <f t="shared" si="78"/>
        <v>1.6931238561728859E-2</v>
      </c>
      <c r="AX61" s="650">
        <f t="shared" si="78"/>
        <v>1.651774919611386E-2</v>
      </c>
      <c r="AY61" s="650">
        <f t="shared" si="78"/>
        <v>1.6075310877630231E-2</v>
      </c>
      <c r="AZ61" s="650">
        <f t="shared" si="78"/>
        <v>1.5640328762689126E-2</v>
      </c>
      <c r="BA61" s="650">
        <f t="shared" si="78"/>
        <v>1.5200540862590789E-2</v>
      </c>
      <c r="BB61" s="650">
        <f t="shared" si="78"/>
        <v>1.4773119288035064E-2</v>
      </c>
    </row>
    <row r="62" spans="2:54" s="425" customFormat="1" x14ac:dyDescent="0.3">
      <c r="B62" s="442"/>
      <c r="C62" s="443"/>
      <c r="D62" s="596"/>
      <c r="E62" s="596"/>
      <c r="F62" s="596"/>
      <c r="G62" s="596"/>
      <c r="H62" s="596"/>
      <c r="I62" s="596"/>
      <c r="J62" s="596"/>
      <c r="K62" s="596"/>
      <c r="L62" s="596"/>
      <c r="M62" s="596"/>
      <c r="N62" s="596"/>
      <c r="O62" s="596"/>
      <c r="P62" s="596"/>
      <c r="Q62" s="596"/>
      <c r="R62" s="596"/>
      <c r="S62" s="596"/>
      <c r="T62" s="596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596"/>
      <c r="AS62" s="596"/>
      <c r="AT62" s="596"/>
      <c r="AU62" s="596"/>
      <c r="AV62" s="596"/>
      <c r="AW62" s="596"/>
      <c r="AX62" s="596"/>
      <c r="AY62" s="596"/>
      <c r="AZ62" s="596"/>
      <c r="BA62" s="596"/>
      <c r="BB62" s="596"/>
    </row>
    <row r="63" spans="2:54" x14ac:dyDescent="0.3">
      <c r="B63" s="985" t="s">
        <v>1653</v>
      </c>
      <c r="C63" s="1050"/>
      <c r="D63" s="1051"/>
      <c r="E63" s="1051"/>
      <c r="F63" s="1051"/>
      <c r="G63" s="1051"/>
      <c r="H63" s="1051"/>
      <c r="I63" s="1051"/>
      <c r="J63" s="1051"/>
      <c r="K63" s="1051"/>
      <c r="L63" s="1051"/>
      <c r="M63" s="1051"/>
      <c r="N63" s="1051"/>
      <c r="O63" s="1051"/>
      <c r="P63" s="1051"/>
      <c r="Q63" s="1051"/>
      <c r="R63" s="1051"/>
      <c r="S63" s="1051"/>
      <c r="T63" s="1051"/>
      <c r="U63" s="1051"/>
      <c r="V63" s="1051"/>
      <c r="W63" s="1051"/>
      <c r="X63" s="1051"/>
      <c r="Y63" s="1051"/>
      <c r="Z63" s="1051"/>
      <c r="AA63" s="1051"/>
      <c r="AB63" s="1051"/>
      <c r="AC63" s="1051"/>
      <c r="AD63" s="1051"/>
      <c r="AE63" s="1051"/>
      <c r="AF63" s="1051"/>
      <c r="AG63" s="1051"/>
      <c r="AH63" s="1051"/>
      <c r="AI63" s="1051"/>
      <c r="AJ63" s="1051"/>
      <c r="AK63" s="1051"/>
      <c r="AL63" s="1051"/>
      <c r="AM63" s="1051"/>
      <c r="AN63" s="1051"/>
      <c r="AO63" s="1051"/>
      <c r="AP63" s="1051"/>
      <c r="AQ63" s="1051"/>
      <c r="AR63" s="1051"/>
      <c r="AS63" s="1051"/>
      <c r="AT63" s="1051"/>
      <c r="AU63" s="1051"/>
      <c r="AV63" s="1051"/>
      <c r="AW63" s="1051"/>
      <c r="AX63" s="1051"/>
      <c r="AY63" s="1051"/>
      <c r="AZ63" s="1051"/>
      <c r="BA63" s="1051"/>
      <c r="BB63" s="1051"/>
    </row>
    <row r="65" spans="1:54" x14ac:dyDescent="0.3">
      <c r="B65" s="426" t="s">
        <v>1576</v>
      </c>
      <c r="C65" s="428"/>
      <c r="D65" s="430">
        <f>'Capital Improvement Plan'!G96</f>
        <v>2589127</v>
      </c>
      <c r="E65" s="430">
        <f>'Capital Improvement Plan'!H96</f>
        <v>3745400</v>
      </c>
      <c r="F65" s="430">
        <f>'Capital Improvement Plan'!I96</f>
        <v>4250000</v>
      </c>
      <c r="G65" s="430">
        <f>'Capital Improvement Plan'!J96</f>
        <v>1500000</v>
      </c>
      <c r="H65" s="430">
        <f>'Capital Improvement Plan'!K96</f>
        <v>1000000</v>
      </c>
      <c r="I65" s="430">
        <f>'Capital Improvement Plan'!L96</f>
        <v>1100000</v>
      </c>
      <c r="J65" s="430">
        <f>'Capital Improvement Plan'!M96</f>
        <v>500000</v>
      </c>
      <c r="K65" s="430">
        <f>'Capital Improvement Plan'!N96</f>
        <v>2500000</v>
      </c>
      <c r="L65" s="430">
        <f>'Capital Improvement Plan'!O96</f>
        <v>500000</v>
      </c>
      <c r="M65" s="430">
        <f>'Capital Improvement Plan'!P96</f>
        <v>500000</v>
      </c>
      <c r="N65" s="430">
        <f>'Capital Improvement Plan'!Q96</f>
        <v>0</v>
      </c>
      <c r="O65" s="430">
        <f>'Capital Improvement Plan'!Q96</f>
        <v>0</v>
      </c>
      <c r="P65" s="430">
        <f>'Capital Improvement Plan'!R96</f>
        <v>0</v>
      </c>
      <c r="Q65" s="430">
        <f>'Capital Improvement Plan'!S96</f>
        <v>0</v>
      </c>
      <c r="R65" s="430">
        <f>'Capital Improvement Plan'!T96</f>
        <v>0</v>
      </c>
      <c r="S65" s="430">
        <f>'Capital Improvement Plan'!U96</f>
        <v>0</v>
      </c>
      <c r="T65" s="430">
        <f>'Capital Improvement Plan'!V96</f>
        <v>0</v>
      </c>
      <c r="U65" s="430">
        <f>'Capital Improvement Plan'!W96</f>
        <v>0</v>
      </c>
      <c r="V65" s="430">
        <f>'Capital Improvement Plan'!X96</f>
        <v>0</v>
      </c>
      <c r="W65" s="430">
        <f>'Capital Improvement Plan'!Y96</f>
        <v>0</v>
      </c>
      <c r="X65" s="430">
        <f>'Capital Improvement Plan'!Z96</f>
        <v>0</v>
      </c>
      <c r="Y65" s="430">
        <f>'Capital Improvement Plan'!AA96</f>
        <v>0</v>
      </c>
      <c r="Z65" s="430">
        <f>'Capital Improvement Plan'!AB96</f>
        <v>0</v>
      </c>
      <c r="AA65" s="430">
        <f>'Capital Improvement Plan'!AC96</f>
        <v>0</v>
      </c>
      <c r="AB65" s="430">
        <f>'Capital Improvement Plan'!AD96</f>
        <v>0</v>
      </c>
      <c r="AC65" s="430">
        <f>'Capital Improvement Plan'!AE96</f>
        <v>0</v>
      </c>
      <c r="AD65" s="430">
        <f>'Capital Improvement Plan'!AF96</f>
        <v>0</v>
      </c>
      <c r="AE65" s="430">
        <f>'Capital Improvement Plan'!AG96</f>
        <v>0</v>
      </c>
      <c r="AF65" s="430">
        <f>'Capital Improvement Plan'!AH96</f>
        <v>0</v>
      </c>
      <c r="AG65" s="430">
        <f>'Capital Improvement Plan'!AI96</f>
        <v>0</v>
      </c>
      <c r="AH65" s="430">
        <f>'Capital Improvement Plan'!AJ96</f>
        <v>0</v>
      </c>
      <c r="AI65" s="430">
        <f>'Capital Improvement Plan'!AK96</f>
        <v>0</v>
      </c>
      <c r="AJ65" s="430">
        <f>'Capital Improvement Plan'!AL96</f>
        <v>0</v>
      </c>
      <c r="AK65" s="430">
        <f>'Capital Improvement Plan'!AM96</f>
        <v>0</v>
      </c>
      <c r="AL65" s="430">
        <f>'Capital Improvement Plan'!AN96</f>
        <v>0</v>
      </c>
      <c r="AM65" s="430">
        <f>'Capital Improvement Plan'!AO96</f>
        <v>0</v>
      </c>
      <c r="AN65" s="430">
        <f>'Capital Improvement Plan'!AP96</f>
        <v>0</v>
      </c>
      <c r="AO65" s="430">
        <f>'Capital Improvement Plan'!AQ96</f>
        <v>0</v>
      </c>
      <c r="AP65" s="430">
        <f>'Capital Improvement Plan'!AR96</f>
        <v>0</v>
      </c>
      <c r="AQ65" s="430">
        <f>'Capital Improvement Plan'!AS96</f>
        <v>0</v>
      </c>
      <c r="AR65" s="430">
        <f>'Capital Improvement Plan'!AT96</f>
        <v>0</v>
      </c>
      <c r="AS65" s="430">
        <f>'Capital Improvement Plan'!AU96</f>
        <v>0</v>
      </c>
      <c r="AT65" s="430">
        <f>'Capital Improvement Plan'!AV96</f>
        <v>0</v>
      </c>
      <c r="AU65" s="430">
        <f>'Capital Improvement Plan'!AW96</f>
        <v>0</v>
      </c>
      <c r="AV65" s="430">
        <f>'Capital Improvement Plan'!AX96</f>
        <v>0</v>
      </c>
      <c r="AW65" s="430">
        <f>'Capital Improvement Plan'!AY96</f>
        <v>0</v>
      </c>
      <c r="AX65" s="430">
        <f>'Capital Improvement Plan'!AZ96</f>
        <v>0</v>
      </c>
      <c r="AY65" s="430">
        <f>'Capital Improvement Plan'!BA96</f>
        <v>0</v>
      </c>
      <c r="AZ65" s="430">
        <f>'Capital Improvement Plan'!BB96</f>
        <v>0</v>
      </c>
      <c r="BA65" s="430">
        <f>'Capital Improvement Plan'!BC96</f>
        <v>0</v>
      </c>
      <c r="BB65" s="430">
        <f>'Capital Improvement Plan'!BD96</f>
        <v>0</v>
      </c>
    </row>
    <row r="66" spans="1:54" x14ac:dyDescent="0.3">
      <c r="B66" s="431"/>
      <c r="C66" s="432"/>
      <c r="D66" s="421"/>
    </row>
    <row r="67" spans="1:54" x14ac:dyDescent="0.3">
      <c r="B67" s="426" t="s">
        <v>1584</v>
      </c>
      <c r="C67" s="433"/>
      <c r="D67" s="421"/>
    </row>
    <row r="68" spans="1:54" x14ac:dyDescent="0.3">
      <c r="B68" s="434" t="s">
        <v>1578</v>
      </c>
      <c r="C68" s="674">
        <v>2016</v>
      </c>
      <c r="D68" s="670" t="s">
        <v>1861</v>
      </c>
      <c r="E68" s="669" t="s">
        <v>1862</v>
      </c>
    </row>
    <row r="69" spans="1:54" x14ac:dyDescent="0.3">
      <c r="B69" s="434" t="str">
        <f>"Total Replacement Cost in Arrears ("&amp;C68&amp;" Dollars)"</f>
        <v>Total Replacement Cost in Arrears (2016 Dollars)</v>
      </c>
      <c r="C69" s="435">
        <f>SUMPRODUCT(('Fixed Assets'!$D$6:$D$597)*('Fixed Assets'!$P$6:$P$597&lt;2016)*('Fixed Assets'!$R$6:$R$597))</f>
        <v>2414710.8961471245</v>
      </c>
      <c r="D69" s="421"/>
      <c r="E69" s="421"/>
    </row>
    <row r="70" spans="1:54" x14ac:dyDescent="0.3">
      <c r="B70" s="434" t="s">
        <v>1859</v>
      </c>
      <c r="C70" s="435">
        <f>SUMIF('Assets in Arrears Calculation'!$B$3:$B$106,"&lt;"&amp;'Asset Replacement'!C68-20,'Assets in Arrears Calculation'!$F$3:$F$106)</f>
        <v>0</v>
      </c>
      <c r="D70" s="675">
        <f>D41</f>
        <v>1</v>
      </c>
      <c r="E70" s="446">
        <f>C70/D70</f>
        <v>0</v>
      </c>
    </row>
    <row r="71" spans="1:54" x14ac:dyDescent="0.3">
      <c r="B71" s="434" t="s">
        <v>1858</v>
      </c>
      <c r="C71" s="435">
        <f>SUMIF('Assets in Arrears Calculation'!$B$3:$B$106,"&lt;"&amp;'Asset Replacement'!C68-10,'Assets in Arrears Calculation'!$F$3:$F$106)-C70</f>
        <v>74673.139064162926</v>
      </c>
      <c r="D71" s="675">
        <f>D42</f>
        <v>5</v>
      </c>
      <c r="E71" s="446">
        <f t="shared" ref="E71:E72" si="79">C71/D71</f>
        <v>14934.627812832585</v>
      </c>
    </row>
    <row r="72" spans="1:54" x14ac:dyDescent="0.3">
      <c r="B72" s="434" t="s">
        <v>1860</v>
      </c>
      <c r="C72" s="435">
        <f>SUMIF('Assets in Arrears Calculation'!$B$3:$B$106,"&lt;"&amp;'Asset Replacement'!C68,'Assets in Arrears Calculation'!$F$3:$F$106)-C71-C70</f>
        <v>2340037.757082961</v>
      </c>
      <c r="D72" s="675">
        <f>D43</f>
        <v>10</v>
      </c>
      <c r="E72" s="446">
        <f t="shared" si="79"/>
        <v>234003.7757082961</v>
      </c>
    </row>
    <row r="73" spans="1:54" x14ac:dyDescent="0.3">
      <c r="B73" s="434"/>
      <c r="C73" s="435"/>
      <c r="D73" s="446"/>
      <c r="E73" s="446"/>
    </row>
    <row r="74" spans="1:54" x14ac:dyDescent="0.3">
      <c r="B74" s="434" t="str">
        <f>"Replacement Cost of Assets in Arrears"</f>
        <v>Replacement Cost of Assets in Arrears</v>
      </c>
      <c r="C74" s="436"/>
      <c r="D74" s="653">
        <f t="shared" ref="D74:AI74" si="80">IF(D3&lt;$C$68+$D$70,$E$70,0)+IF(D3&lt;$C$68+$D$71,$E$71,0)+IF(D3&lt;$C$68+$D$72,$E$72,0)</f>
        <v>248938.4035211287</v>
      </c>
      <c r="E74" s="653">
        <f t="shared" si="80"/>
        <v>248938.4035211287</v>
      </c>
      <c r="F74" s="653">
        <f t="shared" si="80"/>
        <v>248938.4035211287</v>
      </c>
      <c r="G74" s="653">
        <f t="shared" si="80"/>
        <v>248938.4035211287</v>
      </c>
      <c r="H74" s="653">
        <f t="shared" si="80"/>
        <v>248938.4035211287</v>
      </c>
      <c r="I74" s="653">
        <f t="shared" si="80"/>
        <v>234003.7757082961</v>
      </c>
      <c r="J74" s="653">
        <f t="shared" si="80"/>
        <v>234003.7757082961</v>
      </c>
      <c r="K74" s="653">
        <f t="shared" si="80"/>
        <v>234003.7757082961</v>
      </c>
      <c r="L74" s="653">
        <f t="shared" si="80"/>
        <v>234003.7757082961</v>
      </c>
      <c r="M74" s="653">
        <f t="shared" si="80"/>
        <v>234003.7757082961</v>
      </c>
      <c r="N74" s="653">
        <f t="shared" si="80"/>
        <v>0</v>
      </c>
      <c r="O74" s="653">
        <f t="shared" si="80"/>
        <v>0</v>
      </c>
      <c r="P74" s="653">
        <f t="shared" si="80"/>
        <v>0</v>
      </c>
      <c r="Q74" s="653">
        <f t="shared" si="80"/>
        <v>0</v>
      </c>
      <c r="R74" s="653">
        <f t="shared" si="80"/>
        <v>0</v>
      </c>
      <c r="S74" s="653">
        <f t="shared" si="80"/>
        <v>0</v>
      </c>
      <c r="T74" s="653">
        <f t="shared" si="80"/>
        <v>0</v>
      </c>
      <c r="U74" s="653">
        <f t="shared" si="80"/>
        <v>0</v>
      </c>
      <c r="V74" s="653">
        <f t="shared" si="80"/>
        <v>0</v>
      </c>
      <c r="W74" s="653">
        <f t="shared" si="80"/>
        <v>0</v>
      </c>
      <c r="X74" s="653">
        <f t="shared" si="80"/>
        <v>0</v>
      </c>
      <c r="Y74" s="653">
        <f t="shared" si="80"/>
        <v>0</v>
      </c>
      <c r="Z74" s="653">
        <f t="shared" si="80"/>
        <v>0</v>
      </c>
      <c r="AA74" s="653">
        <f t="shared" si="80"/>
        <v>0</v>
      </c>
      <c r="AB74" s="653">
        <f t="shared" si="80"/>
        <v>0</v>
      </c>
      <c r="AC74" s="653">
        <f t="shared" si="80"/>
        <v>0</v>
      </c>
      <c r="AD74" s="653">
        <f t="shared" si="80"/>
        <v>0</v>
      </c>
      <c r="AE74" s="653">
        <f t="shared" si="80"/>
        <v>0</v>
      </c>
      <c r="AF74" s="653">
        <f t="shared" si="80"/>
        <v>0</v>
      </c>
      <c r="AG74" s="653">
        <f t="shared" si="80"/>
        <v>0</v>
      </c>
      <c r="AH74" s="653">
        <f t="shared" si="80"/>
        <v>0</v>
      </c>
      <c r="AI74" s="653">
        <f t="shared" si="80"/>
        <v>0</v>
      </c>
      <c r="AJ74" s="653">
        <f t="shared" ref="AJ74:BB74" si="81">IF(AJ3&lt;$C$68+$D$70,$E$70,0)+IF(AJ3&lt;$C$68+$D$71,$E$71,0)+IF(AJ3&lt;$C$68+$D$72,$E$72,0)</f>
        <v>0</v>
      </c>
      <c r="AK74" s="653">
        <f t="shared" si="81"/>
        <v>0</v>
      </c>
      <c r="AL74" s="653">
        <f t="shared" si="81"/>
        <v>0</v>
      </c>
      <c r="AM74" s="653">
        <f t="shared" si="81"/>
        <v>0</v>
      </c>
      <c r="AN74" s="653">
        <f t="shared" si="81"/>
        <v>0</v>
      </c>
      <c r="AO74" s="653">
        <f t="shared" si="81"/>
        <v>0</v>
      </c>
      <c r="AP74" s="653">
        <f t="shared" si="81"/>
        <v>0</v>
      </c>
      <c r="AQ74" s="653">
        <f t="shared" si="81"/>
        <v>0</v>
      </c>
      <c r="AR74" s="653">
        <f t="shared" si="81"/>
        <v>0</v>
      </c>
      <c r="AS74" s="653">
        <f t="shared" si="81"/>
        <v>0</v>
      </c>
      <c r="AT74" s="653">
        <f t="shared" si="81"/>
        <v>0</v>
      </c>
      <c r="AU74" s="653">
        <f t="shared" si="81"/>
        <v>0</v>
      </c>
      <c r="AV74" s="653">
        <f t="shared" si="81"/>
        <v>0</v>
      </c>
      <c r="AW74" s="653">
        <f t="shared" si="81"/>
        <v>0</v>
      </c>
      <c r="AX74" s="653">
        <f t="shared" si="81"/>
        <v>0</v>
      </c>
      <c r="AY74" s="653">
        <f t="shared" si="81"/>
        <v>0</v>
      </c>
      <c r="AZ74" s="653">
        <f t="shared" si="81"/>
        <v>0</v>
      </c>
      <c r="BA74" s="653">
        <f t="shared" si="81"/>
        <v>0</v>
      </c>
      <c r="BB74" s="653">
        <f t="shared" si="81"/>
        <v>0</v>
      </c>
    </row>
    <row r="75" spans="1:54" x14ac:dyDescent="0.3">
      <c r="B75" s="434" t="s">
        <v>1579</v>
      </c>
      <c r="C75" s="436"/>
      <c r="D75" s="437">
        <f>SUMPRODUCT(('Fixed Assets'!$D$6:$D$597)*('Fixed Assets'!$P$6:$P$597='Asset Replacement'!D$3)*('Fixed Assets'!$S$6:$S$597))</f>
        <v>12662.41769198272</v>
      </c>
      <c r="E75" s="437">
        <f>SUMPRODUCT(('Fixed Assets'!$D$6:$D$597)*('Fixed Assets'!$P$6:$P$597='Asset Replacement'!E$3)*('Fixed Assets'!$S$6:$S$597))</f>
        <v>23955.40941633394</v>
      </c>
      <c r="F75" s="437">
        <f>SUMPRODUCT(('Fixed Assets'!$D$6:$D$597)*('Fixed Assets'!$P$6:$P$597='Asset Replacement'!F$3)*('Fixed Assets'!$S$6:$S$597))</f>
        <v>140921.65586167885</v>
      </c>
      <c r="G75" s="437">
        <f>SUMPRODUCT(('Fixed Assets'!$D$6:$D$597)*('Fixed Assets'!$P$6:$P$597='Asset Replacement'!G$3)*('Fixed Assets'!$S$6:$S$597))</f>
        <v>1603745.2446407478</v>
      </c>
      <c r="H75" s="437">
        <f>SUMPRODUCT(('Fixed Assets'!$D$6:$D$597)*('Fixed Assets'!$P$6:$P$597='Asset Replacement'!H$3)*('Fixed Assets'!$S$6:$S$597))</f>
        <v>1208100.6792579561</v>
      </c>
      <c r="I75" s="437">
        <f>SUMPRODUCT(('Fixed Assets'!$D$6:$D$597)*('Fixed Assets'!$P$6:$P$597='Asset Replacement'!I$3)*('Fixed Assets'!$S$6:$S$597))</f>
        <v>848367.38071834098</v>
      </c>
      <c r="J75" s="437">
        <f>SUMPRODUCT(('Fixed Assets'!$D$6:$D$597)*('Fixed Assets'!$P$6:$P$597='Asset Replacement'!J$3)*('Fixed Assets'!$S$6:$S$597))</f>
        <v>2906910.4722273783</v>
      </c>
      <c r="K75" s="437">
        <f>SUMPRODUCT(('Fixed Assets'!$D$6:$D$597)*('Fixed Assets'!$P$6:$P$597='Asset Replacement'!K$3)*('Fixed Assets'!$S$6:$S$597))</f>
        <v>1824898.2376336735</v>
      </c>
      <c r="L75" s="437">
        <f>SUMPRODUCT(('Fixed Assets'!$D$6:$D$597)*('Fixed Assets'!$P$6:$P$597='Asset Replacement'!L$3)*('Fixed Assets'!$S$6:$S$597))</f>
        <v>1964257.9063010616</v>
      </c>
      <c r="M75" s="437">
        <f>SUMPRODUCT(('Fixed Assets'!$D$6:$D$597)*('Fixed Assets'!$P$6:$P$597='Asset Replacement'!M$3)*('Fixed Assets'!$S$6:$S$597))</f>
        <v>5678070.1038926505</v>
      </c>
      <c r="N75" s="437">
        <f>SUMPRODUCT(('Fixed Assets'!$D$6:$D$597)*('Fixed Assets'!$P$6:$P$597='Asset Replacement'!N$3)*('Fixed Assets'!$S$6:$S$597))</f>
        <v>4805753.7158416212</v>
      </c>
      <c r="O75" s="437">
        <f>SUMPRODUCT(('Fixed Assets'!$D$6:$D$597)*('Fixed Assets'!$P$6:$P$597='Asset Replacement'!O$3)*('Fixed Assets'!$S$6:$S$597))</f>
        <v>6038830.4902202124</v>
      </c>
      <c r="P75" s="437">
        <f>SUMPRODUCT(('Fixed Assets'!$D$6:$D$597)*('Fixed Assets'!$P$6:$P$597='Asset Replacement'!P$3)*('Fixed Assets'!$S$6:$S$597))</f>
        <v>14051923.218499158</v>
      </c>
      <c r="Q75" s="437">
        <f>SUMPRODUCT(('Fixed Assets'!$D$6:$D$597)*('Fixed Assets'!$P$6:$P$597='Asset Replacement'!Q$3)*('Fixed Assets'!$S$6:$S$597))</f>
        <v>5359547.495492938</v>
      </c>
      <c r="R75" s="437">
        <f>SUMPRODUCT(('Fixed Assets'!$D$6:$D$597)*('Fixed Assets'!$P$6:$P$597='Asset Replacement'!R$3)*('Fixed Assets'!$S$6:$S$597))</f>
        <v>2591069.8264920069</v>
      </c>
      <c r="S75" s="437">
        <f>SUMPRODUCT(('Fixed Assets'!$D$6:$D$597)*('Fixed Assets'!$P$6:$P$597='Asset Replacement'!S$3)*('Fixed Assets'!$S$6:$S$597))</f>
        <v>576322.45914940373</v>
      </c>
      <c r="T75" s="437">
        <f>SUMPRODUCT(('Fixed Assets'!$D$6:$D$597)*('Fixed Assets'!$P$6:$P$597='Asset Replacement'!T$3)*('Fixed Assets'!$S$6:$S$597))</f>
        <v>815120.75954479212</v>
      </c>
      <c r="U75" s="437">
        <f>SUMPRODUCT(('Fixed Assets'!$D$6:$D$597)*('Fixed Assets'!$P$6:$P$597='Asset Replacement'!U$3)*('Fixed Assets'!$S$6:$S$597))</f>
        <v>2078323.853787465</v>
      </c>
      <c r="V75" s="437">
        <f>SUMPRODUCT(('Fixed Assets'!$D$6:$D$597)*('Fixed Assets'!$P$6:$P$597='Asset Replacement'!V$3)*('Fixed Assets'!$S$6:$S$597))</f>
        <v>2182003.3588730581</v>
      </c>
      <c r="W75" s="437">
        <f>SUMPRODUCT(('Fixed Assets'!$D$6:$D$597)*('Fixed Assets'!$P$6:$P$597='Asset Replacement'!W$3)*('Fixed Assets'!$S$6:$S$597))</f>
        <v>2539991.4539208836</v>
      </c>
      <c r="X75" s="437">
        <f>SUMPRODUCT(('Fixed Assets'!$D$6:$D$597)*('Fixed Assets'!$P$6:$P$597='Asset Replacement'!X$3)*('Fixed Assets'!$S$6:$S$597))</f>
        <v>3915023.8504750431</v>
      </c>
      <c r="Y75" s="437">
        <f>SUMPRODUCT(('Fixed Assets'!$D$6:$D$597)*('Fixed Assets'!$P$6:$P$597='Asset Replacement'!Y$3)*('Fixed Assets'!$S$6:$S$597))</f>
        <v>5036197.2422348261</v>
      </c>
      <c r="Z75" s="437">
        <f>SUMPRODUCT(('Fixed Assets'!$D$6:$D$597)*('Fixed Assets'!$P$6:$P$597='Asset Replacement'!Z$3)*('Fixed Assets'!$S$6:$S$597))</f>
        <v>2593402.4458274716</v>
      </c>
      <c r="AA75" s="437">
        <f>SUMPRODUCT(('Fixed Assets'!$D$6:$D$597)*('Fixed Assets'!$P$6:$P$597='Asset Replacement'!AA$3)*('Fixed Assets'!$S$6:$S$597))</f>
        <v>6005934.2988978494</v>
      </c>
      <c r="AB75" s="437">
        <f>SUMPRODUCT(('Fixed Assets'!$D$6:$D$597)*('Fixed Assets'!$P$6:$P$597='Asset Replacement'!AB$3)*('Fixed Assets'!$S$6:$S$597))</f>
        <v>8238589.7613304388</v>
      </c>
      <c r="AC75" s="437">
        <f>SUMPRODUCT(('Fixed Assets'!$D$6:$D$597)*('Fixed Assets'!$P$6:$P$597='Asset Replacement'!AC$3)*('Fixed Assets'!$S$6:$S$597))</f>
        <v>833005.2111050539</v>
      </c>
      <c r="AD75" s="437">
        <f>SUMPRODUCT(('Fixed Assets'!$D$6:$D$597)*('Fixed Assets'!$P$6:$P$597='Asset Replacement'!AD$3)*('Fixed Assets'!$S$6:$S$597))</f>
        <v>3598997.2674489813</v>
      </c>
      <c r="AE75" s="437">
        <f>SUMPRODUCT(('Fixed Assets'!$D$6:$D$597)*('Fixed Assets'!$P$6:$P$597='Asset Replacement'!AE$3)*('Fixed Assets'!$S$6:$S$597))</f>
        <v>4004899.6322806221</v>
      </c>
      <c r="AF75" s="437">
        <f>SUMPRODUCT(('Fixed Assets'!$D$6:$D$597)*('Fixed Assets'!$P$6:$P$597='Asset Replacement'!AF$3)*('Fixed Assets'!$S$6:$S$597))</f>
        <v>7938844.0583664849</v>
      </c>
      <c r="AG75" s="437">
        <f>SUMPRODUCT(('Fixed Assets'!$D$6:$D$597)*('Fixed Assets'!$P$6:$P$597='Asset Replacement'!AG$3)*('Fixed Assets'!$S$6:$S$597))</f>
        <v>5856758.4871902531</v>
      </c>
      <c r="AH75" s="437">
        <f>SUMPRODUCT(('Fixed Assets'!$D$6:$D$597)*('Fixed Assets'!$P$6:$P$597='Asset Replacement'!AH$3)*('Fixed Assets'!$S$6:$S$597))</f>
        <v>1598113.562800203</v>
      </c>
      <c r="AI75" s="437">
        <f>SUMPRODUCT(('Fixed Assets'!$D$6:$D$597)*('Fixed Assets'!$P$6:$P$597='Asset Replacement'!AI$3)*('Fixed Assets'!$S$6:$S$597))</f>
        <v>5068984.5934731951</v>
      </c>
      <c r="AJ75" s="437">
        <f>SUMPRODUCT(('Fixed Assets'!$D$6:$D$597)*('Fixed Assets'!$P$6:$P$597='Asset Replacement'!AJ$3)*('Fixed Assets'!$S$6:$S$597))</f>
        <v>4440600.0547304731</v>
      </c>
      <c r="AK75" s="437">
        <f>SUMPRODUCT(('Fixed Assets'!$D$6:$D$597)*('Fixed Assets'!$P$6:$P$597='Asset Replacement'!AK$3)*('Fixed Assets'!$S$6:$S$597))</f>
        <v>2798598.208893491</v>
      </c>
      <c r="AL75" s="437">
        <f>SUMPRODUCT(('Fixed Assets'!$D$6:$D$597)*('Fixed Assets'!$P$6:$P$597='Asset Replacement'!AL$3)*('Fixed Assets'!$S$6:$S$597))</f>
        <v>2807402.3613981428</v>
      </c>
      <c r="AM75" s="437">
        <f>SUMPRODUCT(('Fixed Assets'!$D$6:$D$597)*('Fixed Assets'!$P$6:$P$597='Asset Replacement'!AM$3)*('Fixed Assets'!$S$6:$S$597))</f>
        <v>4729066.3472614558</v>
      </c>
      <c r="AN75" s="437">
        <f>SUMPRODUCT(('Fixed Assets'!$D$6:$D$597)*('Fixed Assets'!$P$6:$P$597='Asset Replacement'!AN$3)*('Fixed Assets'!$S$6:$S$597))</f>
        <v>5527687.6405291092</v>
      </c>
      <c r="AO75" s="437">
        <f>SUMPRODUCT(('Fixed Assets'!$D$6:$D$597)*('Fixed Assets'!$P$6:$P$597='Asset Replacement'!AO$3)*('Fixed Assets'!$S$6:$S$597))</f>
        <v>7871302.5604221076</v>
      </c>
      <c r="AP75" s="437">
        <f>SUMPRODUCT(('Fixed Assets'!$D$6:$D$597)*('Fixed Assets'!$P$6:$P$597='Asset Replacement'!AP$3)*('Fixed Assets'!$S$6:$S$597))</f>
        <v>3602865.5494013587</v>
      </c>
      <c r="AQ75" s="437">
        <f>SUMPRODUCT(('Fixed Assets'!$D$6:$D$597)*('Fixed Assets'!$P$6:$P$597='Asset Replacement'!AQ$3)*('Fixed Assets'!$S$6:$S$597))</f>
        <v>20649277.036054462</v>
      </c>
      <c r="AR75" s="437">
        <f>SUMPRODUCT(('Fixed Assets'!$D$6:$D$597)*('Fixed Assets'!$P$6:$P$597='Asset Replacement'!AR$3)*('Fixed Assets'!$S$6:$S$597))</f>
        <v>13237712.38869947</v>
      </c>
      <c r="AS75" s="437">
        <f>SUMPRODUCT(('Fixed Assets'!$D$6:$D$597)*('Fixed Assets'!$P$6:$P$597='Asset Replacement'!AS$3)*('Fixed Assets'!$S$6:$S$597))</f>
        <v>4269487.1301379371</v>
      </c>
      <c r="AT75" s="437">
        <f>SUMPRODUCT(('Fixed Assets'!$D$6:$D$597)*('Fixed Assets'!$P$6:$P$597='Asset Replacement'!AT$3)*('Fixed Assets'!$S$6:$S$597))</f>
        <v>3746464.7644425826</v>
      </c>
      <c r="AU75" s="437">
        <f>SUMPRODUCT(('Fixed Assets'!$D$6:$D$597)*('Fixed Assets'!$P$6:$P$597='Asset Replacement'!AU$3)*('Fixed Assets'!$S$6:$S$597))</f>
        <v>2252656.8657028358</v>
      </c>
      <c r="AV75" s="437">
        <f>SUMPRODUCT(('Fixed Assets'!$D$6:$D$597)*('Fixed Assets'!$P$6:$P$597='Asset Replacement'!AV$3)*('Fixed Assets'!$S$6:$S$597))</f>
        <v>0</v>
      </c>
      <c r="AW75" s="437">
        <f>SUMPRODUCT(('Fixed Assets'!$D$6:$D$597)*('Fixed Assets'!$P$6:$P$597='Asset Replacement'!AW$3)*('Fixed Assets'!$S$6:$S$597))</f>
        <v>1813464.2546826941</v>
      </c>
      <c r="AX75" s="437">
        <f>SUMPRODUCT(('Fixed Assets'!$D$6:$D$597)*('Fixed Assets'!$P$6:$P$597='Asset Replacement'!AX$3)*('Fixed Assets'!$S$6:$S$597))</f>
        <v>4037673.8691063276</v>
      </c>
      <c r="AY75" s="437">
        <f>SUMPRODUCT(('Fixed Assets'!$D$6:$D$597)*('Fixed Assets'!$P$6:$P$597='Asset Replacement'!AY$3)*('Fixed Assets'!$S$6:$S$597))</f>
        <v>1354224.8363249986</v>
      </c>
      <c r="AZ75" s="437">
        <f>SUMPRODUCT(('Fixed Assets'!$D$6:$D$597)*('Fixed Assets'!$P$6:$P$597='Asset Replacement'!AZ$3)*('Fixed Assets'!$S$6:$S$597))</f>
        <v>1544844.3524728799</v>
      </c>
      <c r="BA75" s="437">
        <f>SUMPRODUCT(('Fixed Assets'!$D$6:$D$597)*('Fixed Assets'!$P$6:$P$597='Asset Replacement'!BA$3)*('Fixed Assets'!$S$6:$S$597))</f>
        <v>0</v>
      </c>
      <c r="BB75" s="437">
        <f>SUMPRODUCT(('Fixed Assets'!$D$6:$D$597)*('Fixed Assets'!$P$6:$P$597='Asset Replacement'!BB$3)*('Fixed Assets'!$S$6:$S$597))</f>
        <v>0</v>
      </c>
    </row>
    <row r="76" spans="1:54" x14ac:dyDescent="0.3">
      <c r="B76" s="429" t="s">
        <v>1580</v>
      </c>
      <c r="C76" s="439"/>
      <c r="D76" s="440">
        <f t="shared" ref="D76:BB76" si="82">D74+D75</f>
        <v>261600.82121311143</v>
      </c>
      <c r="E76" s="440">
        <f t="shared" si="82"/>
        <v>272893.81293746264</v>
      </c>
      <c r="F76" s="440">
        <f t="shared" si="82"/>
        <v>389860.05938280758</v>
      </c>
      <c r="G76" s="440">
        <f t="shared" si="82"/>
        <v>1852683.6481618765</v>
      </c>
      <c r="H76" s="440">
        <f t="shared" si="82"/>
        <v>1457039.0827790848</v>
      </c>
      <c r="I76" s="440">
        <f t="shared" si="82"/>
        <v>1082371.156426637</v>
      </c>
      <c r="J76" s="440">
        <f t="shared" si="82"/>
        <v>3140914.2479356742</v>
      </c>
      <c r="K76" s="440">
        <f t="shared" si="82"/>
        <v>2058902.0133419696</v>
      </c>
      <c r="L76" s="440">
        <f t="shared" si="82"/>
        <v>2198261.682009358</v>
      </c>
      <c r="M76" s="440">
        <f t="shared" si="82"/>
        <v>5912073.8796009468</v>
      </c>
      <c r="N76" s="440">
        <f t="shared" si="82"/>
        <v>4805753.7158416212</v>
      </c>
      <c r="O76" s="440">
        <f t="shared" si="82"/>
        <v>6038830.4902202124</v>
      </c>
      <c r="P76" s="440">
        <f t="shared" si="82"/>
        <v>14051923.218499158</v>
      </c>
      <c r="Q76" s="440">
        <f t="shared" si="82"/>
        <v>5359547.495492938</v>
      </c>
      <c r="R76" s="440">
        <f t="shared" si="82"/>
        <v>2591069.8264920069</v>
      </c>
      <c r="S76" s="440">
        <f t="shared" si="82"/>
        <v>576322.45914940373</v>
      </c>
      <c r="T76" s="440">
        <f t="shared" si="82"/>
        <v>815120.75954479212</v>
      </c>
      <c r="U76" s="440">
        <f t="shared" si="82"/>
        <v>2078323.853787465</v>
      </c>
      <c r="V76" s="440">
        <f t="shared" si="82"/>
        <v>2182003.3588730581</v>
      </c>
      <c r="W76" s="440">
        <f t="shared" si="82"/>
        <v>2539991.4539208836</v>
      </c>
      <c r="X76" s="440">
        <f t="shared" si="82"/>
        <v>3915023.8504750431</v>
      </c>
      <c r="Y76" s="440">
        <f t="shared" si="82"/>
        <v>5036197.2422348261</v>
      </c>
      <c r="Z76" s="440">
        <f t="shared" si="82"/>
        <v>2593402.4458274716</v>
      </c>
      <c r="AA76" s="440">
        <f t="shared" si="82"/>
        <v>6005934.2988978494</v>
      </c>
      <c r="AB76" s="440">
        <f t="shared" si="82"/>
        <v>8238589.7613304388</v>
      </c>
      <c r="AC76" s="440">
        <f t="shared" si="82"/>
        <v>833005.2111050539</v>
      </c>
      <c r="AD76" s="440">
        <f t="shared" si="82"/>
        <v>3598997.2674489813</v>
      </c>
      <c r="AE76" s="440">
        <f t="shared" si="82"/>
        <v>4004899.6322806221</v>
      </c>
      <c r="AF76" s="440">
        <f t="shared" si="82"/>
        <v>7938844.0583664849</v>
      </c>
      <c r="AG76" s="440">
        <f t="shared" si="82"/>
        <v>5856758.4871902531</v>
      </c>
      <c r="AH76" s="440">
        <f t="shared" si="82"/>
        <v>1598113.562800203</v>
      </c>
      <c r="AI76" s="440">
        <f t="shared" si="82"/>
        <v>5068984.5934731951</v>
      </c>
      <c r="AJ76" s="440">
        <f t="shared" si="82"/>
        <v>4440600.0547304731</v>
      </c>
      <c r="AK76" s="440">
        <f t="shared" si="82"/>
        <v>2798598.208893491</v>
      </c>
      <c r="AL76" s="440">
        <f t="shared" si="82"/>
        <v>2807402.3613981428</v>
      </c>
      <c r="AM76" s="440">
        <f t="shared" si="82"/>
        <v>4729066.3472614558</v>
      </c>
      <c r="AN76" s="440">
        <f t="shared" si="82"/>
        <v>5527687.6405291092</v>
      </c>
      <c r="AO76" s="440">
        <f t="shared" si="82"/>
        <v>7871302.5604221076</v>
      </c>
      <c r="AP76" s="440">
        <f t="shared" si="82"/>
        <v>3602865.5494013587</v>
      </c>
      <c r="AQ76" s="440">
        <f t="shared" si="82"/>
        <v>20649277.036054462</v>
      </c>
      <c r="AR76" s="440">
        <f t="shared" si="82"/>
        <v>13237712.38869947</v>
      </c>
      <c r="AS76" s="440">
        <f t="shared" si="82"/>
        <v>4269487.1301379371</v>
      </c>
      <c r="AT76" s="440">
        <f t="shared" si="82"/>
        <v>3746464.7644425826</v>
      </c>
      <c r="AU76" s="440">
        <f t="shared" si="82"/>
        <v>2252656.8657028358</v>
      </c>
      <c r="AV76" s="440">
        <f t="shared" si="82"/>
        <v>0</v>
      </c>
      <c r="AW76" s="440">
        <f t="shared" si="82"/>
        <v>1813464.2546826941</v>
      </c>
      <c r="AX76" s="440">
        <f t="shared" si="82"/>
        <v>4037673.8691063276</v>
      </c>
      <c r="AY76" s="440">
        <f t="shared" si="82"/>
        <v>1354224.8363249986</v>
      </c>
      <c r="AZ76" s="440">
        <f t="shared" si="82"/>
        <v>1544844.3524728799</v>
      </c>
      <c r="BA76" s="440">
        <f t="shared" si="82"/>
        <v>0</v>
      </c>
      <c r="BB76" s="440">
        <f t="shared" si="82"/>
        <v>0</v>
      </c>
    </row>
    <row r="77" spans="1:54" x14ac:dyDescent="0.3">
      <c r="B77" s="442"/>
      <c r="C77" s="443"/>
      <c r="D77" s="421"/>
      <c r="E77" s="421"/>
      <c r="F77" s="421"/>
      <c r="G77" s="421"/>
      <c r="H77" s="421"/>
      <c r="I77" s="421"/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1"/>
      <c r="AS77" s="421"/>
      <c r="AT77" s="421"/>
      <c r="AU77" s="421"/>
      <c r="AV77" s="421"/>
      <c r="AW77" s="421"/>
      <c r="AX77" s="421"/>
      <c r="AY77" s="421"/>
      <c r="AZ77" s="421"/>
      <c r="BA77" s="421"/>
      <c r="BB77" s="421"/>
    </row>
    <row r="78" spans="1:54" s="636" customFormat="1" x14ac:dyDescent="0.3">
      <c r="A78" s="635"/>
      <c r="B78" s="429" t="s">
        <v>1581</v>
      </c>
      <c r="C78" s="632"/>
      <c r="D78" s="633">
        <f t="shared" ref="D78:AI78" si="83">D76-D65</f>
        <v>-2327526.1787868887</v>
      </c>
      <c r="E78" s="633">
        <f t="shared" si="83"/>
        <v>-3472506.1870625373</v>
      </c>
      <c r="F78" s="633">
        <f t="shared" si="83"/>
        <v>-3860139.9406171925</v>
      </c>
      <c r="G78" s="633">
        <f t="shared" si="83"/>
        <v>352683.64816187648</v>
      </c>
      <c r="H78" s="633">
        <f t="shared" si="83"/>
        <v>457039.0827790848</v>
      </c>
      <c r="I78" s="633">
        <f t="shared" si="83"/>
        <v>-17628.843573363032</v>
      </c>
      <c r="J78" s="633">
        <f t="shared" si="83"/>
        <v>2640914.2479356742</v>
      </c>
      <c r="K78" s="633">
        <f t="shared" si="83"/>
        <v>-441097.98665803042</v>
      </c>
      <c r="L78" s="633">
        <f t="shared" si="83"/>
        <v>1698261.682009358</v>
      </c>
      <c r="M78" s="633">
        <f t="shared" si="83"/>
        <v>5412073.8796009468</v>
      </c>
      <c r="N78" s="633">
        <f t="shared" si="83"/>
        <v>4805753.7158416212</v>
      </c>
      <c r="O78" s="633">
        <f t="shared" si="83"/>
        <v>6038830.4902202124</v>
      </c>
      <c r="P78" s="633">
        <f t="shared" si="83"/>
        <v>14051923.218499158</v>
      </c>
      <c r="Q78" s="633">
        <f t="shared" si="83"/>
        <v>5359547.495492938</v>
      </c>
      <c r="R78" s="633">
        <f t="shared" si="83"/>
        <v>2591069.8264920069</v>
      </c>
      <c r="S78" s="633">
        <f t="shared" si="83"/>
        <v>576322.45914940373</v>
      </c>
      <c r="T78" s="633">
        <f t="shared" si="83"/>
        <v>815120.75954479212</v>
      </c>
      <c r="U78" s="633">
        <f t="shared" si="83"/>
        <v>2078323.853787465</v>
      </c>
      <c r="V78" s="633">
        <f t="shared" si="83"/>
        <v>2182003.3588730581</v>
      </c>
      <c r="W78" s="633">
        <f t="shared" si="83"/>
        <v>2539991.4539208836</v>
      </c>
      <c r="X78" s="633">
        <f t="shared" si="83"/>
        <v>3915023.8504750431</v>
      </c>
      <c r="Y78" s="633">
        <f t="shared" si="83"/>
        <v>5036197.2422348261</v>
      </c>
      <c r="Z78" s="633">
        <f t="shared" si="83"/>
        <v>2593402.4458274716</v>
      </c>
      <c r="AA78" s="633">
        <f t="shared" si="83"/>
        <v>6005934.2988978494</v>
      </c>
      <c r="AB78" s="633">
        <f t="shared" si="83"/>
        <v>8238589.7613304388</v>
      </c>
      <c r="AC78" s="633">
        <f t="shared" si="83"/>
        <v>833005.2111050539</v>
      </c>
      <c r="AD78" s="633">
        <f t="shared" si="83"/>
        <v>3598997.2674489813</v>
      </c>
      <c r="AE78" s="633">
        <f t="shared" si="83"/>
        <v>4004899.6322806221</v>
      </c>
      <c r="AF78" s="633">
        <f t="shared" si="83"/>
        <v>7938844.0583664849</v>
      </c>
      <c r="AG78" s="633">
        <f t="shared" si="83"/>
        <v>5856758.4871902531</v>
      </c>
      <c r="AH78" s="633">
        <f t="shared" si="83"/>
        <v>1598113.562800203</v>
      </c>
      <c r="AI78" s="633">
        <f t="shared" si="83"/>
        <v>5068984.5934731951</v>
      </c>
      <c r="AJ78" s="633">
        <f t="shared" ref="AJ78:BB78" si="84">AJ76-AJ65</f>
        <v>4440600.0547304731</v>
      </c>
      <c r="AK78" s="633">
        <f t="shared" si="84"/>
        <v>2798598.208893491</v>
      </c>
      <c r="AL78" s="633">
        <f t="shared" si="84"/>
        <v>2807402.3613981428</v>
      </c>
      <c r="AM78" s="633">
        <f t="shared" si="84"/>
        <v>4729066.3472614558</v>
      </c>
      <c r="AN78" s="633">
        <f t="shared" si="84"/>
        <v>5527687.6405291092</v>
      </c>
      <c r="AO78" s="633">
        <f t="shared" si="84"/>
        <v>7871302.5604221076</v>
      </c>
      <c r="AP78" s="633">
        <f t="shared" si="84"/>
        <v>3602865.5494013587</v>
      </c>
      <c r="AQ78" s="633">
        <f t="shared" si="84"/>
        <v>20649277.036054462</v>
      </c>
      <c r="AR78" s="633">
        <f t="shared" si="84"/>
        <v>13237712.38869947</v>
      </c>
      <c r="AS78" s="633">
        <f t="shared" si="84"/>
        <v>4269487.1301379371</v>
      </c>
      <c r="AT78" s="633">
        <f t="shared" si="84"/>
        <v>3746464.7644425826</v>
      </c>
      <c r="AU78" s="633">
        <f t="shared" si="84"/>
        <v>2252656.8657028358</v>
      </c>
      <c r="AV78" s="633">
        <f t="shared" si="84"/>
        <v>0</v>
      </c>
      <c r="AW78" s="633">
        <f t="shared" si="84"/>
        <v>1813464.2546826941</v>
      </c>
      <c r="AX78" s="633">
        <f t="shared" si="84"/>
        <v>4037673.8691063276</v>
      </c>
      <c r="AY78" s="633">
        <f t="shared" si="84"/>
        <v>1354224.8363249986</v>
      </c>
      <c r="AZ78" s="633">
        <f t="shared" si="84"/>
        <v>1544844.3524728799</v>
      </c>
      <c r="BA78" s="633">
        <f t="shared" si="84"/>
        <v>0</v>
      </c>
      <c r="BB78" s="633">
        <f t="shared" si="84"/>
        <v>0</v>
      </c>
    </row>
    <row r="79" spans="1:54" x14ac:dyDescent="0.3">
      <c r="B79" s="442"/>
      <c r="C79" s="443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  <c r="AD79" s="421"/>
      <c r="AE79" s="421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1"/>
      <c r="AS79" s="421"/>
      <c r="AT79" s="421"/>
      <c r="AU79" s="421"/>
      <c r="AV79" s="421"/>
      <c r="AW79" s="421"/>
      <c r="AX79" s="421"/>
      <c r="AY79" s="421"/>
      <c r="AZ79" s="421"/>
      <c r="BA79" s="421"/>
      <c r="BB79" s="421"/>
    </row>
    <row r="80" spans="1:54" x14ac:dyDescent="0.3">
      <c r="B80" s="429" t="s">
        <v>1585</v>
      </c>
      <c r="C80" s="439"/>
      <c r="D80" s="441">
        <f>IF(AVERAGE(D78:M78)&lt;0,0,AVERAGE(D78:M78))</f>
        <v>44207.340378892884</v>
      </c>
      <c r="E80" s="441">
        <f t="shared" ref="E80:I80" si="85">IF(AVERAGE(E78:N78)&lt;0,0,AVERAGE(E78:N78))</f>
        <v>757535.32984174392</v>
      </c>
      <c r="F80" s="441">
        <f t="shared" si="85"/>
        <v>1708668.9975700187</v>
      </c>
      <c r="G80" s="441">
        <f t="shared" si="85"/>
        <v>3499875.313481654</v>
      </c>
      <c r="H80" s="441">
        <f t="shared" si="85"/>
        <v>4000561.6982147596</v>
      </c>
      <c r="I80" s="441">
        <f t="shared" si="85"/>
        <v>4213964.7725860514</v>
      </c>
      <c r="J80" s="441">
        <f t="shared" ref="J80" si="86">IF(AVERAGE(J78:S78)&lt;0,0,AVERAGE(J78:S78))</f>
        <v>4273359.9028583281</v>
      </c>
      <c r="K80" s="441">
        <f t="shared" ref="K80" si="87">IF(AVERAGE(K78:T78)&lt;0,0,AVERAGE(K78:T78))</f>
        <v>4090780.5540192402</v>
      </c>
      <c r="L80" s="441">
        <f t="shared" ref="L80" si="88">IF(AVERAGE(L78:U78)&lt;0,0,AVERAGE(L78:U78))</f>
        <v>4342722.7380637899</v>
      </c>
      <c r="M80" s="441">
        <f t="shared" ref="M80:N80" si="89">IF(AVERAGE(M78:V78)&lt;0,0,AVERAGE(M78:V78))</f>
        <v>4391096.9057501601</v>
      </c>
      <c r="N80" s="441">
        <f t="shared" si="89"/>
        <v>4103888.6631821543</v>
      </c>
      <c r="O80" s="441">
        <f t="shared" ref="O80" si="90">IF(AVERAGE(O78:X78)&lt;0,0,AVERAGE(O78:X78))</f>
        <v>4014815.6766454964</v>
      </c>
      <c r="P80" s="441">
        <f t="shared" ref="P80" si="91">IF(AVERAGE(P78:Y78)&lt;0,0,AVERAGE(P78:Y78))</f>
        <v>3914552.351846958</v>
      </c>
      <c r="Q80" s="441">
        <f t="shared" ref="Q80" si="92">IF(AVERAGE(Q78:Z78)&lt;0,0,AVERAGE(Q78:Z78))</f>
        <v>2768700.274579789</v>
      </c>
      <c r="R80" s="441">
        <f t="shared" ref="R80:S80" si="93">IF(AVERAGE(R78:AA78)&lt;0,0,AVERAGE(R78:AA78))</f>
        <v>2833338.9549202798</v>
      </c>
      <c r="S80" s="441">
        <f t="shared" si="93"/>
        <v>3398090.9484041235</v>
      </c>
      <c r="T80" s="441">
        <f t="shared" ref="T80" si="94">IF(AVERAGE(T78:AC78)&lt;0,0,AVERAGE(T78:AC78))</f>
        <v>3423759.2235996886</v>
      </c>
      <c r="U80" s="441">
        <f t="shared" ref="U80" si="95">IF(AVERAGE(U78:AD78)&lt;0,0,AVERAGE(U78:AD78))</f>
        <v>3702146.8743901076</v>
      </c>
      <c r="V80" s="441">
        <f t="shared" ref="V80" si="96">IF(AVERAGE(V78:AE78)&lt;0,0,AVERAGE(V78:AE78))</f>
        <v>3894804.4522394231</v>
      </c>
      <c r="W80" s="441">
        <f t="shared" ref="W80:X80" si="97">IF(AVERAGE(W78:AF78)&lt;0,0,AVERAGE(W78:AF78))</f>
        <v>4470488.5221887659</v>
      </c>
      <c r="X80" s="441">
        <f t="shared" si="97"/>
        <v>4802165.2255157027</v>
      </c>
      <c r="Y80" s="441">
        <f t="shared" ref="Y80" si="98">IF(AVERAGE(Y78:AH78)&lt;0,0,AVERAGE(Y78:AH78))</f>
        <v>4570474.1967482176</v>
      </c>
      <c r="Z80" s="441">
        <f t="shared" ref="Z80" si="99">IF(AVERAGE(Z78:AI78)&lt;0,0,AVERAGE(Z78:AI78))</f>
        <v>4573752.9318720549</v>
      </c>
      <c r="AA80" s="441">
        <f t="shared" ref="AA80" si="100">IF(AVERAGE(AA78:AJ78)&lt;0,0,AVERAGE(AA78:AJ78))</f>
        <v>4758472.6927623563</v>
      </c>
      <c r="AB80" s="441">
        <f t="shared" ref="AB80:AC80" si="101">IF(AVERAGE(AB78:AK78)&lt;0,0,AVERAGE(AB78:AK78))</f>
        <v>4437739.0837619202</v>
      </c>
      <c r="AC80" s="441">
        <f t="shared" si="101"/>
        <v>3894620.3437686907</v>
      </c>
      <c r="AD80" s="441">
        <f t="shared" ref="AD80" si="102">IF(AVERAGE(AD78:AM78)&lt;0,0,AVERAGE(AD78:AM78))</f>
        <v>4284226.4573843312</v>
      </c>
      <c r="AE80" s="441">
        <f t="shared" ref="AE80" si="103">IF(AVERAGE(AE78:AN78)&lt;0,0,AVERAGE(AE78:AN78))</f>
        <v>4477095.4946923442</v>
      </c>
      <c r="AF80" s="441">
        <f t="shared" ref="AF80" si="104">IF(AVERAGE(AF78:AO78)&lt;0,0,AVERAGE(AF78:AO78))</f>
        <v>4863735.7875064919</v>
      </c>
      <c r="AG80" s="441">
        <f t="shared" ref="AG80:AH80" si="105">IF(AVERAGE(AG78:AP78)&lt;0,0,AVERAGE(AG78:AP78))</f>
        <v>4430137.9366099788</v>
      </c>
      <c r="AH80" s="441">
        <f t="shared" si="105"/>
        <v>5909389.7914963998</v>
      </c>
      <c r="AI80" s="441">
        <f t="shared" ref="AI80" si="106">IF(AVERAGE(AI78:AR78)&lt;0,0,AVERAGE(AI78:AR78))</f>
        <v>7073349.6740863267</v>
      </c>
      <c r="AJ80" s="441">
        <f t="shared" ref="AJ80" si="107">IF(AVERAGE(AJ78:AS78)&lt;0,0,AVERAGE(AJ78:AS78))</f>
        <v>6993399.9277528003</v>
      </c>
      <c r="AK80" s="441">
        <f t="shared" ref="AK80" si="108">IF(AVERAGE(AK78:AT78)&lt;0,0,AVERAGE(AK78:AT78))</f>
        <v>6923986.3987240121</v>
      </c>
      <c r="AL80" s="441">
        <f t="shared" ref="AL80:AM80" si="109">IF(AVERAGE(AL78:AU78)&lt;0,0,AVERAGE(AL78:AU78))</f>
        <v>6869392.2644049469</v>
      </c>
      <c r="AM80" s="441">
        <f t="shared" si="109"/>
        <v>6588652.0282651326</v>
      </c>
      <c r="AN80" s="441">
        <f t="shared" ref="AN80" si="110">IF(AVERAGE(AN78:AW78)&lt;0,0,AVERAGE(AN78:AW78))</f>
        <v>6297091.819007257</v>
      </c>
      <c r="AO80" s="441">
        <f t="shared" ref="AO80" si="111">IF(AVERAGE(AO78:AX78)&lt;0,0,AVERAGE(AO78:AX78))</f>
        <v>6148090.4418649785</v>
      </c>
      <c r="AP80" s="441">
        <f t="shared" ref="AP80" si="112">IF(AVERAGE(AP78:AY78)&lt;0,0,AVERAGE(AP78:AY78))</f>
        <v>5496382.6694552675</v>
      </c>
      <c r="AQ80" s="441">
        <f t="shared" ref="AQ80:AR80" si="113">IF(AVERAGE(AQ78:AZ78)&lt;0,0,AVERAGE(AQ78:AZ78))</f>
        <v>5290580.5497624194</v>
      </c>
      <c r="AR80" s="441">
        <f t="shared" si="113"/>
        <v>3225652.846156972</v>
      </c>
      <c r="AS80" s="441">
        <f t="shared" ref="AS80" si="114">IF(AVERAGE(AS78:BB78)&lt;0,0,AVERAGE(AS78:BB78))</f>
        <v>1901881.6072870255</v>
      </c>
      <c r="AT80" s="441">
        <f t="shared" ref="AT80" si="115">IF(AVERAGE(AT78:BC78)&lt;0,0,AVERAGE(AT78:BC78))</f>
        <v>1638814.3269702578</v>
      </c>
      <c r="AU80" s="441">
        <f t="shared" ref="AU80" si="116">IF(AVERAGE(AU78:BD78)&lt;0,0,AVERAGE(AU78:BD78))</f>
        <v>1375358.0222862172</v>
      </c>
      <c r="AV80" s="441">
        <f t="shared" ref="AV80:AW80" si="117">IF(AVERAGE(AV78:BE78)&lt;0,0,AVERAGE(AV78:BE78))</f>
        <v>1250029.6160838429</v>
      </c>
      <c r="AW80" s="441">
        <f t="shared" si="117"/>
        <v>1458367.88543115</v>
      </c>
      <c r="AX80" s="441">
        <f t="shared" ref="AX80" si="118">IF(AVERAGE(AX78:BG78)&lt;0,0,AVERAGE(AX78:BG78))</f>
        <v>1387348.6115808412</v>
      </c>
      <c r="AY80" s="441">
        <f t="shared" ref="AY80" si="119">IF(AVERAGE(AY78:BH78)&lt;0,0,AVERAGE(AY78:BH78))</f>
        <v>724767.29719946964</v>
      </c>
      <c r="AZ80" s="441">
        <f t="shared" ref="AZ80" si="120">IF(AVERAGE(AZ78:BI78)&lt;0,0,AVERAGE(AZ78:BI78))</f>
        <v>514948.11749095999</v>
      </c>
      <c r="BA80" s="441">
        <f t="shared" ref="BA80:BB80" si="121">IF(AVERAGE(BA78:BJ78)&lt;0,0,AVERAGE(BA78:BJ78))</f>
        <v>0</v>
      </c>
      <c r="BB80" s="441">
        <f t="shared" si="121"/>
        <v>0</v>
      </c>
    </row>
    <row r="81" spans="2:54" s="425" customFormat="1" x14ac:dyDescent="0.3">
      <c r="B81" s="655" t="s">
        <v>2229</v>
      </c>
      <c r="C81" s="443"/>
      <c r="D81" s="944">
        <v>0.2</v>
      </c>
      <c r="E81" s="944">
        <v>0.1</v>
      </c>
      <c r="F81" s="944">
        <v>0.1</v>
      </c>
      <c r="G81" s="944">
        <v>0.1</v>
      </c>
      <c r="H81" s="944">
        <v>0.1</v>
      </c>
      <c r="I81" s="944">
        <v>0.05</v>
      </c>
      <c r="J81" s="944">
        <v>0.05</v>
      </c>
      <c r="K81" s="944">
        <v>0.05</v>
      </c>
      <c r="L81" s="944">
        <v>0.05</v>
      </c>
      <c r="M81" s="944">
        <v>0.02</v>
      </c>
      <c r="N81" s="773">
        <f t="shared" ref="N81:BB81" si="122">N52</f>
        <v>0.02</v>
      </c>
      <c r="O81" s="773">
        <f t="shared" si="122"/>
        <v>0.03</v>
      </c>
      <c r="P81" s="773">
        <f t="shared" si="122"/>
        <v>0.03</v>
      </c>
      <c r="Q81" s="773">
        <f t="shared" si="122"/>
        <v>0.02</v>
      </c>
      <c r="R81" s="773">
        <f t="shared" si="122"/>
        <v>0.02</v>
      </c>
      <c r="S81" s="773">
        <f t="shared" si="122"/>
        <v>0.02</v>
      </c>
      <c r="T81" s="773">
        <f t="shared" si="122"/>
        <v>0.02</v>
      </c>
      <c r="U81" s="773">
        <f t="shared" si="122"/>
        <v>0.02</v>
      </c>
      <c r="V81" s="773">
        <f t="shared" si="122"/>
        <v>0.02</v>
      </c>
      <c r="W81" s="773">
        <f t="shared" si="122"/>
        <v>0.02</v>
      </c>
      <c r="X81" s="773">
        <f t="shared" si="122"/>
        <v>0.02</v>
      </c>
      <c r="Y81" s="773">
        <f t="shared" si="122"/>
        <v>0.02</v>
      </c>
      <c r="Z81" s="773">
        <f t="shared" si="122"/>
        <v>0.02</v>
      </c>
      <c r="AA81" s="773">
        <f t="shared" si="122"/>
        <v>0.02</v>
      </c>
      <c r="AB81" s="773">
        <f t="shared" si="122"/>
        <v>0.02</v>
      </c>
      <c r="AC81" s="773">
        <f t="shared" si="122"/>
        <v>0.02</v>
      </c>
      <c r="AD81" s="773">
        <f t="shared" si="122"/>
        <v>0.02</v>
      </c>
      <c r="AE81" s="773">
        <f t="shared" si="122"/>
        <v>0.02</v>
      </c>
      <c r="AF81" s="773">
        <f t="shared" si="122"/>
        <v>0.02</v>
      </c>
      <c r="AG81" s="773">
        <f t="shared" si="122"/>
        <v>0.02</v>
      </c>
      <c r="AH81" s="773">
        <f t="shared" si="122"/>
        <v>0.02</v>
      </c>
      <c r="AI81" s="773">
        <f t="shared" si="122"/>
        <v>0.02</v>
      </c>
      <c r="AJ81" s="773">
        <f t="shared" si="122"/>
        <v>0.02</v>
      </c>
      <c r="AK81" s="773">
        <f t="shared" si="122"/>
        <v>0.02</v>
      </c>
      <c r="AL81" s="773">
        <f t="shared" si="122"/>
        <v>0.02</v>
      </c>
      <c r="AM81" s="773">
        <f t="shared" si="122"/>
        <v>0.02</v>
      </c>
      <c r="AN81" s="773">
        <f t="shared" si="122"/>
        <v>0.05</v>
      </c>
      <c r="AO81" s="773">
        <f t="shared" si="122"/>
        <v>0.05</v>
      </c>
      <c r="AP81" s="773">
        <f t="shared" si="122"/>
        <v>0.05</v>
      </c>
      <c r="AQ81" s="773">
        <f t="shared" si="122"/>
        <v>0.05</v>
      </c>
      <c r="AR81" s="773">
        <f t="shared" si="122"/>
        <v>0.05</v>
      </c>
      <c r="AS81" s="773">
        <f t="shared" si="122"/>
        <v>0.05</v>
      </c>
      <c r="AT81" s="773">
        <f t="shared" si="122"/>
        <v>0.05</v>
      </c>
      <c r="AU81" s="773">
        <f t="shared" si="122"/>
        <v>0.05</v>
      </c>
      <c r="AV81" s="773">
        <f t="shared" si="122"/>
        <v>0.05</v>
      </c>
      <c r="AW81" s="773">
        <f t="shared" si="122"/>
        <v>0.05</v>
      </c>
      <c r="AX81" s="773">
        <f t="shared" si="122"/>
        <v>0.05</v>
      </c>
      <c r="AY81" s="773">
        <f t="shared" si="122"/>
        <v>0.05</v>
      </c>
      <c r="AZ81" s="773">
        <f t="shared" si="122"/>
        <v>0.05</v>
      </c>
      <c r="BA81" s="773">
        <f t="shared" si="122"/>
        <v>0.05</v>
      </c>
      <c r="BB81" s="773">
        <f t="shared" si="122"/>
        <v>0.05</v>
      </c>
    </row>
    <row r="82" spans="2:54" s="425" customFormat="1" x14ac:dyDescent="0.3">
      <c r="B82" s="595" t="s">
        <v>1749</v>
      </c>
      <c r="C82" s="443"/>
      <c r="D82" s="596">
        <f>D80*D81</f>
        <v>8841.4680757785773</v>
      </c>
      <c r="E82" s="596">
        <f t="shared" ref="E82" si="123">E80*E81</f>
        <v>75753.532984174395</v>
      </c>
      <c r="F82" s="596">
        <f t="shared" ref="F82" si="124">F80*F81</f>
        <v>170866.8997570019</v>
      </c>
      <c r="G82" s="596">
        <f t="shared" ref="G82" si="125">G80*G81</f>
        <v>349987.53134816542</v>
      </c>
      <c r="H82" s="596">
        <f t="shared" ref="H82" si="126">H80*H81</f>
        <v>400056.16982147598</v>
      </c>
      <c r="I82" s="596">
        <f t="shared" ref="I82" si="127">I80*I81</f>
        <v>210698.23862930259</v>
      </c>
      <c r="J82" s="596">
        <f t="shared" ref="J82" si="128">J80*J81</f>
        <v>213667.99514291642</v>
      </c>
      <c r="K82" s="596">
        <f t="shared" ref="K82" si="129">K80*K81</f>
        <v>204539.02770096203</v>
      </c>
      <c r="L82" s="596">
        <f t="shared" ref="L82" si="130">L80*L81</f>
        <v>217136.1369031895</v>
      </c>
      <c r="M82" s="596">
        <f t="shared" ref="M82" si="131">M80*M81</f>
        <v>87821.938115003199</v>
      </c>
      <c r="N82" s="596">
        <f t="shared" ref="N82" si="132">N80*N81</f>
        <v>82077.773263643088</v>
      </c>
      <c r="O82" s="596">
        <f t="shared" ref="O82" si="133">O80*O81</f>
        <v>120444.47029936488</v>
      </c>
      <c r="P82" s="596">
        <f t="shared" ref="P82" si="134">P80*P81</f>
        <v>117436.57055540873</v>
      </c>
      <c r="Q82" s="596">
        <f t="shared" ref="Q82" si="135">Q80*Q81</f>
        <v>55374.005491595781</v>
      </c>
      <c r="R82" s="596">
        <f t="shared" ref="R82" si="136">R80*R81</f>
        <v>56666.779098405597</v>
      </c>
      <c r="S82" s="596">
        <f t="shared" ref="S82" si="137">S80*S81</f>
        <v>67961.818968082473</v>
      </c>
      <c r="T82" s="596">
        <f t="shared" ref="T82" si="138">T80*T81</f>
        <v>68475.18447199378</v>
      </c>
      <c r="U82" s="596">
        <f t="shared" ref="U82" si="139">U80*U81</f>
        <v>74042.937487802148</v>
      </c>
      <c r="V82" s="596">
        <f t="shared" ref="V82" si="140">V80*V81</f>
        <v>77896.089044788459</v>
      </c>
      <c r="W82" s="596">
        <f t="shared" ref="W82" si="141">W80*W81</f>
        <v>89409.770443775327</v>
      </c>
      <c r="X82" s="596">
        <f t="shared" ref="X82" si="142">X80*X81</f>
        <v>96043.304510314061</v>
      </c>
      <c r="Y82" s="596">
        <f t="shared" ref="Y82" si="143">Y80*Y81</f>
        <v>91409.483934964359</v>
      </c>
      <c r="Z82" s="596">
        <f t="shared" ref="Z82" si="144">Z80*Z81</f>
        <v>91475.058637441107</v>
      </c>
      <c r="AA82" s="596">
        <f t="shared" ref="AA82" si="145">AA80*AA81</f>
        <v>95169.45385524712</v>
      </c>
      <c r="AB82" s="596">
        <f t="shared" ref="AB82" si="146">AB80*AB81</f>
        <v>88754.78167523841</v>
      </c>
      <c r="AC82" s="596">
        <f t="shared" ref="AC82" si="147">AC80*AC81</f>
        <v>77892.40687537381</v>
      </c>
      <c r="AD82" s="596">
        <f t="shared" ref="AD82" si="148">AD80*AD81</f>
        <v>85684.529147686626</v>
      </c>
      <c r="AE82" s="596">
        <f t="shared" ref="AE82" si="149">AE80*AE81</f>
        <v>89541.909893846881</v>
      </c>
      <c r="AF82" s="596">
        <f t="shared" ref="AF82" si="150">AF80*AF81</f>
        <v>97274.715750129835</v>
      </c>
      <c r="AG82" s="596">
        <f t="shared" ref="AG82" si="151">AG80*AG81</f>
        <v>88602.758732199582</v>
      </c>
      <c r="AH82" s="596">
        <f t="shared" ref="AH82" si="152">AH80*AH81</f>
        <v>118187.795829928</v>
      </c>
      <c r="AI82" s="596">
        <f t="shared" ref="AI82" si="153">AI80*AI81</f>
        <v>141466.99348172653</v>
      </c>
      <c r="AJ82" s="596">
        <f t="shared" ref="AJ82" si="154">AJ80*AJ81</f>
        <v>139867.99855505599</v>
      </c>
      <c r="AK82" s="596">
        <f t="shared" ref="AK82" si="155">AK80*AK81</f>
        <v>138479.72797448025</v>
      </c>
      <c r="AL82" s="596">
        <f t="shared" ref="AL82" si="156">AL80*AL81</f>
        <v>137387.84528809894</v>
      </c>
      <c r="AM82" s="596">
        <f t="shared" ref="AM82" si="157">AM80*AM81</f>
        <v>131773.04056530265</v>
      </c>
      <c r="AN82" s="596">
        <f t="shared" ref="AN82" si="158">AN80*AN81</f>
        <v>314854.59095036285</v>
      </c>
      <c r="AO82" s="596">
        <f t="shared" ref="AO82" si="159">AO80*AO81</f>
        <v>307404.52209324896</v>
      </c>
      <c r="AP82" s="596">
        <f t="shared" ref="AP82" si="160">AP80*AP81</f>
        <v>274819.13347276341</v>
      </c>
      <c r="AQ82" s="596">
        <f t="shared" ref="AQ82" si="161">AQ80*AQ81</f>
        <v>264529.02748812101</v>
      </c>
      <c r="AR82" s="596">
        <f t="shared" ref="AR82" si="162">AR80*AR81</f>
        <v>161282.64230784861</v>
      </c>
      <c r="AS82" s="596">
        <f t="shared" ref="AS82" si="163">AS80*AS81</f>
        <v>95094.080364351277</v>
      </c>
      <c r="AT82" s="596">
        <f t="shared" ref="AT82" si="164">AT80*AT81</f>
        <v>81940.716348512899</v>
      </c>
      <c r="AU82" s="596">
        <f t="shared" ref="AU82" si="165">AU80*AU81</f>
        <v>68767.901114310866</v>
      </c>
      <c r="AV82" s="596">
        <f t="shared" ref="AV82" si="166">AV80*AV81</f>
        <v>62501.48080419215</v>
      </c>
      <c r="AW82" s="596">
        <f t="shared" ref="AW82" si="167">AW80*AW81</f>
        <v>72918.394271557496</v>
      </c>
      <c r="AX82" s="596">
        <f t="shared" ref="AX82" si="168">AX80*AX81</f>
        <v>69367.430579042062</v>
      </c>
      <c r="AY82" s="596">
        <f t="shared" ref="AY82" si="169">AY80*AY81</f>
        <v>36238.364859973481</v>
      </c>
      <c r="AZ82" s="596">
        <f t="shared" ref="AZ82" si="170">AZ80*AZ81</f>
        <v>25747.405874548</v>
      </c>
      <c r="BA82" s="596">
        <f t="shared" ref="BA82" si="171">BA80*BA81</f>
        <v>0</v>
      </c>
      <c r="BB82" s="596">
        <f t="shared" ref="BB82" si="172">BB80*BB81</f>
        <v>0</v>
      </c>
    </row>
    <row r="84" spans="2:54" x14ac:dyDescent="0.3">
      <c r="B84" s="595" t="s">
        <v>1797</v>
      </c>
      <c r="D84" s="671">
        <f>2191747*'Fixed Assets'!R669</f>
        <v>545820.95147780981</v>
      </c>
      <c r="E84" s="596">
        <f>D86</f>
        <v>554662.41955358838</v>
      </c>
      <c r="F84" s="596">
        <f t="shared" ref="F84:BB84" si="173">E86</f>
        <v>630415.95253776282</v>
      </c>
      <c r="G84" s="596">
        <f t="shared" si="173"/>
        <v>801282.85229476471</v>
      </c>
      <c r="H84" s="596">
        <f t="shared" si="173"/>
        <v>1151270.3836429301</v>
      </c>
      <c r="I84" s="596">
        <f t="shared" si="173"/>
        <v>1551326.5534644062</v>
      </c>
      <c r="J84" s="596">
        <f t="shared" si="173"/>
        <v>1762024.7920937086</v>
      </c>
      <c r="K84" s="596">
        <f t="shared" si="173"/>
        <v>1975692.7872366251</v>
      </c>
      <c r="L84" s="596">
        <f t="shared" si="173"/>
        <v>2180231.8149375869</v>
      </c>
      <c r="M84" s="596">
        <f t="shared" si="173"/>
        <v>2397367.9518407765</v>
      </c>
      <c r="N84" s="596">
        <f t="shared" si="173"/>
        <v>2485189.8899557795</v>
      </c>
      <c r="O84" s="596">
        <f t="shared" si="173"/>
        <v>2567267.6632194226</v>
      </c>
      <c r="P84" s="596">
        <f t="shared" si="173"/>
        <v>2687712.1335187876</v>
      </c>
      <c r="Q84" s="596">
        <f t="shared" si="173"/>
        <v>2805148.7040741965</v>
      </c>
      <c r="R84" s="596">
        <f t="shared" si="173"/>
        <v>2860522.7095657922</v>
      </c>
      <c r="S84" s="596">
        <f t="shared" si="173"/>
        <v>2917189.4886641977</v>
      </c>
      <c r="T84" s="596">
        <f t="shared" si="173"/>
        <v>2985151.30763228</v>
      </c>
      <c r="U84" s="596">
        <f t="shared" si="173"/>
        <v>3053626.4921042738</v>
      </c>
      <c r="V84" s="596">
        <f t="shared" si="173"/>
        <v>3127669.4295920758</v>
      </c>
      <c r="W84" s="596">
        <f t="shared" si="173"/>
        <v>3205565.5186368641</v>
      </c>
      <c r="X84" s="596">
        <f t="shared" si="173"/>
        <v>3294975.2890806394</v>
      </c>
      <c r="Y84" s="596">
        <f t="shared" si="173"/>
        <v>3391018.5935909534</v>
      </c>
      <c r="Z84" s="596">
        <f t="shared" si="173"/>
        <v>3482428.0775259179</v>
      </c>
      <c r="AA84" s="596">
        <f t="shared" si="173"/>
        <v>3573903.136163359</v>
      </c>
      <c r="AB84" s="596">
        <f t="shared" si="173"/>
        <v>3669072.5900186063</v>
      </c>
      <c r="AC84" s="596">
        <f t="shared" si="173"/>
        <v>3757827.3716938449</v>
      </c>
      <c r="AD84" s="596">
        <f t="shared" si="173"/>
        <v>3835719.7785692187</v>
      </c>
      <c r="AE84" s="596">
        <f t="shared" si="173"/>
        <v>3921404.3077169051</v>
      </c>
      <c r="AF84" s="596">
        <f t="shared" si="173"/>
        <v>4010946.2176107522</v>
      </c>
      <c r="AG84" s="596">
        <f t="shared" si="173"/>
        <v>4108220.9333608821</v>
      </c>
      <c r="AH84" s="596">
        <f t="shared" si="173"/>
        <v>4196823.6920930818</v>
      </c>
      <c r="AI84" s="596">
        <f t="shared" si="173"/>
        <v>4315011.4879230093</v>
      </c>
      <c r="AJ84" s="596">
        <f t="shared" si="173"/>
        <v>4456478.4814047357</v>
      </c>
      <c r="AK84" s="596">
        <f t="shared" si="173"/>
        <v>4596346.4799597915</v>
      </c>
      <c r="AL84" s="596">
        <f t="shared" si="173"/>
        <v>4734826.2079342715</v>
      </c>
      <c r="AM84" s="596">
        <f t="shared" si="173"/>
        <v>4872214.0532223703</v>
      </c>
      <c r="AN84" s="596">
        <f t="shared" si="173"/>
        <v>5003987.0937876729</v>
      </c>
      <c r="AO84" s="596">
        <f t="shared" si="173"/>
        <v>5318841.6847380362</v>
      </c>
      <c r="AP84" s="596">
        <f t="shared" si="173"/>
        <v>5626246.2068312848</v>
      </c>
      <c r="AQ84" s="596">
        <f t="shared" si="173"/>
        <v>5901065.3403040478</v>
      </c>
      <c r="AR84" s="596">
        <f t="shared" si="173"/>
        <v>6165594.3677921686</v>
      </c>
      <c r="AS84" s="596">
        <f t="shared" si="173"/>
        <v>6326877.0101000173</v>
      </c>
      <c r="AT84" s="596">
        <f t="shared" si="173"/>
        <v>6421971.0904643685</v>
      </c>
      <c r="AU84" s="596">
        <f t="shared" si="173"/>
        <v>6503911.8068128815</v>
      </c>
      <c r="AV84" s="596">
        <f t="shared" si="173"/>
        <v>6572679.7079271926</v>
      </c>
      <c r="AW84" s="596">
        <f t="shared" si="173"/>
        <v>6635181.1887313845</v>
      </c>
      <c r="AX84" s="596">
        <f t="shared" si="173"/>
        <v>6708099.5830029417</v>
      </c>
      <c r="AY84" s="596">
        <f t="shared" si="173"/>
        <v>6777467.0135819837</v>
      </c>
      <c r="AZ84" s="596">
        <f t="shared" si="173"/>
        <v>6813705.3784419568</v>
      </c>
      <c r="BA84" s="596">
        <f t="shared" si="173"/>
        <v>6839452.7843165044</v>
      </c>
      <c r="BB84" s="596">
        <f t="shared" si="173"/>
        <v>6839452.7843165044</v>
      </c>
    </row>
    <row r="85" spans="2:54" x14ac:dyDescent="0.3">
      <c r="B85" s="986" t="s">
        <v>2224</v>
      </c>
      <c r="C85" s="989"/>
      <c r="D85" s="988">
        <f>'Capital Improvement Plan'!G101*-1</f>
        <v>0</v>
      </c>
      <c r="E85" s="988">
        <f>'Capital Improvement Plan'!H101*-1</f>
        <v>0</v>
      </c>
      <c r="F85" s="988">
        <f>'Capital Improvement Plan'!I101*-1</f>
        <v>0</v>
      </c>
      <c r="G85" s="988">
        <f>'Capital Improvement Plan'!J101*-1</f>
        <v>0</v>
      </c>
      <c r="H85" s="988">
        <f>'Capital Improvement Plan'!K101*-1</f>
        <v>0</v>
      </c>
      <c r="I85" s="988">
        <f>'Capital Improvement Plan'!L101*-1</f>
        <v>0</v>
      </c>
      <c r="J85" s="988">
        <f>'Capital Improvement Plan'!M101*-1</f>
        <v>0</v>
      </c>
      <c r="K85" s="988">
        <f>'Capital Improvement Plan'!N101*-1</f>
        <v>0</v>
      </c>
      <c r="L85" s="988">
        <f>'Capital Improvement Plan'!O101*-1</f>
        <v>0</v>
      </c>
      <c r="M85" s="988">
        <f>'Capital Improvement Plan'!P101*-1</f>
        <v>0</v>
      </c>
      <c r="N85" s="984">
        <f>'Capital Improvement Plan'!Q101*-1</f>
        <v>0</v>
      </c>
      <c r="O85" s="984">
        <f>'Capital Improvement Plan'!R101*-1</f>
        <v>0</v>
      </c>
      <c r="P85" s="984">
        <f>'Capital Improvement Plan'!S101*-1</f>
        <v>0</v>
      </c>
      <c r="Q85" s="984">
        <f>'Capital Improvement Plan'!T101*-1</f>
        <v>0</v>
      </c>
      <c r="R85" s="984">
        <f>'Capital Improvement Plan'!U101*-1</f>
        <v>0</v>
      </c>
      <c r="S85" s="984">
        <f>'Capital Improvement Plan'!V101*-1</f>
        <v>0</v>
      </c>
      <c r="T85" s="984">
        <f>'Capital Improvement Plan'!W101*-1</f>
        <v>0</v>
      </c>
      <c r="U85" s="984">
        <f>'Capital Improvement Plan'!X101*-1</f>
        <v>0</v>
      </c>
      <c r="V85" s="984">
        <f>'Capital Improvement Plan'!Y101*-1</f>
        <v>0</v>
      </c>
      <c r="W85" s="984">
        <f>'Capital Improvement Plan'!Z101*-1</f>
        <v>0</v>
      </c>
      <c r="X85" s="984">
        <f>'Capital Improvement Plan'!AA101*-1</f>
        <v>0</v>
      </c>
      <c r="Y85" s="984">
        <f>'Capital Improvement Plan'!AB101*-1</f>
        <v>0</v>
      </c>
      <c r="Z85" s="984">
        <f>'Capital Improvement Plan'!AC101*-1</f>
        <v>0</v>
      </c>
      <c r="AA85" s="984">
        <f>'Capital Improvement Plan'!AD101*-1</f>
        <v>0</v>
      </c>
      <c r="AB85" s="984">
        <f>'Capital Improvement Plan'!AE101*-1</f>
        <v>0</v>
      </c>
      <c r="AC85" s="984">
        <f>'Capital Improvement Plan'!AF101*-1</f>
        <v>0</v>
      </c>
      <c r="AD85" s="984">
        <f>'Capital Improvement Plan'!AG101*-1</f>
        <v>0</v>
      </c>
      <c r="AE85" s="984">
        <f>'Capital Improvement Plan'!AH101*-1</f>
        <v>0</v>
      </c>
      <c r="AF85" s="984">
        <f>'Capital Improvement Plan'!AI101*-1</f>
        <v>0</v>
      </c>
      <c r="AG85" s="984">
        <f>'Capital Improvement Plan'!AJ101*-1</f>
        <v>0</v>
      </c>
      <c r="AH85" s="984">
        <f>'Capital Improvement Plan'!AK101*-1</f>
        <v>0</v>
      </c>
      <c r="AI85" s="984">
        <f>'Capital Improvement Plan'!AL101*-1</f>
        <v>0</v>
      </c>
      <c r="AJ85" s="984">
        <f>'Capital Improvement Plan'!AM101*-1</f>
        <v>0</v>
      </c>
      <c r="AK85" s="984">
        <f>'Capital Improvement Plan'!AN101*-1</f>
        <v>0</v>
      </c>
      <c r="AL85" s="984">
        <f>'Capital Improvement Plan'!AO101*-1</f>
        <v>0</v>
      </c>
      <c r="AM85" s="984">
        <f>'Capital Improvement Plan'!AP101*-1</f>
        <v>0</v>
      </c>
      <c r="AN85" s="984">
        <f>'Capital Improvement Plan'!AQ101*-1</f>
        <v>0</v>
      </c>
      <c r="AO85" s="984">
        <f>'Capital Improvement Plan'!AR101*-1</f>
        <v>0</v>
      </c>
      <c r="AP85" s="984">
        <f>'Capital Improvement Plan'!AS101*-1</f>
        <v>0</v>
      </c>
      <c r="AQ85" s="984">
        <f>'Capital Improvement Plan'!AT101*-1</f>
        <v>0</v>
      </c>
      <c r="AR85" s="984">
        <f>'Capital Improvement Plan'!AU101*-1</f>
        <v>0</v>
      </c>
      <c r="AS85" s="984">
        <f>'Capital Improvement Plan'!AV101*-1</f>
        <v>0</v>
      </c>
      <c r="AT85" s="984">
        <f>'Capital Improvement Plan'!AW101*-1</f>
        <v>0</v>
      </c>
      <c r="AU85" s="984">
        <f>'Capital Improvement Plan'!AX101*-1</f>
        <v>0</v>
      </c>
      <c r="AV85" s="984">
        <f>'Capital Improvement Plan'!AY101*-1</f>
        <v>0</v>
      </c>
      <c r="AW85" s="984">
        <f>'Capital Improvement Plan'!AZ101*-1</f>
        <v>0</v>
      </c>
      <c r="AX85" s="984">
        <f>'Capital Improvement Plan'!BA101*-1</f>
        <v>0</v>
      </c>
      <c r="AY85" s="984">
        <f>'Capital Improvement Plan'!BB101*-1</f>
        <v>0</v>
      </c>
      <c r="AZ85" s="984">
        <f>'Capital Improvement Plan'!BC101*-1</f>
        <v>0</v>
      </c>
      <c r="BA85" s="984">
        <f>'Capital Improvement Plan'!BD101*-1</f>
        <v>0</v>
      </c>
      <c r="BB85" s="984">
        <f>'Capital Improvement Plan'!BE101*-1</f>
        <v>0</v>
      </c>
    </row>
    <row r="86" spans="2:54" x14ac:dyDescent="0.3">
      <c r="B86" s="595" t="s">
        <v>1798</v>
      </c>
      <c r="D86" s="596">
        <f>D84+D82+D85</f>
        <v>554662.41955358838</v>
      </c>
      <c r="E86" s="596">
        <f t="shared" ref="E86:BB86" si="174">E84+E82+E85</f>
        <v>630415.95253776282</v>
      </c>
      <c r="F86" s="596">
        <f t="shared" si="174"/>
        <v>801282.85229476471</v>
      </c>
      <c r="G86" s="596">
        <f t="shared" si="174"/>
        <v>1151270.3836429301</v>
      </c>
      <c r="H86" s="596">
        <f t="shared" si="174"/>
        <v>1551326.5534644062</v>
      </c>
      <c r="I86" s="596">
        <f t="shared" si="174"/>
        <v>1762024.7920937086</v>
      </c>
      <c r="J86" s="596">
        <f t="shared" si="174"/>
        <v>1975692.7872366251</v>
      </c>
      <c r="K86" s="596">
        <f t="shared" si="174"/>
        <v>2180231.8149375869</v>
      </c>
      <c r="L86" s="596">
        <f t="shared" si="174"/>
        <v>2397367.9518407765</v>
      </c>
      <c r="M86" s="596">
        <f t="shared" si="174"/>
        <v>2485189.8899557795</v>
      </c>
      <c r="N86" s="596">
        <f t="shared" si="174"/>
        <v>2567267.6632194226</v>
      </c>
      <c r="O86" s="596">
        <f t="shared" si="174"/>
        <v>2687712.1335187876</v>
      </c>
      <c r="P86" s="596">
        <f t="shared" si="174"/>
        <v>2805148.7040741965</v>
      </c>
      <c r="Q86" s="596">
        <f t="shared" si="174"/>
        <v>2860522.7095657922</v>
      </c>
      <c r="R86" s="596">
        <f t="shared" si="174"/>
        <v>2917189.4886641977</v>
      </c>
      <c r="S86" s="596">
        <f t="shared" si="174"/>
        <v>2985151.30763228</v>
      </c>
      <c r="T86" s="596">
        <f t="shared" si="174"/>
        <v>3053626.4921042738</v>
      </c>
      <c r="U86" s="596">
        <f t="shared" si="174"/>
        <v>3127669.4295920758</v>
      </c>
      <c r="V86" s="596">
        <f t="shared" si="174"/>
        <v>3205565.5186368641</v>
      </c>
      <c r="W86" s="596">
        <f t="shared" si="174"/>
        <v>3294975.2890806394</v>
      </c>
      <c r="X86" s="596">
        <f t="shared" si="174"/>
        <v>3391018.5935909534</v>
      </c>
      <c r="Y86" s="596">
        <f t="shared" si="174"/>
        <v>3482428.0775259179</v>
      </c>
      <c r="Z86" s="596">
        <f t="shared" si="174"/>
        <v>3573903.136163359</v>
      </c>
      <c r="AA86" s="596">
        <f t="shared" si="174"/>
        <v>3669072.5900186063</v>
      </c>
      <c r="AB86" s="596">
        <f t="shared" si="174"/>
        <v>3757827.3716938449</v>
      </c>
      <c r="AC86" s="596">
        <f t="shared" si="174"/>
        <v>3835719.7785692187</v>
      </c>
      <c r="AD86" s="596">
        <f t="shared" si="174"/>
        <v>3921404.3077169051</v>
      </c>
      <c r="AE86" s="596">
        <f t="shared" si="174"/>
        <v>4010946.2176107522</v>
      </c>
      <c r="AF86" s="596">
        <f t="shared" si="174"/>
        <v>4108220.9333608821</v>
      </c>
      <c r="AG86" s="596">
        <f t="shared" si="174"/>
        <v>4196823.6920930818</v>
      </c>
      <c r="AH86" s="596">
        <f t="shared" si="174"/>
        <v>4315011.4879230093</v>
      </c>
      <c r="AI86" s="596">
        <f t="shared" si="174"/>
        <v>4456478.4814047357</v>
      </c>
      <c r="AJ86" s="596">
        <f t="shared" si="174"/>
        <v>4596346.4799597915</v>
      </c>
      <c r="AK86" s="596">
        <f t="shared" si="174"/>
        <v>4734826.2079342715</v>
      </c>
      <c r="AL86" s="596">
        <f t="shared" si="174"/>
        <v>4872214.0532223703</v>
      </c>
      <c r="AM86" s="596">
        <f t="shared" si="174"/>
        <v>5003987.0937876729</v>
      </c>
      <c r="AN86" s="596">
        <f t="shared" si="174"/>
        <v>5318841.6847380362</v>
      </c>
      <c r="AO86" s="596">
        <f t="shared" si="174"/>
        <v>5626246.2068312848</v>
      </c>
      <c r="AP86" s="596">
        <f t="shared" si="174"/>
        <v>5901065.3403040478</v>
      </c>
      <c r="AQ86" s="596">
        <f t="shared" si="174"/>
        <v>6165594.3677921686</v>
      </c>
      <c r="AR86" s="596">
        <f t="shared" si="174"/>
        <v>6326877.0101000173</v>
      </c>
      <c r="AS86" s="596">
        <f t="shared" si="174"/>
        <v>6421971.0904643685</v>
      </c>
      <c r="AT86" s="596">
        <f t="shared" si="174"/>
        <v>6503911.8068128815</v>
      </c>
      <c r="AU86" s="596">
        <f t="shared" si="174"/>
        <v>6572679.7079271926</v>
      </c>
      <c r="AV86" s="596">
        <f t="shared" si="174"/>
        <v>6635181.1887313845</v>
      </c>
      <c r="AW86" s="596">
        <f t="shared" si="174"/>
        <v>6708099.5830029417</v>
      </c>
      <c r="AX86" s="596">
        <f t="shared" si="174"/>
        <v>6777467.0135819837</v>
      </c>
      <c r="AY86" s="596">
        <f t="shared" si="174"/>
        <v>6813705.3784419568</v>
      </c>
      <c r="AZ86" s="596">
        <f t="shared" si="174"/>
        <v>6839452.7843165044</v>
      </c>
      <c r="BA86" s="596">
        <f t="shared" si="174"/>
        <v>6839452.7843165044</v>
      </c>
      <c r="BB86" s="596">
        <f t="shared" si="174"/>
        <v>6839452.7843165044</v>
      </c>
    </row>
    <row r="87" spans="2:54" x14ac:dyDescent="0.3">
      <c r="B87" s="595"/>
      <c r="D87" s="596"/>
      <c r="E87" s="596"/>
      <c r="F87" s="596"/>
      <c r="G87" s="596"/>
      <c r="H87" s="596"/>
      <c r="I87" s="596"/>
      <c r="J87" s="596"/>
      <c r="K87" s="596"/>
      <c r="L87" s="596"/>
      <c r="M87" s="596"/>
      <c r="N87" s="596"/>
      <c r="O87" s="596"/>
      <c r="P87" s="596"/>
      <c r="Q87" s="596"/>
      <c r="R87" s="596"/>
      <c r="S87" s="596"/>
      <c r="T87" s="596"/>
      <c r="U87" s="596"/>
      <c r="V87" s="596"/>
      <c r="W87" s="596"/>
      <c r="X87" s="596"/>
      <c r="Y87" s="596"/>
      <c r="Z87" s="596"/>
      <c r="AA87" s="596"/>
      <c r="AB87" s="596"/>
      <c r="AC87" s="596"/>
      <c r="AD87" s="596"/>
      <c r="AE87" s="596"/>
      <c r="AF87" s="596"/>
      <c r="AG87" s="596"/>
      <c r="AH87" s="596"/>
      <c r="AI87" s="596"/>
      <c r="AJ87" s="596"/>
      <c r="AK87" s="596"/>
      <c r="AL87" s="596"/>
      <c r="AM87" s="596"/>
      <c r="AN87" s="596"/>
      <c r="AO87" s="596"/>
      <c r="AP87" s="596"/>
      <c r="AQ87" s="596"/>
      <c r="AR87" s="596"/>
      <c r="AS87" s="596"/>
      <c r="AT87" s="596"/>
      <c r="AU87" s="596"/>
      <c r="AV87" s="596"/>
      <c r="AW87" s="596"/>
      <c r="AX87" s="596"/>
      <c r="AY87" s="596"/>
      <c r="AZ87" s="596"/>
      <c r="BA87" s="596"/>
      <c r="BB87" s="596"/>
    </row>
    <row r="88" spans="2:54" x14ac:dyDescent="0.3">
      <c r="B88" s="595" t="s">
        <v>1808</v>
      </c>
      <c r="D88" s="596">
        <f>'Fixed Assets'!R668</f>
        <v>96070891.709145322</v>
      </c>
      <c r="E88" s="596">
        <f t="shared" ref="E88:AJ88" si="175">$D$88*E$4</f>
        <v>98850451.733178467</v>
      </c>
      <c r="F88" s="596">
        <f t="shared" si="175"/>
        <v>101710431.05789421</v>
      </c>
      <c r="G88" s="596">
        <f t="shared" si="175"/>
        <v>104653156.40545951</v>
      </c>
      <c r="H88" s="596">
        <f t="shared" si="175"/>
        <v>107681021.81566277</v>
      </c>
      <c r="I88" s="596">
        <f t="shared" si="175"/>
        <v>110796490.59357321</v>
      </c>
      <c r="J88" s="596">
        <f t="shared" si="175"/>
        <v>114002097.31355064</v>
      </c>
      <c r="K88" s="596">
        <f t="shared" si="175"/>
        <v>117300449.881236</v>
      </c>
      <c r="L88" s="596">
        <f t="shared" si="175"/>
        <v>120694231.65520021</v>
      </c>
      <c r="M88" s="596">
        <f t="shared" si="175"/>
        <v>124186203.62997741</v>
      </c>
      <c r="N88" s="596">
        <f t="shared" si="175"/>
        <v>127779206.68225849</v>
      </c>
      <c r="O88" s="596">
        <f t="shared" si="175"/>
        <v>131476163.88207249</v>
      </c>
      <c r="P88" s="596">
        <f t="shared" si="175"/>
        <v>135280082.87083578</v>
      </c>
      <c r="Q88" s="596">
        <f t="shared" si="175"/>
        <v>139194058.30820411</v>
      </c>
      <c r="R88" s="596">
        <f t="shared" si="175"/>
        <v>143221274.38971773</v>
      </c>
      <c r="S88" s="596">
        <f t="shared" si="175"/>
        <v>147365007.43728814</v>
      </c>
      <c r="T88" s="596">
        <f t="shared" si="175"/>
        <v>151628628.56463364</v>
      </c>
      <c r="U88" s="596">
        <f t="shared" si="175"/>
        <v>156015606.41983247</v>
      </c>
      <c r="V88" s="596">
        <f t="shared" si="175"/>
        <v>160529510.00722444</v>
      </c>
      <c r="W88" s="596">
        <f t="shared" si="175"/>
        <v>165174011.59095687</v>
      </c>
      <c r="X88" s="596">
        <f t="shared" si="175"/>
        <v>169952889.68253708</v>
      </c>
      <c r="Y88" s="596">
        <f t="shared" si="175"/>
        <v>174870032.11482209</v>
      </c>
      <c r="Z88" s="596">
        <f t="shared" si="175"/>
        <v>179929439.20494577</v>
      </c>
      <c r="AA88" s="596">
        <f t="shared" si="175"/>
        <v>185135227.00875732</v>
      </c>
      <c r="AB88" s="596">
        <f t="shared" si="175"/>
        <v>190491630.66941845</v>
      </c>
      <c r="AC88" s="596">
        <f t="shared" si="175"/>
        <v>196003007.86288318</v>
      </c>
      <c r="AD88" s="596">
        <f t="shared" si="175"/>
        <v>201673842.34306383</v>
      </c>
      <c r="AE88" s="596">
        <f t="shared" si="175"/>
        <v>207508747.58956718</v>
      </c>
      <c r="AF88" s="596">
        <f t="shared" si="175"/>
        <v>213512470.56096789</v>
      </c>
      <c r="AG88" s="596">
        <f t="shared" si="175"/>
        <v>219689895.55667371</v>
      </c>
      <c r="AH88" s="596">
        <f t="shared" si="175"/>
        <v>226046048.19052318</v>
      </c>
      <c r="AI88" s="596">
        <f t="shared" si="175"/>
        <v>232586099.47934908</v>
      </c>
      <c r="AJ88" s="596">
        <f t="shared" si="175"/>
        <v>239315370.04983398</v>
      </c>
      <c r="AK88" s="596">
        <f t="shared" ref="AK88:BB88" si="176">$D$88*AK$4</f>
        <v>246239334.46708003</v>
      </c>
      <c r="AL88" s="596">
        <f t="shared" si="176"/>
        <v>253363625.68841434</v>
      </c>
      <c r="AM88" s="596">
        <f t="shared" si="176"/>
        <v>260694039.64605406</v>
      </c>
      <c r="AN88" s="596">
        <f t="shared" si="176"/>
        <v>268236539.96235856</v>
      </c>
      <c r="AO88" s="596">
        <f t="shared" si="176"/>
        <v>275997262.80150515</v>
      </c>
      <c r="AP88" s="596">
        <f t="shared" si="176"/>
        <v>283982521.86153537</v>
      </c>
      <c r="AQ88" s="596">
        <f t="shared" si="176"/>
        <v>292198813.5108332</v>
      </c>
      <c r="AR88" s="596">
        <f t="shared" si="176"/>
        <v>300652822.07321352</v>
      </c>
      <c r="AS88" s="596">
        <f t="shared" si="176"/>
        <v>309351425.26592129</v>
      </c>
      <c r="AT88" s="596">
        <f t="shared" si="176"/>
        <v>318301699.79496455</v>
      </c>
      <c r="AU88" s="596">
        <f t="shared" si="176"/>
        <v>327510927.11233377</v>
      </c>
      <c r="AV88" s="596">
        <f t="shared" si="176"/>
        <v>336986599.33979183</v>
      </c>
      <c r="AW88" s="596">
        <f t="shared" si="176"/>
        <v>346736425.36405259</v>
      </c>
      <c r="AX88" s="596">
        <f t="shared" si="176"/>
        <v>356768337.10830808</v>
      </c>
      <c r="AY88" s="596">
        <f t="shared" si="176"/>
        <v>367090495.98520583</v>
      </c>
      <c r="AZ88" s="596">
        <f t="shared" si="176"/>
        <v>377711299.53652596</v>
      </c>
      <c r="BA88" s="596">
        <f t="shared" si="176"/>
        <v>388639388.26496017</v>
      </c>
      <c r="BB88" s="596">
        <f t="shared" si="176"/>
        <v>399883652.66355062</v>
      </c>
    </row>
    <row r="89" spans="2:54" x14ac:dyDescent="0.3">
      <c r="B89" s="595" t="s">
        <v>1806</v>
      </c>
      <c r="D89" s="649">
        <f>D60</f>
        <v>0.02</v>
      </c>
      <c r="E89" s="649">
        <f t="shared" ref="E89:BB89" si="177">E60</f>
        <v>0.02</v>
      </c>
      <c r="F89" s="649">
        <f t="shared" si="177"/>
        <v>0.02</v>
      </c>
      <c r="G89" s="649">
        <f t="shared" si="177"/>
        <v>0.02</v>
      </c>
      <c r="H89" s="649">
        <f t="shared" si="177"/>
        <v>0.02</v>
      </c>
      <c r="I89" s="649">
        <f t="shared" si="177"/>
        <v>0.02</v>
      </c>
      <c r="J89" s="649">
        <f t="shared" si="177"/>
        <v>0.02</v>
      </c>
      <c r="K89" s="649">
        <f t="shared" si="177"/>
        <v>0.02</v>
      </c>
      <c r="L89" s="649">
        <f t="shared" si="177"/>
        <v>0.02</v>
      </c>
      <c r="M89" s="649">
        <f t="shared" si="177"/>
        <v>0.02</v>
      </c>
      <c r="N89" s="649">
        <f t="shared" si="177"/>
        <v>0.02</v>
      </c>
      <c r="O89" s="649">
        <f t="shared" si="177"/>
        <v>0.02</v>
      </c>
      <c r="P89" s="649">
        <f t="shared" si="177"/>
        <v>0.02</v>
      </c>
      <c r="Q89" s="649">
        <f t="shared" si="177"/>
        <v>0.02</v>
      </c>
      <c r="R89" s="649">
        <f t="shared" si="177"/>
        <v>0.02</v>
      </c>
      <c r="S89" s="649">
        <f t="shared" si="177"/>
        <v>0.02</v>
      </c>
      <c r="T89" s="649">
        <f t="shared" si="177"/>
        <v>0.02</v>
      </c>
      <c r="U89" s="649">
        <f t="shared" si="177"/>
        <v>0.02</v>
      </c>
      <c r="V89" s="649">
        <f t="shared" si="177"/>
        <v>0.02</v>
      </c>
      <c r="W89" s="649">
        <f t="shared" si="177"/>
        <v>0.02</v>
      </c>
      <c r="X89" s="649">
        <f t="shared" si="177"/>
        <v>0.02</v>
      </c>
      <c r="Y89" s="649">
        <f t="shared" si="177"/>
        <v>0.02</v>
      </c>
      <c r="Z89" s="649">
        <f t="shared" si="177"/>
        <v>0.02</v>
      </c>
      <c r="AA89" s="649">
        <f t="shared" si="177"/>
        <v>0.02</v>
      </c>
      <c r="AB89" s="649">
        <f t="shared" si="177"/>
        <v>0.02</v>
      </c>
      <c r="AC89" s="649">
        <f t="shared" si="177"/>
        <v>0.02</v>
      </c>
      <c r="AD89" s="649">
        <f t="shared" si="177"/>
        <v>0.02</v>
      </c>
      <c r="AE89" s="649">
        <f t="shared" si="177"/>
        <v>0.02</v>
      </c>
      <c r="AF89" s="649">
        <f t="shared" si="177"/>
        <v>0.02</v>
      </c>
      <c r="AG89" s="649">
        <f t="shared" si="177"/>
        <v>0.02</v>
      </c>
      <c r="AH89" s="649">
        <f t="shared" si="177"/>
        <v>0.02</v>
      </c>
      <c r="AI89" s="649">
        <f t="shared" si="177"/>
        <v>0.02</v>
      </c>
      <c r="AJ89" s="649">
        <f t="shared" si="177"/>
        <v>0.02</v>
      </c>
      <c r="AK89" s="649">
        <f t="shared" si="177"/>
        <v>0.02</v>
      </c>
      <c r="AL89" s="649">
        <f t="shared" si="177"/>
        <v>0.02</v>
      </c>
      <c r="AM89" s="649">
        <f t="shared" si="177"/>
        <v>0.02</v>
      </c>
      <c r="AN89" s="649">
        <f t="shared" si="177"/>
        <v>0.02</v>
      </c>
      <c r="AO89" s="649">
        <f t="shared" si="177"/>
        <v>0.02</v>
      </c>
      <c r="AP89" s="649">
        <f t="shared" si="177"/>
        <v>0.02</v>
      </c>
      <c r="AQ89" s="649">
        <f t="shared" si="177"/>
        <v>0.02</v>
      </c>
      <c r="AR89" s="649">
        <f t="shared" si="177"/>
        <v>0.02</v>
      </c>
      <c r="AS89" s="649">
        <f t="shared" si="177"/>
        <v>0.02</v>
      </c>
      <c r="AT89" s="649">
        <f t="shared" si="177"/>
        <v>0.02</v>
      </c>
      <c r="AU89" s="649">
        <f t="shared" si="177"/>
        <v>0.02</v>
      </c>
      <c r="AV89" s="649">
        <f t="shared" si="177"/>
        <v>0.02</v>
      </c>
      <c r="AW89" s="649">
        <f t="shared" si="177"/>
        <v>0.02</v>
      </c>
      <c r="AX89" s="649">
        <f t="shared" si="177"/>
        <v>0.02</v>
      </c>
      <c r="AY89" s="649">
        <f t="shared" si="177"/>
        <v>0.02</v>
      </c>
      <c r="AZ89" s="649">
        <f t="shared" si="177"/>
        <v>0.02</v>
      </c>
      <c r="BA89" s="649">
        <f t="shared" si="177"/>
        <v>0.02</v>
      </c>
      <c r="BB89" s="649">
        <f t="shared" si="177"/>
        <v>0.02</v>
      </c>
    </row>
    <row r="90" spans="2:54" x14ac:dyDescent="0.3">
      <c r="B90" s="595" t="s">
        <v>1803</v>
      </c>
      <c r="D90" s="651">
        <f>D86/D88</f>
        <v>5.7734700874103378E-3</v>
      </c>
      <c r="E90" s="651">
        <f t="shared" ref="E90:M90" si="178">E86/E88</f>
        <v>6.3774716400832399E-3</v>
      </c>
      <c r="F90" s="651">
        <f t="shared" si="178"/>
        <v>7.8780794060214869E-3</v>
      </c>
      <c r="G90" s="651">
        <f t="shared" si="178"/>
        <v>1.1000818543709696E-2</v>
      </c>
      <c r="H90" s="651">
        <f t="shared" si="178"/>
        <v>1.4406684922809282E-2</v>
      </c>
      <c r="I90" s="651">
        <f t="shared" si="178"/>
        <v>1.5903254540409743E-2</v>
      </c>
      <c r="J90" s="651">
        <f t="shared" si="178"/>
        <v>1.7330319650196366E-2</v>
      </c>
      <c r="K90" s="651">
        <f t="shared" si="178"/>
        <v>1.8586730205596154E-2</v>
      </c>
      <c r="L90" s="651">
        <f t="shared" si="178"/>
        <v>1.9863152687276616E-2</v>
      </c>
      <c r="M90" s="651">
        <f t="shared" si="178"/>
        <v>2.0011803383253417E-2</v>
      </c>
      <c r="N90" s="651">
        <f t="shared" ref="N90:BB90" si="179">N86/N88</f>
        <v>2.0091435295910905E-2</v>
      </c>
      <c r="O90" s="651">
        <f t="shared" si="179"/>
        <v>2.0442581028828389E-2</v>
      </c>
      <c r="P90" s="651">
        <f t="shared" si="179"/>
        <v>2.0735858853313444E-2</v>
      </c>
      <c r="Q90" s="651">
        <f t="shared" si="179"/>
        <v>2.0550609302819593E-2</v>
      </c>
      <c r="R90" s="651">
        <f t="shared" si="179"/>
        <v>2.0368408960852197E-2</v>
      </c>
      <c r="S90" s="651">
        <f t="shared" si="179"/>
        <v>2.025685309928563E-2</v>
      </c>
      <c r="T90" s="651">
        <f t="shared" si="179"/>
        <v>2.01388518844423E-2</v>
      </c>
      <c r="U90" s="651">
        <f t="shared" si="179"/>
        <v>2.0047157469462562E-2</v>
      </c>
      <c r="V90" s="651">
        <f t="shared" si="179"/>
        <v>1.9968699328195803E-2</v>
      </c>
      <c r="W90" s="651">
        <f t="shared" si="179"/>
        <v>1.9948509195504921E-2</v>
      </c>
      <c r="X90" s="651">
        <f t="shared" si="179"/>
        <v>1.9952697479432065E-2</v>
      </c>
      <c r="Y90" s="651">
        <f t="shared" si="179"/>
        <v>1.9914378898491351E-2</v>
      </c>
      <c r="Z90" s="651">
        <f t="shared" si="179"/>
        <v>1.9862803729925271E-2</v>
      </c>
      <c r="AA90" s="651">
        <f t="shared" si="179"/>
        <v>1.9818338461567071E-2</v>
      </c>
      <c r="AB90" s="651">
        <f t="shared" si="179"/>
        <v>1.9726994611197514E-2</v>
      </c>
      <c r="AC90" s="651">
        <f t="shared" si="179"/>
        <v>1.9569698548976115E-2</v>
      </c>
      <c r="AD90" s="651">
        <f t="shared" si="179"/>
        <v>1.944428817420096E-2</v>
      </c>
      <c r="AE90" s="651">
        <f t="shared" si="179"/>
        <v>1.9329046433955773E-2</v>
      </c>
      <c r="AF90" s="651">
        <f t="shared" si="179"/>
        <v>1.9241128738603543E-2</v>
      </c>
      <c r="AG90" s="651">
        <f t="shared" si="179"/>
        <v>1.9103398822502608E-2</v>
      </c>
      <c r="AH90" s="651">
        <f t="shared" si="179"/>
        <v>1.9089081726773198E-2</v>
      </c>
      <c r="AI90" s="651">
        <f t="shared" si="179"/>
        <v>1.9160553839548861E-2</v>
      </c>
      <c r="AJ90" s="651">
        <f t="shared" si="179"/>
        <v>1.9206231839612592E-2</v>
      </c>
      <c r="AK90" s="651">
        <f t="shared" si="179"/>
        <v>1.9228553464788849E-2</v>
      </c>
      <c r="AL90" s="651">
        <f t="shared" si="179"/>
        <v>1.923012445051683E-2</v>
      </c>
      <c r="AM90" s="651">
        <f t="shared" si="179"/>
        <v>1.9194865753669004E-2</v>
      </c>
      <c r="AN90" s="651">
        <f t="shared" si="179"/>
        <v>1.9828922955405053E-2</v>
      </c>
      <c r="AO90" s="651">
        <f t="shared" si="179"/>
        <v>2.0385152192170953E-2</v>
      </c>
      <c r="AP90" s="651">
        <f t="shared" si="179"/>
        <v>2.0779677923915676E-2</v>
      </c>
      <c r="AQ90" s="651">
        <f t="shared" si="179"/>
        <v>2.1100682421366441E-2</v>
      </c>
      <c r="AR90" s="651">
        <f t="shared" si="179"/>
        <v>2.104379718264985E-2</v>
      </c>
      <c r="AS90" s="651">
        <f t="shared" si="179"/>
        <v>2.0759468248591335E-2</v>
      </c>
      <c r="AT90" s="651">
        <f t="shared" si="179"/>
        <v>2.0433167058179096E-2</v>
      </c>
      <c r="AU90" s="651">
        <f t="shared" si="179"/>
        <v>2.0068581423766704E-2</v>
      </c>
      <c r="AV90" s="651">
        <f t="shared" si="179"/>
        <v>1.9689747906090974E-2</v>
      </c>
      <c r="AW90" s="651">
        <f t="shared" si="179"/>
        <v>1.9346394241562124E-2</v>
      </c>
      <c r="AX90" s="651">
        <f t="shared" si="179"/>
        <v>1.8996828778346644E-2</v>
      </c>
      <c r="AY90" s="651">
        <f t="shared" si="179"/>
        <v>1.8561377788207725E-2</v>
      </c>
      <c r="AZ90" s="651">
        <f t="shared" si="179"/>
        <v>1.8107620271643757E-2</v>
      </c>
      <c r="BA90" s="651">
        <f t="shared" si="179"/>
        <v>1.7598454996675773E-2</v>
      </c>
      <c r="BB90" s="651">
        <f t="shared" si="179"/>
        <v>1.7103606858545433E-2</v>
      </c>
    </row>
    <row r="92" spans="2:54" x14ac:dyDescent="0.3">
      <c r="B92" s="1046" t="s">
        <v>1761</v>
      </c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1047"/>
      <c r="AF92" s="1047"/>
      <c r="AG92" s="1047"/>
      <c r="AH92" s="1047"/>
      <c r="AI92" s="1047"/>
      <c r="AJ92" s="1047"/>
      <c r="AK92" s="1047"/>
      <c r="AL92" s="1047"/>
      <c r="AM92" s="1047"/>
      <c r="AN92" s="1047"/>
      <c r="AO92" s="1047"/>
      <c r="AP92" s="1047"/>
      <c r="AQ92" s="1047"/>
      <c r="AR92" s="1047"/>
      <c r="AS92" s="1047"/>
      <c r="AT92" s="1047"/>
      <c r="AU92" s="1047"/>
      <c r="AV92" s="1047"/>
      <c r="AW92" s="1047"/>
      <c r="AX92" s="1047"/>
      <c r="AY92" s="1047"/>
      <c r="AZ92" s="1047"/>
      <c r="BA92" s="1047"/>
      <c r="BB92" s="1047"/>
    </row>
    <row r="94" spans="2:54" x14ac:dyDescent="0.3">
      <c r="B94" s="426" t="s">
        <v>1576</v>
      </c>
      <c r="C94" s="603"/>
      <c r="D94" s="430">
        <f>D7+D36+D65</f>
        <v>3445127</v>
      </c>
      <c r="E94" s="430">
        <f t="shared" ref="E94:AI94" si="180">E7+E36+E65</f>
        <v>9159400</v>
      </c>
      <c r="F94" s="430">
        <f t="shared" si="180"/>
        <v>12017500</v>
      </c>
      <c r="G94" s="430">
        <f t="shared" si="180"/>
        <v>6187500</v>
      </c>
      <c r="H94" s="430">
        <f t="shared" si="180"/>
        <v>4170000</v>
      </c>
      <c r="I94" s="430">
        <f t="shared" si="180"/>
        <v>4197000</v>
      </c>
      <c r="J94" s="430">
        <f t="shared" si="180"/>
        <v>3667000</v>
      </c>
      <c r="K94" s="430">
        <f t="shared" si="180"/>
        <v>5752000</v>
      </c>
      <c r="L94" s="430">
        <f t="shared" si="180"/>
        <v>3512000</v>
      </c>
      <c r="M94" s="430">
        <f t="shared" si="180"/>
        <v>3492000</v>
      </c>
      <c r="N94" s="430">
        <f t="shared" si="180"/>
        <v>0</v>
      </c>
      <c r="O94" s="430">
        <f t="shared" si="180"/>
        <v>0</v>
      </c>
      <c r="P94" s="430">
        <f t="shared" si="180"/>
        <v>0</v>
      </c>
      <c r="Q94" s="430">
        <f t="shared" si="180"/>
        <v>0</v>
      </c>
      <c r="R94" s="430">
        <f t="shared" si="180"/>
        <v>0</v>
      </c>
      <c r="S94" s="430">
        <f t="shared" si="180"/>
        <v>0</v>
      </c>
      <c r="T94" s="430">
        <f t="shared" si="180"/>
        <v>0</v>
      </c>
      <c r="U94" s="430">
        <f t="shared" si="180"/>
        <v>0</v>
      </c>
      <c r="V94" s="430">
        <f t="shared" si="180"/>
        <v>0</v>
      </c>
      <c r="W94" s="430">
        <f t="shared" si="180"/>
        <v>0</v>
      </c>
      <c r="X94" s="430">
        <f t="shared" si="180"/>
        <v>0</v>
      </c>
      <c r="Y94" s="430">
        <f t="shared" si="180"/>
        <v>0</v>
      </c>
      <c r="Z94" s="430">
        <f t="shared" si="180"/>
        <v>0</v>
      </c>
      <c r="AA94" s="430">
        <f t="shared" si="180"/>
        <v>0</v>
      </c>
      <c r="AB94" s="430">
        <f t="shared" si="180"/>
        <v>0</v>
      </c>
      <c r="AC94" s="430">
        <f t="shared" si="180"/>
        <v>0</v>
      </c>
      <c r="AD94" s="430">
        <f t="shared" si="180"/>
        <v>0</v>
      </c>
      <c r="AE94" s="430">
        <f t="shared" si="180"/>
        <v>0</v>
      </c>
      <c r="AF94" s="430">
        <f t="shared" si="180"/>
        <v>0</v>
      </c>
      <c r="AG94" s="430">
        <f t="shared" si="180"/>
        <v>0</v>
      </c>
      <c r="AH94" s="430">
        <f t="shared" si="180"/>
        <v>0</v>
      </c>
      <c r="AI94" s="430">
        <f t="shared" si="180"/>
        <v>0</v>
      </c>
      <c r="AJ94" s="430">
        <f t="shared" ref="AJ94:BB94" si="181">AJ7+AJ36+AJ65</f>
        <v>0</v>
      </c>
      <c r="AK94" s="430">
        <f t="shared" si="181"/>
        <v>0</v>
      </c>
      <c r="AL94" s="430">
        <f t="shared" si="181"/>
        <v>0</v>
      </c>
      <c r="AM94" s="430">
        <f t="shared" si="181"/>
        <v>0</v>
      </c>
      <c r="AN94" s="430">
        <f t="shared" si="181"/>
        <v>0</v>
      </c>
      <c r="AO94" s="430">
        <f t="shared" si="181"/>
        <v>0</v>
      </c>
      <c r="AP94" s="430">
        <f t="shared" si="181"/>
        <v>0</v>
      </c>
      <c r="AQ94" s="430">
        <f t="shared" si="181"/>
        <v>0</v>
      </c>
      <c r="AR94" s="430">
        <f t="shared" si="181"/>
        <v>0</v>
      </c>
      <c r="AS94" s="430">
        <f t="shared" si="181"/>
        <v>0</v>
      </c>
      <c r="AT94" s="430">
        <f t="shared" si="181"/>
        <v>0</v>
      </c>
      <c r="AU94" s="430">
        <f t="shared" si="181"/>
        <v>0</v>
      </c>
      <c r="AV94" s="430">
        <f t="shared" si="181"/>
        <v>0</v>
      </c>
      <c r="AW94" s="430">
        <f t="shared" si="181"/>
        <v>0</v>
      </c>
      <c r="AX94" s="430">
        <f t="shared" si="181"/>
        <v>0</v>
      </c>
      <c r="AY94" s="430">
        <f t="shared" si="181"/>
        <v>0</v>
      </c>
      <c r="AZ94" s="430">
        <f t="shared" si="181"/>
        <v>0</v>
      </c>
      <c r="BA94" s="430">
        <f t="shared" si="181"/>
        <v>0</v>
      </c>
      <c r="BB94" s="430">
        <f t="shared" si="181"/>
        <v>0</v>
      </c>
    </row>
    <row r="95" spans="2:54" x14ac:dyDescent="0.3">
      <c r="B95" s="431"/>
      <c r="C95" s="603"/>
      <c r="D95" s="421"/>
      <c r="E95" s="421"/>
      <c r="F95" s="421"/>
      <c r="G95" s="421"/>
      <c r="H95" s="421"/>
      <c r="I95" s="421"/>
      <c r="J95" s="421"/>
      <c r="K95" s="421"/>
      <c r="L95" s="421"/>
      <c r="M95" s="421"/>
      <c r="N95" s="421"/>
      <c r="O95" s="421"/>
      <c r="P95" s="421"/>
      <c r="Q95" s="421"/>
      <c r="R95" s="421"/>
      <c r="S95" s="421"/>
      <c r="T95" s="421"/>
      <c r="U95" s="421"/>
      <c r="V95" s="421"/>
      <c r="W95" s="421"/>
      <c r="X95" s="421"/>
      <c r="Y95" s="421"/>
      <c r="Z95" s="421"/>
      <c r="AA95" s="421"/>
      <c r="AB95" s="421"/>
      <c r="AC95" s="421"/>
      <c r="AD95" s="421"/>
      <c r="AE95" s="421"/>
      <c r="AF95" s="421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1"/>
      <c r="AS95" s="421"/>
      <c r="AT95" s="421"/>
      <c r="AU95" s="421"/>
      <c r="AV95" s="421"/>
      <c r="AW95" s="421"/>
      <c r="AX95" s="421"/>
      <c r="AY95" s="421"/>
      <c r="AZ95" s="421"/>
      <c r="BA95" s="421"/>
      <c r="BB95" s="421"/>
    </row>
    <row r="96" spans="2:54" x14ac:dyDescent="0.3">
      <c r="B96" s="426" t="s">
        <v>1584</v>
      </c>
      <c r="C96" s="603"/>
      <c r="D96" s="421"/>
      <c r="E96" s="421"/>
      <c r="F96" s="421"/>
      <c r="G96" s="421"/>
      <c r="H96" s="421"/>
      <c r="I96" s="421"/>
      <c r="J96" s="421"/>
      <c r="K96" s="421"/>
      <c r="L96" s="421"/>
      <c r="M96" s="421"/>
      <c r="N96" s="421"/>
      <c r="O96" s="421"/>
      <c r="P96" s="421"/>
      <c r="Q96" s="421"/>
      <c r="R96" s="421"/>
      <c r="S96" s="421"/>
      <c r="T96" s="421"/>
      <c r="U96" s="421"/>
      <c r="V96" s="421"/>
      <c r="W96" s="421"/>
      <c r="X96" s="421"/>
      <c r="Y96" s="421"/>
      <c r="Z96" s="421"/>
      <c r="AA96" s="421"/>
      <c r="AB96" s="421"/>
      <c r="AC96" s="421"/>
      <c r="AD96" s="421"/>
      <c r="AE96" s="421"/>
      <c r="AF96" s="421"/>
      <c r="AG96" s="421"/>
      <c r="AH96" s="421"/>
      <c r="AI96" s="421"/>
      <c r="AJ96" s="421"/>
      <c r="AK96" s="421"/>
      <c r="AL96" s="421"/>
      <c r="AM96" s="421"/>
      <c r="AN96" s="421"/>
      <c r="AO96" s="421"/>
      <c r="AP96" s="421"/>
      <c r="AQ96" s="421"/>
      <c r="AR96" s="421"/>
      <c r="AS96" s="421"/>
      <c r="AT96" s="421"/>
      <c r="AU96" s="421"/>
      <c r="AV96" s="421"/>
      <c r="AW96" s="421"/>
      <c r="AX96" s="421"/>
      <c r="AY96" s="421"/>
      <c r="AZ96" s="421"/>
      <c r="BA96" s="421"/>
      <c r="BB96" s="421"/>
    </row>
    <row r="97" spans="1:54" x14ac:dyDescent="0.3">
      <c r="B97" s="434" t="s">
        <v>1578</v>
      </c>
      <c r="C97" s="673">
        <f>C10</f>
        <v>2016</v>
      </c>
      <c r="D97" s="421"/>
      <c r="E97" s="421"/>
      <c r="F97" s="421"/>
      <c r="G97" s="421"/>
      <c r="H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  <c r="AF97" s="421"/>
      <c r="AG97" s="421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1"/>
      <c r="AS97" s="421"/>
      <c r="AT97" s="421"/>
      <c r="AU97" s="421"/>
      <c r="AV97" s="421"/>
      <c r="AW97" s="421"/>
      <c r="AX97" s="421"/>
      <c r="AY97" s="421"/>
      <c r="AZ97" s="421"/>
      <c r="BA97" s="421"/>
      <c r="BB97" s="421"/>
    </row>
    <row r="98" spans="1:54" x14ac:dyDescent="0.3">
      <c r="B98" s="434" t="str">
        <f>"Total Replacement Cost in Arrears ("&amp;C97&amp;" Dollars)"</f>
        <v>Total Replacement Cost in Arrears (2016 Dollars)</v>
      </c>
      <c r="C98" s="435">
        <f>C11+C40+C69</f>
        <v>28217995.905326482</v>
      </c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421"/>
      <c r="Z98" s="421"/>
      <c r="AA98" s="421"/>
      <c r="AB98" s="421"/>
      <c r="AC98" s="421"/>
      <c r="AD98" s="421"/>
      <c r="AE98" s="421"/>
      <c r="AF98" s="421"/>
      <c r="AG98" s="421"/>
      <c r="AH98" s="421"/>
      <c r="AI98" s="421"/>
      <c r="AJ98" s="421"/>
      <c r="AK98" s="421"/>
      <c r="AL98" s="421"/>
      <c r="AM98" s="421"/>
      <c r="AN98" s="421"/>
      <c r="AO98" s="421"/>
      <c r="AP98" s="421"/>
      <c r="AQ98" s="421"/>
      <c r="AR98" s="421"/>
      <c r="AS98" s="421"/>
      <c r="AT98" s="421"/>
      <c r="AU98" s="421"/>
      <c r="AV98" s="421"/>
      <c r="AW98" s="421"/>
      <c r="AX98" s="421"/>
      <c r="AY98" s="421"/>
      <c r="AZ98" s="421"/>
      <c r="BA98" s="421"/>
      <c r="BB98" s="421"/>
    </row>
    <row r="99" spans="1:54" x14ac:dyDescent="0.3">
      <c r="B99" s="424"/>
      <c r="C99" s="424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  <c r="AA99" s="421"/>
      <c r="AB99" s="421"/>
      <c r="AC99" s="421"/>
      <c r="AD99" s="421"/>
      <c r="AE99" s="421"/>
      <c r="AF99" s="421"/>
      <c r="AG99" s="421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1"/>
      <c r="AS99" s="421"/>
      <c r="AT99" s="421"/>
      <c r="AU99" s="421"/>
      <c r="AV99" s="421"/>
      <c r="AW99" s="421"/>
      <c r="AX99" s="421"/>
      <c r="AY99" s="421"/>
      <c r="AZ99" s="421"/>
      <c r="BA99" s="421"/>
      <c r="BB99" s="421"/>
    </row>
    <row r="100" spans="1:54" x14ac:dyDescent="0.3">
      <c r="B100" s="434" t="str">
        <f>"Replacement Cost of Assets in Arrears (Averaged over "&amp;C99&amp;" Years)"</f>
        <v>Replacement Cost of Assets in Arrears (Averaged over  Years)</v>
      </c>
      <c r="C100" s="603"/>
      <c r="D100" s="437">
        <f t="shared" ref="D100:AI100" si="182">D16+D45+D74</f>
        <v>2979460.266239428</v>
      </c>
      <c r="E100" s="437">
        <f t="shared" si="182"/>
        <v>2952233.8903124453</v>
      </c>
      <c r="F100" s="437">
        <f t="shared" si="182"/>
        <v>2952233.8903124453</v>
      </c>
      <c r="G100" s="437">
        <f t="shared" si="182"/>
        <v>2952233.8903124453</v>
      </c>
      <c r="H100" s="437">
        <f t="shared" si="182"/>
        <v>2952233.8903124453</v>
      </c>
      <c r="I100" s="437">
        <f t="shared" si="182"/>
        <v>2685920.0155674582</v>
      </c>
      <c r="J100" s="437">
        <f t="shared" si="182"/>
        <v>2685920.0155674582</v>
      </c>
      <c r="K100" s="437">
        <f t="shared" si="182"/>
        <v>2685920.0155674582</v>
      </c>
      <c r="L100" s="437">
        <f t="shared" si="182"/>
        <v>2685920.0155674582</v>
      </c>
      <c r="M100" s="437">
        <f t="shared" si="182"/>
        <v>2685920.0155674582</v>
      </c>
      <c r="N100" s="437">
        <f t="shared" si="182"/>
        <v>0</v>
      </c>
      <c r="O100" s="437">
        <f t="shared" si="182"/>
        <v>0</v>
      </c>
      <c r="P100" s="437">
        <f t="shared" si="182"/>
        <v>0</v>
      </c>
      <c r="Q100" s="437">
        <f t="shared" si="182"/>
        <v>0</v>
      </c>
      <c r="R100" s="437">
        <f t="shared" si="182"/>
        <v>0</v>
      </c>
      <c r="S100" s="437">
        <f t="shared" si="182"/>
        <v>0</v>
      </c>
      <c r="T100" s="437">
        <f t="shared" si="182"/>
        <v>0</v>
      </c>
      <c r="U100" s="437">
        <f t="shared" si="182"/>
        <v>0</v>
      </c>
      <c r="V100" s="437">
        <f t="shared" si="182"/>
        <v>0</v>
      </c>
      <c r="W100" s="437">
        <f t="shared" si="182"/>
        <v>0</v>
      </c>
      <c r="X100" s="437">
        <f t="shared" si="182"/>
        <v>0</v>
      </c>
      <c r="Y100" s="437">
        <f t="shared" si="182"/>
        <v>0</v>
      </c>
      <c r="Z100" s="437">
        <f t="shared" si="182"/>
        <v>0</v>
      </c>
      <c r="AA100" s="437">
        <f t="shared" si="182"/>
        <v>0</v>
      </c>
      <c r="AB100" s="437">
        <f t="shared" si="182"/>
        <v>0</v>
      </c>
      <c r="AC100" s="437">
        <f t="shared" si="182"/>
        <v>0</v>
      </c>
      <c r="AD100" s="437">
        <f t="shared" si="182"/>
        <v>0</v>
      </c>
      <c r="AE100" s="437">
        <f t="shared" si="182"/>
        <v>0</v>
      </c>
      <c r="AF100" s="437">
        <f t="shared" si="182"/>
        <v>0</v>
      </c>
      <c r="AG100" s="437">
        <f t="shared" si="182"/>
        <v>0</v>
      </c>
      <c r="AH100" s="437">
        <f t="shared" si="182"/>
        <v>0</v>
      </c>
      <c r="AI100" s="437">
        <f t="shared" si="182"/>
        <v>0</v>
      </c>
      <c r="AJ100" s="437">
        <f t="shared" ref="AJ100:BB100" si="183">AJ16+AJ45+AJ74</f>
        <v>0</v>
      </c>
      <c r="AK100" s="437">
        <f t="shared" si="183"/>
        <v>0</v>
      </c>
      <c r="AL100" s="437">
        <f t="shared" si="183"/>
        <v>0</v>
      </c>
      <c r="AM100" s="437">
        <f t="shared" si="183"/>
        <v>0</v>
      </c>
      <c r="AN100" s="437">
        <f t="shared" si="183"/>
        <v>0</v>
      </c>
      <c r="AO100" s="437">
        <f t="shared" si="183"/>
        <v>0</v>
      </c>
      <c r="AP100" s="437">
        <f t="shared" si="183"/>
        <v>0</v>
      </c>
      <c r="AQ100" s="437">
        <f t="shared" si="183"/>
        <v>0</v>
      </c>
      <c r="AR100" s="437">
        <f t="shared" si="183"/>
        <v>0</v>
      </c>
      <c r="AS100" s="437">
        <f t="shared" si="183"/>
        <v>0</v>
      </c>
      <c r="AT100" s="437">
        <f t="shared" si="183"/>
        <v>0</v>
      </c>
      <c r="AU100" s="437">
        <f t="shared" si="183"/>
        <v>0</v>
      </c>
      <c r="AV100" s="437">
        <f t="shared" si="183"/>
        <v>0</v>
      </c>
      <c r="AW100" s="437">
        <f t="shared" si="183"/>
        <v>0</v>
      </c>
      <c r="AX100" s="437">
        <f t="shared" si="183"/>
        <v>0</v>
      </c>
      <c r="AY100" s="437">
        <f t="shared" si="183"/>
        <v>0</v>
      </c>
      <c r="AZ100" s="437">
        <f t="shared" si="183"/>
        <v>0</v>
      </c>
      <c r="BA100" s="437">
        <f t="shared" si="183"/>
        <v>0</v>
      </c>
      <c r="BB100" s="437">
        <f t="shared" si="183"/>
        <v>0</v>
      </c>
    </row>
    <row r="101" spans="1:54" x14ac:dyDescent="0.3">
      <c r="B101" s="434" t="s">
        <v>1579</v>
      </c>
      <c r="C101" s="603"/>
      <c r="D101" s="437">
        <f t="shared" ref="D101:AI101" si="184">D17+D46+D75</f>
        <v>239203.95487205349</v>
      </c>
      <c r="E101" s="437">
        <f t="shared" si="184"/>
        <v>148123.83948355564</v>
      </c>
      <c r="F101" s="437">
        <f t="shared" si="184"/>
        <v>1617935.2878406325</v>
      </c>
      <c r="G101" s="437">
        <f t="shared" si="184"/>
        <v>20258139.899241827</v>
      </c>
      <c r="H101" s="437">
        <f t="shared" si="184"/>
        <v>2802691.4701109985</v>
      </c>
      <c r="I101" s="437">
        <f t="shared" si="184"/>
        <v>1150788.4385233275</v>
      </c>
      <c r="J101" s="437">
        <f t="shared" si="184"/>
        <v>3127130.9625476343</v>
      </c>
      <c r="K101" s="437">
        <f t="shared" si="184"/>
        <v>15416887.827066736</v>
      </c>
      <c r="L101" s="437">
        <f t="shared" si="184"/>
        <v>5668823.1757752113</v>
      </c>
      <c r="M101" s="437">
        <f t="shared" si="184"/>
        <v>13190947.645284599</v>
      </c>
      <c r="N101" s="437">
        <f t="shared" si="184"/>
        <v>15506705.07078959</v>
      </c>
      <c r="O101" s="437">
        <f t="shared" si="184"/>
        <v>7278669.00209428</v>
      </c>
      <c r="P101" s="437">
        <f t="shared" si="184"/>
        <v>22843202.036705244</v>
      </c>
      <c r="Q101" s="437">
        <f t="shared" si="184"/>
        <v>9318435.070068758</v>
      </c>
      <c r="R101" s="437">
        <f t="shared" si="184"/>
        <v>9118421.7334434539</v>
      </c>
      <c r="S101" s="437">
        <f t="shared" si="184"/>
        <v>2429152.042581181</v>
      </c>
      <c r="T101" s="437">
        <f t="shared" si="184"/>
        <v>4487142.3418345582</v>
      </c>
      <c r="U101" s="437">
        <f t="shared" si="184"/>
        <v>7685284.9692209382</v>
      </c>
      <c r="V101" s="437">
        <f t="shared" si="184"/>
        <v>53480049.895040974</v>
      </c>
      <c r="W101" s="437">
        <f t="shared" si="184"/>
        <v>8706351.1107060369</v>
      </c>
      <c r="X101" s="437">
        <f t="shared" si="184"/>
        <v>22479439.784876507</v>
      </c>
      <c r="Y101" s="437">
        <f t="shared" si="184"/>
        <v>33965902.90129225</v>
      </c>
      <c r="Z101" s="437">
        <f t="shared" si="184"/>
        <v>14638734.139926359</v>
      </c>
      <c r="AA101" s="437">
        <f t="shared" si="184"/>
        <v>21751253.482538681</v>
      </c>
      <c r="AB101" s="437">
        <f t="shared" si="184"/>
        <v>23307000.362342134</v>
      </c>
      <c r="AC101" s="437">
        <f t="shared" si="184"/>
        <v>5125893.5964401141</v>
      </c>
      <c r="AD101" s="437">
        <f t="shared" si="184"/>
        <v>9146455.713123206</v>
      </c>
      <c r="AE101" s="437">
        <f t="shared" si="184"/>
        <v>9623462.2529817708</v>
      </c>
      <c r="AF101" s="437">
        <f t="shared" si="184"/>
        <v>20247470.300376885</v>
      </c>
      <c r="AG101" s="437">
        <f t="shared" si="184"/>
        <v>15767103.144915111</v>
      </c>
      <c r="AH101" s="437">
        <f t="shared" si="184"/>
        <v>14745307.780034317</v>
      </c>
      <c r="AI101" s="437">
        <f t="shared" si="184"/>
        <v>12903319.410533957</v>
      </c>
      <c r="AJ101" s="437">
        <f t="shared" ref="AJ101:BB101" si="185">AJ17+AJ46+AJ75</f>
        <v>7856978.6556769405</v>
      </c>
      <c r="AK101" s="437">
        <f t="shared" si="185"/>
        <v>7641384.9199139997</v>
      </c>
      <c r="AL101" s="437">
        <f t="shared" si="185"/>
        <v>21929163.596953314</v>
      </c>
      <c r="AM101" s="437">
        <f t="shared" si="185"/>
        <v>12022642.468363374</v>
      </c>
      <c r="AN101" s="437">
        <f t="shared" si="185"/>
        <v>13727590.549299091</v>
      </c>
      <c r="AO101" s="437">
        <f t="shared" si="185"/>
        <v>16979706.423039645</v>
      </c>
      <c r="AP101" s="437">
        <f t="shared" si="185"/>
        <v>10908069.775867112</v>
      </c>
      <c r="AQ101" s="437">
        <f t="shared" si="185"/>
        <v>32406255.657075197</v>
      </c>
      <c r="AR101" s="437">
        <f t="shared" si="185"/>
        <v>50589481.687812328</v>
      </c>
      <c r="AS101" s="437">
        <f t="shared" si="185"/>
        <v>20889720.07392678</v>
      </c>
      <c r="AT101" s="437">
        <f t="shared" si="185"/>
        <v>23117299.813921571</v>
      </c>
      <c r="AU101" s="437">
        <f t="shared" si="185"/>
        <v>47304881.696074806</v>
      </c>
      <c r="AV101" s="437">
        <f t="shared" si="185"/>
        <v>16540393.185574798</v>
      </c>
      <c r="AW101" s="437">
        <f t="shared" si="185"/>
        <v>7404968.7655555997</v>
      </c>
      <c r="AX101" s="437">
        <f t="shared" si="185"/>
        <v>9647544.620489927</v>
      </c>
      <c r="AY101" s="437">
        <f t="shared" si="185"/>
        <v>22988960.725694627</v>
      </c>
      <c r="AZ101" s="437">
        <f t="shared" si="185"/>
        <v>2806016.504699057</v>
      </c>
      <c r="BA101" s="437">
        <f t="shared" si="185"/>
        <v>0</v>
      </c>
      <c r="BB101" s="437">
        <f t="shared" si="185"/>
        <v>0</v>
      </c>
    </row>
    <row r="102" spans="1:54" x14ac:dyDescent="0.3">
      <c r="B102" s="429" t="s">
        <v>1580</v>
      </c>
      <c r="D102" s="440">
        <f t="shared" ref="D102:AI102" si="186">D18+D47+D76</f>
        <v>3218664.2211114811</v>
      </c>
      <c r="E102" s="440">
        <f t="shared" si="186"/>
        <v>3100357.7297960008</v>
      </c>
      <c r="F102" s="440">
        <f t="shared" si="186"/>
        <v>4570169.1781530781</v>
      </c>
      <c r="G102" s="440">
        <f t="shared" si="186"/>
        <v>23210373.789554272</v>
      </c>
      <c r="H102" s="440">
        <f t="shared" si="186"/>
        <v>5754925.3604234438</v>
      </c>
      <c r="I102" s="440">
        <f t="shared" si="186"/>
        <v>3836708.4540907852</v>
      </c>
      <c r="J102" s="440">
        <f t="shared" si="186"/>
        <v>5813050.978115092</v>
      </c>
      <c r="K102" s="440">
        <f t="shared" si="186"/>
        <v>18102807.842634194</v>
      </c>
      <c r="L102" s="440">
        <f t="shared" si="186"/>
        <v>8354743.1913426695</v>
      </c>
      <c r="M102" s="440">
        <f t="shared" si="186"/>
        <v>15876867.660852056</v>
      </c>
      <c r="N102" s="440">
        <f t="shared" si="186"/>
        <v>15506705.07078959</v>
      </c>
      <c r="O102" s="440">
        <f t="shared" si="186"/>
        <v>7278669.00209428</v>
      </c>
      <c r="P102" s="440">
        <f t="shared" si="186"/>
        <v>22843202.036705244</v>
      </c>
      <c r="Q102" s="440">
        <f t="shared" si="186"/>
        <v>9318435.070068758</v>
      </c>
      <c r="R102" s="440">
        <f t="shared" si="186"/>
        <v>9118421.7334434539</v>
      </c>
      <c r="S102" s="440">
        <f t="shared" si="186"/>
        <v>2429152.042581181</v>
      </c>
      <c r="T102" s="440">
        <f t="shared" si="186"/>
        <v>4487142.3418345582</v>
      </c>
      <c r="U102" s="440">
        <f t="shared" si="186"/>
        <v>7685284.9692209382</v>
      </c>
      <c r="V102" s="440">
        <f t="shared" si="186"/>
        <v>53480049.895040974</v>
      </c>
      <c r="W102" s="440">
        <f t="shared" si="186"/>
        <v>8706351.1107060369</v>
      </c>
      <c r="X102" s="440">
        <f t="shared" si="186"/>
        <v>22479439.784876507</v>
      </c>
      <c r="Y102" s="440">
        <f t="shared" si="186"/>
        <v>33965902.90129225</v>
      </c>
      <c r="Z102" s="440">
        <f t="shared" si="186"/>
        <v>14638734.139926359</v>
      </c>
      <c r="AA102" s="440">
        <f t="shared" si="186"/>
        <v>21751253.482538681</v>
      </c>
      <c r="AB102" s="440">
        <f t="shared" si="186"/>
        <v>23307000.362342134</v>
      </c>
      <c r="AC102" s="440">
        <f t="shared" si="186"/>
        <v>5125893.5964401141</v>
      </c>
      <c r="AD102" s="440">
        <f t="shared" si="186"/>
        <v>9146455.713123206</v>
      </c>
      <c r="AE102" s="440">
        <f t="shared" si="186"/>
        <v>9623462.2529817708</v>
      </c>
      <c r="AF102" s="440">
        <f t="shared" si="186"/>
        <v>20247470.300376885</v>
      </c>
      <c r="AG102" s="440">
        <f t="shared" si="186"/>
        <v>15767103.144915111</v>
      </c>
      <c r="AH102" s="440">
        <f t="shared" si="186"/>
        <v>14745307.780034317</v>
      </c>
      <c r="AI102" s="440">
        <f t="shared" si="186"/>
        <v>12903319.410533957</v>
      </c>
      <c r="AJ102" s="440">
        <f t="shared" ref="AJ102:BB102" si="187">AJ18+AJ47+AJ76</f>
        <v>7856978.6556769405</v>
      </c>
      <c r="AK102" s="440">
        <f t="shared" si="187"/>
        <v>7641384.9199139997</v>
      </c>
      <c r="AL102" s="440">
        <f t="shared" si="187"/>
        <v>21929163.596953314</v>
      </c>
      <c r="AM102" s="440">
        <f t="shared" si="187"/>
        <v>12022642.468363374</v>
      </c>
      <c r="AN102" s="440">
        <f t="shared" si="187"/>
        <v>13727590.549299091</v>
      </c>
      <c r="AO102" s="440">
        <f t="shared" si="187"/>
        <v>16979706.423039645</v>
      </c>
      <c r="AP102" s="440">
        <f t="shared" si="187"/>
        <v>10908069.775867112</v>
      </c>
      <c r="AQ102" s="440">
        <f t="shared" si="187"/>
        <v>32406255.657075197</v>
      </c>
      <c r="AR102" s="440">
        <f t="shared" si="187"/>
        <v>50589481.687812328</v>
      </c>
      <c r="AS102" s="440">
        <f t="shared" si="187"/>
        <v>20889720.07392678</v>
      </c>
      <c r="AT102" s="440">
        <f t="shared" si="187"/>
        <v>23117299.813921571</v>
      </c>
      <c r="AU102" s="440">
        <f t="shared" si="187"/>
        <v>47304881.696074806</v>
      </c>
      <c r="AV102" s="440">
        <f t="shared" si="187"/>
        <v>16540393.185574798</v>
      </c>
      <c r="AW102" s="440">
        <f t="shared" si="187"/>
        <v>7404968.7655555997</v>
      </c>
      <c r="AX102" s="440">
        <f t="shared" si="187"/>
        <v>9647544.620489927</v>
      </c>
      <c r="AY102" s="440">
        <f t="shared" si="187"/>
        <v>22988960.725694627</v>
      </c>
      <c r="AZ102" s="440">
        <f t="shared" si="187"/>
        <v>2806016.504699057</v>
      </c>
      <c r="BA102" s="440">
        <f t="shared" si="187"/>
        <v>0</v>
      </c>
      <c r="BB102" s="440">
        <f t="shared" si="187"/>
        <v>0</v>
      </c>
    </row>
    <row r="103" spans="1:54" x14ac:dyDescent="0.3">
      <c r="B103" s="442"/>
      <c r="D103" s="421"/>
      <c r="E103" s="421"/>
      <c r="F103" s="421"/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421"/>
      <c r="R103" s="421"/>
      <c r="S103" s="421"/>
      <c r="T103" s="421"/>
      <c r="U103" s="421"/>
      <c r="V103" s="421"/>
      <c r="W103" s="421"/>
      <c r="X103" s="421"/>
      <c r="Y103" s="421"/>
      <c r="Z103" s="421"/>
      <c r="AA103" s="421"/>
      <c r="AB103" s="421"/>
      <c r="AC103" s="421"/>
      <c r="AD103" s="421"/>
      <c r="AE103" s="421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1"/>
      <c r="AS103" s="421"/>
      <c r="AT103" s="421"/>
      <c r="AU103" s="421"/>
      <c r="AV103" s="421"/>
      <c r="AW103" s="421"/>
      <c r="AX103" s="421"/>
      <c r="AY103" s="421"/>
      <c r="AZ103" s="421"/>
      <c r="BA103" s="421"/>
      <c r="BB103" s="421"/>
    </row>
    <row r="104" spans="1:54" x14ac:dyDescent="0.3">
      <c r="B104" s="429" t="s">
        <v>1581</v>
      </c>
      <c r="D104" s="446">
        <f t="shared" ref="D104:AI104" si="188">D20+D49+D78</f>
        <v>-226462.77888851892</v>
      </c>
      <c r="E104" s="446">
        <f t="shared" si="188"/>
        <v>-6059042.2702039992</v>
      </c>
      <c r="F104" s="446">
        <f t="shared" si="188"/>
        <v>-7447330.8218469229</v>
      </c>
      <c r="G104" s="446">
        <f t="shared" si="188"/>
        <v>17022873.789554272</v>
      </c>
      <c r="H104" s="446">
        <f t="shared" si="188"/>
        <v>1584925.3604234438</v>
      </c>
      <c r="I104" s="446">
        <f t="shared" si="188"/>
        <v>-360291.54590921476</v>
      </c>
      <c r="J104" s="446">
        <f t="shared" si="188"/>
        <v>2146050.978115092</v>
      </c>
      <c r="K104" s="446">
        <f t="shared" si="188"/>
        <v>12350807.842634192</v>
      </c>
      <c r="L104" s="446">
        <f t="shared" si="188"/>
        <v>4842743.1913426695</v>
      </c>
      <c r="M104" s="446">
        <f t="shared" si="188"/>
        <v>12384867.660852056</v>
      </c>
      <c r="N104" s="446">
        <f t="shared" si="188"/>
        <v>15506705.07078959</v>
      </c>
      <c r="O104" s="446">
        <f t="shared" si="188"/>
        <v>7278669.00209428</v>
      </c>
      <c r="P104" s="446">
        <f t="shared" si="188"/>
        <v>22843202.036705244</v>
      </c>
      <c r="Q104" s="446">
        <f t="shared" si="188"/>
        <v>9318435.070068758</v>
      </c>
      <c r="R104" s="446">
        <f t="shared" si="188"/>
        <v>9118421.7334434539</v>
      </c>
      <c r="S104" s="446">
        <f t="shared" si="188"/>
        <v>2429152.042581181</v>
      </c>
      <c r="T104" s="446">
        <f t="shared" si="188"/>
        <v>4487142.3418345582</v>
      </c>
      <c r="U104" s="446">
        <f t="shared" si="188"/>
        <v>7685284.9692209382</v>
      </c>
      <c r="V104" s="446">
        <f t="shared" si="188"/>
        <v>53480049.895040974</v>
      </c>
      <c r="W104" s="446">
        <f t="shared" si="188"/>
        <v>8706351.1107060369</v>
      </c>
      <c r="X104" s="446">
        <f t="shared" si="188"/>
        <v>22479439.784876507</v>
      </c>
      <c r="Y104" s="446">
        <f t="shared" si="188"/>
        <v>33965902.90129225</v>
      </c>
      <c r="Z104" s="446">
        <f t="shared" si="188"/>
        <v>14638734.139926359</v>
      </c>
      <c r="AA104" s="446">
        <f t="shared" si="188"/>
        <v>21751253.482538681</v>
      </c>
      <c r="AB104" s="446">
        <f t="shared" si="188"/>
        <v>23307000.362342134</v>
      </c>
      <c r="AC104" s="446">
        <f t="shared" si="188"/>
        <v>5125893.5964401141</v>
      </c>
      <c r="AD104" s="446">
        <f t="shared" si="188"/>
        <v>9146455.713123206</v>
      </c>
      <c r="AE104" s="446">
        <f t="shared" si="188"/>
        <v>9623462.2529817708</v>
      </c>
      <c r="AF104" s="446">
        <f t="shared" si="188"/>
        <v>20247470.300376885</v>
      </c>
      <c r="AG104" s="446">
        <f t="shared" si="188"/>
        <v>15767103.144915111</v>
      </c>
      <c r="AH104" s="446">
        <f t="shared" si="188"/>
        <v>14745307.780034317</v>
      </c>
      <c r="AI104" s="446">
        <f t="shared" si="188"/>
        <v>12903319.410533957</v>
      </c>
      <c r="AJ104" s="446">
        <f t="shared" ref="AJ104:BB104" si="189">AJ20+AJ49+AJ78</f>
        <v>7856978.6556769405</v>
      </c>
      <c r="AK104" s="446">
        <f t="shared" si="189"/>
        <v>7641384.9199139997</v>
      </c>
      <c r="AL104" s="446">
        <f t="shared" si="189"/>
        <v>21929163.596953314</v>
      </c>
      <c r="AM104" s="446">
        <f t="shared" si="189"/>
        <v>12022642.468363374</v>
      </c>
      <c r="AN104" s="446">
        <f t="shared" si="189"/>
        <v>13727590.549299091</v>
      </c>
      <c r="AO104" s="446">
        <f t="shared" si="189"/>
        <v>16979706.423039645</v>
      </c>
      <c r="AP104" s="446">
        <f t="shared" si="189"/>
        <v>10908069.775867112</v>
      </c>
      <c r="AQ104" s="446">
        <f t="shared" si="189"/>
        <v>32406255.657075197</v>
      </c>
      <c r="AR104" s="446">
        <f t="shared" si="189"/>
        <v>50589481.687812328</v>
      </c>
      <c r="AS104" s="446">
        <f t="shared" si="189"/>
        <v>20889720.07392678</v>
      </c>
      <c r="AT104" s="446">
        <f t="shared" si="189"/>
        <v>23117299.813921571</v>
      </c>
      <c r="AU104" s="446">
        <f t="shared" si="189"/>
        <v>47304881.696074806</v>
      </c>
      <c r="AV104" s="446">
        <f t="shared" si="189"/>
        <v>16540393.185574798</v>
      </c>
      <c r="AW104" s="446">
        <f t="shared" si="189"/>
        <v>7404968.7655555997</v>
      </c>
      <c r="AX104" s="446">
        <f t="shared" si="189"/>
        <v>9647544.620489927</v>
      </c>
      <c r="AY104" s="446">
        <f t="shared" si="189"/>
        <v>22988960.725694627</v>
      </c>
      <c r="AZ104" s="446">
        <f t="shared" si="189"/>
        <v>2806016.504699057</v>
      </c>
      <c r="BA104" s="446">
        <f t="shared" si="189"/>
        <v>0</v>
      </c>
      <c r="BB104" s="446">
        <f t="shared" si="189"/>
        <v>0</v>
      </c>
    </row>
    <row r="105" spans="1:54" x14ac:dyDescent="0.3">
      <c r="B105" s="442"/>
      <c r="D105" s="421"/>
      <c r="E105" s="421"/>
      <c r="F105" s="421"/>
      <c r="G105" s="421"/>
      <c r="H105" s="421"/>
      <c r="I105" s="421"/>
      <c r="J105" s="421"/>
      <c r="K105" s="421"/>
      <c r="L105" s="421"/>
      <c r="M105" s="421"/>
      <c r="N105" s="421"/>
      <c r="O105" s="421"/>
      <c r="P105" s="421"/>
      <c r="Q105" s="421"/>
      <c r="R105" s="421"/>
      <c r="S105" s="421"/>
      <c r="T105" s="421"/>
      <c r="U105" s="421"/>
      <c r="V105" s="421"/>
      <c r="W105" s="421"/>
      <c r="X105" s="421"/>
      <c r="Y105" s="421"/>
      <c r="Z105" s="421"/>
      <c r="AA105" s="421"/>
      <c r="AB105" s="421"/>
      <c r="AC105" s="421"/>
      <c r="AD105" s="421"/>
      <c r="AE105" s="421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1"/>
      <c r="AS105" s="421"/>
      <c r="AT105" s="421"/>
      <c r="AU105" s="421"/>
      <c r="AV105" s="421"/>
      <c r="AW105" s="421"/>
      <c r="AX105" s="421"/>
      <c r="AY105" s="421"/>
      <c r="AZ105" s="421"/>
      <c r="BA105" s="421"/>
      <c r="BB105" s="421"/>
    </row>
    <row r="106" spans="1:54" x14ac:dyDescent="0.3">
      <c r="B106" s="429" t="s">
        <v>1769</v>
      </c>
      <c r="D106" s="441">
        <f t="shared" ref="D106:AI106" si="190">D22+D51+D80</f>
        <v>3623914.1406073067</v>
      </c>
      <c r="E106" s="441">
        <f t="shared" si="190"/>
        <v>5197230.9255751185</v>
      </c>
      <c r="F106" s="441">
        <f t="shared" si="190"/>
        <v>6531002.0528049469</v>
      </c>
      <c r="G106" s="441">
        <f t="shared" si="190"/>
        <v>9560055.3386601619</v>
      </c>
      <c r="H106" s="441">
        <f t="shared" si="190"/>
        <v>8789611.4667116106</v>
      </c>
      <c r="I106" s="441">
        <f t="shared" si="190"/>
        <v>9542961.1040136106</v>
      </c>
      <c r="J106" s="441">
        <f t="shared" si="190"/>
        <v>9821905.4628626518</v>
      </c>
      <c r="K106" s="441">
        <f t="shared" si="190"/>
        <v>10056014.599234598</v>
      </c>
      <c r="L106" s="441">
        <f t="shared" si="190"/>
        <v>9589462.3118932731</v>
      </c>
      <c r="M106" s="441">
        <f t="shared" si="190"/>
        <v>14453192.982263103</v>
      </c>
      <c r="N106" s="441">
        <f t="shared" si="190"/>
        <v>14085341.327248503</v>
      </c>
      <c r="O106" s="441">
        <f t="shared" si="190"/>
        <v>14782614.798657194</v>
      </c>
      <c r="P106" s="441">
        <f t="shared" si="190"/>
        <v>17451338.188576993</v>
      </c>
      <c r="Q106" s="441">
        <f t="shared" si="190"/>
        <v>16630891.398899103</v>
      </c>
      <c r="R106" s="441">
        <f t="shared" si="190"/>
        <v>17874173.240146093</v>
      </c>
      <c r="S106" s="441">
        <f t="shared" si="190"/>
        <v>19293031.10303596</v>
      </c>
      <c r="T106" s="441">
        <f t="shared" si="190"/>
        <v>19562705.258421857</v>
      </c>
      <c r="U106" s="441">
        <f t="shared" si="190"/>
        <v>20028636.59555072</v>
      </c>
      <c r="V106" s="441">
        <f t="shared" si="190"/>
        <v>20222454.323926803</v>
      </c>
      <c r="W106" s="441">
        <f t="shared" si="190"/>
        <v>16899196.364460394</v>
      </c>
      <c r="X106" s="441">
        <f t="shared" si="190"/>
        <v>17605271.567881301</v>
      </c>
      <c r="Y106" s="441">
        <f t="shared" si="190"/>
        <v>16831858.367397085</v>
      </c>
      <c r="Z106" s="441">
        <f t="shared" si="190"/>
        <v>14725600.018321253</v>
      </c>
      <c r="AA106" s="441">
        <f t="shared" si="190"/>
        <v>14047424.469896313</v>
      </c>
      <c r="AB106" s="441">
        <f t="shared" si="190"/>
        <v>12636437.613633845</v>
      </c>
      <c r="AC106" s="441">
        <f t="shared" si="190"/>
        <v>12498653.937094964</v>
      </c>
      <c r="AD106" s="441">
        <f t="shared" si="190"/>
        <v>13188328.82428729</v>
      </c>
      <c r="AE106" s="441">
        <f t="shared" si="190"/>
        <v>13646442.307904877</v>
      </c>
      <c r="AF106" s="441">
        <f t="shared" si="190"/>
        <v>14382066.724910665</v>
      </c>
      <c r="AG106" s="441">
        <f t="shared" si="190"/>
        <v>13448126.672459688</v>
      </c>
      <c r="AH106" s="441">
        <f t="shared" si="190"/>
        <v>15112041.923675695</v>
      </c>
      <c r="AI106" s="441">
        <f t="shared" si="190"/>
        <v>18696459.314453498</v>
      </c>
      <c r="AJ106" s="441">
        <f t="shared" ref="AJ106:BB106" si="191">AJ22+AJ51+AJ80</f>
        <v>19495099.380792774</v>
      </c>
      <c r="AK106" s="441">
        <f t="shared" si="191"/>
        <v>21021131.496617243</v>
      </c>
      <c r="AL106" s="441">
        <f t="shared" si="191"/>
        <v>24987481.174233325</v>
      </c>
      <c r="AM106" s="441">
        <f t="shared" si="191"/>
        <v>24448604.133095469</v>
      </c>
      <c r="AN106" s="441">
        <f t="shared" si="191"/>
        <v>23986836.762814693</v>
      </c>
      <c r="AO106" s="441">
        <f t="shared" si="191"/>
        <v>23578832.169933777</v>
      </c>
      <c r="AP106" s="441">
        <f t="shared" si="191"/>
        <v>24179757.600199271</v>
      </c>
      <c r="AQ106" s="441">
        <f t="shared" si="191"/>
        <v>23369552.273082472</v>
      </c>
      <c r="AR106" s="441">
        <f t="shared" si="191"/>
        <v>20128926.707374949</v>
      </c>
      <c r="AS106" s="441">
        <f t="shared" si="191"/>
        <v>15069978.538593715</v>
      </c>
      <c r="AT106" s="441">
        <f t="shared" si="191"/>
        <v>14423340.590223376</v>
      </c>
      <c r="AU106" s="441">
        <f t="shared" si="191"/>
        <v>13336595.687261103</v>
      </c>
      <c r="AV106" s="441">
        <f t="shared" si="191"/>
        <v>8483983.4002877157</v>
      </c>
      <c r="AW106" s="441">
        <f t="shared" si="191"/>
        <v>7141248.4360732026</v>
      </c>
      <c r="AX106" s="441">
        <f t="shared" si="191"/>
        <v>7088504.3701767223</v>
      </c>
      <c r="AY106" s="441">
        <f t="shared" si="191"/>
        <v>6448744.3075984214</v>
      </c>
      <c r="AZ106" s="441">
        <f t="shared" si="191"/>
        <v>935338.83489968558</v>
      </c>
      <c r="BA106" s="441">
        <f t="shared" si="191"/>
        <v>0</v>
      </c>
      <c r="BB106" s="441">
        <f t="shared" si="191"/>
        <v>0</v>
      </c>
    </row>
    <row r="107" spans="1:54" x14ac:dyDescent="0.3">
      <c r="B107" s="429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</row>
    <row r="108" spans="1:54" s="1069" customFormat="1" x14ac:dyDescent="0.3">
      <c r="A108" s="1067"/>
      <c r="B108" s="1068" t="s">
        <v>1921</v>
      </c>
      <c r="D108" s="1070">
        <f t="shared" ref="D108:AI108" si="192">D24+D53+D82</f>
        <v>724782.82812146132</v>
      </c>
      <c r="E108" s="1070">
        <f t="shared" si="192"/>
        <v>465347.06188484438</v>
      </c>
      <c r="F108" s="1070">
        <f t="shared" si="192"/>
        <v>705943.30862942233</v>
      </c>
      <c r="G108" s="1070">
        <f t="shared" si="192"/>
        <v>1110660.5541921388</v>
      </c>
      <c r="H108" s="1070">
        <f t="shared" si="192"/>
        <v>998244.47785567644</v>
      </c>
      <c r="I108" s="1070">
        <f t="shared" si="192"/>
        <v>905326.40984892799</v>
      </c>
      <c r="J108" s="1070">
        <f t="shared" si="192"/>
        <v>952794.11639742239</v>
      </c>
      <c r="K108" s="1070">
        <f t="shared" si="192"/>
        <v>1004032.8442075893</v>
      </c>
      <c r="L108" s="1070">
        <f t="shared" si="192"/>
        <v>917151.32108664815</v>
      </c>
      <c r="M108" s="1070">
        <f t="shared" si="192"/>
        <v>1676738.6639325635</v>
      </c>
      <c r="N108" s="1070">
        <f t="shared" si="192"/>
        <v>490312.72157472541</v>
      </c>
      <c r="O108" s="1070">
        <f t="shared" si="192"/>
        <v>599769.36109867599</v>
      </c>
      <c r="P108" s="1070">
        <f t="shared" si="192"/>
        <v>713812.76793853962</v>
      </c>
      <c r="Q108" s="1070">
        <f t="shared" si="192"/>
        <v>616012.02976476401</v>
      </c>
      <c r="R108" s="1070">
        <f t="shared" si="192"/>
        <v>652654.4273302746</v>
      </c>
      <c r="S108" s="1070">
        <f t="shared" si="192"/>
        <v>695092.96025605674</v>
      </c>
      <c r="T108" s="1070">
        <f t="shared" si="192"/>
        <v>708826.09550292115</v>
      </c>
      <c r="U108" s="1070">
        <f t="shared" si="192"/>
        <v>723930.64301276032</v>
      </c>
      <c r="V108" s="1070">
        <f t="shared" si="192"/>
        <v>730531.76144364814</v>
      </c>
      <c r="W108" s="1070">
        <f t="shared" si="192"/>
        <v>540175.62271894864</v>
      </c>
      <c r="X108" s="1070">
        <f t="shared" si="192"/>
        <v>567095.7143003192</v>
      </c>
      <c r="Y108" s="1070">
        <f t="shared" si="192"/>
        <v>533702.79553958517</v>
      </c>
      <c r="Z108" s="1070">
        <f t="shared" si="192"/>
        <v>454825.96867428266</v>
      </c>
      <c r="AA108" s="1070">
        <f t="shared" si="192"/>
        <v>433390.04869757302</v>
      </c>
      <c r="AB108" s="1070">
        <f t="shared" si="192"/>
        <v>394247.57753282238</v>
      </c>
      <c r="AC108" s="1070">
        <f t="shared" si="192"/>
        <v>403035.03217157174</v>
      </c>
      <c r="AD108" s="1070">
        <f t="shared" si="192"/>
        <v>419944.35718722705</v>
      </c>
      <c r="AE108" s="1070">
        <f t="shared" si="192"/>
        <v>432852.76375530945</v>
      </c>
      <c r="AF108" s="1070">
        <f t="shared" si="192"/>
        <v>456094.09774937306</v>
      </c>
      <c r="AG108" s="1070">
        <f t="shared" si="192"/>
        <v>430554.04485292069</v>
      </c>
      <c r="AH108" s="1070">
        <f t="shared" si="192"/>
        <v>467857.66642153967</v>
      </c>
      <c r="AI108" s="1070">
        <f t="shared" si="192"/>
        <v>622290.202847949</v>
      </c>
      <c r="AJ108" s="1070">
        <f t="shared" ref="AJ108:BB108" si="193">AJ24+AJ53+AJ82</f>
        <v>658699.09554716165</v>
      </c>
      <c r="AK108" s="1070">
        <f t="shared" si="193"/>
        <v>731580.05828196218</v>
      </c>
      <c r="AL108" s="1070">
        <f t="shared" si="193"/>
        <v>936049.02303825063</v>
      </c>
      <c r="AM108" s="1070">
        <f t="shared" si="193"/>
        <v>939188.63938368345</v>
      </c>
      <c r="AN108" s="1070">
        <f t="shared" si="193"/>
        <v>751669.04094761435</v>
      </c>
      <c r="AO108" s="1070">
        <f t="shared" si="193"/>
        <v>732562.67119119782</v>
      </c>
      <c r="AP108" s="1070">
        <f t="shared" si="193"/>
        <v>716809.36572349328</v>
      </c>
      <c r="AQ108" s="1070">
        <f t="shared" si="193"/>
        <v>686036.56277223292</v>
      </c>
      <c r="AR108" s="1070">
        <f t="shared" si="193"/>
        <v>546011.67018671171</v>
      </c>
      <c r="AS108" s="1070">
        <f t="shared" si="193"/>
        <v>393811.40128908528</v>
      </c>
      <c r="AT108" s="1070">
        <f t="shared" si="193"/>
        <v>362030.66197818815</v>
      </c>
      <c r="AU108" s="1070">
        <f t="shared" si="193"/>
        <v>438723.26415276853</v>
      </c>
      <c r="AV108" s="1070">
        <f t="shared" si="193"/>
        <v>424199.17001438577</v>
      </c>
      <c r="AW108" s="1070">
        <f t="shared" si="193"/>
        <v>407420.65015887952</v>
      </c>
      <c r="AX108" s="1070">
        <f t="shared" si="193"/>
        <v>354425.21850883611</v>
      </c>
      <c r="AY108" s="1070">
        <f t="shared" si="193"/>
        <v>322437.21537992108</v>
      </c>
      <c r="AZ108" s="1070">
        <f t="shared" si="193"/>
        <v>46766.94174498428</v>
      </c>
      <c r="BA108" s="1070">
        <f t="shared" si="193"/>
        <v>0</v>
      </c>
      <c r="BB108" s="1070">
        <f t="shared" si="193"/>
        <v>0</v>
      </c>
    </row>
    <row r="110" spans="1:54" x14ac:dyDescent="0.3">
      <c r="B110" s="595" t="s">
        <v>1799</v>
      </c>
      <c r="D110" s="603">
        <f>D84+D55+D26</f>
        <v>2191747</v>
      </c>
      <c r="E110" s="596">
        <f>D112</f>
        <v>2916529.8281214614</v>
      </c>
      <c r="F110" s="596">
        <f t="shared" ref="F110:BB110" si="194">E112</f>
        <v>3381876.8900063056</v>
      </c>
      <c r="G110" s="596">
        <f t="shared" si="194"/>
        <v>4087820.1986357281</v>
      </c>
      <c r="H110" s="596">
        <f t="shared" si="194"/>
        <v>5198480.7528278669</v>
      </c>
      <c r="I110" s="596">
        <f t="shared" si="194"/>
        <v>6196725.2306835437</v>
      </c>
      <c r="J110" s="596">
        <f t="shared" si="194"/>
        <v>7102051.6405324712</v>
      </c>
      <c r="K110" s="596">
        <f t="shared" si="194"/>
        <v>8054845.756929894</v>
      </c>
      <c r="L110" s="596">
        <f t="shared" si="194"/>
        <v>9058878.6011374835</v>
      </c>
      <c r="M110" s="596">
        <f t="shared" si="194"/>
        <v>9976029.9222241323</v>
      </c>
      <c r="N110" s="596">
        <f t="shared" si="194"/>
        <v>11652768.586156696</v>
      </c>
      <c r="O110" s="596">
        <f t="shared" si="194"/>
        <v>12143081.307731422</v>
      </c>
      <c r="P110" s="596">
        <f t="shared" si="194"/>
        <v>12742850.668830097</v>
      </c>
      <c r="Q110" s="596">
        <f t="shared" si="194"/>
        <v>13456663.436768636</v>
      </c>
      <c r="R110" s="596">
        <f t="shared" si="194"/>
        <v>14072675.4665334</v>
      </c>
      <c r="S110" s="596">
        <f t="shared" si="194"/>
        <v>14725329.893863674</v>
      </c>
      <c r="T110" s="596">
        <f t="shared" si="194"/>
        <v>15420422.854119731</v>
      </c>
      <c r="U110" s="596">
        <f t="shared" si="194"/>
        <v>16129248.949622652</v>
      </c>
      <c r="V110" s="596">
        <f t="shared" si="194"/>
        <v>16853179.592635412</v>
      </c>
      <c r="W110" s="596">
        <f t="shared" si="194"/>
        <v>17583711.35407906</v>
      </c>
      <c r="X110" s="596">
        <f t="shared" si="194"/>
        <v>18123886.976798009</v>
      </c>
      <c r="Y110" s="596">
        <f t="shared" si="194"/>
        <v>18690982.691098329</v>
      </c>
      <c r="Z110" s="596">
        <f t="shared" si="194"/>
        <v>19224685.486637913</v>
      </c>
      <c r="AA110" s="596">
        <f t="shared" si="194"/>
        <v>19679511.455312196</v>
      </c>
      <c r="AB110" s="596">
        <f t="shared" si="194"/>
        <v>20112901.504009768</v>
      </c>
      <c r="AC110" s="596">
        <f t="shared" si="194"/>
        <v>20507149.081542592</v>
      </c>
      <c r="AD110" s="596">
        <f t="shared" si="194"/>
        <v>20910184.113714166</v>
      </c>
      <c r="AE110" s="596">
        <f t="shared" si="194"/>
        <v>21330128.470901392</v>
      </c>
      <c r="AF110" s="596">
        <f t="shared" si="194"/>
        <v>21762981.234656703</v>
      </c>
      <c r="AG110" s="596">
        <f t="shared" si="194"/>
        <v>22219075.332406078</v>
      </c>
      <c r="AH110" s="596">
        <f t="shared" si="194"/>
        <v>22649629.377258997</v>
      </c>
      <c r="AI110" s="596">
        <f t="shared" si="194"/>
        <v>23117487.043680537</v>
      </c>
      <c r="AJ110" s="596">
        <f t="shared" si="194"/>
        <v>23739777.246528488</v>
      </c>
      <c r="AK110" s="596">
        <f t="shared" si="194"/>
        <v>24398476.34207565</v>
      </c>
      <c r="AL110" s="596">
        <f t="shared" si="194"/>
        <v>25130056.400357611</v>
      </c>
      <c r="AM110" s="596">
        <f t="shared" si="194"/>
        <v>26066105.423395861</v>
      </c>
      <c r="AN110" s="596">
        <f t="shared" si="194"/>
        <v>27005294.062779546</v>
      </c>
      <c r="AO110" s="596">
        <f t="shared" si="194"/>
        <v>27756963.103727162</v>
      </c>
      <c r="AP110" s="596">
        <f t="shared" si="194"/>
        <v>28489525.774918359</v>
      </c>
      <c r="AQ110" s="596">
        <f t="shared" si="194"/>
        <v>29206335.140641853</v>
      </c>
      <c r="AR110" s="596">
        <f t="shared" si="194"/>
        <v>29892371.703414086</v>
      </c>
      <c r="AS110" s="596">
        <f t="shared" si="194"/>
        <v>30438383.3736008</v>
      </c>
      <c r="AT110" s="596">
        <f t="shared" si="194"/>
        <v>30832194.774889886</v>
      </c>
      <c r="AU110" s="596">
        <f t="shared" si="194"/>
        <v>31194225.436868075</v>
      </c>
      <c r="AV110" s="596">
        <f t="shared" si="194"/>
        <v>31632948.701020844</v>
      </c>
      <c r="AW110" s="596">
        <f t="shared" si="194"/>
        <v>32057147.871035229</v>
      </c>
      <c r="AX110" s="596">
        <f t="shared" si="194"/>
        <v>32464568.521194108</v>
      </c>
      <c r="AY110" s="596">
        <f t="shared" si="194"/>
        <v>32818993.739702944</v>
      </c>
      <c r="AZ110" s="596">
        <f t="shared" si="194"/>
        <v>33141430.955082864</v>
      </c>
      <c r="BA110" s="596">
        <f t="shared" si="194"/>
        <v>33188197.896827847</v>
      </c>
      <c r="BB110" s="596">
        <f t="shared" si="194"/>
        <v>33188197.896827847</v>
      </c>
    </row>
    <row r="111" spans="1:54" x14ac:dyDescent="0.3">
      <c r="B111" s="986" t="s">
        <v>2224</v>
      </c>
      <c r="C111" s="989"/>
      <c r="D111" s="990">
        <f>D85+D56+D27</f>
        <v>0</v>
      </c>
      <c r="E111" s="990">
        <f t="shared" ref="E111:AJ111" si="195">E85+E56+E27</f>
        <v>0</v>
      </c>
      <c r="F111" s="990">
        <f t="shared" si="195"/>
        <v>0</v>
      </c>
      <c r="G111" s="990">
        <f t="shared" si="195"/>
        <v>0</v>
      </c>
      <c r="H111" s="990">
        <f t="shared" si="195"/>
        <v>0</v>
      </c>
      <c r="I111" s="990">
        <f t="shared" si="195"/>
        <v>0</v>
      </c>
      <c r="J111" s="990">
        <f t="shared" si="195"/>
        <v>0</v>
      </c>
      <c r="K111" s="990">
        <f t="shared" si="195"/>
        <v>0</v>
      </c>
      <c r="L111" s="990">
        <f t="shared" si="195"/>
        <v>0</v>
      </c>
      <c r="M111" s="990">
        <f t="shared" si="195"/>
        <v>0</v>
      </c>
      <c r="N111" s="603">
        <f t="shared" si="195"/>
        <v>0</v>
      </c>
      <c r="O111" s="603">
        <f t="shared" si="195"/>
        <v>0</v>
      </c>
      <c r="P111" s="603">
        <f t="shared" si="195"/>
        <v>0</v>
      </c>
      <c r="Q111" s="603">
        <f t="shared" si="195"/>
        <v>0</v>
      </c>
      <c r="R111" s="603">
        <f t="shared" si="195"/>
        <v>0</v>
      </c>
      <c r="S111" s="603">
        <f t="shared" si="195"/>
        <v>0</v>
      </c>
      <c r="T111" s="603">
        <f t="shared" si="195"/>
        <v>0</v>
      </c>
      <c r="U111" s="603">
        <f t="shared" si="195"/>
        <v>0</v>
      </c>
      <c r="V111" s="603">
        <f t="shared" si="195"/>
        <v>0</v>
      </c>
      <c r="W111" s="603">
        <f t="shared" si="195"/>
        <v>0</v>
      </c>
      <c r="X111" s="603">
        <f t="shared" si="195"/>
        <v>0</v>
      </c>
      <c r="Y111" s="603">
        <f t="shared" si="195"/>
        <v>0</v>
      </c>
      <c r="Z111" s="603">
        <f t="shared" si="195"/>
        <v>0</v>
      </c>
      <c r="AA111" s="603">
        <f t="shared" si="195"/>
        <v>0</v>
      </c>
      <c r="AB111" s="603">
        <f t="shared" si="195"/>
        <v>0</v>
      </c>
      <c r="AC111" s="603">
        <f t="shared" si="195"/>
        <v>0</v>
      </c>
      <c r="AD111" s="603">
        <f t="shared" si="195"/>
        <v>0</v>
      </c>
      <c r="AE111" s="603">
        <f t="shared" si="195"/>
        <v>0</v>
      </c>
      <c r="AF111" s="603">
        <f t="shared" si="195"/>
        <v>0</v>
      </c>
      <c r="AG111" s="603">
        <f t="shared" si="195"/>
        <v>0</v>
      </c>
      <c r="AH111" s="603">
        <f t="shared" si="195"/>
        <v>0</v>
      </c>
      <c r="AI111" s="603">
        <f t="shared" si="195"/>
        <v>0</v>
      </c>
      <c r="AJ111" s="603">
        <f t="shared" si="195"/>
        <v>0</v>
      </c>
      <c r="AK111" s="603">
        <f t="shared" ref="AK111:BB111" si="196">AK85+AK56+AK27</f>
        <v>0</v>
      </c>
      <c r="AL111" s="603">
        <f t="shared" si="196"/>
        <v>0</v>
      </c>
      <c r="AM111" s="603">
        <f t="shared" si="196"/>
        <v>0</v>
      </c>
      <c r="AN111" s="603">
        <f t="shared" si="196"/>
        <v>0</v>
      </c>
      <c r="AO111" s="603">
        <f t="shared" si="196"/>
        <v>0</v>
      </c>
      <c r="AP111" s="603">
        <f t="shared" si="196"/>
        <v>0</v>
      </c>
      <c r="AQ111" s="603">
        <f t="shared" si="196"/>
        <v>0</v>
      </c>
      <c r="AR111" s="603">
        <f t="shared" si="196"/>
        <v>0</v>
      </c>
      <c r="AS111" s="603">
        <f t="shared" si="196"/>
        <v>0</v>
      </c>
      <c r="AT111" s="603">
        <f t="shared" si="196"/>
        <v>0</v>
      </c>
      <c r="AU111" s="603">
        <f t="shared" si="196"/>
        <v>0</v>
      </c>
      <c r="AV111" s="603">
        <f t="shared" si="196"/>
        <v>0</v>
      </c>
      <c r="AW111" s="603">
        <f t="shared" si="196"/>
        <v>0</v>
      </c>
      <c r="AX111" s="603">
        <f t="shared" si="196"/>
        <v>0</v>
      </c>
      <c r="AY111" s="603">
        <f t="shared" si="196"/>
        <v>0</v>
      </c>
      <c r="AZ111" s="603">
        <f t="shared" si="196"/>
        <v>0</v>
      </c>
      <c r="BA111" s="603">
        <f t="shared" si="196"/>
        <v>0</v>
      </c>
      <c r="BB111" s="603">
        <f t="shared" si="196"/>
        <v>0</v>
      </c>
    </row>
    <row r="112" spans="1:54" x14ac:dyDescent="0.3">
      <c r="B112" s="595" t="s">
        <v>1800</v>
      </c>
      <c r="D112" s="596">
        <f t="shared" ref="D112:AI112" si="197">D110+D108+D111</f>
        <v>2916529.8281214614</v>
      </c>
      <c r="E112" s="596">
        <f t="shared" si="197"/>
        <v>3381876.8900063056</v>
      </c>
      <c r="F112" s="596">
        <f t="shared" si="197"/>
        <v>4087820.1986357281</v>
      </c>
      <c r="G112" s="596">
        <f t="shared" si="197"/>
        <v>5198480.7528278669</v>
      </c>
      <c r="H112" s="596">
        <f t="shared" si="197"/>
        <v>6196725.2306835437</v>
      </c>
      <c r="I112" s="596">
        <f t="shared" si="197"/>
        <v>7102051.6405324712</v>
      </c>
      <c r="J112" s="596">
        <f t="shared" si="197"/>
        <v>8054845.756929894</v>
      </c>
      <c r="K112" s="596">
        <f t="shared" si="197"/>
        <v>9058878.6011374835</v>
      </c>
      <c r="L112" s="596">
        <f t="shared" si="197"/>
        <v>9976029.9222241323</v>
      </c>
      <c r="M112" s="596">
        <f t="shared" si="197"/>
        <v>11652768.586156696</v>
      </c>
      <c r="N112" s="596">
        <f t="shared" si="197"/>
        <v>12143081.307731422</v>
      </c>
      <c r="O112" s="596">
        <f t="shared" si="197"/>
        <v>12742850.668830097</v>
      </c>
      <c r="P112" s="596">
        <f t="shared" si="197"/>
        <v>13456663.436768636</v>
      </c>
      <c r="Q112" s="596">
        <f t="shared" si="197"/>
        <v>14072675.4665334</v>
      </c>
      <c r="R112" s="596">
        <f t="shared" si="197"/>
        <v>14725329.893863674</v>
      </c>
      <c r="S112" s="596">
        <f t="shared" si="197"/>
        <v>15420422.854119731</v>
      </c>
      <c r="T112" s="596">
        <f t="shared" si="197"/>
        <v>16129248.949622652</v>
      </c>
      <c r="U112" s="596">
        <f t="shared" si="197"/>
        <v>16853179.592635412</v>
      </c>
      <c r="V112" s="596">
        <f t="shared" si="197"/>
        <v>17583711.35407906</v>
      </c>
      <c r="W112" s="596">
        <f t="shared" si="197"/>
        <v>18123886.976798009</v>
      </c>
      <c r="X112" s="596">
        <f t="shared" si="197"/>
        <v>18690982.691098329</v>
      </c>
      <c r="Y112" s="596">
        <f t="shared" si="197"/>
        <v>19224685.486637913</v>
      </c>
      <c r="Z112" s="596">
        <f t="shared" si="197"/>
        <v>19679511.455312196</v>
      </c>
      <c r="AA112" s="596">
        <f t="shared" si="197"/>
        <v>20112901.504009768</v>
      </c>
      <c r="AB112" s="596">
        <f t="shared" si="197"/>
        <v>20507149.081542592</v>
      </c>
      <c r="AC112" s="596">
        <f t="shared" si="197"/>
        <v>20910184.113714166</v>
      </c>
      <c r="AD112" s="596">
        <f t="shared" si="197"/>
        <v>21330128.470901392</v>
      </c>
      <c r="AE112" s="596">
        <f t="shared" si="197"/>
        <v>21762981.234656703</v>
      </c>
      <c r="AF112" s="596">
        <f t="shared" si="197"/>
        <v>22219075.332406078</v>
      </c>
      <c r="AG112" s="596">
        <f t="shared" si="197"/>
        <v>22649629.377258997</v>
      </c>
      <c r="AH112" s="596">
        <f t="shared" si="197"/>
        <v>23117487.043680537</v>
      </c>
      <c r="AI112" s="596">
        <f t="shared" si="197"/>
        <v>23739777.246528488</v>
      </c>
      <c r="AJ112" s="596">
        <f t="shared" ref="AJ112:BB112" si="198">AJ110+AJ108+AJ111</f>
        <v>24398476.34207565</v>
      </c>
      <c r="AK112" s="596">
        <f t="shared" si="198"/>
        <v>25130056.400357611</v>
      </c>
      <c r="AL112" s="596">
        <f t="shared" si="198"/>
        <v>26066105.423395861</v>
      </c>
      <c r="AM112" s="596">
        <f t="shared" si="198"/>
        <v>27005294.062779546</v>
      </c>
      <c r="AN112" s="596">
        <f t="shared" si="198"/>
        <v>27756963.103727162</v>
      </c>
      <c r="AO112" s="596">
        <f t="shared" si="198"/>
        <v>28489525.774918359</v>
      </c>
      <c r="AP112" s="596">
        <f t="shared" si="198"/>
        <v>29206335.140641853</v>
      </c>
      <c r="AQ112" s="596">
        <f t="shared" si="198"/>
        <v>29892371.703414086</v>
      </c>
      <c r="AR112" s="596">
        <f t="shared" si="198"/>
        <v>30438383.3736008</v>
      </c>
      <c r="AS112" s="596">
        <f t="shared" si="198"/>
        <v>30832194.774889886</v>
      </c>
      <c r="AT112" s="596">
        <f t="shared" si="198"/>
        <v>31194225.436868075</v>
      </c>
      <c r="AU112" s="596">
        <f t="shared" si="198"/>
        <v>31632948.701020844</v>
      </c>
      <c r="AV112" s="596">
        <f t="shared" si="198"/>
        <v>32057147.871035229</v>
      </c>
      <c r="AW112" s="596">
        <f t="shared" si="198"/>
        <v>32464568.521194108</v>
      </c>
      <c r="AX112" s="596">
        <f t="shared" si="198"/>
        <v>32818993.739702944</v>
      </c>
      <c r="AY112" s="596">
        <f t="shared" si="198"/>
        <v>33141430.955082864</v>
      </c>
      <c r="AZ112" s="596">
        <f t="shared" si="198"/>
        <v>33188197.896827847</v>
      </c>
      <c r="BA112" s="596">
        <f t="shared" si="198"/>
        <v>33188197.896827847</v>
      </c>
      <c r="BB112" s="596">
        <f t="shared" si="198"/>
        <v>33188197.896827847</v>
      </c>
    </row>
    <row r="113" spans="2:54" x14ac:dyDescent="0.3">
      <c r="B113" s="595" t="s">
        <v>1802</v>
      </c>
      <c r="D113" s="651">
        <f>D112/(('Fixed Assets'!$R$624+'Fixed Assets'!$R$646+'Fixed Assets'!$R$668)*D$4)</f>
        <v>7.5602191043842217E-3</v>
      </c>
      <c r="E113" s="651">
        <f>E112/(('Fixed Assets'!$R$624+'Fixed Assets'!$R$646+'Fixed Assets'!$R$668)*E$4)</f>
        <v>8.5199867045285781E-3</v>
      </c>
      <c r="F113" s="651">
        <f>F112/(('Fixed Assets'!$R$624+'Fixed Assets'!$R$646+'Fixed Assets'!$R$668)*F$4)</f>
        <v>1.0008893582799746E-2</v>
      </c>
      <c r="G113" s="651">
        <f>G112/(('Fixed Assets'!$R$624+'Fixed Assets'!$R$646+'Fixed Assets'!$R$668)*G$4)</f>
        <v>1.2370404198203205E-2</v>
      </c>
      <c r="H113" s="651">
        <f>H112/(('Fixed Assets'!$R$624+'Fixed Assets'!$R$646+'Fixed Assets'!$R$668)*H$4)</f>
        <v>1.4331209766717061E-2</v>
      </c>
      <c r="I113" s="651">
        <f>I112/(('Fixed Assets'!$R$624+'Fixed Assets'!$R$646+'Fixed Assets'!$R$668)*I$4)</f>
        <v>1.5963113538232661E-2</v>
      </c>
      <c r="J113" s="651">
        <f>J112/(('Fixed Assets'!$R$624+'Fixed Assets'!$R$646+'Fixed Assets'!$R$668)*J$4)</f>
        <v>1.7595603567686295E-2</v>
      </c>
      <c r="K113" s="651">
        <f>K112/(('Fixed Assets'!$R$624+'Fixed Assets'!$R$646+'Fixed Assets'!$R$668)*K$4)</f>
        <v>1.9232446955487367E-2</v>
      </c>
      <c r="L113" s="651">
        <f>L112/(('Fixed Assets'!$R$624+'Fixed Assets'!$R$646+'Fixed Assets'!$R$668)*L$4)</f>
        <v>2.0584058626734011E-2</v>
      </c>
      <c r="M113" s="651">
        <f>M112/(('Fixed Assets'!$R$624+'Fixed Assets'!$R$646+'Fixed Assets'!$R$668)*M$4)</f>
        <v>2.3367677609822942E-2</v>
      </c>
      <c r="N113" s="651">
        <f>N112/(('Fixed Assets'!$R$624+'Fixed Assets'!$R$646+'Fixed Assets'!$R$668)*N$4)</f>
        <v>2.3666198175224216E-2</v>
      </c>
      <c r="O113" s="651">
        <f>O112/(('Fixed Assets'!$R$624+'Fixed Assets'!$R$646+'Fixed Assets'!$R$668)*O$4)</f>
        <v>2.4136781059415104E-2</v>
      </c>
      <c r="P113" s="651">
        <f>P112/(('Fixed Assets'!$R$624+'Fixed Assets'!$R$646+'Fixed Assets'!$R$668)*P$4)</f>
        <v>2.4772127761257787E-2</v>
      </c>
      <c r="Q113" s="651">
        <f>Q112/(('Fixed Assets'!$R$624+'Fixed Assets'!$R$646+'Fixed Assets'!$R$668)*Q$4)</f>
        <v>2.5177682729440792E-2</v>
      </c>
      <c r="R113" s="651">
        <f>R112/(('Fixed Assets'!$R$624+'Fixed Assets'!$R$646+'Fixed Assets'!$R$668)*R$4)</f>
        <v>2.5604557854535241E-2</v>
      </c>
      <c r="S113" s="651">
        <f>S112/(('Fixed Assets'!$R$624+'Fixed Assets'!$R$646+'Fixed Assets'!$R$668)*S$4)</f>
        <v>2.6059236900118951E-2</v>
      </c>
      <c r="T113" s="651">
        <f>T112/(('Fixed Assets'!$R$624+'Fixed Assets'!$R$646+'Fixed Assets'!$R$668)*T$4)</f>
        <v>2.6490656399531014E-2</v>
      </c>
      <c r="U113" s="651">
        <f>U112/(('Fixed Assets'!$R$624+'Fixed Assets'!$R$646+'Fixed Assets'!$R$668)*U$4)</f>
        <v>2.6901319757195737E-2</v>
      </c>
      <c r="V113" s="651">
        <f>V112/(('Fixed Assets'!$R$624+'Fixed Assets'!$R$646+'Fixed Assets'!$R$668)*V$4)</f>
        <v>2.7278183545330469E-2</v>
      </c>
      <c r="W113" s="651">
        <f>W112/(('Fixed Assets'!$R$624+'Fixed Assets'!$R$646+'Fixed Assets'!$R$668)*W$4)</f>
        <v>2.7325581325917343E-2</v>
      </c>
      <c r="X113" s="651">
        <f>X112/(('Fixed Assets'!$R$624+'Fixed Assets'!$R$646+'Fixed Assets'!$R$668)*X$4)</f>
        <v>2.7388191982075944E-2</v>
      </c>
      <c r="Y113" s="651">
        <f>Y112/(('Fixed Assets'!$R$624+'Fixed Assets'!$R$646+'Fixed Assets'!$R$668)*Y$4)</f>
        <v>2.7378120782660526E-2</v>
      </c>
      <c r="Z113" s="651">
        <f>Z112/(('Fixed Assets'!$R$624+'Fixed Assets'!$R$646+'Fixed Assets'!$R$668)*Z$4)</f>
        <v>2.7237790041500811E-2</v>
      </c>
      <c r="AA113" s="651">
        <f>AA112/(('Fixed Assets'!$R$624+'Fixed Assets'!$R$646+'Fixed Assets'!$R$668)*AA$4)</f>
        <v>2.7054869612048751E-2</v>
      </c>
      <c r="AB113" s="651">
        <f>AB112/(('Fixed Assets'!$R$624+'Fixed Assets'!$R$646+'Fixed Assets'!$R$668)*AB$4)</f>
        <v>2.6809528154364801E-2</v>
      </c>
      <c r="AC113" s="651">
        <f>AC112/(('Fixed Assets'!$R$624+'Fixed Assets'!$R$646+'Fixed Assets'!$R$668)*AC$4)</f>
        <v>2.6567757716439502E-2</v>
      </c>
      <c r="AD113" s="651">
        <f>AD112/(('Fixed Assets'!$R$624+'Fixed Assets'!$R$646+'Fixed Assets'!$R$668)*AD$4)</f>
        <v>2.6339266707784265E-2</v>
      </c>
      <c r="AE113" s="651">
        <f>AE112/(('Fixed Assets'!$R$624+'Fixed Assets'!$R$646+'Fixed Assets'!$R$668)*AE$4)</f>
        <v>2.6118110787205787E-2</v>
      </c>
      <c r="AF113" s="651">
        <f>AF112/(('Fixed Assets'!$R$624+'Fixed Assets'!$R$646+'Fixed Assets'!$R$668)*AF$4)</f>
        <v>2.5915674523580241E-2</v>
      </c>
      <c r="AG113" s="651">
        <f>AG112/(('Fixed Assets'!$R$624+'Fixed Assets'!$R$646+'Fixed Assets'!$R$668)*AG$4)</f>
        <v>2.5675020493000005E-2</v>
      </c>
      <c r="AH113" s="651">
        <f>AH112/(('Fixed Assets'!$R$624+'Fixed Assets'!$R$646+'Fixed Assets'!$R$668)*AH$4)</f>
        <v>2.5468506916015977E-2</v>
      </c>
      <c r="AI113" s="651">
        <f>AI112/(('Fixed Assets'!$R$624+'Fixed Assets'!$R$646+'Fixed Assets'!$R$668)*AI$4)</f>
        <v>2.541866078428234E-2</v>
      </c>
      <c r="AJ113" s="651">
        <f>AJ112/(('Fixed Assets'!$R$624+'Fixed Assets'!$R$646+'Fixed Assets'!$R$668)*AJ$4)</f>
        <v>2.5389368282489468E-2</v>
      </c>
      <c r="AK113" s="651">
        <f>AK112/(('Fixed Assets'!$R$624+'Fixed Assets'!$R$646+'Fixed Assets'!$R$668)*AK$4)</f>
        <v>2.5415333681941984E-2</v>
      </c>
      <c r="AL113" s="651">
        <f>AL112/(('Fixed Assets'!$R$624+'Fixed Assets'!$R$646+'Fixed Assets'!$R$668)*AL$4)</f>
        <v>2.5620739662987117E-2</v>
      </c>
      <c r="AM113" s="651">
        <f>AM112/(('Fixed Assets'!$R$624+'Fixed Assets'!$R$646+'Fixed Assets'!$R$668)*AM$4)</f>
        <v>2.5797498166669274E-2</v>
      </c>
      <c r="AN113" s="651">
        <f>AN112/(('Fixed Assets'!$R$624+'Fixed Assets'!$R$646+'Fixed Assets'!$R$668)*AN$4)</f>
        <v>2.5769962768134081E-2</v>
      </c>
      <c r="AO113" s="651">
        <f>AO112/(('Fixed Assets'!$R$624+'Fixed Assets'!$R$646+'Fixed Assets'!$R$668)*AO$4)</f>
        <v>2.5706338772259009E-2</v>
      </c>
      <c r="AP113" s="651">
        <f>AP112/(('Fixed Assets'!$R$624+'Fixed Assets'!$R$646+'Fixed Assets'!$R$668)*AP$4)</f>
        <v>2.5612102678281113E-2</v>
      </c>
      <c r="AQ113" s="651">
        <f>AQ112/(('Fixed Assets'!$R$624+'Fixed Assets'!$R$646+'Fixed Assets'!$R$668)*AQ$4)</f>
        <v>2.5476614008109726E-2</v>
      </c>
      <c r="AR113" s="651">
        <f>AR112/(('Fixed Assets'!$R$624+'Fixed Assets'!$R$646+'Fixed Assets'!$R$668)*AR$4)</f>
        <v>2.5212509762789662E-2</v>
      </c>
      <c r="AS113" s="651">
        <f>AS112/(('Fixed Assets'!$R$624+'Fixed Assets'!$R$646+'Fixed Assets'!$R$668)*AS$4)</f>
        <v>2.4820590014787921E-2</v>
      </c>
      <c r="AT113" s="651">
        <f>AT112/(('Fixed Assets'!$R$624+'Fixed Assets'!$R$646+'Fixed Assets'!$R$668)*AT$4)</f>
        <v>2.4405911378886511E-2</v>
      </c>
      <c r="AU113" s="651">
        <f>AU112/(('Fixed Assets'!$R$624+'Fixed Assets'!$R$646+'Fixed Assets'!$R$668)*AU$4)</f>
        <v>2.4053244396537658E-2</v>
      </c>
      <c r="AV113" s="651">
        <f>AV112/(('Fixed Assets'!$R$624+'Fixed Assets'!$R$646+'Fixed Assets'!$R$668)*AV$4)</f>
        <v>2.3690380213056427E-2</v>
      </c>
      <c r="AW113" s="651">
        <f>AW112/(('Fixed Assets'!$R$624+'Fixed Assets'!$R$646+'Fixed Assets'!$R$668)*AW$4)</f>
        <v>2.331685376411562E-2</v>
      </c>
      <c r="AX113" s="651">
        <f>AX112/(('Fixed Assets'!$R$624+'Fixed Assets'!$R$646+'Fixed Assets'!$R$668)*AX$4)</f>
        <v>2.2908609973944557E-2</v>
      </c>
      <c r="AY113" s="651">
        <f>AY112/(('Fixed Assets'!$R$624+'Fixed Assets'!$R$646+'Fixed Assets'!$R$668)*AY$4)</f>
        <v>2.2483188248852263E-2</v>
      </c>
      <c r="AZ113" s="651">
        <f>AZ112/(('Fixed Assets'!$R$624+'Fixed Assets'!$R$646+'Fixed Assets'!$R$668)*AZ$4)</f>
        <v>2.1881821710934907E-2</v>
      </c>
      <c r="BA113" s="651">
        <f>BA112/(('Fixed Assets'!$R$624+'Fixed Assets'!$R$646+'Fixed Assets'!$R$668)*BA$4)</f>
        <v>2.1266530270032762E-2</v>
      </c>
      <c r="BB113" s="651">
        <f>BB112/(('Fixed Assets'!$R$624+'Fixed Assets'!$R$646+'Fixed Assets'!$R$668)*BB$4)</f>
        <v>2.06685401106349E-2</v>
      </c>
    </row>
    <row r="117" spans="2:54" x14ac:dyDescent="0.3">
      <c r="C117" s="419" t="s">
        <v>2230</v>
      </c>
      <c r="D117" s="603">
        <f>D112-'Cash Flows and Cash Balances'!F150</f>
        <v>0</v>
      </c>
      <c r="E117" s="603">
        <f>E112-'Cash Flows and Cash Balances'!G150</f>
        <v>0</v>
      </c>
      <c r="F117" s="603">
        <f>F112-'Cash Flows and Cash Balances'!H150</f>
        <v>0</v>
      </c>
      <c r="G117" s="603">
        <f>G112-'Cash Flows and Cash Balances'!I150</f>
        <v>0</v>
      </c>
      <c r="H117" s="603">
        <f>H112-'Cash Flows and Cash Balances'!J150</f>
        <v>0</v>
      </c>
      <c r="I117" s="603">
        <f>I112-'Cash Flows and Cash Balances'!K150</f>
        <v>0</v>
      </c>
      <c r="J117" s="603">
        <f>J112-'Cash Flows and Cash Balances'!L150</f>
        <v>0</v>
      </c>
      <c r="K117" s="603">
        <f>K112-'Cash Flows and Cash Balances'!M150</f>
        <v>0</v>
      </c>
      <c r="L117" s="603">
        <f>L112-'Cash Flows and Cash Balances'!N150</f>
        <v>0</v>
      </c>
      <c r="M117" s="603">
        <f>M112-'Cash Flows and Cash Balances'!O150</f>
        <v>0</v>
      </c>
    </row>
    <row r="118" spans="2:54" x14ac:dyDescent="0.3">
      <c r="D118" s="603"/>
    </row>
  </sheetData>
  <conditionalFormatting sqref="D32:Q32">
    <cfRule type="cellIs" dxfId="89" priority="3" operator="lessThan">
      <formula>D$31</formula>
    </cfRule>
  </conditionalFormatting>
  <conditionalFormatting sqref="D61:M61">
    <cfRule type="cellIs" dxfId="88" priority="2" operator="lessThan">
      <formula>D$60</formula>
    </cfRule>
  </conditionalFormatting>
  <conditionalFormatting sqref="D90:M90">
    <cfRule type="cellIs" dxfId="87" priority="1" operator="lessThan">
      <formula>$D$89</formula>
    </cfRule>
  </conditionalFormatting>
  <pageMargins left="0.17" right="0.17" top="0.3" bottom="0.3" header="0.17" footer="0.17"/>
  <pageSetup scale="18" fitToHeight="2" orientation="landscape" r:id="rId1"/>
  <headerFooter>
    <oddHeader>&amp;C&amp;"Calibri,Regular"&amp;F&amp;R&amp;"Calibri,Regular"&amp;D</oddHeader>
    <oddFooter>&amp;C&amp;"Calibri,Regular"Page &amp;P of &amp;N</oddFooter>
  </headerFooter>
  <rowBreaks count="1" manualBreakCount="1">
    <brk id="33" max="14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DE7867BB-7969-43E1-A65D-16246FCA5B31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D33:M35 D5:M6 D3:BB4 E12:BB15 F39:BB44 D45:BB50 D15 D7:BB11 D36:BB38 D16:BB32</xm:sqref>
        </x14:conditionalFormatting>
        <x14:conditionalFormatting xmlns:xm="http://schemas.microsoft.com/office/excel/2006/main">
          <x14:cfRule type="expression" priority="35" id="{893FDE4C-6418-4ED6-A2F0-AF2D4751C374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D51:BB51</xm:sqref>
        </x14:conditionalFormatting>
        <x14:conditionalFormatting xmlns:xm="http://schemas.microsoft.com/office/excel/2006/main">
          <x14:cfRule type="expression" priority="34" id="{AE24CACE-C018-450B-9B6E-62EA114D5D34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D65:D67 D74:BB79 D94:BB105 D108:BB108 E65:BB65</xm:sqref>
        </x14:conditionalFormatting>
        <x14:conditionalFormatting xmlns:xm="http://schemas.microsoft.com/office/excel/2006/main">
          <x14:cfRule type="expression" priority="33" id="{15B7AB56-22F5-4968-A82C-F37B4A4FA2BC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D80:BB80</xm:sqref>
        </x14:conditionalFormatting>
        <x14:conditionalFormatting xmlns:xm="http://schemas.microsoft.com/office/excel/2006/main">
          <x14:cfRule type="expression" priority="32" id="{28C40E3D-69F8-44A3-A959-B3164C885294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D88 E55:BB55 E84:BB84 D52:BB54 D61:BB62 D57:BB58 D86:BB87</xm:sqref>
        </x14:conditionalFormatting>
        <x14:conditionalFormatting xmlns:xm="http://schemas.microsoft.com/office/excel/2006/main">
          <x14:cfRule type="expression" priority="31" id="{07838EDD-45DB-4F76-AF0F-504681A5C06F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D82:BB82</xm:sqref>
        </x14:conditionalFormatting>
        <x14:conditionalFormatting xmlns:xm="http://schemas.microsoft.com/office/excel/2006/main">
          <x14:cfRule type="expression" priority="29" id="{A23008D0-CFA9-4880-9088-720C17A73C13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D106:BB107</xm:sqref>
        </x14:conditionalFormatting>
        <x14:conditionalFormatting xmlns:xm="http://schemas.microsoft.com/office/excel/2006/main">
          <x14:cfRule type="expression" priority="26" id="{1FC9745C-21F8-4C55-91DC-D14EC8BADE6C}">
            <xm:f>E$3='\\ftovhserver\finance\Users\ecallocchia\Dropbox\City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E84:BB84</xm:sqref>
        </x14:conditionalFormatting>
        <x14:conditionalFormatting xmlns:xm="http://schemas.microsoft.com/office/excel/2006/main">
          <x14:cfRule type="expression" priority="24" id="{8FACB0D5-8E5C-432E-976A-3536D01DD9B8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D112:BB112</xm:sqref>
        </x14:conditionalFormatting>
        <x14:conditionalFormatting xmlns:xm="http://schemas.microsoft.com/office/excel/2006/main">
          <x14:cfRule type="expression" priority="23" id="{5D6AF255-3575-4BF7-BE72-E518F8BA9708}">
            <xm:f>E$3='\\ftovhserver\finance\Users\ecallocchia\Dropbox\City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E110:BB110</xm:sqref>
        </x14:conditionalFormatting>
        <x14:conditionalFormatting xmlns:xm="http://schemas.microsoft.com/office/excel/2006/main">
          <x14:cfRule type="expression" priority="22" id="{CB19A2CC-C48B-4331-8389-661E84EC27E3}">
            <xm:f>E$3='\\ftovhserver\finance\Users\ecallocchia\Dropbox\City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E110:BB110</xm:sqref>
        </x14:conditionalFormatting>
        <x14:conditionalFormatting xmlns:xm="http://schemas.microsoft.com/office/excel/2006/main">
          <x14:cfRule type="expression" priority="21" id="{97A86FD6-8FB2-4890-85EB-044283B8DB0A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D60:BB60</xm:sqref>
        </x14:conditionalFormatting>
        <x14:conditionalFormatting xmlns:xm="http://schemas.microsoft.com/office/excel/2006/main">
          <x14:cfRule type="expression" priority="20" id="{B3EA7D1B-E01B-4C03-BE11-8B36D1A0DF53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D59</xm:sqref>
        </x14:conditionalFormatting>
        <x14:conditionalFormatting xmlns:xm="http://schemas.microsoft.com/office/excel/2006/main">
          <x14:cfRule type="expression" priority="19" id="{5623F980-289A-426A-9085-0A16E6D2BDEA}">
            <xm:f>E$3='\\ftovhserver\finance\Users\ecallocchia\Dropbox\City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E59:BB59</xm:sqref>
        </x14:conditionalFormatting>
        <x14:conditionalFormatting xmlns:xm="http://schemas.microsoft.com/office/excel/2006/main">
          <x14:cfRule type="expression" priority="18" id="{4DD5391B-625F-4054-A12E-EE06C5910D68}">
            <xm:f>E$3='\\ftovhserver\finance\Users\ecallocchia\Dropbox\City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E88:BB88</xm:sqref>
        </x14:conditionalFormatting>
        <x14:conditionalFormatting xmlns:xm="http://schemas.microsoft.com/office/excel/2006/main">
          <x14:cfRule type="expression" priority="17" id="{C04E2B2F-9F9E-4F8B-AEEC-E260C640C055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D89:BB89</xm:sqref>
        </x14:conditionalFormatting>
        <x14:conditionalFormatting xmlns:xm="http://schemas.microsoft.com/office/excel/2006/main">
          <x14:cfRule type="expression" priority="16" id="{D2B7BED0-36F6-4F3E-8817-E2CEFD911297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D12:D14</xm:sqref>
        </x14:conditionalFormatting>
        <x14:conditionalFormatting xmlns:xm="http://schemas.microsoft.com/office/excel/2006/main">
          <x14:cfRule type="expression" priority="15" id="{F8B16793-2B62-4300-B70A-EE3A5F3E3B56}">
            <xm:f>C$3='\\ftovhserver\finance\Users\ecallocchia\Dropbox\City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C10</xm:sqref>
        </x14:conditionalFormatting>
        <x14:conditionalFormatting xmlns:xm="http://schemas.microsoft.com/office/excel/2006/main">
          <x14:cfRule type="expression" priority="12" id="{B266B9C1-4C78-43EC-847A-104626A85AEE}">
            <xm:f>C$3='\\ftovhserver\finance\Users\ecallocchia\Dropbox\City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C68</xm:sqref>
        </x14:conditionalFormatting>
        <x14:conditionalFormatting xmlns:xm="http://schemas.microsoft.com/office/excel/2006/main">
          <x14:cfRule type="expression" priority="13" id="{3427B832-4755-46F6-B8D5-80EB2FBB5608}">
            <xm:f>C$3='\\ftovhserver\finance\Users\ecallocchia\Dropbox\City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C39</xm:sqref>
        </x14:conditionalFormatting>
        <x14:conditionalFormatting xmlns:xm="http://schemas.microsoft.com/office/excel/2006/main">
          <x14:cfRule type="expression" priority="11" id="{19678F2D-8B55-49C4-8D32-C04A6A56041B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D39:E40 E41:E44 D44</xm:sqref>
        </x14:conditionalFormatting>
        <x14:conditionalFormatting xmlns:xm="http://schemas.microsoft.com/office/excel/2006/main">
          <x14:cfRule type="expression" priority="10" id="{FEF7F4FB-2881-469E-A41F-CBEA562A6680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D41:D43</xm:sqref>
        </x14:conditionalFormatting>
        <x14:conditionalFormatting xmlns:xm="http://schemas.microsoft.com/office/excel/2006/main">
          <x14:cfRule type="expression" priority="9" id="{75F750ED-7B53-4E88-8AE5-B4CAE13DC6A8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D68:E69 E70:E73 D73</xm:sqref>
        </x14:conditionalFormatting>
        <x14:conditionalFormatting xmlns:xm="http://schemas.microsoft.com/office/excel/2006/main">
          <x14:cfRule type="expression" priority="7" id="{53EE1D14-D03F-4D03-874C-AD1C5223BB15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D70:D72</xm:sqref>
        </x14:conditionalFormatting>
        <x14:conditionalFormatting xmlns:xm="http://schemas.microsoft.com/office/excel/2006/main">
          <x14:cfRule type="expression" priority="6" id="{22E43643-4572-4774-9461-E1823F340AE7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D55:D56 E56:BB56</xm:sqref>
        </x14:conditionalFormatting>
        <x14:conditionalFormatting xmlns:xm="http://schemas.microsoft.com/office/excel/2006/main">
          <x14:cfRule type="expression" priority="5" id="{FA8D43ED-FB6D-4E30-8375-9BB4FA1B40CE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D84:D85 E85:BB85</xm:sqref>
        </x14:conditionalFormatting>
        <x14:conditionalFormatting xmlns:xm="http://schemas.microsoft.com/office/excel/2006/main">
          <x14:cfRule type="expression" priority="4" id="{FFB2A97D-199D-40A9-8F6D-B1DB7C896E27}">
            <xm:f>D$3='\\ftovhserver\finance\Users\ecallocchia\Dropbox\City of Batavia\Models\[City of Batavia Water and Sewer Rate Study Model 11-26-2014.xlsm]1) Control Panel'!#REF!</xm:f>
            <x14:dxf>
              <border>
                <left style="thin">
                  <color auto="1"/>
                </left>
                <vertical/>
                <horizontal/>
              </border>
            </x14:dxf>
          </x14:cfRule>
          <xm:sqref>D81:BB81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5</vt:i4>
      </vt:variant>
    </vt:vector>
  </HeadingPairs>
  <TitlesOfParts>
    <vt:vector size="34" baseType="lpstr">
      <vt:lpstr>Dashboard</vt:lpstr>
      <vt:lpstr>Control Panel</vt:lpstr>
      <vt:lpstr>O&amp;M</vt:lpstr>
      <vt:lpstr>Indirect Allocation</vt:lpstr>
      <vt:lpstr>Indirect Allocation Detail</vt:lpstr>
      <vt:lpstr>Existing Debt</vt:lpstr>
      <vt:lpstr>Projected Debt</vt:lpstr>
      <vt:lpstr>Capital Improvement Plan</vt:lpstr>
      <vt:lpstr>Asset Replacement</vt:lpstr>
      <vt:lpstr>Misc Revenues</vt:lpstr>
      <vt:lpstr>Revenue Requirements</vt:lpstr>
      <vt:lpstr>Customers and Consumption</vt:lpstr>
      <vt:lpstr>Water Rate Projections</vt:lpstr>
      <vt:lpstr>Sewer Rate Projections</vt:lpstr>
      <vt:lpstr>Stormwater Rate Projections</vt:lpstr>
      <vt:lpstr>Cash Flows and Cash Balances</vt:lpstr>
      <vt:lpstr>Fixed Assets</vt:lpstr>
      <vt:lpstr>Assets in Arrears Calculation</vt:lpstr>
      <vt:lpstr>Sample Bills</vt:lpstr>
      <vt:lpstr>Water Connection Fee</vt:lpstr>
      <vt:lpstr>Cost Escalators</vt:lpstr>
      <vt:lpstr>2014 Allocated Consuption</vt:lpstr>
      <vt:lpstr>2015 Allocated Consuption</vt:lpstr>
      <vt:lpstr>2014 Rate Reconciliation</vt:lpstr>
      <vt:lpstr>2015 Rate Reconciliation</vt:lpstr>
      <vt:lpstr>Presentation Charts</vt:lpstr>
      <vt:lpstr>Customer Impact Table</vt:lpstr>
      <vt:lpstr>March 7 Charts</vt:lpstr>
      <vt:lpstr>Proposed Rates</vt:lpstr>
      <vt:lpstr>Indicies</vt:lpstr>
      <vt:lpstr>'Cash Flows and Cash Balances'!Print_Area</vt:lpstr>
      <vt:lpstr>'Customer Impact Table'!Print_Area</vt:lpstr>
      <vt:lpstr>Dashboard!Print_Area</vt:lpstr>
      <vt:lpstr>'March 7 Charts'!Print_Area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Callocchia</dc:creator>
  <cp:lastModifiedBy>Kevin Wachtel</cp:lastModifiedBy>
  <cp:lastPrinted>2016-03-04T16:34:07Z</cp:lastPrinted>
  <dcterms:created xsi:type="dcterms:W3CDTF">2015-09-15T13:21:31Z</dcterms:created>
  <dcterms:modified xsi:type="dcterms:W3CDTF">2021-09-17T14:41:14Z</dcterms:modified>
</cp:coreProperties>
</file>